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https://arup-my.sharepoint.com/personal/tim_stuart_arup_com/Documents/Documents/scripts/River Wear/GSAmani/"/>
    </mc:Choice>
  </mc:AlternateContent>
  <xr:revisionPtr revIDLastSave="302" documentId="8_{8B1E7944-5D23-4401-95B6-66A81D503C9B}" xr6:coauthVersionLast="47" xr6:coauthVersionMax="47" xr10:uidLastSave="{3F787161-FFD5-45EF-8B43-2367577D237B}"/>
  <bookViews>
    <workbookView xWindow="28680" yWindow="-120" windowWidth="29040" windowHeight="17640" tabRatio="977" firstSheet="1" activeTab="2" xr2:uid="{00000000-000D-0000-FFFF-FFFF00000000}"/>
  </bookViews>
  <sheets>
    <sheet name="Thermal reduction reasoning" sheetId="40" state="hidden" r:id="rId1"/>
    <sheet name="508-450dia" sheetId="85" r:id="rId2"/>
    <sheet name="508-450dia_trial 4B40" sheetId="89" r:id="rId3"/>
    <sheet name="508-450dia lower half" sheetId="88" r:id="rId4"/>
    <sheet name="ss_ IFIR Summary (03.07)" sheetId="66" state="hidden" r:id="rId5"/>
    <sheet name="North Quay Estimate" sheetId="43" state="hidden" r:id="rId6"/>
    <sheet name="Summary Mass Calc" sheetId="77" state="hidden" r:id="rId7"/>
    <sheet name="Summary (29.09) JCM" sheetId="81" state="hidden" r:id="rId8"/>
    <sheet name="Copy of Summary (07.09) (2)" sheetId="82" state="hidden" r:id="rId9"/>
  </sheets>
  <externalReferences>
    <externalReference r:id="rId10"/>
    <externalReference r:id="rId11"/>
    <externalReference r:id="rId12"/>
    <externalReference r:id="rId13"/>
  </externalReferences>
  <definedNames>
    <definedName name="A">#REF!</definedName>
    <definedName name="AA">#REF!</definedName>
    <definedName name="alphacc">[1]Lists!$J$3:$J$4</definedName>
    <definedName name="B">#REF!</definedName>
    <definedName name="Bar">[1]Lists!$F$3:$F$9</definedName>
    <definedName name="BB">#REF!</definedName>
    <definedName name="CC">#REF!</definedName>
    <definedName name="CCC">#REF!</definedName>
    <definedName name="Checked">#REF!</definedName>
    <definedName name="concreteStrengths">[2]Calculations!$L$76:$L$90</definedName>
    <definedName name="D">#REF!</definedName>
    <definedName name="Date">#REF!</definedName>
    <definedName name="DD">#REF!</definedName>
    <definedName name="Description">[1]Cover!$F$15</definedName>
    <definedName name="Drawing_Reference" localSheetId="1">[1]Cover!#REF!</definedName>
    <definedName name="Drawing_Reference" localSheetId="3">[1]Cover!#REF!</definedName>
    <definedName name="Drawing_Reference" localSheetId="2">[1]Cover!#REF!</definedName>
    <definedName name="Drawing_Reference">[3]Cover!$F$21</definedName>
    <definedName name="E">#REF!</definedName>
    <definedName name="EE">#REF!</definedName>
    <definedName name="F">#REF!</definedName>
    <definedName name="FF">#REF!</definedName>
    <definedName name="G">#REF!</definedName>
    <definedName name="GammaC">[1]Lists!$H$3:$H$4</definedName>
    <definedName name="GG">#REF!</definedName>
    <definedName name="H">#REF!</definedName>
    <definedName name="HH">#REF!</definedName>
    <definedName name="I">#REF!</definedName>
    <definedName name="II">#REF!</definedName>
    <definedName name="J">#REF!</definedName>
    <definedName name="JJ">#REF!</definedName>
    <definedName name="JobNumber">#REF!</definedName>
    <definedName name="JobTitle">#REF!</definedName>
    <definedName name="K">#REF!+#REF!</definedName>
    <definedName name="KK">#REF!</definedName>
    <definedName name="L">#REF!</definedName>
    <definedName name="Link">[1]Lists!$B$3:$B$8</definedName>
    <definedName name="LL">#REF!</definedName>
    <definedName name="M">#REF!</definedName>
    <definedName name="MadeBy">#REF!</definedName>
    <definedName name="Member_Location">[3]Cover!$F$19</definedName>
    <definedName name="MM">#REF!</definedName>
    <definedName name="NN">#REF!</definedName>
    <definedName name="No_Perm_Casing_REBAR">#REF!</definedName>
    <definedName name="O">#REF!</definedName>
    <definedName name="OO">#REF!</definedName>
    <definedName name="Option" localSheetId="1">[1]Cover!#REF!</definedName>
    <definedName name="Option" localSheetId="3">[1]Cover!#REF!</definedName>
    <definedName name="Option" localSheetId="2">[1]Cover!#REF!</definedName>
    <definedName name="Option" localSheetId="8">[1]Cover!#REF!</definedName>
    <definedName name="Option" localSheetId="5">[1]Cover!#REF!</definedName>
    <definedName name="Option" localSheetId="4">[1]Cover!#REF!</definedName>
    <definedName name="Option" localSheetId="7">[1]Cover!#REF!</definedName>
    <definedName name="Option" localSheetId="6">[1]Cover!#REF!</definedName>
    <definedName name="Option" localSheetId="0">[1]Cover!#REF!</definedName>
    <definedName name="Option">[1]Cover!#REF!</definedName>
    <definedName name="Perm_Casing">#REF!</definedName>
    <definedName name="Perm_Casing_REBAR">#REF!</definedName>
    <definedName name="_xlnm.Print_Area" localSheetId="1">'508-450dia'!$A$1:$L$64</definedName>
    <definedName name="_xlnm.Print_Area" localSheetId="3">'508-450dia lower half'!$A$1:$L$64</definedName>
    <definedName name="_xlnm.Print_Area" localSheetId="2">'508-450dia_trial 4B40'!$A$1:$L$64</definedName>
    <definedName name="_xlnm.Print_Area" localSheetId="6">'Summary Mass Calc'!$A$4:$O$91</definedName>
    <definedName name="_xlnm.Print_Area" localSheetId="0">'Thermal reduction reasoning'!$A$1:$I$31</definedName>
    <definedName name="_xlnm.Print_Titles" localSheetId="0">'Thermal reduction reasoning'!$1:$1</definedName>
    <definedName name="q" localSheetId="8">[1]Cover!#REF!</definedName>
    <definedName name="q" localSheetId="5">[1]Cover!#REF!</definedName>
    <definedName name="q" localSheetId="4">[1]Cover!#REF!</definedName>
    <definedName name="q" localSheetId="7">[1]Cover!#REF!</definedName>
    <definedName name="q" localSheetId="6">[1]Cover!#REF!</definedName>
    <definedName name="q" localSheetId="0">[1]Cover!#REF!</definedName>
    <definedName name="q">[1]Cover!#REF!</definedName>
    <definedName name="Revision" localSheetId="1">[1]Cover!$F$30</definedName>
    <definedName name="Revision" localSheetId="3">[1]Cover!$F$30</definedName>
    <definedName name="Revision" localSheetId="2">[1]Cover!$F$30</definedName>
    <definedName name="Revision">[3]Cover!$F$48</definedName>
    <definedName name="SheetNo" localSheetId="1">[1]Cover!#REF!</definedName>
    <definedName name="SheetNo" localSheetId="3">[1]Cover!#REF!</definedName>
    <definedName name="SheetNo" localSheetId="2">[1]Cover!#REF!</definedName>
    <definedName name="SheetNo">[3]Cover!$F$17</definedName>
    <definedName name="SheetTable1" localSheetId="1">[1]Cover!#REF!</definedName>
    <definedName name="SheetTable1" localSheetId="3">[1]Cover!#REF!</definedName>
    <definedName name="SheetTable1" localSheetId="2">[1]Cover!#REF!</definedName>
    <definedName name="SheetTable1" localSheetId="8">[1]Cover!#REF!</definedName>
    <definedName name="SheetTable1" localSheetId="5">[1]Cover!#REF!</definedName>
    <definedName name="SheetTable1" localSheetId="4">[1]Cover!#REF!</definedName>
    <definedName name="SheetTable1" localSheetId="7">[1]Cover!#REF!</definedName>
    <definedName name="SheetTable1" localSheetId="6">[1]Cover!#REF!</definedName>
    <definedName name="SheetTable1" localSheetId="0">[1]Cover!#REF!</definedName>
    <definedName name="SheetTable1">[1]Cover!#REF!</definedName>
    <definedName name="Type">[1]Lists!$D$3:$D$4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2" i="89" l="1"/>
  <c r="J60" i="89"/>
  <c r="E58" i="89"/>
  <c r="E55" i="89"/>
  <c r="F53" i="89"/>
  <c r="F52" i="89"/>
  <c r="E49" i="89"/>
  <c r="C50" i="89" s="1"/>
  <c r="E48" i="89"/>
  <c r="E50" i="89" s="1"/>
  <c r="E47" i="89"/>
  <c r="B49" i="89" s="1"/>
  <c r="C42" i="89"/>
  <c r="E40" i="89"/>
  <c r="E42" i="89" s="1"/>
  <c r="C37" i="89"/>
  <c r="C32" i="89"/>
  <c r="C31" i="89"/>
  <c r="C28" i="89"/>
  <c r="C29" i="89" s="1"/>
  <c r="D27" i="89"/>
  <c r="C24" i="89"/>
  <c r="C23" i="89"/>
  <c r="C22" i="89"/>
  <c r="E21" i="89"/>
  <c r="E20" i="89"/>
  <c r="E24" i="89" s="1"/>
  <c r="C10" i="89"/>
  <c r="A10" i="89"/>
  <c r="B50" i="89" l="1"/>
  <c r="E22" i="89"/>
  <c r="C58" i="89" s="1"/>
  <c r="C59" i="89" s="1"/>
  <c r="F51" i="89"/>
  <c r="E23" i="89"/>
  <c r="E62" i="88"/>
  <c r="J60" i="88"/>
  <c r="E58" i="88"/>
  <c r="F53" i="88"/>
  <c r="F52" i="88"/>
  <c r="E49" i="88"/>
  <c r="E50" i="88" s="1"/>
  <c r="E48" i="88"/>
  <c r="E47" i="88"/>
  <c r="B50" i="88" s="1"/>
  <c r="C42" i="88"/>
  <c r="E40" i="88"/>
  <c r="E42" i="88" s="1"/>
  <c r="E43" i="88" s="1"/>
  <c r="C37" i="88"/>
  <c r="C31" i="88"/>
  <c r="C32" i="88" s="1"/>
  <c r="C28" i="88"/>
  <c r="C29" i="88" s="1"/>
  <c r="D27" i="88"/>
  <c r="C24" i="88"/>
  <c r="C23" i="88"/>
  <c r="E22" i="88"/>
  <c r="C22" i="88"/>
  <c r="E21" i="88"/>
  <c r="E24" i="88" s="1"/>
  <c r="E20" i="88"/>
  <c r="C10" i="88"/>
  <c r="A10" i="88"/>
  <c r="C62" i="89" l="1"/>
  <c r="C63" i="89" s="1"/>
  <c r="E43" i="89"/>
  <c r="C50" i="88"/>
  <c r="C62" i="88"/>
  <c r="C63" i="88" s="1"/>
  <c r="C43" i="88"/>
  <c r="J35" i="88"/>
  <c r="J33" i="88"/>
  <c r="J34" i="88"/>
  <c r="C58" i="88"/>
  <c r="C59" i="88" s="1"/>
  <c r="E23" i="88"/>
  <c r="B49" i="88"/>
  <c r="E55" i="88"/>
  <c r="C43" i="89" l="1"/>
  <c r="J39" i="89"/>
  <c r="J35" i="89"/>
  <c r="J34" i="89"/>
  <c r="J33" i="89"/>
  <c r="J38" i="89"/>
  <c r="J40" i="89"/>
  <c r="J40" i="88"/>
  <c r="J38" i="88"/>
  <c r="J39" i="88"/>
  <c r="J45" i="88" s="1"/>
  <c r="J45" i="89" l="1"/>
  <c r="J51" i="89"/>
  <c r="J44" i="89"/>
  <c r="J52" i="89"/>
  <c r="J52" i="88"/>
  <c r="J44" i="88"/>
  <c r="J46" i="88" s="1"/>
  <c r="F51" i="88" s="1"/>
  <c r="J51" i="88"/>
  <c r="J53" i="89" l="1"/>
  <c r="J54" i="89" s="1"/>
  <c r="J55" i="89" s="1"/>
  <c r="K55" i="89" s="1"/>
  <c r="J46" i="89"/>
  <c r="J47" i="88"/>
  <c r="J53" i="88"/>
  <c r="J47" i="89" l="1"/>
  <c r="J49" i="88"/>
  <c r="J48" i="88"/>
  <c r="J54" i="88"/>
  <c r="J55" i="88" s="1"/>
  <c r="K55" i="88" s="1"/>
  <c r="J49" i="89" l="1"/>
  <c r="J48" i="89"/>
  <c r="J61" i="89"/>
  <c r="J62" i="89" s="1"/>
  <c r="K62" i="89" s="1"/>
  <c r="K48" i="88"/>
  <c r="D67" i="88"/>
  <c r="J61" i="88"/>
  <c r="J62" i="88" s="1"/>
  <c r="K62" i="88" s="1"/>
  <c r="D67" i="89" l="1"/>
  <c r="K48" i="89"/>
  <c r="E55" i="85"/>
  <c r="E62" i="85"/>
  <c r="J60" i="85"/>
  <c r="E58" i="85"/>
  <c r="F53" i="85"/>
  <c r="F52" i="85"/>
  <c r="E49" i="85"/>
  <c r="C50" i="85" s="1"/>
  <c r="E48" i="85"/>
  <c r="E47" i="85"/>
  <c r="B49" i="85" s="1"/>
  <c r="C42" i="85"/>
  <c r="E40" i="85"/>
  <c r="E42" i="85" s="1"/>
  <c r="C37" i="85"/>
  <c r="C32" i="85"/>
  <c r="C31" i="85"/>
  <c r="C28" i="85"/>
  <c r="C29" i="85" s="1"/>
  <c r="D27" i="85"/>
  <c r="C24" i="85"/>
  <c r="C23" i="85"/>
  <c r="C22" i="85"/>
  <c r="E21" i="85"/>
  <c r="E20" i="85"/>
  <c r="C10" i="85"/>
  <c r="A10" i="85"/>
  <c r="E50" i="85" l="1"/>
  <c r="E24" i="85"/>
  <c r="B50" i="85"/>
  <c r="E22" i="85"/>
  <c r="E23" i="85"/>
  <c r="C62" i="85" l="1"/>
  <c r="C63" i="85" s="1"/>
  <c r="C58" i="85"/>
  <c r="C59" i="85" s="1"/>
  <c r="E43" i="85"/>
  <c r="C43" i="85" l="1"/>
  <c r="J35" i="85"/>
  <c r="J39" i="85"/>
  <c r="J34" i="85"/>
  <c r="J33" i="85"/>
  <c r="J40" i="85"/>
  <c r="J38" i="85"/>
  <c r="J45" i="85" l="1"/>
  <c r="J52" i="85"/>
  <c r="J44" i="85"/>
  <c r="J46" i="85" s="1"/>
  <c r="J51" i="85"/>
  <c r="J53" i="85" l="1"/>
  <c r="J54" i="85" s="1"/>
  <c r="J55" i="85" s="1"/>
  <c r="K55" i="85" s="1"/>
  <c r="J47" i="85" l="1"/>
  <c r="J48" i="85" s="1"/>
  <c r="F51" i="85"/>
  <c r="J49" i="85" l="1"/>
  <c r="J61" i="85"/>
  <c r="J62" i="85" s="1"/>
  <c r="K62" i="85" s="1"/>
  <c r="D67" i="85"/>
  <c r="K48" i="85"/>
  <c r="I56" i="81" l="1"/>
  <c r="D104" i="82"/>
  <c r="I101" i="82"/>
  <c r="AK100" i="82"/>
  <c r="I100" i="82"/>
  <c r="H100" i="82"/>
  <c r="AK99" i="82"/>
  <c r="I99" i="82"/>
  <c r="N99" i="82" s="1"/>
  <c r="O99" i="82" s="1"/>
  <c r="H99" i="82"/>
  <c r="AK98" i="82"/>
  <c r="I98" i="82"/>
  <c r="H98" i="82"/>
  <c r="AK97" i="82"/>
  <c r="I97" i="82"/>
  <c r="H97" i="82"/>
  <c r="AK96" i="82"/>
  <c r="I96" i="82"/>
  <c r="H96" i="82"/>
  <c r="AK95" i="82"/>
  <c r="I95" i="82"/>
  <c r="H95" i="82"/>
  <c r="AK94" i="82"/>
  <c r="I94" i="82"/>
  <c r="H94" i="82"/>
  <c r="AK93" i="82"/>
  <c r="I93" i="82"/>
  <c r="AK92" i="82"/>
  <c r="I92" i="82"/>
  <c r="AK91" i="82"/>
  <c r="D91" i="82"/>
  <c r="I91" i="82" s="1"/>
  <c r="N91" i="82" s="1"/>
  <c r="O91" i="82" s="1"/>
  <c r="AK90" i="82"/>
  <c r="AK89" i="82"/>
  <c r="AL100" i="82" s="1"/>
  <c r="O101" i="82" s="1"/>
  <c r="AK88" i="82"/>
  <c r="AK84" i="82"/>
  <c r="I84" i="82"/>
  <c r="AK83" i="82"/>
  <c r="I83" i="82"/>
  <c r="N83" i="82" s="1"/>
  <c r="O83" i="82" s="1"/>
  <c r="AK82" i="82"/>
  <c r="I82" i="82"/>
  <c r="AK81" i="82"/>
  <c r="I81" i="82"/>
  <c r="AK80" i="82"/>
  <c r="I80" i="82"/>
  <c r="AK79" i="82"/>
  <c r="I79" i="82"/>
  <c r="AK78" i="82"/>
  <c r="I78" i="82"/>
  <c r="AK77" i="82"/>
  <c r="I77" i="82"/>
  <c r="AK76" i="82"/>
  <c r="I76" i="82"/>
  <c r="AK75" i="82"/>
  <c r="AK74" i="82"/>
  <c r="AK73" i="82"/>
  <c r="AK72" i="82"/>
  <c r="I69" i="82"/>
  <c r="N69" i="82" s="1"/>
  <c r="I68" i="82"/>
  <c r="N68" i="82" s="1"/>
  <c r="H68" i="82"/>
  <c r="I67" i="82"/>
  <c r="H67" i="82"/>
  <c r="I66" i="82"/>
  <c r="N66" i="82" s="1"/>
  <c r="O66" i="82" s="1"/>
  <c r="H66" i="82"/>
  <c r="I65" i="82"/>
  <c r="H65" i="82"/>
  <c r="I64" i="82"/>
  <c r="H64" i="82"/>
  <c r="I63" i="82"/>
  <c r="N63" i="82" s="1"/>
  <c r="O63" i="82" s="1"/>
  <c r="AC62" i="82" s="1"/>
  <c r="I62" i="82"/>
  <c r="N62" i="82" s="1"/>
  <c r="AK61" i="82"/>
  <c r="D61" i="82"/>
  <c r="I61" i="82" s="1"/>
  <c r="N61" i="82" s="1"/>
  <c r="O61" i="82" s="1"/>
  <c r="O70" i="82" s="1"/>
  <c r="AK60" i="82"/>
  <c r="AK59" i="82"/>
  <c r="AK58" i="82"/>
  <c r="I54" i="82"/>
  <c r="I53" i="82"/>
  <c r="I52" i="82"/>
  <c r="I51" i="82"/>
  <c r="N51" i="82" s="1"/>
  <c r="O51" i="82" s="1"/>
  <c r="I50" i="82"/>
  <c r="I49" i="82"/>
  <c r="N49" i="82" s="1"/>
  <c r="O49" i="82" s="1"/>
  <c r="AC48" i="82" s="1"/>
  <c r="AK48" i="82"/>
  <c r="AL48" i="82" s="1"/>
  <c r="I48" i="82"/>
  <c r="AK47" i="82"/>
  <c r="D47" i="82"/>
  <c r="I47" i="82" s="1"/>
  <c r="AK46" i="82"/>
  <c r="I46" i="82"/>
  <c r="AK45" i="82"/>
  <c r="I39" i="82"/>
  <c r="I38" i="82"/>
  <c r="AJ37" i="82"/>
  <c r="I37" i="82"/>
  <c r="AJ36" i="82"/>
  <c r="I36" i="82"/>
  <c r="AJ35" i="82"/>
  <c r="I35" i="82"/>
  <c r="N35" i="82" s="1"/>
  <c r="O35" i="82" s="1"/>
  <c r="AC35" i="82" s="1"/>
  <c r="H35" i="82"/>
  <c r="H36" i="82" s="1"/>
  <c r="AJ34" i="82"/>
  <c r="I34" i="82"/>
  <c r="AJ33" i="82"/>
  <c r="I33" i="82"/>
  <c r="N33" i="82" s="1"/>
  <c r="AJ32" i="82"/>
  <c r="I32" i="82"/>
  <c r="N32" i="82" s="1"/>
  <c r="AJ31" i="82"/>
  <c r="AJ30" i="82"/>
  <c r="AJ25" i="82"/>
  <c r="I25" i="82"/>
  <c r="AJ24" i="82"/>
  <c r="I24" i="82"/>
  <c r="AJ23" i="82"/>
  <c r="I23" i="82"/>
  <c r="AJ22" i="82"/>
  <c r="I22" i="82"/>
  <c r="AJ21" i="82"/>
  <c r="I21" i="82"/>
  <c r="AJ20" i="82"/>
  <c r="K20" i="82"/>
  <c r="J20" i="82"/>
  <c r="I20" i="82"/>
  <c r="AJ19" i="82"/>
  <c r="AJ18" i="82"/>
  <c r="C14" i="82"/>
  <c r="M76" i="82"/>
  <c r="C8" i="82"/>
  <c r="H7" i="82"/>
  <c r="I7" i="82" s="1"/>
  <c r="C7" i="82"/>
  <c r="D7" i="82"/>
  <c r="H6" i="82"/>
  <c r="I6" i="82" s="1"/>
  <c r="C6" i="82"/>
  <c r="D6" i="82" s="1"/>
  <c r="D106" i="81"/>
  <c r="I103" i="81"/>
  <c r="AK102" i="81"/>
  <c r="I102" i="81"/>
  <c r="H102" i="81"/>
  <c r="AK101" i="81"/>
  <c r="I101" i="81"/>
  <c r="N101" i="81" s="1"/>
  <c r="O101" i="81" s="1"/>
  <c r="H101" i="81"/>
  <c r="AK100" i="81"/>
  <c r="I100" i="81"/>
  <c r="H100" i="81"/>
  <c r="AK99" i="81"/>
  <c r="I99" i="81"/>
  <c r="H99" i="81"/>
  <c r="AK98" i="81"/>
  <c r="I98" i="81"/>
  <c r="H98" i="81"/>
  <c r="AK97" i="81"/>
  <c r="I97" i="81"/>
  <c r="H97" i="81"/>
  <c r="AK96" i="81"/>
  <c r="I96" i="81"/>
  <c r="H96" i="81"/>
  <c r="AK95" i="81"/>
  <c r="I95" i="81"/>
  <c r="AK94" i="81"/>
  <c r="I94" i="81"/>
  <c r="AK93" i="81"/>
  <c r="D93" i="81"/>
  <c r="I93" i="81" s="1"/>
  <c r="AK92" i="81"/>
  <c r="AK91" i="81"/>
  <c r="AL102" i="81" s="1"/>
  <c r="AK90" i="81"/>
  <c r="AK86" i="81"/>
  <c r="I86" i="81"/>
  <c r="AK85" i="81"/>
  <c r="I85" i="81"/>
  <c r="AK84" i="81"/>
  <c r="I84" i="81"/>
  <c r="AK83" i="81"/>
  <c r="I83" i="81"/>
  <c r="AK82" i="81"/>
  <c r="I82" i="81"/>
  <c r="AK81" i="81"/>
  <c r="AL86" i="81" s="1"/>
  <c r="I81" i="81"/>
  <c r="AK80" i="81"/>
  <c r="I80" i="81"/>
  <c r="AK79" i="81"/>
  <c r="I79" i="81"/>
  <c r="AK78" i="81"/>
  <c r="I78" i="81"/>
  <c r="AK77" i="81"/>
  <c r="AK76" i="81"/>
  <c r="AK75" i="81"/>
  <c r="AK74" i="81"/>
  <c r="I71" i="81"/>
  <c r="I70" i="81"/>
  <c r="I69" i="81"/>
  <c r="I68" i="81"/>
  <c r="I67" i="81"/>
  <c r="I66" i="81"/>
  <c r="I65" i="81"/>
  <c r="I64" i="81"/>
  <c r="AK63" i="81"/>
  <c r="D63" i="81"/>
  <c r="I63" i="81" s="1"/>
  <c r="AK62" i="81"/>
  <c r="AK61" i="81"/>
  <c r="AK60" i="81"/>
  <c r="AL63" i="81" s="1"/>
  <c r="I55" i="81"/>
  <c r="I54" i="81"/>
  <c r="I53" i="81"/>
  <c r="I52" i="81"/>
  <c r="I51" i="81"/>
  <c r="AK50" i="81"/>
  <c r="I50" i="81"/>
  <c r="AK49" i="81"/>
  <c r="D49" i="81"/>
  <c r="I49" i="81"/>
  <c r="AK48" i="81"/>
  <c r="I48" i="81"/>
  <c r="AK47" i="81"/>
  <c r="I41" i="81"/>
  <c r="I40" i="81"/>
  <c r="AJ39" i="81"/>
  <c r="I39" i="81"/>
  <c r="AJ38" i="81"/>
  <c r="I38" i="81"/>
  <c r="AJ37" i="81"/>
  <c r="I37" i="81"/>
  <c r="AJ36" i="81"/>
  <c r="I36" i="81"/>
  <c r="AJ35" i="81"/>
  <c r="I35" i="81"/>
  <c r="AJ34" i="81"/>
  <c r="I34" i="81"/>
  <c r="AJ33" i="81"/>
  <c r="AJ32" i="81"/>
  <c r="AJ27" i="81"/>
  <c r="I27" i="81"/>
  <c r="AJ26" i="81"/>
  <c r="I26" i="81"/>
  <c r="AJ25" i="81"/>
  <c r="I25" i="81"/>
  <c r="AJ24" i="81"/>
  <c r="I24" i="81"/>
  <c r="AJ23" i="81"/>
  <c r="I23" i="81"/>
  <c r="AJ22" i="81"/>
  <c r="K22" i="81"/>
  <c r="J22" i="81"/>
  <c r="I22" i="81"/>
  <c r="AJ21" i="81"/>
  <c r="AJ20" i="81"/>
  <c r="C16" i="81"/>
  <c r="M38" i="81" s="1"/>
  <c r="N38" i="81" s="1"/>
  <c r="O38" i="81" s="1"/>
  <c r="AC38" i="81" s="1"/>
  <c r="M96" i="81"/>
  <c r="N96" i="81" s="1"/>
  <c r="O96" i="81" s="1"/>
  <c r="C10" i="81"/>
  <c r="H9" i="81"/>
  <c r="I9" i="81" s="1"/>
  <c r="C9" i="81"/>
  <c r="D9" i="81"/>
  <c r="H8" i="81"/>
  <c r="I8" i="81"/>
  <c r="C8" i="81"/>
  <c r="D8" i="81"/>
  <c r="AL61" i="82"/>
  <c r="M49" i="81"/>
  <c r="M69" i="81"/>
  <c r="N69" i="81" s="1"/>
  <c r="O69" i="81" s="1"/>
  <c r="M81" i="81"/>
  <c r="N81" i="81" s="1"/>
  <c r="O81" i="81"/>
  <c r="AC80" i="81" s="1"/>
  <c r="N76" i="82"/>
  <c r="O76" i="82"/>
  <c r="AC75" i="82" s="1"/>
  <c r="M22" i="82"/>
  <c r="N22" i="82" s="1"/>
  <c r="O22" i="82" s="1"/>
  <c r="AC22" i="82" s="1"/>
  <c r="M38" i="82"/>
  <c r="M34" i="82"/>
  <c r="N34" i="82" s="1"/>
  <c r="O34" i="82" s="1"/>
  <c r="AC34" i="82" s="1"/>
  <c r="M53" i="82"/>
  <c r="N53" i="82"/>
  <c r="O53" i="82"/>
  <c r="AC52" i="82" s="1"/>
  <c r="M49" i="82"/>
  <c r="M69" i="82"/>
  <c r="M65" i="82"/>
  <c r="N65" i="82" s="1"/>
  <c r="O65" i="82"/>
  <c r="M84" i="82"/>
  <c r="N84" i="82"/>
  <c r="AC83" i="82" s="1"/>
  <c r="M80" i="82"/>
  <c r="M91" i="82"/>
  <c r="M98" i="82"/>
  <c r="N98" i="82"/>
  <c r="O98" i="82" s="1"/>
  <c r="M94" i="82"/>
  <c r="N94" i="82"/>
  <c r="O94" i="82"/>
  <c r="M37" i="81"/>
  <c r="N37" i="81"/>
  <c r="O37" i="81"/>
  <c r="AC37" i="81" s="1"/>
  <c r="M68" i="81"/>
  <c r="N68" i="81" s="1"/>
  <c r="O68" i="81" s="1"/>
  <c r="M84" i="81"/>
  <c r="N84" i="81" s="1"/>
  <c r="O84" i="81" s="1"/>
  <c r="AC83" i="81" s="1"/>
  <c r="M102" i="81"/>
  <c r="N102" i="81" s="1"/>
  <c r="O102" i="81" s="1"/>
  <c r="M25" i="82"/>
  <c r="N25" i="82"/>
  <c r="M21" i="82"/>
  <c r="N21" i="82" s="1"/>
  <c r="O21" i="82" s="1"/>
  <c r="AC21" i="82" s="1"/>
  <c r="M37" i="82"/>
  <c r="N37" i="82" s="1"/>
  <c r="O37" i="82" s="1"/>
  <c r="AC37" i="82" s="1"/>
  <c r="M33" i="82"/>
  <c r="O33" i="82"/>
  <c r="AC33" i="82"/>
  <c r="M52" i="82"/>
  <c r="N52" i="82" s="1"/>
  <c r="O52" i="82" s="1"/>
  <c r="AC51" i="82" s="1"/>
  <c r="M48" i="82"/>
  <c r="N48" i="82" s="1"/>
  <c r="O48" i="82" s="1"/>
  <c r="AC47" i="82" s="1"/>
  <c r="M68" i="82"/>
  <c r="O68" i="82"/>
  <c r="M64" i="82"/>
  <c r="N64" i="82"/>
  <c r="O64" i="82" s="1"/>
  <c r="M83" i="82"/>
  <c r="M79" i="82"/>
  <c r="N79" i="82"/>
  <c r="O79" i="82" s="1"/>
  <c r="AC78" i="82" s="1"/>
  <c r="M101" i="82"/>
  <c r="N101" i="82"/>
  <c r="M97" i="82"/>
  <c r="N97" i="82"/>
  <c r="O97" i="82"/>
  <c r="M93" i="82"/>
  <c r="N93" i="82"/>
  <c r="AC92" i="82" s="1"/>
  <c r="M40" i="81"/>
  <c r="N40" i="81" s="1"/>
  <c r="M55" i="81"/>
  <c r="N55" i="81"/>
  <c r="O55" i="81" s="1"/>
  <c r="AC54" i="81" s="1"/>
  <c r="M78" i="81"/>
  <c r="N78" i="81" s="1"/>
  <c r="O78" i="81" s="1"/>
  <c r="M101" i="81"/>
  <c r="M24" i="82"/>
  <c r="N24" i="82" s="1"/>
  <c r="AC24" i="82" s="1"/>
  <c r="M32" i="82"/>
  <c r="O32" i="82"/>
  <c r="AC32" i="82" s="1"/>
  <c r="M36" i="82"/>
  <c r="N36" i="82"/>
  <c r="O36" i="82" s="1"/>
  <c r="AC36" i="82" s="1"/>
  <c r="M46" i="82"/>
  <c r="N46" i="82"/>
  <c r="O46" i="82"/>
  <c r="M51" i="82"/>
  <c r="AC50" i="82"/>
  <c r="M47" i="82"/>
  <c r="N47" i="82" s="1"/>
  <c r="O47" i="82" s="1"/>
  <c r="AC46" i="82" s="1"/>
  <c r="M67" i="82"/>
  <c r="N67" i="82"/>
  <c r="O67" i="82"/>
  <c r="M63" i="82"/>
  <c r="M82" i="82"/>
  <c r="N82" i="82"/>
  <c r="O82" i="82"/>
  <c r="AC81" i="82" s="1"/>
  <c r="M78" i="82"/>
  <c r="N78" i="82" s="1"/>
  <c r="O78" i="82"/>
  <c r="AC77" i="82" s="1"/>
  <c r="M100" i="82"/>
  <c r="N100" i="82" s="1"/>
  <c r="O100" i="82" s="1"/>
  <c r="M96" i="82"/>
  <c r="N96" i="82"/>
  <c r="O96" i="82"/>
  <c r="M92" i="82"/>
  <c r="N92" i="82" s="1"/>
  <c r="O92" i="82" s="1"/>
  <c r="AC91" i="82" s="1"/>
  <c r="M27" i="81"/>
  <c r="N27" i="81" s="1"/>
  <c r="M54" i="81"/>
  <c r="N54" i="81" s="1"/>
  <c r="O54" i="81" s="1"/>
  <c r="AC53" i="81" s="1"/>
  <c r="M66" i="81"/>
  <c r="N66" i="81" s="1"/>
  <c r="O66" i="81" s="1"/>
  <c r="M86" i="81"/>
  <c r="M82" i="81"/>
  <c r="N82" i="81"/>
  <c r="O82" i="81" s="1"/>
  <c r="AC81" i="81" s="1"/>
  <c r="M100" i="81"/>
  <c r="N100" i="81" s="1"/>
  <c r="O100" i="81" s="1"/>
  <c r="N80" i="82"/>
  <c r="O80" i="82"/>
  <c r="AC79" i="82" s="1"/>
  <c r="M23" i="82"/>
  <c r="N23" i="82" s="1"/>
  <c r="O23" i="82" s="1"/>
  <c r="AC23" i="82" s="1"/>
  <c r="M39" i="82"/>
  <c r="N39" i="82" s="1"/>
  <c r="AC39" i="82" s="1"/>
  <c r="M35" i="82"/>
  <c r="M54" i="82"/>
  <c r="N54" i="82" s="1"/>
  <c r="M50" i="82"/>
  <c r="N50" i="82"/>
  <c r="O50" i="82"/>
  <c r="AC49" i="82" s="1"/>
  <c r="M61" i="82"/>
  <c r="M66" i="82"/>
  <c r="M62" i="82"/>
  <c r="O62" i="82"/>
  <c r="AC61" i="82" s="1"/>
  <c r="M81" i="82"/>
  <c r="N81" i="82" s="1"/>
  <c r="O81" i="82" s="1"/>
  <c r="AC80" i="82" s="1"/>
  <c r="M77" i="82"/>
  <c r="N77" i="82"/>
  <c r="O77" i="82" s="1"/>
  <c r="AC76" i="82" s="1"/>
  <c r="M99" i="82"/>
  <c r="M95" i="82"/>
  <c r="N95" i="82"/>
  <c r="O95" i="82" s="1"/>
  <c r="AC82" i="82"/>
  <c r="I8" i="82"/>
  <c r="G12" i="82" s="1"/>
  <c r="I10" i="81"/>
  <c r="G14" i="81" s="1"/>
  <c r="O93" i="82"/>
  <c r="AC93" i="82"/>
  <c r="AK93" i="77"/>
  <c r="AK92" i="77"/>
  <c r="AK91" i="77"/>
  <c r="AK90" i="77"/>
  <c r="AK89" i="77"/>
  <c r="I89" i="77"/>
  <c r="AK88" i="77"/>
  <c r="I88" i="77"/>
  <c r="AK87" i="77"/>
  <c r="I87" i="77"/>
  <c r="AK86" i="77"/>
  <c r="D86" i="77"/>
  <c r="I86" i="77" s="1"/>
  <c r="AK85" i="77"/>
  <c r="AK84" i="77"/>
  <c r="AK83" i="77"/>
  <c r="AK79" i="77"/>
  <c r="I79" i="77"/>
  <c r="AK78" i="77"/>
  <c r="I78" i="77"/>
  <c r="AK77" i="77"/>
  <c r="I77" i="77"/>
  <c r="AK76" i="77"/>
  <c r="I76" i="77"/>
  <c r="AK75" i="77"/>
  <c r="I75" i="77"/>
  <c r="AK74" i="77"/>
  <c r="I74" i="77"/>
  <c r="AK73" i="77"/>
  <c r="I73" i="77"/>
  <c r="AK72" i="77"/>
  <c r="I72" i="77"/>
  <c r="AK71" i="77"/>
  <c r="I71" i="77"/>
  <c r="AK70" i="77"/>
  <c r="AK69" i="77"/>
  <c r="I64" i="77"/>
  <c r="AK63" i="77"/>
  <c r="I63" i="77"/>
  <c r="AK62" i="77"/>
  <c r="I62" i="77"/>
  <c r="AK61" i="77"/>
  <c r="D61" i="77"/>
  <c r="I61" i="77"/>
  <c r="AK60" i="77"/>
  <c r="AK59" i="77"/>
  <c r="AK58" i="77"/>
  <c r="I54" i="77"/>
  <c r="I53" i="77"/>
  <c r="I52" i="77"/>
  <c r="I51" i="77"/>
  <c r="N51" i="77" s="1"/>
  <c r="O51" i="77" s="1"/>
  <c r="AC50" i="77" s="1"/>
  <c r="AK50" i="77"/>
  <c r="I50" i="77"/>
  <c r="AK49" i="77"/>
  <c r="I49" i="77"/>
  <c r="AK48" i="77"/>
  <c r="G48" i="77"/>
  <c r="I48" i="77" s="1"/>
  <c r="F48" i="77"/>
  <c r="D48" i="77"/>
  <c r="C48" i="77"/>
  <c r="AK47" i="77"/>
  <c r="D47" i="77"/>
  <c r="I47" i="77"/>
  <c r="AK46" i="77"/>
  <c r="I46" i="77"/>
  <c r="AK45" i="77"/>
  <c r="I39" i="77"/>
  <c r="I38" i="77"/>
  <c r="AJ37" i="77"/>
  <c r="I37" i="77"/>
  <c r="AJ36" i="77"/>
  <c r="I36" i="77"/>
  <c r="AJ35" i="77"/>
  <c r="I35" i="77"/>
  <c r="H35" i="77"/>
  <c r="H36" i="77" s="1"/>
  <c r="AJ34" i="77"/>
  <c r="I34" i="77"/>
  <c r="AJ33" i="77"/>
  <c r="I33" i="77"/>
  <c r="N33" i="77" s="1"/>
  <c r="O33" i="77" s="1"/>
  <c r="AC33" i="77" s="1"/>
  <c r="AJ32" i="77"/>
  <c r="AK37" i="77" s="1"/>
  <c r="I32" i="77"/>
  <c r="AJ31" i="77"/>
  <c r="AJ30" i="77"/>
  <c r="AJ25" i="77"/>
  <c r="I25" i="77"/>
  <c r="AJ24" i="77"/>
  <c r="I24" i="77"/>
  <c r="AJ23" i="77"/>
  <c r="I23" i="77"/>
  <c r="AJ22" i="77"/>
  <c r="I22" i="77"/>
  <c r="AJ21" i="77"/>
  <c r="I21" i="77"/>
  <c r="AJ20" i="77"/>
  <c r="K20" i="77"/>
  <c r="I20" i="77"/>
  <c r="AJ19" i="77"/>
  <c r="AJ18" i="77"/>
  <c r="AM5" i="77"/>
  <c r="M38" i="77" s="1"/>
  <c r="N38" i="77" s="1"/>
  <c r="M51" i="77"/>
  <c r="AC8" i="77"/>
  <c r="AH7" i="77"/>
  <c r="AI7" i="77"/>
  <c r="AI8" i="77" s="1"/>
  <c r="AB11" i="77" s="1"/>
  <c r="AC7" i="77"/>
  <c r="AD7" i="77" s="1"/>
  <c r="AH6" i="77"/>
  <c r="AI6" i="77"/>
  <c r="AC6" i="77"/>
  <c r="AD6" i="77"/>
  <c r="M23" i="77"/>
  <c r="N23" i="77"/>
  <c r="O23" i="77" s="1"/>
  <c r="AC23" i="77" s="1"/>
  <c r="AK25" i="77"/>
  <c r="M36" i="77"/>
  <c r="N36" i="77"/>
  <c r="O36" i="77" s="1"/>
  <c r="AC36" i="77" s="1"/>
  <c r="M73" i="77"/>
  <c r="N73" i="77" s="1"/>
  <c r="M89" i="77"/>
  <c r="N89" i="77" s="1"/>
  <c r="AL79" i="77"/>
  <c r="A80" i="77"/>
  <c r="M52" i="77"/>
  <c r="M72" i="77"/>
  <c r="M33" i="77"/>
  <c r="M49" i="77"/>
  <c r="N49" i="77"/>
  <c r="O49" i="77" s="1"/>
  <c r="AC48" i="77" s="1"/>
  <c r="M21" i="77"/>
  <c r="N21" i="77"/>
  <c r="O21" i="77" s="1"/>
  <c r="AC21" i="77" s="1"/>
  <c r="M24" i="77"/>
  <c r="N24" i="77"/>
  <c r="AC24" i="77" s="1"/>
  <c r="AL63" i="77"/>
  <c r="O73" i="77"/>
  <c r="AC72" i="77"/>
  <c r="AJ14" i="77"/>
  <c r="AM4" i="77" s="1"/>
  <c r="AD8" i="77" s="1"/>
  <c r="M35" i="77"/>
  <c r="J20" i="66"/>
  <c r="AK93" i="66"/>
  <c r="AK92" i="66"/>
  <c r="AK91" i="66"/>
  <c r="AK90" i="66"/>
  <c r="AK89" i="66"/>
  <c r="I89" i="66"/>
  <c r="AK88" i="66"/>
  <c r="I88" i="66"/>
  <c r="AK87" i="66"/>
  <c r="I87" i="66"/>
  <c r="AK86" i="66"/>
  <c r="D86" i="66"/>
  <c r="I86" i="66"/>
  <c r="AK85" i="66"/>
  <c r="AK84" i="66"/>
  <c r="AL93" i="66" s="1"/>
  <c r="AK83" i="66"/>
  <c r="AK79" i="66"/>
  <c r="I79" i="66"/>
  <c r="AK78" i="66"/>
  <c r="I78" i="66"/>
  <c r="AK77" i="66"/>
  <c r="I77" i="66"/>
  <c r="AK76" i="66"/>
  <c r="I76" i="66"/>
  <c r="AK75" i="66"/>
  <c r="I75" i="66"/>
  <c r="AK74" i="66"/>
  <c r="I74" i="66"/>
  <c r="AK73" i="66"/>
  <c r="I73" i="66"/>
  <c r="AK72" i="66"/>
  <c r="I72" i="66"/>
  <c r="AK71" i="66"/>
  <c r="I71" i="66"/>
  <c r="AK70" i="66"/>
  <c r="AK69" i="66"/>
  <c r="I64" i="66"/>
  <c r="AK63" i="66"/>
  <c r="I63" i="66"/>
  <c r="AK62" i="66"/>
  <c r="I62" i="66"/>
  <c r="AK61" i="66"/>
  <c r="D61" i="66"/>
  <c r="I61" i="66" s="1"/>
  <c r="AK60" i="66"/>
  <c r="AK59" i="66"/>
  <c r="AK58" i="66"/>
  <c r="I54" i="66"/>
  <c r="I53" i="66"/>
  <c r="I52" i="66"/>
  <c r="I51" i="66"/>
  <c r="AK50" i="66"/>
  <c r="I50" i="66"/>
  <c r="AK49" i="66"/>
  <c r="I49" i="66"/>
  <c r="AK48" i="66"/>
  <c r="G48" i="66"/>
  <c r="F48" i="66"/>
  <c r="D48" i="66"/>
  <c r="C48" i="66"/>
  <c r="AK47" i="66"/>
  <c r="D47" i="66"/>
  <c r="I47" i="66" s="1"/>
  <c r="AK46" i="66"/>
  <c r="I46" i="66"/>
  <c r="AK45" i="66"/>
  <c r="I39" i="66"/>
  <c r="I38" i="66"/>
  <c r="AJ37" i="66"/>
  <c r="I37" i="66"/>
  <c r="AJ36" i="66"/>
  <c r="I36" i="66"/>
  <c r="AJ35" i="66"/>
  <c r="I35" i="66"/>
  <c r="AJ34" i="66"/>
  <c r="I34" i="66"/>
  <c r="AJ33" i="66"/>
  <c r="I33" i="66"/>
  <c r="AJ32" i="66"/>
  <c r="I32" i="66"/>
  <c r="AJ31" i="66"/>
  <c r="AJ30" i="66"/>
  <c r="AJ25" i="66"/>
  <c r="I25" i="66"/>
  <c r="AJ24" i="66"/>
  <c r="I24" i="66"/>
  <c r="AJ23" i="66"/>
  <c r="I23" i="66"/>
  <c r="AJ22" i="66"/>
  <c r="I22" i="66"/>
  <c r="AJ21" i="66"/>
  <c r="I21" i="66"/>
  <c r="AJ20" i="66"/>
  <c r="K20" i="66"/>
  <c r="I20" i="66"/>
  <c r="AJ19" i="66"/>
  <c r="AJ18" i="66"/>
  <c r="C14" i="66"/>
  <c r="M76" i="66" s="1"/>
  <c r="N76" i="66" s="1"/>
  <c r="O76" i="66" s="1"/>
  <c r="AC75" i="66" s="1"/>
  <c r="C8" i="66"/>
  <c r="H7" i="66"/>
  <c r="I7" i="66" s="1"/>
  <c r="C7" i="66"/>
  <c r="D7" i="66" s="1"/>
  <c r="H6" i="66"/>
  <c r="I6" i="66" s="1"/>
  <c r="C6" i="66"/>
  <c r="D6" i="66" s="1"/>
  <c r="M23" i="66"/>
  <c r="I48" i="66"/>
  <c r="AL50" i="66"/>
  <c r="F7" i="43"/>
  <c r="A8" i="43"/>
  <c r="D8" i="43" s="1"/>
  <c r="A89" i="43"/>
  <c r="A88" i="43"/>
  <c r="A87" i="43"/>
  <c r="A86" i="43"/>
  <c r="A79" i="43"/>
  <c r="A78" i="43"/>
  <c r="A77" i="43"/>
  <c r="O76" i="43" s="1"/>
  <c r="AC75" i="43" s="1"/>
  <c r="A76" i="43"/>
  <c r="A75" i="43"/>
  <c r="A74" i="43"/>
  <c r="A73" i="43"/>
  <c r="A72" i="43"/>
  <c r="A71" i="43"/>
  <c r="A64" i="43"/>
  <c r="A63" i="43"/>
  <c r="A62" i="43"/>
  <c r="A61" i="43"/>
  <c r="A54" i="43"/>
  <c r="AC53" i="43" s="1"/>
  <c r="A53" i="43"/>
  <c r="A52" i="43"/>
  <c r="A51" i="43"/>
  <c r="A50" i="43"/>
  <c r="A49" i="43"/>
  <c r="A48" i="43"/>
  <c r="A47" i="43"/>
  <c r="A46" i="43"/>
  <c r="A39" i="43"/>
  <c r="AC39" i="43" s="1"/>
  <c r="A38" i="43"/>
  <c r="A37" i="43"/>
  <c r="A36" i="43"/>
  <c r="A35" i="43"/>
  <c r="A34" i="43"/>
  <c r="A33" i="43"/>
  <c r="A32" i="43"/>
  <c r="A21" i="43"/>
  <c r="A22" i="43"/>
  <c r="A23" i="43"/>
  <c r="A24" i="43"/>
  <c r="A25" i="43"/>
  <c r="A20" i="43"/>
  <c r="C14" i="43"/>
  <c r="AI93" i="43"/>
  <c r="AK93" i="43"/>
  <c r="AI92" i="43"/>
  <c r="AK92" i="43"/>
  <c r="AI91" i="43"/>
  <c r="AK91" i="43" s="1"/>
  <c r="AI90" i="43"/>
  <c r="AK90" i="43"/>
  <c r="AI89" i="43"/>
  <c r="AK89" i="43" s="1"/>
  <c r="I89" i="43"/>
  <c r="AI88" i="43"/>
  <c r="AK88" i="43"/>
  <c r="I88" i="43"/>
  <c r="N88" i="43" s="1"/>
  <c r="AI87" i="43"/>
  <c r="AK87" i="43"/>
  <c r="I87" i="43"/>
  <c r="AI86" i="43"/>
  <c r="AK86" i="43"/>
  <c r="D86" i="43"/>
  <c r="I86" i="43"/>
  <c r="N86" i="43" s="1"/>
  <c r="AI85" i="43"/>
  <c r="AK85" i="43" s="1"/>
  <c r="AI84" i="43"/>
  <c r="AK84" i="43"/>
  <c r="AI83" i="43"/>
  <c r="AK83" i="43" s="1"/>
  <c r="AI79" i="43"/>
  <c r="AK79" i="43"/>
  <c r="I79" i="43"/>
  <c r="AI78" i="43"/>
  <c r="AK78" i="43"/>
  <c r="I78" i="43"/>
  <c r="AI77" i="43"/>
  <c r="AK77" i="43" s="1"/>
  <c r="I77" i="43"/>
  <c r="AI76" i="43"/>
  <c r="AK76" i="43"/>
  <c r="I76" i="43"/>
  <c r="AI75" i="43"/>
  <c r="AK75" i="43"/>
  <c r="I75" i="43"/>
  <c r="AI74" i="43"/>
  <c r="AK74" i="43" s="1"/>
  <c r="I74" i="43"/>
  <c r="AI73" i="43"/>
  <c r="AK73" i="43" s="1"/>
  <c r="I73" i="43"/>
  <c r="AI72" i="43"/>
  <c r="AK72" i="43" s="1"/>
  <c r="I72" i="43"/>
  <c r="AI71" i="43"/>
  <c r="AK71" i="43"/>
  <c r="I71" i="43"/>
  <c r="AI70" i="43"/>
  <c r="AK70" i="43" s="1"/>
  <c r="AI69" i="43"/>
  <c r="AK69" i="43"/>
  <c r="I64" i="43"/>
  <c r="AI63" i="43"/>
  <c r="AK63" i="43"/>
  <c r="I63" i="43"/>
  <c r="AI62" i="43"/>
  <c r="AK62" i="43" s="1"/>
  <c r="I62" i="43"/>
  <c r="AI61" i="43"/>
  <c r="AK61" i="43"/>
  <c r="D61" i="43"/>
  <c r="I61" i="43" s="1"/>
  <c r="N61" i="43" s="1"/>
  <c r="AI60" i="43"/>
  <c r="AK60" i="43" s="1"/>
  <c r="AI59" i="43"/>
  <c r="AK59" i="43"/>
  <c r="AK58" i="43"/>
  <c r="I54" i="43"/>
  <c r="I53" i="43"/>
  <c r="I52" i="43"/>
  <c r="I51" i="43"/>
  <c r="AI50" i="43"/>
  <c r="AK50" i="43"/>
  <c r="I50" i="43"/>
  <c r="N50" i="43" s="1"/>
  <c r="AI49" i="43"/>
  <c r="AK49" i="43" s="1"/>
  <c r="I49" i="43"/>
  <c r="AI48" i="43"/>
  <c r="AK48" i="43" s="1"/>
  <c r="G48" i="43"/>
  <c r="F48" i="43"/>
  <c r="D48" i="43"/>
  <c r="C48" i="43"/>
  <c r="AI47" i="43"/>
  <c r="AK47" i="43" s="1"/>
  <c r="D47" i="43"/>
  <c r="I47" i="43"/>
  <c r="N47" i="43" s="1"/>
  <c r="AI46" i="43"/>
  <c r="AK46" i="43" s="1"/>
  <c r="I46" i="43"/>
  <c r="AK45" i="43"/>
  <c r="I39" i="43"/>
  <c r="I38" i="43"/>
  <c r="AJ37" i="43"/>
  <c r="I37" i="43"/>
  <c r="AH36" i="43"/>
  <c r="AJ36" i="43" s="1"/>
  <c r="I36" i="43"/>
  <c r="AJ35" i="43"/>
  <c r="I35" i="43"/>
  <c r="AH34" i="43"/>
  <c r="AJ34" i="43"/>
  <c r="I34" i="43"/>
  <c r="N34" i="43" s="1"/>
  <c r="AJ33" i="43"/>
  <c r="I33" i="43"/>
  <c r="AJ32" i="43"/>
  <c r="I32" i="43"/>
  <c r="AJ31" i="43"/>
  <c r="AK37" i="43" s="1"/>
  <c r="AJ30" i="43"/>
  <c r="AJ25" i="43"/>
  <c r="I25" i="43"/>
  <c r="N25" i="43" s="1"/>
  <c r="AH24" i="43"/>
  <c r="AJ24" i="43" s="1"/>
  <c r="I24" i="43"/>
  <c r="AJ23" i="43"/>
  <c r="I23" i="43"/>
  <c r="AH22" i="43"/>
  <c r="AJ22" i="43"/>
  <c r="I22" i="43"/>
  <c r="AJ21" i="43"/>
  <c r="I21" i="43"/>
  <c r="N21" i="43" s="1"/>
  <c r="AJ20" i="43"/>
  <c r="AK25" i="43" s="1"/>
  <c r="K20" i="43"/>
  <c r="J20" i="43"/>
  <c r="I20" i="43"/>
  <c r="AJ19" i="43"/>
  <c r="AJ18" i="43"/>
  <c r="C8" i="43"/>
  <c r="H7" i="43"/>
  <c r="C7" i="43"/>
  <c r="H6" i="43"/>
  <c r="I6" i="43"/>
  <c r="I8" i="43" s="1"/>
  <c r="G11" i="43" s="1"/>
  <c r="C6" i="43"/>
  <c r="D6" i="43" s="1"/>
  <c r="D9" i="43" s="1"/>
  <c r="I11" i="43" s="1"/>
  <c r="I7" i="43"/>
  <c r="D7" i="43"/>
  <c r="I48" i="43"/>
  <c r="N48" i="43" s="1"/>
  <c r="M88" i="43"/>
  <c r="M76" i="43"/>
  <c r="N76" i="43" s="1"/>
  <c r="M72" i="43"/>
  <c r="N72" i="43" s="1"/>
  <c r="M52" i="43"/>
  <c r="N52" i="43"/>
  <c r="M49" i="43"/>
  <c r="N49" i="43" s="1"/>
  <c r="M47" i="43"/>
  <c r="M39" i="43"/>
  <c r="N39" i="43" s="1"/>
  <c r="M33" i="43"/>
  <c r="N33" i="43" s="1"/>
  <c r="M21" i="43"/>
  <c r="M89" i="43"/>
  <c r="N89" i="43"/>
  <c r="M77" i="43"/>
  <c r="M87" i="43"/>
  <c r="N87" i="43"/>
  <c r="M86" i="43"/>
  <c r="M73" i="43"/>
  <c r="N73" i="43"/>
  <c r="M63" i="43"/>
  <c r="N63" i="43"/>
  <c r="M46" i="43"/>
  <c r="N46" i="43" s="1"/>
  <c r="M38" i="43"/>
  <c r="N38" i="43" s="1"/>
  <c r="M36" i="43"/>
  <c r="N36" i="43"/>
  <c r="M32" i="43"/>
  <c r="N32" i="43" s="1"/>
  <c r="M22" i="43"/>
  <c r="N22" i="43"/>
  <c r="M75" i="43"/>
  <c r="N75" i="43"/>
  <c r="M71" i="43"/>
  <c r="N71" i="43"/>
  <c r="M64" i="43"/>
  <c r="N64" i="43" s="1"/>
  <c r="M54" i="43"/>
  <c r="N54" i="43"/>
  <c r="M53" i="43"/>
  <c r="N53" i="43" s="1"/>
  <c r="M51" i="43"/>
  <c r="M34" i="43"/>
  <c r="M25" i="43"/>
  <c r="M23" i="43"/>
  <c r="N23" i="43" s="1"/>
  <c r="M79" i="43"/>
  <c r="N79" i="43" s="1"/>
  <c r="M78" i="43"/>
  <c r="M62" i="43"/>
  <c r="N62" i="43" s="1"/>
  <c r="M37" i="43"/>
  <c r="N37" i="43" s="1"/>
  <c r="M35" i="43"/>
  <c r="N35" i="43" s="1"/>
  <c r="M74" i="43"/>
  <c r="N74" i="43"/>
  <c r="M61" i="43"/>
  <c r="M50" i="43"/>
  <c r="M48" i="43"/>
  <c r="M24" i="43"/>
  <c r="N77" i="43"/>
  <c r="N78" i="43"/>
  <c r="N51" i="43"/>
  <c r="G13" i="43"/>
  <c r="I13" i="43"/>
  <c r="G14" i="43"/>
  <c r="I14" i="43"/>
  <c r="H35" i="66"/>
  <c r="H36" i="66"/>
  <c r="H101" i="82"/>
  <c r="H103" i="81"/>
  <c r="H95" i="81"/>
  <c r="H93" i="82"/>
  <c r="H88" i="77"/>
  <c r="H89" i="77"/>
  <c r="H89" i="66"/>
  <c r="H88" i="66"/>
  <c r="H80" i="81"/>
  <c r="H81" i="81"/>
  <c r="H82" i="81" s="1"/>
  <c r="H92" i="82"/>
  <c r="H94" i="81"/>
  <c r="H87" i="77"/>
  <c r="H87" i="66"/>
  <c r="H73" i="77"/>
  <c r="H74" i="77" s="1"/>
  <c r="H75" i="77"/>
  <c r="H73" i="66"/>
  <c r="H74" i="66"/>
  <c r="H75" i="66"/>
  <c r="H78" i="82"/>
  <c r="H79" i="82"/>
  <c r="H80" i="82"/>
  <c r="H77" i="82"/>
  <c r="H51" i="82"/>
  <c r="H52" i="82" s="1"/>
  <c r="H63" i="82"/>
  <c r="H62" i="82"/>
  <c r="H76" i="66"/>
  <c r="H77" i="66"/>
  <c r="H85" i="81"/>
  <c r="H86" i="81"/>
  <c r="H93" i="81"/>
  <c r="H91" i="82"/>
  <c r="H32" i="82"/>
  <c r="H46" i="82"/>
  <c r="H61" i="82"/>
  <c r="H46" i="77"/>
  <c r="H32" i="77"/>
  <c r="H61" i="66"/>
  <c r="H61" i="77"/>
  <c r="H86" i="66"/>
  <c r="H86" i="77"/>
  <c r="H46" i="66"/>
  <c r="H32" i="66"/>
  <c r="H79" i="81"/>
  <c r="H53" i="82"/>
  <c r="H54" i="82" s="1"/>
  <c r="H63" i="66"/>
  <c r="H64" i="77"/>
  <c r="H76" i="77"/>
  <c r="H77" i="77" s="1"/>
  <c r="H62" i="77"/>
  <c r="H83" i="82"/>
  <c r="H84" i="82"/>
  <c r="H62" i="66"/>
  <c r="H72" i="66"/>
  <c r="H72" i="77"/>
  <c r="H78" i="66"/>
  <c r="H79" i="66"/>
  <c r="H78" i="77"/>
  <c r="H79" i="77" s="1"/>
  <c r="H81" i="82"/>
  <c r="H82" i="82" s="1"/>
  <c r="H83" i="81"/>
  <c r="H84" i="81"/>
  <c r="H69" i="82"/>
  <c r="H64" i="66"/>
  <c r="H51" i="77"/>
  <c r="H52" i="77"/>
  <c r="H51" i="66"/>
  <c r="H52" i="66"/>
  <c r="H63" i="77"/>
  <c r="H47" i="66"/>
  <c r="H48" i="66"/>
  <c r="H49" i="66" s="1"/>
  <c r="H50" i="66" s="1"/>
  <c r="H33" i="82"/>
  <c r="H34" i="82"/>
  <c r="H37" i="82"/>
  <c r="H38" i="82" s="1"/>
  <c r="H39" i="82" s="1"/>
  <c r="H78" i="81"/>
  <c r="H76" i="82"/>
  <c r="H53" i="77"/>
  <c r="H54" i="77"/>
  <c r="H71" i="66"/>
  <c r="H71" i="77"/>
  <c r="H53" i="66"/>
  <c r="H54" i="66" s="1"/>
  <c r="H33" i="66"/>
  <c r="H34" i="66" s="1"/>
  <c r="H33" i="77"/>
  <c r="H34" i="77"/>
  <c r="H37" i="77"/>
  <c r="H38" i="77"/>
  <c r="H39" i="77"/>
  <c r="H47" i="77"/>
  <c r="H48" i="77"/>
  <c r="H49" i="77" s="1"/>
  <c r="H50" i="77" s="1"/>
  <c r="H47" i="82"/>
  <c r="H48" i="82"/>
  <c r="H49" i="82" s="1"/>
  <c r="H50" i="82" s="1"/>
  <c r="H37" i="66"/>
  <c r="H38" i="66" s="1"/>
  <c r="H39" i="66" s="1"/>
  <c r="L48" i="82"/>
  <c r="L49" i="82" s="1"/>
  <c r="L50" i="82" s="1"/>
  <c r="L48" i="66"/>
  <c r="L49" i="66" s="1"/>
  <c r="L50" i="66" s="1"/>
  <c r="L48" i="77"/>
  <c r="L49" i="77" s="1"/>
  <c r="L50" i="77" s="1"/>
  <c r="L79" i="81"/>
  <c r="L63" i="66"/>
  <c r="L63" i="77"/>
  <c r="L63" i="82"/>
  <c r="L46" i="82"/>
  <c r="L67" i="82"/>
  <c r="L68" i="82"/>
  <c r="L35" i="82"/>
  <c r="L36" i="82"/>
  <c r="L65" i="82"/>
  <c r="L80" i="81"/>
  <c r="L81" i="81" s="1"/>
  <c r="L82" i="81" s="1"/>
  <c r="L78" i="82"/>
  <c r="L79" i="82"/>
  <c r="L80" i="82"/>
  <c r="L66" i="82"/>
  <c r="L64" i="82"/>
  <c r="L91" i="82"/>
  <c r="L93" i="81"/>
  <c r="L92" i="82"/>
  <c r="L94" i="81"/>
  <c r="L86" i="77"/>
  <c r="L73" i="66"/>
  <c r="L74" i="66"/>
  <c r="L75" i="66" s="1"/>
  <c r="L73" i="77"/>
  <c r="L74" i="77"/>
  <c r="L75" i="77" s="1"/>
  <c r="L87" i="77"/>
  <c r="L46" i="77"/>
  <c r="L35" i="66"/>
  <c r="L36" i="66"/>
  <c r="L35" i="77"/>
  <c r="L36" i="77" s="1"/>
  <c r="L86" i="66"/>
  <c r="L87" i="66"/>
  <c r="L46" i="66"/>
  <c r="L77" i="82"/>
  <c r="L72" i="66"/>
  <c r="L72" i="77"/>
  <c r="L76" i="77"/>
  <c r="L77" i="77" s="1"/>
  <c r="L62" i="77"/>
  <c r="L83" i="81"/>
  <c r="L84" i="81"/>
  <c r="L62" i="82"/>
  <c r="L62" i="66"/>
  <c r="L76" i="66"/>
  <c r="L77" i="66" s="1"/>
  <c r="L81" i="82"/>
  <c r="L82" i="82"/>
  <c r="L78" i="81"/>
  <c r="L61" i="82"/>
  <c r="L32" i="82"/>
  <c r="L34" i="82" s="1"/>
  <c r="L76" i="82"/>
  <c r="L51" i="77"/>
  <c r="L52" i="77"/>
  <c r="L32" i="77"/>
  <c r="L34" i="77" s="1"/>
  <c r="L71" i="77"/>
  <c r="L61" i="66"/>
  <c r="L61" i="77"/>
  <c r="L71" i="66"/>
  <c r="L32" i="66"/>
  <c r="L33" i="66" s="1"/>
  <c r="L34" i="66"/>
  <c r="L51" i="66"/>
  <c r="L52" i="66" s="1"/>
  <c r="L51" i="82"/>
  <c r="L52" i="82"/>
  <c r="L37" i="82"/>
  <c r="L38" i="82" s="1"/>
  <c r="L39" i="82" s="1"/>
  <c r="L33" i="82"/>
  <c r="L37" i="66"/>
  <c r="L38" i="66" s="1"/>
  <c r="L39" i="66" s="1"/>
  <c r="L37" i="77"/>
  <c r="L38" i="77" s="1"/>
  <c r="L39" i="77" s="1"/>
  <c r="L33" i="77"/>
  <c r="L47" i="82"/>
  <c r="L47" i="77"/>
  <c r="L47" i="66"/>
  <c r="AC77" i="81" l="1"/>
  <c r="AC90" i="82"/>
  <c r="AC94" i="82" s="1"/>
  <c r="O102" i="82"/>
  <c r="D9" i="82"/>
  <c r="X38" i="77"/>
  <c r="N24" i="66"/>
  <c r="AC24" i="66" s="1"/>
  <c r="AC84" i="82"/>
  <c r="O38" i="77"/>
  <c r="AC38" i="77" s="1"/>
  <c r="N61" i="66"/>
  <c r="O61" i="66" s="1"/>
  <c r="O24" i="77"/>
  <c r="N61" i="77"/>
  <c r="O61" i="77" s="1"/>
  <c r="N72" i="77"/>
  <c r="O72" i="77" s="1"/>
  <c r="AC71" i="77" s="1"/>
  <c r="AJ14" i="82"/>
  <c r="C13" i="82" s="1"/>
  <c r="D8" i="82" s="1"/>
  <c r="Q63" i="82"/>
  <c r="Q70" i="82"/>
  <c r="K11" i="43"/>
  <c r="AC63" i="43"/>
  <c r="AC87" i="43"/>
  <c r="M25" i="66"/>
  <c r="N25" i="66" s="1"/>
  <c r="M87" i="66"/>
  <c r="N87" i="66" s="1"/>
  <c r="O87" i="66" s="1"/>
  <c r="AC86" i="66" s="1"/>
  <c r="AK25" i="66"/>
  <c r="M46" i="77"/>
  <c r="N46" i="77" s="1"/>
  <c r="O46" i="77" s="1"/>
  <c r="M75" i="77"/>
  <c r="N75" i="77" s="1"/>
  <c r="O75" i="77" s="1"/>
  <c r="AC74" i="77" s="1"/>
  <c r="M73" i="66"/>
  <c r="N73" i="66" s="1"/>
  <c r="O73" i="66" s="1"/>
  <c r="AC72" i="66" s="1"/>
  <c r="M34" i="66"/>
  <c r="N34" i="66" s="1"/>
  <c r="O34" i="66" s="1"/>
  <c r="M46" i="66"/>
  <c r="N46" i="66" s="1"/>
  <c r="O46" i="66" s="1"/>
  <c r="M32" i="66"/>
  <c r="N32" i="66" s="1"/>
  <c r="O32" i="66" s="1"/>
  <c r="AC32" i="66" s="1"/>
  <c r="M37" i="66"/>
  <c r="N37" i="66" s="1"/>
  <c r="M39" i="66"/>
  <c r="M78" i="66"/>
  <c r="M61" i="66"/>
  <c r="M22" i="66"/>
  <c r="N22" i="66" s="1"/>
  <c r="O22" i="66" s="1"/>
  <c r="AC22" i="66" s="1"/>
  <c r="M71" i="66"/>
  <c r="N71" i="66" s="1"/>
  <c r="O71" i="66" s="1"/>
  <c r="M33" i="66"/>
  <c r="N33" i="66" s="1"/>
  <c r="O33" i="66" s="1"/>
  <c r="AC33" i="66" s="1"/>
  <c r="M49" i="66"/>
  <c r="M88" i="66"/>
  <c r="M75" i="66"/>
  <c r="N75" i="66" s="1"/>
  <c r="O75" i="66" s="1"/>
  <c r="AC74" i="66" s="1"/>
  <c r="M54" i="66"/>
  <c r="N54" i="66" s="1"/>
  <c r="M51" i="66"/>
  <c r="N51" i="66" s="1"/>
  <c r="O51" i="66" s="1"/>
  <c r="AC50" i="66" s="1"/>
  <c r="M72" i="66"/>
  <c r="N72" i="66" s="1"/>
  <c r="O72" i="66" s="1"/>
  <c r="AC71" i="66" s="1"/>
  <c r="M62" i="66"/>
  <c r="N62" i="66" s="1"/>
  <c r="O62" i="66" s="1"/>
  <c r="AC61" i="66" s="1"/>
  <c r="M50" i="66"/>
  <c r="N50" i="66" s="1"/>
  <c r="O50" i="66" s="1"/>
  <c r="AC49" i="66" s="1"/>
  <c r="M53" i="66"/>
  <c r="N53" i="66" s="1"/>
  <c r="O53" i="66" s="1"/>
  <c r="AC52" i="66" s="1"/>
  <c r="AL84" i="82"/>
  <c r="M24" i="66"/>
  <c r="M77" i="66"/>
  <c r="N77" i="66" s="1"/>
  <c r="O77" i="66" s="1"/>
  <c r="AC76" i="66" s="1"/>
  <c r="AC88" i="77"/>
  <c r="M34" i="77"/>
  <c r="N34" i="77" s="1"/>
  <c r="O34" i="77" s="1"/>
  <c r="AC34" i="77" s="1"/>
  <c r="M79" i="77"/>
  <c r="N79" i="77" s="1"/>
  <c r="M71" i="77"/>
  <c r="N71" i="77" s="1"/>
  <c r="O71" i="77" s="1"/>
  <c r="M74" i="77"/>
  <c r="N74" i="77" s="1"/>
  <c r="O74" i="77" s="1"/>
  <c r="AC73" i="77" s="1"/>
  <c r="M62" i="77"/>
  <c r="N62" i="77" s="1"/>
  <c r="O62" i="77" s="1"/>
  <c r="AC61" i="77" s="1"/>
  <c r="M48" i="77"/>
  <c r="N48" i="77" s="1"/>
  <c r="O48" i="77" s="1"/>
  <c r="AC47" i="77" s="1"/>
  <c r="M77" i="77"/>
  <c r="N77" i="77" s="1"/>
  <c r="O77" i="77" s="1"/>
  <c r="AC76" i="77" s="1"/>
  <c r="M78" i="77"/>
  <c r="N78" i="77" s="1"/>
  <c r="O78" i="77" s="1"/>
  <c r="AC77" i="77" s="1"/>
  <c r="M50" i="77"/>
  <c r="M37" i="77"/>
  <c r="N37" i="77" s="1"/>
  <c r="O37" i="77" s="1"/>
  <c r="AC37" i="77" s="1"/>
  <c r="M32" i="77"/>
  <c r="N32" i="77" s="1"/>
  <c r="O32" i="77" s="1"/>
  <c r="AC32" i="77" s="1"/>
  <c r="M86" i="77"/>
  <c r="M88" i="77"/>
  <c r="N88" i="77" s="1"/>
  <c r="M39" i="77"/>
  <c r="N39" i="77" s="1"/>
  <c r="AC39" i="77" s="1"/>
  <c r="M53" i="77"/>
  <c r="N53" i="77" s="1"/>
  <c r="O53" i="77" s="1"/>
  <c r="AC52" i="77" s="1"/>
  <c r="M64" i="77"/>
  <c r="N64" i="77" s="1"/>
  <c r="M25" i="77"/>
  <c r="N25" i="77" s="1"/>
  <c r="M47" i="77"/>
  <c r="N47" i="77" s="1"/>
  <c r="O47" i="77" s="1"/>
  <c r="AC46" i="77" s="1"/>
  <c r="M87" i="77"/>
  <c r="N87" i="77" s="1"/>
  <c r="O87" i="77" s="1"/>
  <c r="AC86" i="77" s="1"/>
  <c r="AL50" i="77"/>
  <c r="AL93" i="77"/>
  <c r="A90" i="77" s="1"/>
  <c r="AK37" i="82"/>
  <c r="I15" i="43"/>
  <c r="M64" i="66"/>
  <c r="N64" i="66" s="1"/>
  <c r="AL50" i="43"/>
  <c r="AL79" i="43"/>
  <c r="M89" i="66"/>
  <c r="N89" i="66" s="1"/>
  <c r="M86" i="66"/>
  <c r="N86" i="66" s="1"/>
  <c r="O86" i="66" s="1"/>
  <c r="M38" i="66"/>
  <c r="AC60" i="82"/>
  <c r="AC64" i="82" s="1"/>
  <c r="AD64" i="82" s="1"/>
  <c r="N86" i="81"/>
  <c r="Q39" i="82"/>
  <c r="M21" i="66"/>
  <c r="N21" i="66" s="1"/>
  <c r="O21" i="66" s="1"/>
  <c r="AC21" i="66" s="1"/>
  <c r="O69" i="82"/>
  <c r="AC63" i="82"/>
  <c r="AL63" i="43"/>
  <c r="N50" i="77"/>
  <c r="O50" i="77" s="1"/>
  <c r="AC49" i="77" s="1"/>
  <c r="AJ14" i="43"/>
  <c r="M79" i="66"/>
  <c r="N79" i="66" s="1"/>
  <c r="M47" i="66"/>
  <c r="N47" i="66" s="1"/>
  <c r="O47" i="66" s="1"/>
  <c r="AC46" i="66" s="1"/>
  <c r="I8" i="66"/>
  <c r="G11" i="66" s="1"/>
  <c r="N38" i="66"/>
  <c r="N78" i="66"/>
  <c r="O78" i="66" s="1"/>
  <c r="AC77" i="66" s="1"/>
  <c r="N88" i="66"/>
  <c r="O25" i="77"/>
  <c r="N35" i="77"/>
  <c r="O35" i="77" s="1"/>
  <c r="AC35" i="77" s="1"/>
  <c r="N52" i="77"/>
  <c r="O52" i="77" s="1"/>
  <c r="AC51" i="77" s="1"/>
  <c r="M52" i="81"/>
  <c r="N52" i="81" s="1"/>
  <c r="O52" i="81" s="1"/>
  <c r="AC51" i="81" s="1"/>
  <c r="M99" i="81"/>
  <c r="N99" i="81" s="1"/>
  <c r="O99" i="81" s="1"/>
  <c r="AK39" i="81"/>
  <c r="N38" i="82"/>
  <c r="Q38" i="82" s="1"/>
  <c r="M74" i="66"/>
  <c r="N74" i="66" s="1"/>
  <c r="O74" i="66" s="1"/>
  <c r="AC73" i="66" s="1"/>
  <c r="N24" i="43"/>
  <c r="AC24" i="43" s="1"/>
  <c r="M63" i="66"/>
  <c r="M48" i="66"/>
  <c r="N48" i="66" s="1"/>
  <c r="O48" i="66" s="1"/>
  <c r="AC47" i="66" s="1"/>
  <c r="AK37" i="66"/>
  <c r="N39" i="66"/>
  <c r="AC39" i="66" s="1"/>
  <c r="N49" i="66"/>
  <c r="O49" i="66" s="1"/>
  <c r="AC48" i="66" s="1"/>
  <c r="AL79" i="66"/>
  <c r="M63" i="77"/>
  <c r="N63" i="77" s="1"/>
  <c r="O63" i="77" s="1"/>
  <c r="AC62" i="77" s="1"/>
  <c r="M76" i="77"/>
  <c r="N76" i="77" s="1"/>
  <c r="O76" i="77" s="1"/>
  <c r="AC75" i="77" s="1"/>
  <c r="AD9" i="77"/>
  <c r="N86" i="77"/>
  <c r="O86" i="77" s="1"/>
  <c r="D10" i="81"/>
  <c r="D11" i="81" s="1"/>
  <c r="N48" i="81"/>
  <c r="O48" i="81" s="1"/>
  <c r="N97" i="81"/>
  <c r="O97" i="81" s="1"/>
  <c r="N71" i="81"/>
  <c r="O55" i="82"/>
  <c r="AC45" i="82"/>
  <c r="AC54" i="82" s="1"/>
  <c r="M35" i="66"/>
  <c r="N35" i="66" s="1"/>
  <c r="O35" i="66" s="1"/>
  <c r="AC35" i="66" s="1"/>
  <c r="AJ16" i="81"/>
  <c r="C15" i="81" s="1"/>
  <c r="AL50" i="81"/>
  <c r="AL93" i="43"/>
  <c r="AJ14" i="66"/>
  <c r="C13" i="66" s="1"/>
  <c r="D8" i="66" s="1"/>
  <c r="D9" i="66" s="1"/>
  <c r="N23" i="66"/>
  <c r="O23" i="66" s="1"/>
  <c r="AC23" i="66" s="1"/>
  <c r="AL63" i="66"/>
  <c r="M54" i="77"/>
  <c r="N54" i="77" s="1"/>
  <c r="M61" i="77"/>
  <c r="M22" i="77"/>
  <c r="N22" i="77" s="1"/>
  <c r="O22" i="77" s="1"/>
  <c r="O85" i="82"/>
  <c r="M24" i="81"/>
  <c r="N24" i="81" s="1"/>
  <c r="O24" i="81" s="1"/>
  <c r="AC24" i="81" s="1"/>
  <c r="M48" i="81"/>
  <c r="M65" i="81"/>
  <c r="N65" i="81" s="1"/>
  <c r="O65" i="81" s="1"/>
  <c r="AC64" i="81" s="1"/>
  <c r="M103" i="81"/>
  <c r="N103" i="81" s="1"/>
  <c r="M56" i="81"/>
  <c r="N56" i="81" s="1"/>
  <c r="M51" i="81"/>
  <c r="N51" i="81" s="1"/>
  <c r="O51" i="81" s="1"/>
  <c r="AC50" i="81" s="1"/>
  <c r="M97" i="81"/>
  <c r="M25" i="81"/>
  <c r="N25" i="81" s="1"/>
  <c r="O25" i="81" s="1"/>
  <c r="AC25" i="81" s="1"/>
  <c r="M64" i="81"/>
  <c r="N64" i="81" s="1"/>
  <c r="O64" i="81" s="1"/>
  <c r="AC63" i="81" s="1"/>
  <c r="M98" i="81"/>
  <c r="N98" i="81" s="1"/>
  <c r="O98" i="81" s="1"/>
  <c r="M26" i="81"/>
  <c r="M83" i="81"/>
  <c r="N83" i="81" s="1"/>
  <c r="O83" i="81" s="1"/>
  <c r="AC82" i="81" s="1"/>
  <c r="M39" i="81"/>
  <c r="N39" i="81" s="1"/>
  <c r="O39" i="81" s="1"/>
  <c r="AC39" i="81" s="1"/>
  <c r="M50" i="81"/>
  <c r="N50" i="81" s="1"/>
  <c r="O50" i="81" s="1"/>
  <c r="AC49" i="81" s="1"/>
  <c r="M34" i="81"/>
  <c r="N34" i="81" s="1"/>
  <c r="O34" i="81" s="1"/>
  <c r="M53" i="81"/>
  <c r="N53" i="81" s="1"/>
  <c r="O53" i="81" s="1"/>
  <c r="AC52" i="81" s="1"/>
  <c r="M85" i="81"/>
  <c r="N85" i="81" s="1"/>
  <c r="O85" i="81" s="1"/>
  <c r="AC84" i="81" s="1"/>
  <c r="M94" i="81"/>
  <c r="N94" i="81" s="1"/>
  <c r="O94" i="81" s="1"/>
  <c r="AC93" i="81" s="1"/>
  <c r="M36" i="81"/>
  <c r="N36" i="81" s="1"/>
  <c r="O36" i="81" s="1"/>
  <c r="AC36" i="81" s="1"/>
  <c r="M71" i="81"/>
  <c r="M95" i="81"/>
  <c r="N95" i="81" s="1"/>
  <c r="M41" i="81"/>
  <c r="N41" i="81" s="1"/>
  <c r="AC41" i="81" s="1"/>
  <c r="M79" i="81"/>
  <c r="N79" i="81" s="1"/>
  <c r="O79" i="81" s="1"/>
  <c r="AC78" i="81" s="1"/>
  <c r="M35" i="81"/>
  <c r="N35" i="81" s="1"/>
  <c r="O35" i="81" s="1"/>
  <c r="AC35" i="81" s="1"/>
  <c r="M70" i="81"/>
  <c r="N70" i="81" s="1"/>
  <c r="O70" i="81" s="1"/>
  <c r="M63" i="81"/>
  <c r="M80" i="81"/>
  <c r="N80" i="81" s="1"/>
  <c r="O80" i="81" s="1"/>
  <c r="M67" i="81"/>
  <c r="N67" i="81" s="1"/>
  <c r="O67" i="81" s="1"/>
  <c r="M23" i="81"/>
  <c r="N23" i="81" s="1"/>
  <c r="O23" i="81" s="1"/>
  <c r="M93" i="81"/>
  <c r="N49" i="81"/>
  <c r="O49" i="81" s="1"/>
  <c r="AC48" i="81" s="1"/>
  <c r="N93" i="81"/>
  <c r="O93" i="81" s="1"/>
  <c r="M52" i="66"/>
  <c r="N52" i="66" s="1"/>
  <c r="O52" i="66" s="1"/>
  <c r="AC51" i="66" s="1"/>
  <c r="M36" i="66"/>
  <c r="N36" i="66" s="1"/>
  <c r="O36" i="66" s="1"/>
  <c r="AC36" i="66" s="1"/>
  <c r="N63" i="66"/>
  <c r="O63" i="66" s="1"/>
  <c r="AC62" i="66" s="1"/>
  <c r="A26" i="77"/>
  <c r="O84" i="82"/>
  <c r="O54" i="82"/>
  <c r="AC53" i="82"/>
  <c r="AK27" i="81"/>
  <c r="N26" i="81"/>
  <c r="AC26" i="81" s="1"/>
  <c r="N63" i="81"/>
  <c r="O63" i="81" s="1"/>
  <c r="M20" i="77"/>
  <c r="N20" i="77" s="1"/>
  <c r="O20" i="77" s="1"/>
  <c r="AC20" i="77" s="1"/>
  <c r="M20" i="66"/>
  <c r="N20" i="66" s="1"/>
  <c r="O20" i="66" s="1"/>
  <c r="AC20" i="66" s="1"/>
  <c r="AK25" i="82"/>
  <c r="AC78" i="43"/>
  <c r="O24" i="43"/>
  <c r="O35" i="43"/>
  <c r="AC35" i="43" s="1"/>
  <c r="O49" i="43"/>
  <c r="AC48" i="43" s="1"/>
  <c r="O53" i="43"/>
  <c r="AC52" i="43" s="1"/>
  <c r="O63" i="43"/>
  <c r="AC62" i="43" s="1"/>
  <c r="O87" i="43"/>
  <c r="AC86" i="43" s="1"/>
  <c r="O48" i="43"/>
  <c r="AC47" i="43" s="1"/>
  <c r="K14" i="43"/>
  <c r="O23" i="43"/>
  <c r="AC23" i="43" s="1"/>
  <c r="O32" i="43"/>
  <c r="AC32" i="43" s="1"/>
  <c r="AC40" i="43" s="1"/>
  <c r="AD40" i="43" s="1"/>
  <c r="O36" i="43"/>
  <c r="AC36" i="43" s="1"/>
  <c r="O47" i="43"/>
  <c r="AC46" i="43" s="1"/>
  <c r="O50" i="43"/>
  <c r="AC49" i="43" s="1"/>
  <c r="O71" i="43"/>
  <c r="O80" i="43" s="1"/>
  <c r="Q80" i="43" s="1"/>
  <c r="O74" i="43"/>
  <c r="AC73" i="43" s="1"/>
  <c r="O88" i="43"/>
  <c r="K13" i="43"/>
  <c r="M22" i="81"/>
  <c r="N22" i="81" s="1"/>
  <c r="O22" i="81" s="1"/>
  <c r="M20" i="82"/>
  <c r="N20" i="82" s="1"/>
  <c r="O20" i="82" s="1"/>
  <c r="Q20" i="82" s="1"/>
  <c r="O34" i="43"/>
  <c r="AC34" i="43" s="1"/>
  <c r="O73" i="43"/>
  <c r="AC72" i="43" s="1"/>
  <c r="H14" i="43"/>
  <c r="G15" i="43"/>
  <c r="K15" i="43" s="1"/>
  <c r="O77" i="43"/>
  <c r="AC76" i="43" s="1"/>
  <c r="M20" i="43"/>
  <c r="N20" i="43" s="1"/>
  <c r="O20" i="43" s="1"/>
  <c r="AC20" i="43" s="1"/>
  <c r="AC26" i="43" s="1"/>
  <c r="AD26" i="43" s="1"/>
  <c r="O21" i="43"/>
  <c r="AC21" i="43" s="1"/>
  <c r="O33" i="43"/>
  <c r="AC33" i="43" s="1"/>
  <c r="O72" i="43"/>
  <c r="AC71" i="43" s="1"/>
  <c r="O75" i="43"/>
  <c r="AC74" i="43" s="1"/>
  <c r="O86" i="43"/>
  <c r="AC85" i="43" s="1"/>
  <c r="AC89" i="43" s="1"/>
  <c r="O37" i="43"/>
  <c r="AC37" i="43" s="1"/>
  <c r="O51" i="43"/>
  <c r="AC50" i="43" s="1"/>
  <c r="O61" i="43"/>
  <c r="AC60" i="43" s="1"/>
  <c r="AC64" i="43" s="1"/>
  <c r="AC88" i="43"/>
  <c r="J14" i="43"/>
  <c r="O22" i="43"/>
  <c r="AC22" i="43" s="1"/>
  <c r="O90" i="43"/>
  <c r="O46" i="43"/>
  <c r="O78" i="43"/>
  <c r="AC77" i="43" s="1"/>
  <c r="O62" i="43"/>
  <c r="AC61" i="43" s="1"/>
  <c r="O38" i="43"/>
  <c r="AC38" i="43" s="1"/>
  <c r="O52" i="43"/>
  <c r="AC51" i="43" s="1"/>
  <c r="Q24" i="82" l="1"/>
  <c r="Q25" i="82"/>
  <c r="Q19" i="82"/>
  <c r="Q22" i="82"/>
  <c r="Q18" i="82"/>
  <c r="AC20" i="82"/>
  <c r="AC26" i="82" s="1"/>
  <c r="AD26" i="82" s="1"/>
  <c r="Q23" i="82"/>
  <c r="Q21" i="82"/>
  <c r="Q22" i="66"/>
  <c r="Q25" i="66"/>
  <c r="AC79" i="81"/>
  <c r="AC34" i="81"/>
  <c r="Q37" i="81"/>
  <c r="Q39" i="81"/>
  <c r="Q41" i="81"/>
  <c r="Q40" i="81"/>
  <c r="Q35" i="81"/>
  <c r="Q38" i="81"/>
  <c r="Q34" i="81"/>
  <c r="Q42" i="81" s="1"/>
  <c r="Q36" i="81"/>
  <c r="AC55" i="81"/>
  <c r="O56" i="81"/>
  <c r="AC22" i="77"/>
  <c r="O26" i="77"/>
  <c r="X25" i="77"/>
  <c r="AC87" i="77"/>
  <c r="O88" i="77"/>
  <c r="AC23" i="81"/>
  <c r="Q24" i="81"/>
  <c r="Q26" i="81"/>
  <c r="Q20" i="81"/>
  <c r="J14" i="81"/>
  <c r="M14" i="81"/>
  <c r="AC85" i="66"/>
  <c r="AC89" i="66" s="1"/>
  <c r="O90" i="66"/>
  <c r="AC26" i="77"/>
  <c r="Q22" i="81"/>
  <c r="K11" i="66"/>
  <c r="I11" i="66"/>
  <c r="AC34" i="66"/>
  <c r="Q34" i="66"/>
  <c r="AC92" i="81"/>
  <c r="AC65" i="81"/>
  <c r="O71" i="81"/>
  <c r="O64" i="77"/>
  <c r="AC63" i="77"/>
  <c r="O65" i="66"/>
  <c r="AC60" i="66"/>
  <c r="AC64" i="66" s="1"/>
  <c r="X20" i="77"/>
  <c r="AC70" i="77"/>
  <c r="X35" i="77"/>
  <c r="O95" i="81"/>
  <c r="O104" i="81" s="1"/>
  <c r="AC94" i="81"/>
  <c r="O89" i="66"/>
  <c r="AC88" i="66"/>
  <c r="O37" i="66"/>
  <c r="AC37" i="66" s="1"/>
  <c r="Q39" i="66"/>
  <c r="Q19" i="66"/>
  <c r="AC26" i="66"/>
  <c r="AD26" i="66" s="1"/>
  <c r="X26" i="77"/>
  <c r="O57" i="81"/>
  <c r="AC47" i="81"/>
  <c r="AC56" i="81" s="1"/>
  <c r="AC78" i="77"/>
  <c r="O79" i="77"/>
  <c r="O80" i="77" s="1"/>
  <c r="O54" i="66"/>
  <c r="AC53" i="66"/>
  <c r="AC45" i="66"/>
  <c r="AC54" i="66" s="1"/>
  <c r="O55" i="66"/>
  <c r="Q23" i="66"/>
  <c r="X19" i="77"/>
  <c r="AC85" i="77"/>
  <c r="AC89" i="77" s="1"/>
  <c r="O90" i="77"/>
  <c r="AC85" i="81"/>
  <c r="O86" i="81"/>
  <c r="O87" i="81" s="1"/>
  <c r="O89" i="77"/>
  <c r="O39" i="77"/>
  <c r="Q103" i="82"/>
  <c r="Q102" i="82"/>
  <c r="AD94" i="82"/>
  <c r="Q93" i="82"/>
  <c r="Q21" i="66"/>
  <c r="X21" i="77"/>
  <c r="X39" i="77"/>
  <c r="AC95" i="81"/>
  <c r="O103" i="81"/>
  <c r="AF11" i="77"/>
  <c r="AD11" i="77"/>
  <c r="Q35" i="66"/>
  <c r="Q38" i="66"/>
  <c r="Q33" i="66"/>
  <c r="Q32" i="66"/>
  <c r="O38" i="82"/>
  <c r="AC38" i="82" s="1"/>
  <c r="AC40" i="82" s="1"/>
  <c r="AD40" i="82" s="1"/>
  <c r="O39" i="82"/>
  <c r="AC40" i="77"/>
  <c r="AD40" i="77" s="1"/>
  <c r="O27" i="81"/>
  <c r="O26" i="81"/>
  <c r="X24" i="77"/>
  <c r="AC87" i="66"/>
  <c r="O88" i="66"/>
  <c r="Q18" i="66"/>
  <c r="X22" i="77"/>
  <c r="Q23" i="81"/>
  <c r="X34" i="77"/>
  <c r="Q37" i="82"/>
  <c r="Q36" i="82"/>
  <c r="Q35" i="82"/>
  <c r="Q33" i="82"/>
  <c r="Q32" i="82"/>
  <c r="Q36" i="66"/>
  <c r="O54" i="77"/>
  <c r="AC53" i="77"/>
  <c r="M12" i="82"/>
  <c r="J12" i="82"/>
  <c r="Q24" i="66"/>
  <c r="O24" i="82"/>
  <c r="O25" i="82"/>
  <c r="Q34" i="82"/>
  <c r="AC70" i="66"/>
  <c r="O55" i="77"/>
  <c r="AC45" i="77"/>
  <c r="AC54" i="77" s="1"/>
  <c r="O39" i="66"/>
  <c r="O38" i="66"/>
  <c r="AC38" i="66" s="1"/>
  <c r="AC40" i="66" s="1"/>
  <c r="AD40" i="66" s="1"/>
  <c r="O64" i="66"/>
  <c r="AC63" i="66"/>
  <c r="Q20" i="66"/>
  <c r="Q25" i="81"/>
  <c r="AC78" i="66"/>
  <c r="O79" i="66"/>
  <c r="O80" i="66" s="1"/>
  <c r="Q37" i="66"/>
  <c r="X36" i="77"/>
  <c r="O41" i="81"/>
  <c r="O40" i="81"/>
  <c r="AC40" i="81" s="1"/>
  <c r="O25" i="66"/>
  <c r="O24" i="66"/>
  <c r="X33" i="77"/>
  <c r="X23" i="77"/>
  <c r="O72" i="81"/>
  <c r="AC62" i="81"/>
  <c r="AC66" i="81" s="1"/>
  <c r="X32" i="77"/>
  <c r="AC86" i="81"/>
  <c r="Q85" i="82"/>
  <c r="Q78" i="82"/>
  <c r="AD84" i="82"/>
  <c r="O65" i="77"/>
  <c r="AC60" i="77"/>
  <c r="AC64" i="77" s="1"/>
  <c r="Q56" i="82"/>
  <c r="Q48" i="82"/>
  <c r="AD54" i="82"/>
  <c r="Q55" i="82"/>
  <c r="X37" i="77"/>
  <c r="AC70" i="43"/>
  <c r="AC79" i="43" s="1"/>
  <c r="AD79" i="43" s="1"/>
  <c r="L14" i="43"/>
  <c r="O26" i="43"/>
  <c r="Q26" i="43" s="1"/>
  <c r="O40" i="43"/>
  <c r="Q40" i="43" s="1"/>
  <c r="Q27" i="81"/>
  <c r="Q21" i="81"/>
  <c r="AC22" i="81"/>
  <c r="AC28" i="81" s="1"/>
  <c r="AD28" i="81" s="1"/>
  <c r="O65" i="43"/>
  <c r="Q65" i="43" s="1"/>
  <c r="AC45" i="43"/>
  <c r="AC54" i="43" s="1"/>
  <c r="O55" i="43"/>
  <c r="G12" i="43"/>
  <c r="Q90" i="43"/>
  <c r="AD89" i="43"/>
  <c r="H23" i="77"/>
  <c r="H24" i="77" s="1"/>
  <c r="H23" i="66"/>
  <c r="H24" i="66" s="1"/>
  <c r="H23" i="82"/>
  <c r="H24" i="82" s="1"/>
  <c r="Q26" i="82" l="1"/>
  <c r="J14" i="82" s="1"/>
  <c r="K14" i="82" s="1"/>
  <c r="Q26" i="66"/>
  <c r="I12" i="66" s="1"/>
  <c r="J12" i="66" s="1"/>
  <c r="X27" i="77"/>
  <c r="AD12" i="77" s="1"/>
  <c r="AE12" i="77" s="1"/>
  <c r="Q28" i="81"/>
  <c r="D107" i="81" s="1"/>
  <c r="Q104" i="81"/>
  <c r="Q105" i="81"/>
  <c r="Q95" i="81"/>
  <c r="Q87" i="81"/>
  <c r="Q88" i="81"/>
  <c r="Q80" i="81"/>
  <c r="AD86" i="81"/>
  <c r="Q80" i="66"/>
  <c r="Q86" i="82"/>
  <c r="Q80" i="77"/>
  <c r="AC96" i="81"/>
  <c r="AD96" i="81" s="1"/>
  <c r="G16" i="81"/>
  <c r="S42" i="81"/>
  <c r="T36" i="81"/>
  <c r="Q65" i="77"/>
  <c r="AD64" i="77"/>
  <c r="AD54" i="77"/>
  <c r="Q55" i="77"/>
  <c r="Q57" i="81"/>
  <c r="Q58" i="81"/>
  <c r="Q50" i="81"/>
  <c r="AD56" i="81"/>
  <c r="Q40" i="82"/>
  <c r="AD89" i="77"/>
  <c r="Q90" i="77"/>
  <c r="AC79" i="77"/>
  <c r="AD79" i="77" s="1"/>
  <c r="AC79" i="66"/>
  <c r="AD79" i="66" s="1"/>
  <c r="X40" i="77"/>
  <c r="Q65" i="66"/>
  <c r="AD64" i="66"/>
  <c r="Q71" i="82"/>
  <c r="AD26" i="77"/>
  <c r="AC42" i="81"/>
  <c r="AD42" i="81" s="1"/>
  <c r="AD64" i="43"/>
  <c r="AD54" i="66"/>
  <c r="Q55" i="66"/>
  <c r="AD89" i="66"/>
  <c r="Q90" i="66"/>
  <c r="AD66" i="81"/>
  <c r="Q72" i="81"/>
  <c r="Q65" i="81"/>
  <c r="Q73" i="81"/>
  <c r="Q40" i="66"/>
  <c r="AD54" i="43"/>
  <c r="Q55" i="43"/>
  <c r="I12" i="43"/>
  <c r="G16" i="43"/>
  <c r="H16" i="43" s="1"/>
  <c r="H12" i="43"/>
  <c r="H20" i="77"/>
  <c r="H20" i="82"/>
  <c r="H20" i="66"/>
  <c r="S26" i="82" l="1"/>
  <c r="Z27" i="77"/>
  <c r="AF12" i="77"/>
  <c r="AG12" i="77" s="1"/>
  <c r="S28" i="81"/>
  <c r="S27" i="82"/>
  <c r="S29" i="81"/>
  <c r="D105" i="82"/>
  <c r="S26" i="66"/>
  <c r="T20" i="82"/>
  <c r="T22" i="81"/>
  <c r="M16" i="81"/>
  <c r="N16" i="81" s="1"/>
  <c r="J16" i="81"/>
  <c r="K16" i="81" s="1"/>
  <c r="G14" i="82"/>
  <c r="S41" i="82"/>
  <c r="S40" i="82"/>
  <c r="T34" i="82"/>
  <c r="H16" i="81"/>
  <c r="G12" i="66"/>
  <c r="S40" i="66"/>
  <c r="Z40" i="77"/>
  <c r="AB12" i="77"/>
  <c r="AC12" i="77" s="1"/>
  <c r="M14" i="82"/>
  <c r="N14" i="82" s="1"/>
  <c r="J15" i="81"/>
  <c r="K15" i="81" s="1"/>
  <c r="K12" i="66"/>
  <c r="J13" i="82"/>
  <c r="K13" i="82" s="1"/>
  <c r="S43" i="81"/>
  <c r="I16" i="43"/>
  <c r="J12" i="43"/>
  <c r="K12" i="43"/>
  <c r="L12" i="43" s="1"/>
  <c r="H21" i="66"/>
  <c r="H22" i="66" s="1"/>
  <c r="H21" i="82"/>
  <c r="H22" i="82" s="1"/>
  <c r="H21" i="77"/>
  <c r="H22" i="77" s="1"/>
  <c r="L14" i="82" l="1"/>
  <c r="L16" i="81"/>
  <c r="H12" i="66"/>
  <c r="G15" i="81"/>
  <c r="G13" i="82"/>
  <c r="H13" i="82" s="1"/>
  <c r="M15" i="81"/>
  <c r="M13" i="82"/>
  <c r="N13" i="82" s="1"/>
  <c r="L12" i="66"/>
  <c r="I14" i="82"/>
  <c r="H14" i="82"/>
  <c r="J16" i="43"/>
  <c r="K16" i="43"/>
  <c r="L16" i="43" s="1"/>
  <c r="O14" i="82" l="1"/>
  <c r="H15" i="81"/>
  <c r="I16" i="81"/>
  <c r="N15" i="81"/>
  <c r="O16" i="81"/>
  <c r="L20" i="66" l="1"/>
  <c r="L20" i="77"/>
  <c r="L20" i="82"/>
  <c r="L21" i="77"/>
  <c r="L21" i="66"/>
  <c r="L21" i="82"/>
  <c r="L24" i="77"/>
  <c r="L23" i="82"/>
  <c r="L23" i="77"/>
  <c r="L24" i="82"/>
  <c r="L23" i="66"/>
  <c r="L24" i="66"/>
  <c r="L22" i="66"/>
  <c r="L22" i="77"/>
  <c r="L22" i="8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BB51D8D8-46C9-461B-9BD2-594006E8D98A}">
      <text>
        <r>
          <rPr>
            <b/>
            <sz val="9"/>
            <color indexed="81"/>
            <rFont val="Tahoma"/>
            <family val="2"/>
          </rPr>
          <t>Duncan Robertson:</t>
        </r>
        <r>
          <rPr>
            <sz val="9"/>
            <color indexed="81"/>
            <rFont val="Tahoma"/>
            <family val="2"/>
          </rPr>
          <t xml:space="preserve">
Maximum shear</t>
        </r>
      </text>
    </comment>
    <comment ref="C56" authorId="0" shapeId="0" xr:uid="{9FA15806-57C0-4D3D-8FBD-AA8C481A9344}">
      <text>
        <r>
          <rPr>
            <b/>
            <sz val="9"/>
            <color indexed="81"/>
            <rFont val="Tahoma"/>
            <family val="2"/>
          </rPr>
          <t>Duncan Robertson:</t>
        </r>
        <r>
          <rPr>
            <sz val="9"/>
            <color indexed="81"/>
            <rFont val="Tahoma"/>
            <family val="2"/>
          </rPr>
          <t xml:space="preserve">
Applied moment from 1D=1m below point of support.</t>
        </r>
      </text>
    </comment>
    <comment ref="B67" authorId="0" shapeId="0" xr:uid="{A48C410D-AED0-42F4-94F6-EA8916E6B6D8}">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405EA53B-5886-434D-90AB-974BFE7B7CEE}">
      <text>
        <r>
          <rPr>
            <b/>
            <sz val="9"/>
            <color indexed="81"/>
            <rFont val="Tahoma"/>
            <family val="2"/>
          </rPr>
          <t>Duncan Robertson:</t>
        </r>
        <r>
          <rPr>
            <sz val="9"/>
            <color indexed="81"/>
            <rFont val="Tahoma"/>
            <family val="2"/>
          </rPr>
          <t xml:space="preserve">
Maximum shear</t>
        </r>
      </text>
    </comment>
    <comment ref="C56" authorId="0" shapeId="0" xr:uid="{5BD13AEC-E073-42F2-8E7B-69FCA80F503F}">
      <text>
        <r>
          <rPr>
            <b/>
            <sz val="9"/>
            <color indexed="81"/>
            <rFont val="Tahoma"/>
            <family val="2"/>
          </rPr>
          <t>Duncan Robertson:</t>
        </r>
        <r>
          <rPr>
            <sz val="9"/>
            <color indexed="81"/>
            <rFont val="Tahoma"/>
            <family val="2"/>
          </rPr>
          <t xml:space="preserve">
Applied moment from 1D=1m below point of support.</t>
        </r>
      </text>
    </comment>
    <comment ref="B67" authorId="0" shapeId="0" xr:uid="{E99F60A8-1846-4FA8-84E7-9F3E6B0956FE}">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4AEE4BEF-B103-412E-8452-15A3D154F730}">
      <text>
        <r>
          <rPr>
            <b/>
            <sz val="9"/>
            <color indexed="81"/>
            <rFont val="Tahoma"/>
            <family val="2"/>
          </rPr>
          <t>Duncan Robertson:</t>
        </r>
        <r>
          <rPr>
            <sz val="9"/>
            <color indexed="81"/>
            <rFont val="Tahoma"/>
            <family val="2"/>
          </rPr>
          <t xml:space="preserve">
Maximum shear</t>
        </r>
      </text>
    </comment>
    <comment ref="C56" authorId="0" shapeId="0" xr:uid="{2772FCB3-3D11-4F02-864C-D26E945D552C}">
      <text>
        <r>
          <rPr>
            <b/>
            <sz val="9"/>
            <color indexed="81"/>
            <rFont val="Tahoma"/>
            <family val="2"/>
          </rPr>
          <t>Duncan Robertson:</t>
        </r>
        <r>
          <rPr>
            <sz val="9"/>
            <color indexed="81"/>
            <rFont val="Tahoma"/>
            <family val="2"/>
          </rPr>
          <t xml:space="preserve">
Applied moment from 1D=1m below point of support.</t>
        </r>
      </text>
    </comment>
    <comment ref="B67" authorId="0" shapeId="0" xr:uid="{2D8955F9-4020-4623-A874-AE5A9078C061}">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14" authorId="0" shapeId="0" xr:uid="{00000000-0006-0000-04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Q17" authorId="0" shapeId="0" xr:uid="{00000000-0006-0000-0400-000002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O18" authorId="0" shapeId="0" xr:uid="{00000000-0006-0000-0400-000003000000}">
      <text>
        <r>
          <rPr>
            <b/>
            <sz val="9"/>
            <color indexed="81"/>
            <rFont val="Tahoma"/>
            <family val="2"/>
          </rPr>
          <t>Duncan Robertson:</t>
        </r>
        <r>
          <rPr>
            <sz val="9"/>
            <color indexed="81"/>
            <rFont val="Tahoma"/>
            <family val="2"/>
          </rPr>
          <t xml:space="preserve">
Assuming full depth of reinforcement, ignoring pile toe depth</t>
        </r>
      </text>
    </comment>
    <comment ref="K19" authorId="0" shapeId="0" xr:uid="{00000000-0006-0000-0400-000004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4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Q26" authorId="0" shapeId="0" xr:uid="{00000000-0006-0000-0400-000006000000}">
      <text>
        <r>
          <rPr>
            <b/>
            <sz val="9"/>
            <color indexed="81"/>
            <rFont val="Tahoma"/>
            <family val="2"/>
          </rPr>
          <t>Duncan Robertson:</t>
        </r>
        <r>
          <rPr>
            <sz val="9"/>
            <color indexed="81"/>
            <rFont val="Tahoma"/>
            <family val="2"/>
          </rPr>
          <t xml:space="preserve">
8No Zone A piles</t>
        </r>
      </text>
    </comment>
    <comment ref="AC26" authorId="0" shapeId="0" xr:uid="{00000000-0006-0000-0400-000007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400-000008000000}">
      <text>
        <r>
          <rPr>
            <b/>
            <sz val="9"/>
            <color indexed="81"/>
            <rFont val="Tahoma"/>
            <family val="2"/>
          </rPr>
          <t>Duncan Robertson:</t>
        </r>
        <r>
          <rPr>
            <sz val="9"/>
            <color indexed="81"/>
            <rFont val="Tahoma"/>
            <family val="2"/>
          </rPr>
          <t xml:space="preserve">
Axial reinforcement</t>
        </r>
      </text>
    </comment>
    <comment ref="O30" authorId="0" shapeId="0" xr:uid="{00000000-0006-0000-0400-000009000000}">
      <text>
        <r>
          <rPr>
            <b/>
            <sz val="9"/>
            <color indexed="81"/>
            <rFont val="Tahoma"/>
            <family val="2"/>
          </rPr>
          <t>Duncan Robertson:</t>
        </r>
        <r>
          <rPr>
            <sz val="9"/>
            <color indexed="81"/>
            <rFont val="Tahoma"/>
            <family val="2"/>
          </rPr>
          <t xml:space="preserve">
Assuming full depth of reinforcement, ignoring pile toe depth</t>
        </r>
      </text>
    </comment>
    <comment ref="Q31" authorId="0" shapeId="0" xr:uid="{00000000-0006-0000-04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Q40" authorId="0" shapeId="0" xr:uid="{00000000-0006-0000-0400-00000B000000}">
      <text>
        <r>
          <rPr>
            <b/>
            <sz val="9"/>
            <color indexed="81"/>
            <rFont val="Tahoma"/>
            <family val="2"/>
          </rPr>
          <t>Duncan Robertson:</t>
        </r>
        <r>
          <rPr>
            <sz val="9"/>
            <color indexed="81"/>
            <rFont val="Tahoma"/>
            <family val="2"/>
          </rPr>
          <t xml:space="preserve">
8No Zone B piles</t>
        </r>
      </text>
    </comment>
    <comment ref="AC40" authorId="0" shapeId="0" xr:uid="{00000000-0006-0000-0400-00000C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400-00000D000000}">
      <text>
        <r>
          <rPr>
            <b/>
            <sz val="9"/>
            <color indexed="81"/>
            <rFont val="Tahoma"/>
            <family val="2"/>
          </rPr>
          <t>Duncan Robertson:</t>
        </r>
        <r>
          <rPr>
            <sz val="9"/>
            <color indexed="81"/>
            <rFont val="Tahoma"/>
            <family val="2"/>
          </rPr>
          <t xml:space="preserve">
Axial reinforcement</t>
        </r>
      </text>
    </comment>
    <comment ref="AC54" authorId="0" shapeId="0" xr:uid="{00000000-0006-0000-0400-00000E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400-00000F000000}">
      <text>
        <r>
          <rPr>
            <b/>
            <sz val="9"/>
            <color indexed="81"/>
            <rFont val="Tahoma"/>
            <family val="2"/>
          </rPr>
          <t>Duncan Robertson:</t>
        </r>
        <r>
          <rPr>
            <sz val="9"/>
            <color indexed="81"/>
            <rFont val="Tahoma"/>
            <family val="2"/>
          </rPr>
          <t xml:space="preserve">
Axial reinforcement</t>
        </r>
      </text>
    </comment>
    <comment ref="AC64" authorId="0" shapeId="0" xr:uid="{00000000-0006-0000-0400-000010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400-000011000000}">
      <text>
        <r>
          <rPr>
            <b/>
            <sz val="9"/>
            <color indexed="81"/>
            <rFont val="Tahoma"/>
            <family val="2"/>
          </rPr>
          <t>Duncan Robertson:</t>
        </r>
        <r>
          <rPr>
            <sz val="9"/>
            <color indexed="81"/>
            <rFont val="Tahoma"/>
            <family val="2"/>
          </rPr>
          <t xml:space="preserve">
Axial reinforcement</t>
        </r>
      </text>
    </comment>
    <comment ref="AC79" authorId="0" shapeId="0" xr:uid="{00000000-0006-0000-0400-000012000000}">
      <text>
        <r>
          <rPr>
            <b/>
            <sz val="9"/>
            <color indexed="81"/>
            <rFont val="Tahoma"/>
            <family val="2"/>
          </rPr>
          <t>Duncan Robertson:</t>
        </r>
        <r>
          <rPr>
            <sz val="9"/>
            <color indexed="81"/>
            <rFont val="Tahoma"/>
            <family val="2"/>
          </rPr>
          <t xml:space="preserve">
No bending or shear after 21m</t>
        </r>
      </text>
    </comment>
    <comment ref="AD79" authorId="0" shapeId="0" xr:uid="{00000000-0006-0000-0400-000013000000}">
      <text>
        <r>
          <rPr>
            <b/>
            <sz val="9"/>
            <color indexed="81"/>
            <rFont val="Tahoma"/>
            <family val="2"/>
          </rPr>
          <t>Duncan Robertson:</t>
        </r>
        <r>
          <rPr>
            <sz val="9"/>
            <color indexed="81"/>
            <rFont val="Tahoma"/>
            <family val="2"/>
          </rPr>
          <t xml:space="preserve">
Axial reinforcement</t>
        </r>
      </text>
    </comment>
    <comment ref="AC89" authorId="0" shapeId="0" xr:uid="{00000000-0006-0000-0400-000014000000}">
      <text>
        <r>
          <rPr>
            <b/>
            <sz val="9"/>
            <color indexed="81"/>
            <rFont val="Tahoma"/>
            <family val="2"/>
          </rPr>
          <t>Duncan Robertson:</t>
        </r>
        <r>
          <rPr>
            <sz val="9"/>
            <color indexed="81"/>
            <rFont val="Tahoma"/>
            <family val="2"/>
          </rPr>
          <t xml:space="preserve">
No bending or shear after 30m</t>
        </r>
      </text>
    </comment>
    <comment ref="AD89" authorId="0" shapeId="0" xr:uid="{00000000-0006-0000-0400-000015000000}">
      <text>
        <r>
          <rPr>
            <b/>
            <sz val="9"/>
            <color indexed="81"/>
            <rFont val="Tahoma"/>
            <family val="2"/>
          </rPr>
          <t>Duncan Robertson:</t>
        </r>
        <r>
          <rPr>
            <sz val="9"/>
            <color indexed="81"/>
            <rFont val="Tahoma"/>
            <family val="2"/>
          </rPr>
          <t xml:space="preserve">
Axial reinforcement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K19" authorId="0" shapeId="0" xr:uid="{00000000-0006-0000-0500-000001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500-000002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t>
        </r>
      </text>
    </comment>
    <comment ref="AC26" authorId="0" shapeId="0" xr:uid="{00000000-0006-0000-0500-000003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500-000004000000}">
      <text>
        <r>
          <rPr>
            <b/>
            <sz val="9"/>
            <color indexed="81"/>
            <rFont val="Tahoma"/>
            <family val="2"/>
          </rPr>
          <t>Duncan Robertson:</t>
        </r>
        <r>
          <rPr>
            <sz val="9"/>
            <color indexed="81"/>
            <rFont val="Tahoma"/>
            <family val="2"/>
          </rPr>
          <t xml:space="preserve">
Axial reinforcement</t>
        </r>
      </text>
    </comment>
    <comment ref="AC40" authorId="0" shapeId="0" xr:uid="{00000000-0006-0000-0500-000005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500-000006000000}">
      <text>
        <r>
          <rPr>
            <b/>
            <sz val="9"/>
            <color indexed="81"/>
            <rFont val="Tahoma"/>
            <family val="2"/>
          </rPr>
          <t>Duncan Robertson:</t>
        </r>
        <r>
          <rPr>
            <sz val="9"/>
            <color indexed="81"/>
            <rFont val="Tahoma"/>
            <family val="2"/>
          </rPr>
          <t xml:space="preserve">
Axial reinforcement</t>
        </r>
      </text>
    </comment>
    <comment ref="AC54" authorId="0" shapeId="0" xr:uid="{00000000-0006-0000-0500-000007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500-000008000000}">
      <text>
        <r>
          <rPr>
            <b/>
            <sz val="9"/>
            <color indexed="81"/>
            <rFont val="Tahoma"/>
            <family val="2"/>
          </rPr>
          <t>Duncan Robertson:</t>
        </r>
        <r>
          <rPr>
            <sz val="9"/>
            <color indexed="81"/>
            <rFont val="Tahoma"/>
            <family val="2"/>
          </rPr>
          <t xml:space="preserve">
Axial reinforcement</t>
        </r>
      </text>
    </comment>
    <comment ref="AC64" authorId="0" shapeId="0" xr:uid="{00000000-0006-0000-0500-000009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500-00000A000000}">
      <text>
        <r>
          <rPr>
            <b/>
            <sz val="9"/>
            <color indexed="81"/>
            <rFont val="Tahoma"/>
            <family val="2"/>
          </rPr>
          <t>Duncan Robertson:</t>
        </r>
        <r>
          <rPr>
            <sz val="9"/>
            <color indexed="81"/>
            <rFont val="Tahoma"/>
            <family val="2"/>
          </rPr>
          <t xml:space="preserve">
Axial reinforcement</t>
        </r>
      </text>
    </comment>
    <comment ref="AC79" authorId="0" shapeId="0" xr:uid="{00000000-0006-0000-0500-00000B000000}">
      <text>
        <r>
          <rPr>
            <b/>
            <sz val="9"/>
            <color indexed="81"/>
            <rFont val="Tahoma"/>
            <family val="2"/>
          </rPr>
          <t>Duncan Robertson:</t>
        </r>
        <r>
          <rPr>
            <sz val="9"/>
            <color indexed="81"/>
            <rFont val="Tahoma"/>
            <family val="2"/>
          </rPr>
          <t xml:space="preserve">
No bending or shear after 21m</t>
        </r>
      </text>
    </comment>
    <comment ref="AD79" authorId="0" shapeId="0" xr:uid="{00000000-0006-0000-0500-00000C000000}">
      <text>
        <r>
          <rPr>
            <b/>
            <sz val="9"/>
            <color indexed="81"/>
            <rFont val="Tahoma"/>
            <family val="2"/>
          </rPr>
          <t>Duncan Robertson:</t>
        </r>
        <r>
          <rPr>
            <sz val="9"/>
            <color indexed="81"/>
            <rFont val="Tahoma"/>
            <family val="2"/>
          </rPr>
          <t xml:space="preserve">
Axial reinforcement</t>
        </r>
      </text>
    </comment>
    <comment ref="AC89" authorId="0" shapeId="0" xr:uid="{00000000-0006-0000-0500-00000D000000}">
      <text>
        <r>
          <rPr>
            <b/>
            <sz val="9"/>
            <color indexed="81"/>
            <rFont val="Tahoma"/>
            <family val="2"/>
          </rPr>
          <t>Duncan Robertson:</t>
        </r>
        <r>
          <rPr>
            <sz val="9"/>
            <color indexed="81"/>
            <rFont val="Tahoma"/>
            <family val="2"/>
          </rPr>
          <t xml:space="preserve">
No bending or shear after 30m</t>
        </r>
      </text>
    </comment>
    <comment ref="AD89" authorId="0" shapeId="0" xr:uid="{00000000-0006-0000-0500-00000E000000}">
      <text>
        <r>
          <rPr>
            <b/>
            <sz val="9"/>
            <color indexed="81"/>
            <rFont val="Tahoma"/>
            <family val="2"/>
          </rPr>
          <t>Duncan Robertson:</t>
        </r>
        <r>
          <rPr>
            <sz val="9"/>
            <color indexed="81"/>
            <rFont val="Tahoma"/>
            <family val="2"/>
          </rPr>
          <t xml:space="preserve">
Axial reinforcement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AM5" authorId="0" shapeId="0" xr:uid="{00000000-0006-0000-06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O18" authorId="0" shapeId="0" xr:uid="{00000000-0006-0000-0600-000002000000}">
      <text>
        <r>
          <rPr>
            <b/>
            <sz val="9"/>
            <color indexed="81"/>
            <rFont val="Tahoma"/>
            <family val="2"/>
          </rPr>
          <t>Duncan Robertson:</t>
        </r>
        <r>
          <rPr>
            <sz val="9"/>
            <color indexed="81"/>
            <rFont val="Tahoma"/>
            <family val="2"/>
          </rPr>
          <t xml:space="preserve">
Assuming full depth of reinforcement, ignoring pile toe depth</t>
        </r>
      </text>
    </comment>
    <comment ref="X18" authorId="0" shapeId="0" xr:uid="{00000000-0006-0000-0600-000003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K19" authorId="0" shapeId="0" xr:uid="{00000000-0006-0000-0600-000004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6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AC26" authorId="0" shapeId="0" xr:uid="{00000000-0006-0000-0600-000006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600-000007000000}">
      <text>
        <r>
          <rPr>
            <b/>
            <sz val="9"/>
            <color indexed="81"/>
            <rFont val="Tahoma"/>
            <family val="2"/>
          </rPr>
          <t>Duncan Robertson:</t>
        </r>
        <r>
          <rPr>
            <sz val="9"/>
            <color indexed="81"/>
            <rFont val="Tahoma"/>
            <family val="2"/>
          </rPr>
          <t xml:space="preserve">
Axial reinforcement</t>
        </r>
      </text>
    </comment>
    <comment ref="X27" authorId="0" shapeId="0" xr:uid="{00000000-0006-0000-0600-000008000000}">
      <text>
        <r>
          <rPr>
            <b/>
            <sz val="9"/>
            <color indexed="81"/>
            <rFont val="Tahoma"/>
            <family val="2"/>
          </rPr>
          <t>Duncan Robertson:</t>
        </r>
        <r>
          <rPr>
            <sz val="9"/>
            <color indexed="81"/>
            <rFont val="Tahoma"/>
            <family val="2"/>
          </rPr>
          <t xml:space="preserve">
8No Zone A piles</t>
        </r>
      </text>
    </comment>
    <comment ref="O30" authorId="0" shapeId="0" xr:uid="{00000000-0006-0000-0600-000009000000}">
      <text>
        <r>
          <rPr>
            <b/>
            <sz val="9"/>
            <color indexed="81"/>
            <rFont val="Tahoma"/>
            <family val="2"/>
          </rPr>
          <t>Duncan Robertson:</t>
        </r>
        <r>
          <rPr>
            <sz val="9"/>
            <color indexed="81"/>
            <rFont val="Tahoma"/>
            <family val="2"/>
          </rPr>
          <t xml:space="preserve">
Assuming full depth of reinforcement, ignoring pile toe depth</t>
        </r>
      </text>
    </comment>
    <comment ref="X31" authorId="0" shapeId="0" xr:uid="{00000000-0006-0000-06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X40" authorId="0" shapeId="0" xr:uid="{00000000-0006-0000-0600-00000B000000}">
      <text>
        <r>
          <rPr>
            <b/>
            <sz val="9"/>
            <color indexed="81"/>
            <rFont val="Tahoma"/>
            <family val="2"/>
          </rPr>
          <t>Duncan Robertson:</t>
        </r>
        <r>
          <rPr>
            <sz val="9"/>
            <color indexed="81"/>
            <rFont val="Tahoma"/>
            <family val="2"/>
          </rPr>
          <t xml:space="preserve">
8No Zone B piles</t>
        </r>
      </text>
    </comment>
    <comment ref="AC40" authorId="0" shapeId="0" xr:uid="{00000000-0006-0000-0600-00000C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600-00000D000000}">
      <text>
        <r>
          <rPr>
            <b/>
            <sz val="9"/>
            <color indexed="81"/>
            <rFont val="Tahoma"/>
            <family val="2"/>
          </rPr>
          <t>Duncan Robertson:</t>
        </r>
        <r>
          <rPr>
            <sz val="9"/>
            <color indexed="81"/>
            <rFont val="Tahoma"/>
            <family val="2"/>
          </rPr>
          <t xml:space="preserve">
Axial reinforcement</t>
        </r>
      </text>
    </comment>
    <comment ref="AC54" authorId="0" shapeId="0" xr:uid="{00000000-0006-0000-0600-00000E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600-00000F000000}">
      <text>
        <r>
          <rPr>
            <b/>
            <sz val="9"/>
            <color indexed="81"/>
            <rFont val="Tahoma"/>
            <family val="2"/>
          </rPr>
          <t>Duncan Robertson:</t>
        </r>
        <r>
          <rPr>
            <sz val="9"/>
            <color indexed="81"/>
            <rFont val="Tahoma"/>
            <family val="2"/>
          </rPr>
          <t xml:space="preserve">
Axial reinforcement</t>
        </r>
      </text>
    </comment>
    <comment ref="AC64" authorId="0" shapeId="0" xr:uid="{00000000-0006-0000-0600-000010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600-000011000000}">
      <text>
        <r>
          <rPr>
            <b/>
            <sz val="9"/>
            <color indexed="81"/>
            <rFont val="Tahoma"/>
            <family val="2"/>
          </rPr>
          <t>Duncan Robertson:</t>
        </r>
        <r>
          <rPr>
            <sz val="9"/>
            <color indexed="81"/>
            <rFont val="Tahoma"/>
            <family val="2"/>
          </rPr>
          <t xml:space="preserve">
Axial reinforcement</t>
        </r>
      </text>
    </comment>
    <comment ref="AC79" authorId="0" shapeId="0" xr:uid="{00000000-0006-0000-0600-000012000000}">
      <text>
        <r>
          <rPr>
            <b/>
            <sz val="9"/>
            <color indexed="81"/>
            <rFont val="Tahoma"/>
            <family val="2"/>
          </rPr>
          <t>Duncan Robertson:</t>
        </r>
        <r>
          <rPr>
            <sz val="9"/>
            <color indexed="81"/>
            <rFont val="Tahoma"/>
            <family val="2"/>
          </rPr>
          <t xml:space="preserve">
No bending or shear after 21m</t>
        </r>
      </text>
    </comment>
    <comment ref="AD79" authorId="0" shapeId="0" xr:uid="{00000000-0006-0000-0600-000013000000}">
      <text>
        <r>
          <rPr>
            <b/>
            <sz val="9"/>
            <color indexed="81"/>
            <rFont val="Tahoma"/>
            <family val="2"/>
          </rPr>
          <t>Duncan Robertson:</t>
        </r>
        <r>
          <rPr>
            <sz val="9"/>
            <color indexed="81"/>
            <rFont val="Tahoma"/>
            <family val="2"/>
          </rPr>
          <t xml:space="preserve">
Axial reinforcement</t>
        </r>
      </text>
    </comment>
    <comment ref="AC89" authorId="0" shapeId="0" xr:uid="{00000000-0006-0000-0600-000014000000}">
      <text>
        <r>
          <rPr>
            <b/>
            <sz val="9"/>
            <color indexed="81"/>
            <rFont val="Tahoma"/>
            <family val="2"/>
          </rPr>
          <t>Duncan Robertson:</t>
        </r>
        <r>
          <rPr>
            <sz val="9"/>
            <color indexed="81"/>
            <rFont val="Tahoma"/>
            <family val="2"/>
          </rPr>
          <t xml:space="preserve">
No bending or shear after 30m</t>
        </r>
      </text>
    </comment>
    <comment ref="AD89" authorId="0" shapeId="0" xr:uid="{00000000-0006-0000-0600-000015000000}">
      <text>
        <r>
          <rPr>
            <b/>
            <sz val="9"/>
            <color indexed="81"/>
            <rFont val="Tahoma"/>
            <family val="2"/>
          </rPr>
          <t>Duncan Robertson:</t>
        </r>
        <r>
          <rPr>
            <sz val="9"/>
            <color indexed="81"/>
            <rFont val="Tahoma"/>
            <family val="2"/>
          </rPr>
          <t xml:space="preserve">
Axial reinforcement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16" authorId="0" shapeId="0" xr:uid="{00000000-0006-0000-07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Q19" authorId="0" shapeId="0" xr:uid="{00000000-0006-0000-0700-000002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O20" authorId="0" shapeId="0" xr:uid="{00000000-0006-0000-0700-000003000000}">
      <text>
        <r>
          <rPr>
            <b/>
            <sz val="9"/>
            <color indexed="81"/>
            <rFont val="Tahoma"/>
            <family val="2"/>
          </rPr>
          <t>Duncan Robertson:</t>
        </r>
        <r>
          <rPr>
            <sz val="9"/>
            <color indexed="81"/>
            <rFont val="Tahoma"/>
            <family val="2"/>
          </rPr>
          <t xml:space="preserve">
Assuming full depth of reinforcement, ignoring pile toe depth</t>
        </r>
      </text>
    </comment>
    <comment ref="K21" authorId="0" shapeId="0" xr:uid="{00000000-0006-0000-0700-000004000000}">
      <text>
        <r>
          <rPr>
            <b/>
            <sz val="9"/>
            <color indexed="81"/>
            <rFont val="Tahoma"/>
            <family val="2"/>
          </rPr>
          <t>Duncan Robertson:</t>
        </r>
        <r>
          <rPr>
            <sz val="9"/>
            <color indexed="81"/>
            <rFont val="Tahoma"/>
            <family val="2"/>
          </rPr>
          <t xml:space="preserve">
At laps max spacing = 240mm, otherwise max spacing = 300mm</t>
        </r>
      </text>
    </comment>
    <comment ref="A27" authorId="0" shapeId="0" xr:uid="{00000000-0006-0000-07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Q28" authorId="0" shapeId="0" xr:uid="{00000000-0006-0000-0700-000006000000}">
      <text>
        <r>
          <rPr>
            <b/>
            <sz val="9"/>
            <color indexed="81"/>
            <rFont val="Tahoma"/>
            <family val="2"/>
          </rPr>
          <t>Duncan Robertson:</t>
        </r>
        <r>
          <rPr>
            <sz val="9"/>
            <color indexed="81"/>
            <rFont val="Tahoma"/>
            <family val="2"/>
          </rPr>
          <t xml:space="preserve">
8No Zone A piles</t>
        </r>
      </text>
    </comment>
    <comment ref="AC28" authorId="0" shapeId="0" xr:uid="{00000000-0006-0000-0700-000007000000}">
      <text>
        <r>
          <rPr>
            <b/>
            <sz val="9"/>
            <color indexed="81"/>
            <rFont val="Tahoma"/>
            <family val="2"/>
          </rPr>
          <t>Duncan Robertson:</t>
        </r>
        <r>
          <rPr>
            <sz val="9"/>
            <color indexed="81"/>
            <rFont val="Tahoma"/>
            <family val="2"/>
          </rPr>
          <t xml:space="preserve">
No bending or shear after 21m</t>
        </r>
      </text>
    </comment>
    <comment ref="AD28" authorId="0" shapeId="0" xr:uid="{00000000-0006-0000-0700-000008000000}">
      <text>
        <r>
          <rPr>
            <b/>
            <sz val="9"/>
            <color indexed="81"/>
            <rFont val="Tahoma"/>
            <family val="2"/>
          </rPr>
          <t>Duncan Robertson:</t>
        </r>
        <r>
          <rPr>
            <sz val="9"/>
            <color indexed="81"/>
            <rFont val="Tahoma"/>
            <family val="2"/>
          </rPr>
          <t xml:space="preserve">
Axial reinforcement</t>
        </r>
      </text>
    </comment>
    <comment ref="O32" authorId="0" shapeId="0" xr:uid="{00000000-0006-0000-0700-000009000000}">
      <text>
        <r>
          <rPr>
            <b/>
            <sz val="9"/>
            <color indexed="81"/>
            <rFont val="Tahoma"/>
            <family val="2"/>
          </rPr>
          <t>Duncan Robertson:</t>
        </r>
        <r>
          <rPr>
            <sz val="9"/>
            <color indexed="81"/>
            <rFont val="Tahoma"/>
            <family val="2"/>
          </rPr>
          <t xml:space="preserve">
Assuming full depth of reinforcement, ignoring pile toe depth</t>
        </r>
      </text>
    </comment>
    <comment ref="Q33" authorId="0" shapeId="0" xr:uid="{00000000-0006-0000-07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Q42" authorId="0" shapeId="0" xr:uid="{00000000-0006-0000-0700-00000B000000}">
      <text>
        <r>
          <rPr>
            <b/>
            <sz val="9"/>
            <color indexed="81"/>
            <rFont val="Tahoma"/>
            <family val="2"/>
          </rPr>
          <t>Duncan Robertson:</t>
        </r>
        <r>
          <rPr>
            <sz val="9"/>
            <color indexed="81"/>
            <rFont val="Tahoma"/>
            <family val="2"/>
          </rPr>
          <t xml:space="preserve">
8No Zone B piles</t>
        </r>
      </text>
    </comment>
    <comment ref="AC42" authorId="0" shapeId="0" xr:uid="{00000000-0006-0000-0700-00000C000000}">
      <text>
        <r>
          <rPr>
            <b/>
            <sz val="9"/>
            <color indexed="81"/>
            <rFont val="Tahoma"/>
            <family val="2"/>
          </rPr>
          <t>Duncan Robertson:</t>
        </r>
        <r>
          <rPr>
            <sz val="9"/>
            <color indexed="81"/>
            <rFont val="Tahoma"/>
            <family val="2"/>
          </rPr>
          <t xml:space="preserve">
No bending or shear after 30m</t>
        </r>
      </text>
    </comment>
    <comment ref="AD42" authorId="0" shapeId="0" xr:uid="{00000000-0006-0000-0700-00000D000000}">
      <text>
        <r>
          <rPr>
            <b/>
            <sz val="9"/>
            <color indexed="81"/>
            <rFont val="Tahoma"/>
            <family val="2"/>
          </rPr>
          <t>Duncan Robertson:</t>
        </r>
        <r>
          <rPr>
            <sz val="9"/>
            <color indexed="81"/>
            <rFont val="Tahoma"/>
            <family val="2"/>
          </rPr>
          <t xml:space="preserve">
Axial reinforcement</t>
        </r>
      </text>
    </comment>
    <comment ref="AC56" authorId="0" shapeId="0" xr:uid="{00000000-0006-0000-0700-00000E000000}">
      <text>
        <r>
          <rPr>
            <b/>
            <sz val="9"/>
            <color indexed="81"/>
            <rFont val="Tahoma"/>
            <family val="2"/>
          </rPr>
          <t>Duncan Robertson:</t>
        </r>
        <r>
          <rPr>
            <sz val="9"/>
            <color indexed="81"/>
            <rFont val="Tahoma"/>
            <family val="2"/>
          </rPr>
          <t xml:space="preserve">
No bending or shear after 21m</t>
        </r>
      </text>
    </comment>
    <comment ref="AD56" authorId="0" shapeId="0" xr:uid="{00000000-0006-0000-0700-00000F000000}">
      <text>
        <r>
          <rPr>
            <b/>
            <sz val="9"/>
            <color indexed="81"/>
            <rFont val="Tahoma"/>
            <family val="2"/>
          </rPr>
          <t>Duncan Robertson:</t>
        </r>
        <r>
          <rPr>
            <sz val="9"/>
            <color indexed="81"/>
            <rFont val="Tahoma"/>
            <family val="2"/>
          </rPr>
          <t xml:space="preserve">
Axial reinforcement</t>
        </r>
      </text>
    </comment>
    <comment ref="AC66" authorId="0" shapeId="0" xr:uid="{00000000-0006-0000-0700-000010000000}">
      <text>
        <r>
          <rPr>
            <b/>
            <sz val="9"/>
            <color indexed="81"/>
            <rFont val="Tahoma"/>
            <family val="2"/>
          </rPr>
          <t>Duncan Robertson:</t>
        </r>
        <r>
          <rPr>
            <sz val="9"/>
            <color indexed="81"/>
            <rFont val="Tahoma"/>
            <family val="2"/>
          </rPr>
          <t xml:space="preserve">
No bending or shear after 30m</t>
        </r>
      </text>
    </comment>
    <comment ref="AD66" authorId="0" shapeId="0" xr:uid="{00000000-0006-0000-0700-000011000000}">
      <text>
        <r>
          <rPr>
            <b/>
            <sz val="9"/>
            <color indexed="81"/>
            <rFont val="Tahoma"/>
            <family val="2"/>
          </rPr>
          <t>Duncan Robertson:</t>
        </r>
        <r>
          <rPr>
            <sz val="9"/>
            <color indexed="81"/>
            <rFont val="Tahoma"/>
            <family val="2"/>
          </rPr>
          <t xml:space="preserve">
Axial reinforcement</t>
        </r>
      </text>
    </comment>
    <comment ref="AC86" authorId="0" shapeId="0" xr:uid="{00000000-0006-0000-0700-000012000000}">
      <text>
        <r>
          <rPr>
            <b/>
            <sz val="9"/>
            <color indexed="81"/>
            <rFont val="Tahoma"/>
            <family val="2"/>
          </rPr>
          <t>Duncan Robertson:</t>
        </r>
        <r>
          <rPr>
            <sz val="9"/>
            <color indexed="81"/>
            <rFont val="Tahoma"/>
            <family val="2"/>
          </rPr>
          <t xml:space="preserve">
No bending or shear after 21m</t>
        </r>
      </text>
    </comment>
    <comment ref="AD86" authorId="0" shapeId="0" xr:uid="{00000000-0006-0000-0700-000013000000}">
      <text>
        <r>
          <rPr>
            <b/>
            <sz val="9"/>
            <color indexed="81"/>
            <rFont val="Tahoma"/>
            <family val="2"/>
          </rPr>
          <t>Duncan Robertson:</t>
        </r>
        <r>
          <rPr>
            <sz val="9"/>
            <color indexed="81"/>
            <rFont val="Tahoma"/>
            <family val="2"/>
          </rPr>
          <t xml:space="preserve">
Axial reinforcement</t>
        </r>
      </text>
    </comment>
    <comment ref="AC96" authorId="0" shapeId="0" xr:uid="{00000000-0006-0000-0700-000014000000}">
      <text>
        <r>
          <rPr>
            <b/>
            <sz val="9"/>
            <color indexed="81"/>
            <rFont val="Tahoma"/>
            <family val="2"/>
          </rPr>
          <t>Duncan Robertson:</t>
        </r>
        <r>
          <rPr>
            <sz val="9"/>
            <color indexed="81"/>
            <rFont val="Tahoma"/>
            <family val="2"/>
          </rPr>
          <t xml:space="preserve">
No bending or shear after 30m</t>
        </r>
      </text>
    </comment>
    <comment ref="AD96" authorId="0" shapeId="0" xr:uid="{00000000-0006-0000-0700-000015000000}">
      <text>
        <r>
          <rPr>
            <b/>
            <sz val="9"/>
            <color indexed="81"/>
            <rFont val="Tahoma"/>
            <family val="2"/>
          </rPr>
          <t>Duncan Robertson:</t>
        </r>
        <r>
          <rPr>
            <sz val="9"/>
            <color indexed="81"/>
            <rFont val="Tahoma"/>
            <family val="2"/>
          </rPr>
          <t xml:space="preserve">
Axial reinforcement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14" authorId="0" shapeId="0" xr:uid="{00000000-0006-0000-08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Q17" authorId="0" shapeId="0" xr:uid="{00000000-0006-0000-0800-000002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O18" authorId="0" shapeId="0" xr:uid="{00000000-0006-0000-0800-000003000000}">
      <text>
        <r>
          <rPr>
            <b/>
            <sz val="9"/>
            <color indexed="81"/>
            <rFont val="Tahoma"/>
            <family val="2"/>
          </rPr>
          <t>Duncan Robertson:</t>
        </r>
        <r>
          <rPr>
            <sz val="9"/>
            <color indexed="81"/>
            <rFont val="Tahoma"/>
            <family val="2"/>
          </rPr>
          <t xml:space="preserve">
Assuming full depth of reinforcement, ignoring pile toe depth</t>
        </r>
      </text>
    </comment>
    <comment ref="K19" authorId="0" shapeId="0" xr:uid="{00000000-0006-0000-0800-000004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8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Q26" authorId="0" shapeId="0" xr:uid="{00000000-0006-0000-0800-000006000000}">
      <text>
        <r>
          <rPr>
            <b/>
            <sz val="9"/>
            <color indexed="81"/>
            <rFont val="Tahoma"/>
            <family val="2"/>
          </rPr>
          <t>Duncan Robertson:</t>
        </r>
        <r>
          <rPr>
            <sz val="9"/>
            <color indexed="81"/>
            <rFont val="Tahoma"/>
            <family val="2"/>
          </rPr>
          <t xml:space="preserve">
8No Zone A piles</t>
        </r>
      </text>
    </comment>
    <comment ref="AC26" authorId="0" shapeId="0" xr:uid="{00000000-0006-0000-0800-000007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800-000008000000}">
      <text>
        <r>
          <rPr>
            <b/>
            <sz val="9"/>
            <color indexed="81"/>
            <rFont val="Tahoma"/>
            <family val="2"/>
          </rPr>
          <t>Duncan Robertson:</t>
        </r>
        <r>
          <rPr>
            <sz val="9"/>
            <color indexed="81"/>
            <rFont val="Tahoma"/>
            <family val="2"/>
          </rPr>
          <t xml:space="preserve">
Axial reinforcement</t>
        </r>
      </text>
    </comment>
    <comment ref="O30" authorId="0" shapeId="0" xr:uid="{00000000-0006-0000-0800-000009000000}">
      <text>
        <r>
          <rPr>
            <b/>
            <sz val="9"/>
            <color indexed="81"/>
            <rFont val="Tahoma"/>
            <family val="2"/>
          </rPr>
          <t>Duncan Robertson:</t>
        </r>
        <r>
          <rPr>
            <sz val="9"/>
            <color indexed="81"/>
            <rFont val="Tahoma"/>
            <family val="2"/>
          </rPr>
          <t xml:space="preserve">
Assuming full depth of reinforcement, ignoring pile toe depth</t>
        </r>
      </text>
    </comment>
    <comment ref="Q31" authorId="0" shapeId="0" xr:uid="{00000000-0006-0000-08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Q40" authorId="0" shapeId="0" xr:uid="{00000000-0006-0000-0800-00000B000000}">
      <text>
        <r>
          <rPr>
            <b/>
            <sz val="9"/>
            <color indexed="81"/>
            <rFont val="Tahoma"/>
            <family val="2"/>
          </rPr>
          <t>Duncan Robertson:</t>
        </r>
        <r>
          <rPr>
            <sz val="9"/>
            <color indexed="81"/>
            <rFont val="Tahoma"/>
            <family val="2"/>
          </rPr>
          <t xml:space="preserve">
8No Zone B piles</t>
        </r>
      </text>
    </comment>
    <comment ref="AC40" authorId="0" shapeId="0" xr:uid="{00000000-0006-0000-0800-00000C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800-00000D000000}">
      <text>
        <r>
          <rPr>
            <b/>
            <sz val="9"/>
            <color indexed="81"/>
            <rFont val="Tahoma"/>
            <family val="2"/>
          </rPr>
          <t>Duncan Robertson:</t>
        </r>
        <r>
          <rPr>
            <sz val="9"/>
            <color indexed="81"/>
            <rFont val="Tahoma"/>
            <family val="2"/>
          </rPr>
          <t xml:space="preserve">
Axial reinforcement</t>
        </r>
      </text>
    </comment>
    <comment ref="AC54" authorId="0" shapeId="0" xr:uid="{00000000-0006-0000-0800-00000E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800-00000F000000}">
      <text>
        <r>
          <rPr>
            <b/>
            <sz val="9"/>
            <color indexed="81"/>
            <rFont val="Tahoma"/>
            <family val="2"/>
          </rPr>
          <t>Duncan Robertson:</t>
        </r>
        <r>
          <rPr>
            <sz val="9"/>
            <color indexed="81"/>
            <rFont val="Tahoma"/>
            <family val="2"/>
          </rPr>
          <t xml:space="preserve">
Axial reinforcement</t>
        </r>
      </text>
    </comment>
    <comment ref="AC64" authorId="0" shapeId="0" xr:uid="{00000000-0006-0000-0800-000010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800-000011000000}">
      <text>
        <r>
          <rPr>
            <b/>
            <sz val="9"/>
            <color indexed="81"/>
            <rFont val="Tahoma"/>
            <family val="2"/>
          </rPr>
          <t>Duncan Robertson:</t>
        </r>
        <r>
          <rPr>
            <sz val="9"/>
            <color indexed="81"/>
            <rFont val="Tahoma"/>
            <family val="2"/>
          </rPr>
          <t xml:space="preserve">
Axial reinforcement</t>
        </r>
      </text>
    </comment>
    <comment ref="AC84" authorId="0" shapeId="0" xr:uid="{00000000-0006-0000-0800-000012000000}">
      <text>
        <r>
          <rPr>
            <b/>
            <sz val="9"/>
            <color indexed="81"/>
            <rFont val="Tahoma"/>
            <family val="2"/>
          </rPr>
          <t>Duncan Robertson:</t>
        </r>
        <r>
          <rPr>
            <sz val="9"/>
            <color indexed="81"/>
            <rFont val="Tahoma"/>
            <family val="2"/>
          </rPr>
          <t xml:space="preserve">
No bending or shear after 21m</t>
        </r>
      </text>
    </comment>
    <comment ref="AD84" authorId="0" shapeId="0" xr:uid="{00000000-0006-0000-0800-000013000000}">
      <text>
        <r>
          <rPr>
            <b/>
            <sz val="9"/>
            <color indexed="81"/>
            <rFont val="Tahoma"/>
            <family val="2"/>
          </rPr>
          <t>Duncan Robertson:</t>
        </r>
        <r>
          <rPr>
            <sz val="9"/>
            <color indexed="81"/>
            <rFont val="Tahoma"/>
            <family val="2"/>
          </rPr>
          <t xml:space="preserve">
Axial reinforcement</t>
        </r>
      </text>
    </comment>
    <comment ref="AC94" authorId="0" shapeId="0" xr:uid="{00000000-0006-0000-0800-000014000000}">
      <text>
        <r>
          <rPr>
            <b/>
            <sz val="9"/>
            <color indexed="81"/>
            <rFont val="Tahoma"/>
            <family val="2"/>
          </rPr>
          <t>Duncan Robertson:</t>
        </r>
        <r>
          <rPr>
            <sz val="9"/>
            <color indexed="81"/>
            <rFont val="Tahoma"/>
            <family val="2"/>
          </rPr>
          <t xml:space="preserve">
No bending or shear after 30m</t>
        </r>
      </text>
    </comment>
    <comment ref="AD94" authorId="0" shapeId="0" xr:uid="{00000000-0006-0000-0800-000015000000}">
      <text>
        <r>
          <rPr>
            <b/>
            <sz val="9"/>
            <color indexed="81"/>
            <rFont val="Tahoma"/>
            <family val="2"/>
          </rPr>
          <t>Duncan Robertson:</t>
        </r>
        <r>
          <rPr>
            <sz val="9"/>
            <color indexed="81"/>
            <rFont val="Tahoma"/>
            <family val="2"/>
          </rPr>
          <t xml:space="preserve">
Axial reinforcement</t>
        </r>
      </text>
    </comment>
  </commentList>
</comments>
</file>

<file path=xl/sharedStrings.xml><?xml version="1.0" encoding="utf-8"?>
<sst xmlns="http://schemas.openxmlformats.org/spreadsheetml/2006/main" count="2305" uniqueCount="228">
  <si>
    <t>Reasoning for reduction to thermal loading</t>
  </si>
  <si>
    <t>Thermal maxima and minima are not likely to occur in quick succession. The maximum temperatures will occur over the summer months, during which the average temperature will be above the minimum casting temperature (used to determine the temperature range). The higher average temperature will cause thermal stresses to develop, which will relax over time (consistent with long term loading). Only the remainder of the maximum uniform temperature is then applied on top of this as an "instantaneous" stress (consistent with short term loading). The principal is the same for thermal contraction, whereby the minimum temperature will occur during the winter months.</t>
  </si>
  <si>
    <t>It has been assumed that half of the thermal effects can be applied as long term loading and therefore only half applies as short term loading. To model the differing material stiffness under thermal loading the Young's Modulus of all concrete members has been scaled to represent 50% short term stiffness (28GPa) and 50% long term stiffness (14GPa) i.e. 21GPa. This stiffness has been used to determine the pile loading under thermal effects only.</t>
  </si>
  <si>
    <t>Only thermal loads shall be affected by the change in stiffness described above. As the thermal loads shall be applied in combination with short term loading (such as fender and mooring loads). To avoid misrepresenting the stiffness of the suspended deck under these combinations the Young's Modulus shall be retained for short term loading in the final model. However, the uniform deck temperature shall be adjusted to give loads appropriate to the reduced stiffness.</t>
  </si>
  <si>
    <t>m</t>
  </si>
  <si>
    <t>Inputs:</t>
  </si>
  <si>
    <t>Titles</t>
  </si>
  <si>
    <t>Variables</t>
  </si>
  <si>
    <t>Parameter</t>
  </si>
  <si>
    <t>Outputs:</t>
  </si>
  <si>
    <t>General</t>
  </si>
  <si>
    <t>Ok (Pass)</t>
  </si>
  <si>
    <t>Fail</t>
  </si>
  <si>
    <r>
      <t xml:space="preserve">- This spreadsheet does </t>
    </r>
    <r>
      <rPr>
        <u/>
        <sz val="9"/>
        <color indexed="60"/>
        <rFont val="Arial"/>
        <family val="2"/>
      </rPr>
      <t>not</t>
    </r>
    <r>
      <rPr>
        <sz val="9"/>
        <color indexed="60"/>
        <rFont val="Arial"/>
        <family val="2"/>
      </rPr>
      <t xml:space="preserve"> check the longitudinal shear is adequate, in accordance with cl. 6.2.3(7) for the assumed cot</t>
    </r>
    <r>
      <rPr>
        <i/>
        <sz val="10"/>
        <color indexed="60"/>
        <rFont val="Times Roman Italic"/>
        <family val="1"/>
      </rPr>
      <t>θ.</t>
    </r>
  </si>
  <si>
    <t>DEFINITIONS</t>
  </si>
  <si>
    <r>
      <t xml:space="preserve">- References are to BS EN1992-1-1, using the UK NA where applicable;  listed as either the clause, expression (in brackets), or table or figures as noted..  </t>
    </r>
    <r>
      <rPr>
        <sz val="14"/>
        <color indexed="60"/>
        <rFont val="Arial"/>
        <family val="2"/>
      </rPr>
      <t>*</t>
    </r>
    <r>
      <rPr>
        <sz val="9"/>
        <color indexed="60"/>
        <rFont val="Arial"/>
        <family val="2"/>
      </rPr>
      <t xml:space="preserve"> following an expression reference denotes where the expression is modified as per 2011  NST 04.</t>
    </r>
  </si>
  <si>
    <t>INPUT DATA &amp; GEOMETRY CHECKS</t>
  </si>
  <si>
    <t>Reference</t>
  </si>
  <si>
    <t>Geometry and Material Parameters:</t>
  </si>
  <si>
    <t>Diameter, D =</t>
  </si>
  <si>
    <t>mm</t>
  </si>
  <si>
    <t>cover =</t>
  </si>
  <si>
    <r>
      <t>A</t>
    </r>
    <r>
      <rPr>
        <vertAlign val="subscript"/>
        <sz val="10"/>
        <rFont val="Arial"/>
        <family val="2"/>
      </rPr>
      <t>gross</t>
    </r>
    <r>
      <rPr>
        <sz val="10"/>
        <rFont val="Arial"/>
        <family val="2"/>
      </rPr>
      <t xml:space="preserve"> =</t>
    </r>
  </si>
  <si>
    <r>
      <t>mm</t>
    </r>
    <r>
      <rPr>
        <vertAlign val="superscript"/>
        <sz val="8"/>
        <rFont val="Arial"/>
        <family val="2"/>
      </rPr>
      <t>2</t>
    </r>
  </si>
  <si>
    <r>
      <t>m</t>
    </r>
    <r>
      <rPr>
        <vertAlign val="superscript"/>
        <sz val="8"/>
        <color indexed="22"/>
        <rFont val="Arial"/>
        <family val="2"/>
      </rPr>
      <t>2</t>
    </r>
  </si>
  <si>
    <r>
      <t>D</t>
    </r>
    <r>
      <rPr>
        <vertAlign val="subscript"/>
        <sz val="10"/>
        <rFont val="Arial"/>
        <family val="2"/>
      </rPr>
      <t>L</t>
    </r>
    <r>
      <rPr>
        <sz val="10"/>
        <rFont val="Arial"/>
        <family val="2"/>
      </rPr>
      <t xml:space="preserve"> =</t>
    </r>
  </si>
  <si>
    <r>
      <t>D</t>
    </r>
    <r>
      <rPr>
        <vertAlign val="subscript"/>
        <sz val="10"/>
        <rFont val="Arial"/>
        <family val="2"/>
      </rPr>
      <t>w</t>
    </r>
    <r>
      <rPr>
        <sz val="10"/>
        <rFont val="Arial"/>
        <family val="2"/>
      </rPr>
      <t xml:space="preserve"> =</t>
    </r>
  </si>
  <si>
    <r>
      <t>f</t>
    </r>
    <r>
      <rPr>
        <vertAlign val="subscript"/>
        <sz val="10"/>
        <rFont val="Arial"/>
        <family val="2"/>
      </rPr>
      <t>ck</t>
    </r>
    <r>
      <rPr>
        <sz val="10"/>
        <rFont val="Arial"/>
        <family val="2"/>
      </rPr>
      <t xml:space="preserve"> =</t>
    </r>
  </si>
  <si>
    <t>MPa</t>
  </si>
  <si>
    <r>
      <rPr>
        <sz val="11"/>
        <rFont val="Times New Roman"/>
        <family val="1"/>
      </rPr>
      <t>γ</t>
    </r>
    <r>
      <rPr>
        <vertAlign val="subscript"/>
        <sz val="10"/>
        <rFont val="Arial"/>
        <family val="2"/>
      </rPr>
      <t>C</t>
    </r>
    <r>
      <rPr>
        <sz val="10"/>
        <rFont val="Arial"/>
        <family val="2"/>
      </rPr>
      <t xml:space="preserve"> =</t>
    </r>
  </si>
  <si>
    <t>Table 2.1</t>
  </si>
  <si>
    <r>
      <rPr>
        <sz val="12"/>
        <rFont val="Times New Roman"/>
        <family val="1"/>
      </rPr>
      <t>ε</t>
    </r>
    <r>
      <rPr>
        <vertAlign val="subscript"/>
        <sz val="10"/>
        <rFont val="Arial"/>
        <family val="2"/>
      </rPr>
      <t>c3</t>
    </r>
    <r>
      <rPr>
        <sz val="10"/>
        <rFont val="Arial"/>
        <family val="2"/>
      </rPr>
      <t xml:space="preserve"> =</t>
    </r>
  </si>
  <si>
    <t>millistrain</t>
  </si>
  <si>
    <t>Table 3.1</t>
  </si>
  <si>
    <r>
      <t>E</t>
    </r>
    <r>
      <rPr>
        <vertAlign val="subscript"/>
        <sz val="10"/>
        <rFont val="Arial"/>
        <family val="2"/>
      </rPr>
      <t>C</t>
    </r>
    <r>
      <rPr>
        <sz val="10"/>
        <rFont val="Arial"/>
        <family val="2"/>
      </rPr>
      <t xml:space="preserve"> = f</t>
    </r>
    <r>
      <rPr>
        <vertAlign val="subscript"/>
        <sz val="10"/>
        <rFont val="Arial"/>
        <family val="2"/>
      </rPr>
      <t>cd</t>
    </r>
    <r>
      <rPr>
        <sz val="10"/>
        <rFont val="Arial"/>
        <family val="2"/>
      </rPr>
      <t xml:space="preserve"> / </t>
    </r>
    <r>
      <rPr>
        <sz val="12"/>
        <rFont val="Times New Roman"/>
        <family val="1"/>
      </rPr>
      <t>ε</t>
    </r>
    <r>
      <rPr>
        <vertAlign val="subscript"/>
        <sz val="10"/>
        <rFont val="Arial"/>
        <family val="2"/>
      </rPr>
      <t>c3</t>
    </r>
    <r>
      <rPr>
        <sz val="10"/>
        <rFont val="Arial"/>
        <family val="2"/>
      </rPr>
      <t xml:space="preserve"> =</t>
    </r>
  </si>
  <si>
    <t>GPa</t>
  </si>
  <si>
    <t>Fig 3.4</t>
  </si>
  <si>
    <r>
      <rPr>
        <sz val="10"/>
        <rFont val="Times Roman Italic"/>
        <family val="1"/>
      </rPr>
      <t>α</t>
    </r>
    <r>
      <rPr>
        <vertAlign val="subscript"/>
        <sz val="9"/>
        <rFont val="Arial"/>
        <family val="2"/>
      </rPr>
      <t xml:space="preserve">cc </t>
    </r>
    <r>
      <rPr>
        <sz val="9"/>
        <rFont val="Arial"/>
        <family val="2"/>
      </rPr>
      <t>for shear =</t>
    </r>
  </si>
  <si>
    <t>3.1.6(1)</t>
  </si>
  <si>
    <r>
      <rPr>
        <sz val="9"/>
        <rFont val="Arial"/>
        <family val="2"/>
      </rPr>
      <t>f</t>
    </r>
    <r>
      <rPr>
        <vertAlign val="subscript"/>
        <sz val="9"/>
        <rFont val="Arial"/>
        <family val="2"/>
      </rPr>
      <t>cd</t>
    </r>
    <r>
      <rPr>
        <sz val="9"/>
        <rFont val="Arial"/>
        <family val="2"/>
      </rPr>
      <t xml:space="preserve"> =</t>
    </r>
  </si>
  <si>
    <t>SHEAR RESISTANCE</t>
  </si>
  <si>
    <r>
      <rPr>
        <sz val="10"/>
        <rFont val="Times Roman Italic"/>
        <family val="1"/>
      </rPr>
      <t>ν</t>
    </r>
    <r>
      <rPr>
        <vertAlign val="subscript"/>
        <sz val="9"/>
        <rFont val="Arial"/>
        <family val="2"/>
      </rPr>
      <t>1</t>
    </r>
    <r>
      <rPr>
        <sz val="9"/>
        <rFont val="Arial"/>
        <family val="2"/>
      </rPr>
      <t>f</t>
    </r>
    <r>
      <rPr>
        <vertAlign val="subscript"/>
        <sz val="9"/>
        <rFont val="Arial"/>
        <family val="2"/>
      </rPr>
      <t>cd</t>
    </r>
    <r>
      <rPr>
        <sz val="9"/>
        <rFont val="Arial"/>
        <family val="2"/>
      </rPr>
      <t xml:space="preserve"> =</t>
    </r>
  </si>
  <si>
    <t>6.2.3(3)</t>
  </si>
  <si>
    <t>Moment-shear interaction factors</t>
  </si>
  <si>
    <r>
      <rPr>
        <sz val="12"/>
        <rFont val="Times New Roman"/>
        <family val="1"/>
      </rPr>
      <t>α</t>
    </r>
    <r>
      <rPr>
        <vertAlign val="subscript"/>
        <sz val="10"/>
        <rFont val="Arial"/>
        <family val="2"/>
      </rPr>
      <t>cMc</t>
    </r>
    <r>
      <rPr>
        <sz val="10"/>
        <rFont val="Arial"/>
        <family val="2"/>
      </rPr>
      <t xml:space="preserve"> =</t>
    </r>
  </si>
  <si>
    <r>
      <t>f</t>
    </r>
    <r>
      <rPr>
        <vertAlign val="subscript"/>
        <sz val="10"/>
        <rFont val="Arial"/>
        <family val="2"/>
      </rPr>
      <t xml:space="preserve">yw </t>
    </r>
    <r>
      <rPr>
        <sz val="10"/>
        <rFont val="Arial"/>
        <family val="2"/>
      </rPr>
      <t>=</t>
    </r>
  </si>
  <si>
    <t>Annex C</t>
  </si>
  <si>
    <r>
      <rPr>
        <sz val="12"/>
        <rFont val="Times New Roman"/>
        <family val="1"/>
      </rPr>
      <t>α</t>
    </r>
    <r>
      <rPr>
        <vertAlign val="subscript"/>
        <sz val="10"/>
        <rFont val="Arial"/>
        <family val="2"/>
      </rPr>
      <t>cMs,circ</t>
    </r>
    <r>
      <rPr>
        <sz val="10"/>
        <rFont val="Arial"/>
        <family val="2"/>
      </rPr>
      <t xml:space="preserve"> =</t>
    </r>
  </si>
  <si>
    <r>
      <t>E</t>
    </r>
    <r>
      <rPr>
        <vertAlign val="subscript"/>
        <sz val="10"/>
        <rFont val="Arial"/>
        <family val="2"/>
      </rPr>
      <t>S</t>
    </r>
    <r>
      <rPr>
        <sz val="10"/>
        <rFont val="Arial"/>
        <family val="2"/>
      </rPr>
      <t xml:space="preserve"> =</t>
    </r>
  </si>
  <si>
    <t>3.2.7(4)</t>
  </si>
  <si>
    <r>
      <rPr>
        <sz val="12"/>
        <rFont val="Times New Roman"/>
        <family val="1"/>
      </rPr>
      <t>α</t>
    </r>
    <r>
      <rPr>
        <vertAlign val="subscript"/>
        <sz val="10"/>
        <rFont val="Arial"/>
        <family val="2"/>
      </rPr>
      <t>cMs,spir</t>
    </r>
    <r>
      <rPr>
        <sz val="10"/>
        <rFont val="Arial"/>
        <family val="2"/>
      </rPr>
      <t xml:space="preserve"> =</t>
    </r>
  </si>
  <si>
    <r>
      <rPr>
        <sz val="11"/>
        <rFont val="Times New Roman"/>
        <family val="1"/>
      </rPr>
      <t>γ</t>
    </r>
    <r>
      <rPr>
        <vertAlign val="subscript"/>
        <sz val="10"/>
        <rFont val="Arial"/>
        <family val="2"/>
      </rPr>
      <t>S</t>
    </r>
    <r>
      <rPr>
        <sz val="10"/>
        <rFont val="Arial"/>
        <family val="2"/>
      </rPr>
      <t xml:space="preserve"> =</t>
    </r>
  </si>
  <si>
    <r>
      <t>f</t>
    </r>
    <r>
      <rPr>
        <vertAlign val="subscript"/>
        <sz val="10"/>
        <rFont val="Arial"/>
        <family val="2"/>
      </rPr>
      <t xml:space="preserve">ywd </t>
    </r>
    <r>
      <rPr>
        <sz val="10"/>
        <rFont val="Arial"/>
        <family val="2"/>
      </rPr>
      <t>=</t>
    </r>
  </si>
  <si>
    <t>Fig 3.8</t>
  </si>
  <si>
    <t>Link efficiency factors</t>
  </si>
  <si>
    <r>
      <rPr>
        <sz val="12"/>
        <rFont val="Times New Roman"/>
        <family val="1"/>
      </rPr>
      <t>β</t>
    </r>
    <r>
      <rPr>
        <vertAlign val="subscript"/>
        <sz val="10"/>
        <rFont val="Arial"/>
        <family val="2"/>
      </rPr>
      <t>circ</t>
    </r>
    <r>
      <rPr>
        <sz val="10"/>
        <rFont val="Arial"/>
        <family val="2"/>
      </rPr>
      <t>z =</t>
    </r>
  </si>
  <si>
    <t>Longitudinal Reinforcement:</t>
  </si>
  <si>
    <r>
      <t>b</t>
    </r>
    <r>
      <rPr>
        <vertAlign val="subscript"/>
        <sz val="10"/>
        <rFont val="Arial"/>
        <family val="2"/>
      </rPr>
      <t>w</t>
    </r>
    <r>
      <rPr>
        <sz val="10"/>
        <rFont val="Arial"/>
        <family val="2"/>
      </rPr>
      <t>z =</t>
    </r>
  </si>
  <si>
    <r>
      <t>m</t>
    </r>
    <r>
      <rPr>
        <vertAlign val="superscript"/>
        <sz val="10"/>
        <rFont val="Arial"/>
        <family val="2"/>
      </rPr>
      <t>2</t>
    </r>
  </si>
  <si>
    <r>
      <t>Bar diameter, d</t>
    </r>
    <r>
      <rPr>
        <vertAlign val="subscript"/>
        <sz val="10"/>
        <rFont val="Arial"/>
        <family val="2"/>
      </rPr>
      <t>b</t>
    </r>
    <r>
      <rPr>
        <sz val="10"/>
        <rFont val="Arial"/>
        <family val="2"/>
      </rPr>
      <t xml:space="preserve"> =</t>
    </r>
  </si>
  <si>
    <r>
      <rPr>
        <sz val="12"/>
        <rFont val="Times New Roman"/>
        <family val="1"/>
      </rPr>
      <t>β</t>
    </r>
    <r>
      <rPr>
        <vertAlign val="subscript"/>
        <sz val="10"/>
        <rFont val="Arial"/>
        <family val="2"/>
      </rPr>
      <t>circ</t>
    </r>
    <r>
      <rPr>
        <sz val="10"/>
        <rFont val="Arial"/>
        <family val="2"/>
      </rPr>
      <t xml:space="preserve"> =</t>
    </r>
  </si>
  <si>
    <r>
      <t>No. Bars, n</t>
    </r>
    <r>
      <rPr>
        <vertAlign val="subscript"/>
        <sz val="10"/>
        <rFont val="Arial"/>
        <family val="2"/>
      </rPr>
      <t>b</t>
    </r>
    <r>
      <rPr>
        <sz val="11"/>
        <color theme="1"/>
        <rFont val="Calibri"/>
        <family val="2"/>
        <scheme val="minor"/>
      </rPr>
      <t xml:space="preserve"> =</t>
    </r>
  </si>
  <si>
    <r>
      <t>A</t>
    </r>
    <r>
      <rPr>
        <vertAlign val="subscript"/>
        <sz val="10"/>
        <rFont val="Arial"/>
        <family val="2"/>
      </rPr>
      <t>s_total</t>
    </r>
    <r>
      <rPr>
        <sz val="10"/>
        <rFont val="Arial"/>
        <family val="2"/>
      </rPr>
      <t xml:space="preserve"> =</t>
    </r>
  </si>
  <si>
    <r>
      <t>mm</t>
    </r>
    <r>
      <rPr>
        <vertAlign val="superscript"/>
        <sz val="10"/>
        <rFont val="Arial"/>
        <family val="2"/>
      </rPr>
      <t>2</t>
    </r>
  </si>
  <si>
    <r>
      <t>m</t>
    </r>
    <r>
      <rPr>
        <vertAlign val="superscript"/>
        <sz val="10"/>
        <color indexed="22"/>
        <rFont val="Arial"/>
        <family val="2"/>
      </rPr>
      <t>2</t>
    </r>
  </si>
  <si>
    <t>Resistance</t>
  </si>
  <si>
    <r>
      <rPr>
        <i/>
        <sz val="11"/>
        <rFont val="Times Roman Italic"/>
        <family val="1"/>
      </rPr>
      <t>ρ</t>
    </r>
    <r>
      <rPr>
        <vertAlign val="subscript"/>
        <sz val="10"/>
        <rFont val="Arial"/>
        <family val="2"/>
      </rPr>
      <t>b</t>
    </r>
    <r>
      <rPr>
        <sz val="10"/>
        <rFont val="Arial"/>
        <family val="2"/>
      </rPr>
      <t xml:space="preserve"> =</t>
    </r>
  </si>
  <si>
    <t>%</t>
  </si>
  <si>
    <r>
      <t>Min N</t>
    </r>
    <r>
      <rPr>
        <u/>
        <vertAlign val="subscript"/>
        <sz val="10"/>
        <rFont val="Arial"/>
        <family val="2"/>
      </rPr>
      <t>ed</t>
    </r>
  </si>
  <si>
    <r>
      <t>V</t>
    </r>
    <r>
      <rPr>
        <vertAlign val="subscript"/>
        <sz val="10"/>
        <rFont val="Arial"/>
        <family val="2"/>
      </rPr>
      <t>Rd,s</t>
    </r>
    <r>
      <rPr>
        <sz val="8"/>
        <rFont val="Arial"/>
        <family val="2"/>
      </rPr>
      <t xml:space="preserve"> (for cot</t>
    </r>
    <r>
      <rPr>
        <i/>
        <sz val="8"/>
        <rFont val="Times Roman Italic"/>
        <family val="1"/>
      </rPr>
      <t>θ</t>
    </r>
    <r>
      <rPr>
        <sz val="8"/>
        <rFont val="Arial"/>
        <family val="2"/>
      </rPr>
      <t>=1)</t>
    </r>
    <r>
      <rPr>
        <sz val="10"/>
        <rFont val="Times Roman Italic"/>
        <family val="1"/>
      </rPr>
      <t xml:space="preserve"> </t>
    </r>
    <r>
      <rPr>
        <sz val="11"/>
        <color theme="1"/>
        <rFont val="Calibri"/>
        <family val="2"/>
        <scheme val="minor"/>
      </rPr>
      <t>=</t>
    </r>
  </si>
  <si>
    <t>kN</t>
  </si>
  <si>
    <r>
      <t>(6.8)</t>
    </r>
    <r>
      <rPr>
        <sz val="11"/>
        <rFont val="Arial"/>
        <family val="2"/>
      </rPr>
      <t>*</t>
    </r>
  </si>
  <si>
    <t>Shear Reinforcement</t>
  </si>
  <si>
    <r>
      <t>V</t>
    </r>
    <r>
      <rPr>
        <vertAlign val="subscript"/>
        <sz val="10"/>
        <rFont val="Arial"/>
        <family val="2"/>
      </rPr>
      <t>Rd,max</t>
    </r>
    <r>
      <rPr>
        <sz val="8"/>
        <rFont val="Arial"/>
        <family val="2"/>
      </rPr>
      <t xml:space="preserve"> (for cot</t>
    </r>
    <r>
      <rPr>
        <i/>
        <sz val="8"/>
        <rFont val="Times Roman Italic"/>
        <family val="1"/>
      </rPr>
      <t>θ</t>
    </r>
    <r>
      <rPr>
        <sz val="8"/>
        <rFont val="Arial"/>
        <family val="2"/>
      </rPr>
      <t>=1)</t>
    </r>
    <r>
      <rPr>
        <sz val="10"/>
        <rFont val="Times Roman Italic"/>
        <family val="1"/>
      </rPr>
      <t xml:space="preserve"> </t>
    </r>
    <r>
      <rPr>
        <sz val="11"/>
        <color theme="1"/>
        <rFont val="Calibri"/>
        <family val="2"/>
        <scheme val="minor"/>
      </rPr>
      <t>=</t>
    </r>
  </si>
  <si>
    <r>
      <t>(6.9)</t>
    </r>
    <r>
      <rPr>
        <sz val="11"/>
        <rFont val="Arial"/>
        <family val="2"/>
      </rPr>
      <t>*</t>
    </r>
  </si>
  <si>
    <t>From</t>
  </si>
  <si>
    <t>m below top</t>
  </si>
  <si>
    <r>
      <rPr>
        <sz val="11"/>
        <color theme="1"/>
        <rFont val="Calibri"/>
        <family val="2"/>
        <scheme val="minor"/>
      </rPr>
      <t>cot</t>
    </r>
    <r>
      <rPr>
        <i/>
        <sz val="10"/>
        <rFont val="Times Roman Italic"/>
        <family val="1"/>
      </rPr>
      <t>θ</t>
    </r>
    <r>
      <rPr>
        <sz val="10"/>
        <rFont val="Times Roman Italic"/>
        <family val="1"/>
      </rPr>
      <t xml:space="preserve"> </t>
    </r>
    <r>
      <rPr>
        <sz val="11"/>
        <color theme="1"/>
        <rFont val="Calibri"/>
        <family val="2"/>
        <scheme val="minor"/>
      </rPr>
      <t>=</t>
    </r>
  </si>
  <si>
    <t>Type =</t>
  </si>
  <si>
    <r>
      <t>V</t>
    </r>
    <r>
      <rPr>
        <vertAlign val="subscript"/>
        <sz val="10"/>
        <rFont val="Arial"/>
        <family val="2"/>
      </rPr>
      <t>Rd</t>
    </r>
    <r>
      <rPr>
        <sz val="10"/>
        <rFont val="Times Roman Italic"/>
        <family val="1"/>
      </rPr>
      <t xml:space="preserve"> </t>
    </r>
    <r>
      <rPr>
        <sz val="11"/>
        <color theme="1"/>
        <rFont val="Calibri"/>
        <family val="2"/>
        <scheme val="minor"/>
      </rPr>
      <t>=</t>
    </r>
  </si>
  <si>
    <r>
      <t>Bar diameter, d</t>
    </r>
    <r>
      <rPr>
        <vertAlign val="subscript"/>
        <sz val="10"/>
        <rFont val="Arial"/>
        <family val="2"/>
      </rPr>
      <t>bv</t>
    </r>
    <r>
      <rPr>
        <sz val="10"/>
        <rFont val="Arial"/>
        <family val="2"/>
      </rPr>
      <t xml:space="preserve"> =</t>
    </r>
  </si>
  <si>
    <r>
      <t>V</t>
    </r>
    <r>
      <rPr>
        <vertAlign val="subscript"/>
        <sz val="10"/>
        <rFont val="Arial"/>
        <family val="2"/>
      </rPr>
      <t xml:space="preserve">Ed </t>
    </r>
    <r>
      <rPr>
        <sz val="10"/>
        <rFont val="Arial"/>
        <family val="2"/>
      </rPr>
      <t>/ V</t>
    </r>
    <r>
      <rPr>
        <vertAlign val="subscript"/>
        <sz val="10"/>
        <rFont val="Arial"/>
        <family val="2"/>
      </rPr>
      <t>Rd</t>
    </r>
    <r>
      <rPr>
        <sz val="10"/>
        <rFont val="Arial"/>
        <family val="2"/>
      </rPr>
      <t xml:space="preserve"> =</t>
    </r>
  </si>
  <si>
    <t>for 75% utilisation</t>
  </si>
  <si>
    <r>
      <t>mm</t>
    </r>
    <r>
      <rPr>
        <vertAlign val="superscript"/>
        <sz val="10"/>
        <rFont val="Arial"/>
        <family val="2"/>
      </rPr>
      <t>2</t>
    </r>
    <r>
      <rPr>
        <sz val="8"/>
        <rFont val="Arial"/>
        <family val="2"/>
      </rPr>
      <t>/ m</t>
    </r>
  </si>
  <si>
    <r>
      <t>m</t>
    </r>
    <r>
      <rPr>
        <vertAlign val="superscript"/>
        <sz val="10"/>
        <color indexed="22"/>
        <rFont val="Arial"/>
        <family val="2"/>
      </rPr>
      <t>2</t>
    </r>
    <r>
      <rPr>
        <sz val="10"/>
        <color indexed="22"/>
        <rFont val="Arial"/>
        <family val="2"/>
      </rPr>
      <t>/m</t>
    </r>
  </si>
  <si>
    <r>
      <t>Max N</t>
    </r>
    <r>
      <rPr>
        <u/>
        <vertAlign val="subscript"/>
        <sz val="10"/>
        <rFont val="Arial"/>
        <family val="2"/>
      </rPr>
      <t>ed</t>
    </r>
  </si>
  <si>
    <t>Design Values</t>
  </si>
  <si>
    <r>
      <t>V</t>
    </r>
    <r>
      <rPr>
        <vertAlign val="subscript"/>
        <sz val="10"/>
        <rFont val="Arial"/>
        <family val="2"/>
      </rPr>
      <t>Ed</t>
    </r>
    <r>
      <rPr>
        <sz val="10"/>
        <rFont val="Arial"/>
        <family val="2"/>
      </rPr>
      <t xml:space="preserve"> =</t>
    </r>
  </si>
  <si>
    <t>MN</t>
  </si>
  <si>
    <r>
      <t>M</t>
    </r>
    <r>
      <rPr>
        <vertAlign val="subscript"/>
        <sz val="10"/>
        <rFont val="Arial"/>
        <family val="2"/>
      </rPr>
      <t xml:space="preserve">Ed </t>
    </r>
    <r>
      <rPr>
        <sz val="10"/>
        <rFont val="Arial"/>
        <family val="2"/>
      </rPr>
      <t>/ M</t>
    </r>
    <r>
      <rPr>
        <vertAlign val="subscript"/>
        <sz val="10"/>
        <rFont val="Arial"/>
        <family val="2"/>
      </rPr>
      <t>Rd</t>
    </r>
    <r>
      <rPr>
        <sz val="10"/>
        <rFont val="Arial"/>
        <family val="2"/>
      </rPr>
      <t xml:space="preserve"> =</t>
    </r>
  </si>
  <si>
    <r>
      <t>N</t>
    </r>
    <r>
      <rPr>
        <vertAlign val="subscript"/>
        <sz val="10"/>
        <rFont val="Arial"/>
        <family val="2"/>
      </rPr>
      <t>Ed</t>
    </r>
    <r>
      <rPr>
        <sz val="10"/>
        <rFont val="Arial"/>
        <family val="2"/>
      </rPr>
      <t xml:space="preserve"> =</t>
    </r>
  </si>
  <si>
    <r>
      <t xml:space="preserve">kN  </t>
    </r>
    <r>
      <rPr>
        <sz val="8"/>
        <color indexed="60"/>
        <rFont val="Arial"/>
        <family val="2"/>
      </rPr>
      <t xml:space="preserve"> (compression positive)</t>
    </r>
  </si>
  <si>
    <r>
      <rPr>
        <sz val="10"/>
        <rFont val="Times Roman Italic"/>
        <family val="1"/>
      </rPr>
      <t>σ</t>
    </r>
    <r>
      <rPr>
        <vertAlign val="subscript"/>
        <sz val="9"/>
        <rFont val="Arial"/>
        <family val="2"/>
      </rPr>
      <t>cp</t>
    </r>
    <r>
      <rPr>
        <sz val="9"/>
        <rFont val="Arial"/>
        <family val="2"/>
      </rPr>
      <t xml:space="preserve"> =</t>
    </r>
  </si>
  <si>
    <t>DETAILING RULES</t>
  </si>
  <si>
    <r>
      <rPr>
        <sz val="10"/>
        <rFont val="Times Roman Italic"/>
        <family val="1"/>
      </rPr>
      <t>α</t>
    </r>
    <r>
      <rPr>
        <vertAlign val="subscript"/>
        <sz val="9"/>
        <rFont val="Arial"/>
        <family val="2"/>
      </rPr>
      <t>cw</t>
    </r>
  </si>
  <si>
    <t>Minimum shear reinforcement check</t>
  </si>
  <si>
    <t>6.2.1(4)</t>
  </si>
  <si>
    <r>
      <rPr>
        <i/>
        <sz val="11"/>
        <rFont val="Times Bold Italic"/>
        <family val="1"/>
      </rPr>
      <t>ρ</t>
    </r>
    <r>
      <rPr>
        <vertAlign val="subscript"/>
        <sz val="10"/>
        <rFont val="Arial"/>
        <family val="2"/>
      </rPr>
      <t>w,min</t>
    </r>
    <r>
      <rPr>
        <sz val="10"/>
        <rFont val="Times Roman Italic"/>
        <family val="1"/>
      </rPr>
      <t xml:space="preserve"> </t>
    </r>
    <r>
      <rPr>
        <sz val="11"/>
        <color theme="1"/>
        <rFont val="Calibri"/>
        <family val="2"/>
        <scheme val="minor"/>
      </rPr>
      <t>=</t>
    </r>
  </si>
  <si>
    <t>(9.5)</t>
  </si>
  <si>
    <r>
      <rPr>
        <i/>
        <sz val="11"/>
        <rFont val="Times Bold Italic"/>
        <family val="1"/>
      </rPr>
      <t>ρ</t>
    </r>
    <r>
      <rPr>
        <i/>
        <vertAlign val="subscript"/>
        <sz val="10"/>
        <rFont val="Arial"/>
        <family val="2"/>
      </rPr>
      <t>w</t>
    </r>
    <r>
      <rPr>
        <i/>
        <sz val="10"/>
        <rFont val="Arial"/>
        <family val="2"/>
      </rPr>
      <t xml:space="preserve"> </t>
    </r>
    <r>
      <rPr>
        <sz val="11"/>
        <color theme="1"/>
        <rFont val="Calibri"/>
        <family val="2"/>
        <scheme val="minor"/>
      </rPr>
      <t>=</t>
    </r>
  </si>
  <si>
    <r>
      <t>(9.4)</t>
    </r>
    <r>
      <rPr>
        <sz val="11"/>
        <rFont val="Arial"/>
        <family val="2"/>
      </rPr>
      <t>*</t>
    </r>
  </si>
  <si>
    <r>
      <rPr>
        <i/>
        <sz val="11"/>
        <rFont val="Times Bold Italic"/>
        <family val="1"/>
      </rPr>
      <t>ρ</t>
    </r>
    <r>
      <rPr>
        <i/>
        <vertAlign val="subscript"/>
        <sz val="10"/>
        <rFont val="Arial"/>
        <family val="2"/>
      </rPr>
      <t>w</t>
    </r>
    <r>
      <rPr>
        <i/>
        <sz val="10"/>
        <rFont val="Arial"/>
        <family val="2"/>
      </rPr>
      <t xml:space="preserve"> / </t>
    </r>
    <r>
      <rPr>
        <i/>
        <sz val="11"/>
        <rFont val="Times Bold Italic"/>
        <family val="1"/>
      </rPr>
      <t>ρ</t>
    </r>
    <r>
      <rPr>
        <vertAlign val="subscript"/>
        <sz val="10"/>
        <rFont val="Arial"/>
        <family val="2"/>
      </rPr>
      <t>w,min</t>
    </r>
    <r>
      <rPr>
        <i/>
        <sz val="10"/>
        <rFont val="Arial"/>
        <family val="2"/>
      </rPr>
      <t xml:space="preserve"> </t>
    </r>
    <r>
      <rPr>
        <sz val="11"/>
        <color theme="1"/>
        <rFont val="Calibri"/>
        <family val="2"/>
        <scheme val="minor"/>
      </rPr>
      <t>=</t>
    </r>
  </si>
  <si>
    <t>Extra longitudinal force =</t>
  </si>
  <si>
    <t>CHECK PITCH:</t>
  </si>
  <si>
    <t>BAFO design reinforcement rates</t>
  </si>
  <si>
    <t>Back Piles ( = Zones A, C, E)</t>
  </si>
  <si>
    <t>Front Piles ( = Zones B, D, F)</t>
  </si>
  <si>
    <t>Depth acting from (m)</t>
  </si>
  <si>
    <t>Weight of steel (kg/m3)</t>
  </si>
  <si>
    <t>Weight of steel (kg/m)</t>
  </si>
  <si>
    <t>Weight of steel (kg)</t>
  </si>
  <si>
    <t>kg</t>
  </si>
  <si>
    <t>Front Pile Weight (Zones B,D,F)</t>
  </si>
  <si>
    <t>Back Pile Weight (Zones A,C,E)</t>
  </si>
  <si>
    <t>Total kg</t>
  </si>
  <si>
    <t>Unit weight of steel reinforcement</t>
  </si>
  <si>
    <t>kg/m3</t>
  </si>
  <si>
    <t>BAFO design steel</t>
  </si>
  <si>
    <t>-</t>
  </si>
  <si>
    <t>Pile Diameter</t>
  </si>
  <si>
    <t>Design</t>
  </si>
  <si>
    <t>of BAFO design steel</t>
  </si>
  <si>
    <t>Toe of Pile (assumed)</t>
  </si>
  <si>
    <t>Link diameter (+10% lap)</t>
  </si>
  <si>
    <t>All piles avg. length</t>
  </si>
  <si>
    <t>Zone A</t>
  </si>
  <si>
    <t>Individual Zone A piles</t>
  </si>
  <si>
    <t>Zone A Pile lengths</t>
  </si>
  <si>
    <t>Pile Cut-off Level (mCD)</t>
  </si>
  <si>
    <t>Envisaged Rockhead Level (mCD)</t>
  </si>
  <si>
    <t>Minimum Rock Socket Length (mm)</t>
  </si>
  <si>
    <t>Total length (m)</t>
  </si>
  <si>
    <t>Concrete, fck (N/mm2)</t>
  </si>
  <si>
    <t>Longitudinal Reinforcement</t>
  </si>
  <si>
    <t>WQ-P01</t>
  </si>
  <si>
    <t>+3.965</t>
  </si>
  <si>
    <t>Dia. (mm)</t>
  </si>
  <si>
    <t>No.</t>
  </si>
  <si>
    <t>Utilisation</t>
  </si>
  <si>
    <t>Spacing (mm)</t>
  </si>
  <si>
    <t>WQ-P03</t>
  </si>
  <si>
    <t>+</t>
  </si>
  <si>
    <t>WQ-P05</t>
  </si>
  <si>
    <t>WQ-P07</t>
  </si>
  <si>
    <t>WQ-P43</t>
  </si>
  <si>
    <t>WQ-P45</t>
  </si>
  <si>
    <t>WQ-P47</t>
  </si>
  <si>
    <t>WQ-P49</t>
  </si>
  <si>
    <t>=</t>
  </si>
  <si>
    <t>Zone B</t>
  </si>
  <si>
    <t>Zone B Pile lengths</t>
  </si>
  <si>
    <t>Depth acting from</t>
  </si>
  <si>
    <t>Individual Zone B piles</t>
  </si>
  <si>
    <t>WQ-P02</t>
  </si>
  <si>
    <t>+3.765</t>
  </si>
  <si>
    <t>WQ-P04</t>
  </si>
  <si>
    <t>WQ-P06</t>
  </si>
  <si>
    <t>WQ-P08</t>
  </si>
  <si>
    <t>WQ-P44</t>
  </si>
  <si>
    <t>WQ-P46</t>
  </si>
  <si>
    <t>WQ-P48</t>
  </si>
  <si>
    <t>WQ-P50</t>
  </si>
  <si>
    <t>Zone C</t>
  </si>
  <si>
    <t>Zone C Pile lengths</t>
  </si>
  <si>
    <t>Number of Zone C Piles</t>
  </si>
  <si>
    <t>WQ-P09</t>
  </si>
  <si>
    <t>WQ-P11</t>
  </si>
  <si>
    <t>WQ-P13</t>
  </si>
  <si>
    <t>WQ-P37</t>
  </si>
  <si>
    <t>WQ-P39</t>
  </si>
  <si>
    <t>WQ-P41</t>
  </si>
  <si>
    <t>Zone D Pile lengths</t>
  </si>
  <si>
    <t>Zone D</t>
  </si>
  <si>
    <t>WQ-P10</t>
  </si>
  <si>
    <t>Number of Zone D Piles</t>
  </si>
  <si>
    <t>WQ-P12</t>
  </si>
  <si>
    <t>WQ-P14</t>
  </si>
  <si>
    <t>WQ-P38</t>
  </si>
  <si>
    <t>WQ-P40</t>
  </si>
  <si>
    <t>WQ-P42</t>
  </si>
  <si>
    <t>Zone E</t>
  </si>
  <si>
    <t>Zone E Pile lengths</t>
  </si>
  <si>
    <t>Number of Zone E Piles</t>
  </si>
  <si>
    <t>WQ-P15</t>
  </si>
  <si>
    <t>WQ-P17</t>
  </si>
  <si>
    <t>WQ-P19</t>
  </si>
  <si>
    <t>WQ-P21</t>
  </si>
  <si>
    <t>WQ-P23</t>
  </si>
  <si>
    <t>WQ-P25</t>
  </si>
  <si>
    <t>WQ-P27</t>
  </si>
  <si>
    <t>WQ-P29</t>
  </si>
  <si>
    <t>WQ-P31</t>
  </si>
  <si>
    <t>WQ-P33</t>
  </si>
  <si>
    <t>WQ-P35</t>
  </si>
  <si>
    <t>Zone F Pile lengths</t>
  </si>
  <si>
    <t>Zone F</t>
  </si>
  <si>
    <t>WQ-P16</t>
  </si>
  <si>
    <t>Number of Zone F Piles</t>
  </si>
  <si>
    <t>WQ-P18</t>
  </si>
  <si>
    <t>WQ-P20</t>
  </si>
  <si>
    <t>WQ-P22</t>
  </si>
  <si>
    <t>WQ-P24</t>
  </si>
  <si>
    <t>WQ-P26</t>
  </si>
  <si>
    <t>WQ-P28</t>
  </si>
  <si>
    <t>WQ-P30</t>
  </si>
  <si>
    <t>WQ-P32</t>
  </si>
  <si>
    <t>WQ-P34</t>
  </si>
  <si>
    <t>WQ-P36</t>
  </si>
  <si>
    <t>Front Pile Weight (Zones A,C,E)</t>
  </si>
  <si>
    <t>Back Pile Weight (Zones B,D,F)</t>
  </si>
  <si>
    <t>North quay</t>
  </si>
  <si>
    <t>West Quay</t>
  </si>
  <si>
    <t>Toatal of all piles</t>
  </si>
  <si>
    <t>Number of Zone A Piles</t>
  </si>
  <si>
    <t>Number of Zone B Piles</t>
  </si>
  <si>
    <t>Mass of Steel Reinforcement Calculation</t>
  </si>
  <si>
    <t>Average Depth of Pile</t>
  </si>
  <si>
    <t>The following is a summary based on JCM review of IFIR and Rev02 steel design. It is not based on calculation and is not numerically related to rev 03</t>
  </si>
  <si>
    <t>Total</t>
  </si>
  <si>
    <t>Weight (kg)</t>
  </si>
  <si>
    <t>% BAFO steel</t>
  </si>
  <si>
    <t>% IFIR steel</t>
  </si>
  <si>
    <t>IFIR design steel</t>
  </si>
  <si>
    <t>Reinf per pile</t>
  </si>
  <si>
    <t>of IFIR design steel</t>
  </si>
  <si>
    <t xml:space="preserve">Total number of WQ piles = </t>
  </si>
  <si>
    <t xml:space="preserve">Total weight of steel in WQ piles = </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</si>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</sst>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0"/>
    <numFmt numFmtId="166" formatCode="0.0"/>
    <numFmt numFmtId="167" formatCode="0.0000"/>
    <numFmt numFmtId="168" formatCode="0.0%"/>
    <numFmt numFmtId="169" formatCode="_-* #,##0_-;\-* #,##0_-;_-* &quot;-&quot;??_-;_-@_-"/>
  </numFmts>
  <fonts count="61">
    <font>
      <sz val="11"/>
      <color theme="1"/>
      <name val="Calibri"/>
      <family val="2"/>
      <scheme val="minor"/>
    </font>
    <font>
      <b/>
      <u/>
      <sz val="14"/>
      <color theme="1"/>
      <name val="Calibri"/>
      <family val="2"/>
      <scheme val="minor"/>
    </font>
    <font>
      <b/>
      <u/>
      <sz val="11"/>
      <color theme="1"/>
      <name val="Calibri"/>
      <family val="2"/>
      <scheme val="minor"/>
    </font>
    <font>
      <sz val="11"/>
      <color rgb="FF3F3F76"/>
      <name val="Calibri"/>
      <family val="2"/>
      <scheme val="minor"/>
    </font>
    <font>
      <sz val="10"/>
      <name val="Arial"/>
      <family val="2"/>
    </font>
    <font>
      <u/>
      <sz val="10"/>
      <color theme="10"/>
      <name val="Arial"/>
      <family val="2"/>
    </font>
    <font>
      <u/>
      <sz val="10"/>
      <name val="Arial"/>
      <family val="2"/>
    </font>
    <font>
      <vertAlign val="subscript"/>
      <sz val="10"/>
      <name val="Arial"/>
      <family val="2"/>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Arial"/>
      <family val="2"/>
    </font>
    <font>
      <sz val="9"/>
      <name val="Arial"/>
      <family val="2"/>
    </font>
    <font>
      <b/>
      <sz val="9"/>
      <name val="Arial"/>
      <family val="2"/>
    </font>
    <font>
      <b/>
      <sz val="9"/>
      <color rgb="FF0D01FF"/>
      <name val="Arial"/>
      <family val="2"/>
    </font>
    <font>
      <b/>
      <sz val="9"/>
      <color theme="5" tint="-0.249977111117893"/>
      <name val="Arial"/>
      <family val="2"/>
    </font>
    <font>
      <b/>
      <sz val="9"/>
      <color rgb="FFFF0000"/>
      <name val="Arial"/>
      <family val="2"/>
    </font>
    <font>
      <sz val="9"/>
      <color theme="9" tint="-0.499984740745262"/>
      <name val="Arial"/>
      <family val="2"/>
    </font>
    <font>
      <u/>
      <sz val="9"/>
      <color indexed="60"/>
      <name val="Arial"/>
      <family val="2"/>
    </font>
    <font>
      <sz val="9"/>
      <color indexed="60"/>
      <name val="Arial"/>
      <family val="2"/>
    </font>
    <font>
      <i/>
      <sz val="10"/>
      <color indexed="60"/>
      <name val="Times Roman Italic"/>
      <family val="1"/>
    </font>
    <font>
      <b/>
      <sz val="10"/>
      <name val="Arial"/>
      <family val="2"/>
    </font>
    <font>
      <sz val="14"/>
      <color indexed="60"/>
      <name val="Arial"/>
      <family val="2"/>
    </font>
    <font>
      <i/>
      <sz val="8"/>
      <name val="Arial"/>
      <family val="2"/>
    </font>
    <font>
      <sz val="10"/>
      <color rgb="FF0D01FF"/>
      <name val="Arial"/>
      <family val="2"/>
    </font>
    <font>
      <b/>
      <sz val="10"/>
      <color rgb="FF0D01FF"/>
      <name val="Arial"/>
      <family val="2"/>
    </font>
    <font>
      <sz val="10"/>
      <color theme="0" tint="-0.14999847407452621"/>
      <name val="Arial"/>
      <family val="2"/>
    </font>
    <font>
      <vertAlign val="superscript"/>
      <sz val="8"/>
      <name val="Arial"/>
      <family val="2"/>
    </font>
    <font>
      <vertAlign val="superscript"/>
      <sz val="8"/>
      <color indexed="22"/>
      <name val="Arial"/>
      <family val="2"/>
    </font>
    <font>
      <sz val="11"/>
      <name val="Times New Roman"/>
      <family val="1"/>
    </font>
    <font>
      <b/>
      <sz val="10"/>
      <color theme="5" tint="-0.249977111117893"/>
      <name val="Arial"/>
      <family val="2"/>
    </font>
    <font>
      <sz val="12"/>
      <name val="Times New Roman"/>
      <family val="1"/>
    </font>
    <font>
      <sz val="10"/>
      <name val="Times Roman Italic"/>
      <family val="1"/>
    </font>
    <font>
      <vertAlign val="subscript"/>
      <sz val="9"/>
      <name val="Arial"/>
      <family val="2"/>
    </font>
    <font>
      <vertAlign val="superscript"/>
      <sz val="10"/>
      <name val="Arial"/>
      <family val="2"/>
    </font>
    <font>
      <vertAlign val="superscript"/>
      <sz val="10"/>
      <color indexed="22"/>
      <name val="Arial"/>
      <family val="2"/>
    </font>
    <font>
      <i/>
      <sz val="11"/>
      <name val="Times Roman Italic"/>
      <family val="1"/>
    </font>
    <font>
      <i/>
      <sz val="8"/>
      <name val="Times Roman Italic"/>
      <family val="1"/>
    </font>
    <font>
      <sz val="11"/>
      <name val="Arial"/>
      <family val="2"/>
    </font>
    <font>
      <i/>
      <sz val="10"/>
      <name val="Times Roman Italic"/>
      <family val="1"/>
    </font>
    <font>
      <b/>
      <sz val="12"/>
      <color rgb="FF0D01FF"/>
      <name val="Arial"/>
      <family val="2"/>
    </font>
    <font>
      <i/>
      <sz val="10"/>
      <name val="Arial"/>
      <family val="2"/>
    </font>
    <font>
      <sz val="10"/>
      <color indexed="22"/>
      <name val="Arial"/>
      <family val="2"/>
    </font>
    <font>
      <sz val="10"/>
      <color rgb="FFC00000"/>
      <name val="Arial"/>
      <family val="2"/>
    </font>
    <font>
      <sz val="10"/>
      <color theme="9" tint="-0.249977111117893"/>
      <name val="Arial"/>
      <family val="2"/>
    </font>
    <font>
      <i/>
      <sz val="11"/>
      <name val="Times Bold Italic"/>
      <family val="1"/>
    </font>
    <font>
      <i/>
      <vertAlign val="subscript"/>
      <sz val="10"/>
      <name val="Arial"/>
      <family val="2"/>
    </font>
    <font>
      <sz val="10"/>
      <color theme="0" tint="-0.24994659260841701"/>
      <name val="Arial"/>
      <family val="2"/>
    </font>
    <font>
      <sz val="8"/>
      <color indexed="60"/>
      <name val="Arial"/>
      <family val="2"/>
    </font>
    <font>
      <sz val="8"/>
      <color theme="9" tint="-0.499984740745262"/>
      <name val="Arial"/>
      <family val="2"/>
    </font>
    <font>
      <u/>
      <sz val="12"/>
      <color indexed="56"/>
      <name val="Arial"/>
      <family val="2"/>
    </font>
    <font>
      <u/>
      <sz val="8"/>
      <color indexed="10"/>
      <name val="Arial"/>
      <family val="2"/>
    </font>
    <font>
      <sz val="10"/>
      <color indexed="10"/>
      <name val="Arial"/>
      <family val="2"/>
    </font>
    <font>
      <b/>
      <sz val="10"/>
      <color indexed="10"/>
      <name val="Arial"/>
      <family val="2"/>
    </font>
    <font>
      <u/>
      <vertAlign val="subscript"/>
      <sz val="10"/>
      <name val="Arial"/>
      <family val="2"/>
    </font>
    <font>
      <sz val="11"/>
      <color rgb="FFFF0000"/>
      <name val="Calibri"/>
      <family val="2"/>
      <scheme val="minor"/>
    </font>
    <font>
      <u/>
      <sz val="12"/>
      <color theme="1"/>
      <name val="Arial"/>
      <family val="2"/>
    </font>
    <font>
      <sz val="11"/>
      <name val="Calibri"/>
      <family val="2"/>
      <scheme val="minor"/>
    </font>
    <font>
      <b/>
      <sz val="11"/>
      <color rgb="FF0D01FF"/>
      <name val="Arial"/>
      <family val="2"/>
    </font>
    <font>
      <sz val="28"/>
      <color theme="1"/>
      <name val="Calibri"/>
      <family val="2"/>
      <scheme val="minor"/>
    </font>
  </fonts>
  <fills count="11">
    <fill>
      <patternFill patternType="none"/>
    </fill>
    <fill>
      <patternFill patternType="gray125"/>
    </fill>
    <fill>
      <patternFill patternType="solid">
        <fgColor rgb="FFFFCC99"/>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2">
    <xf numFmtId="0" fontId="0" fillId="0" borderId="0"/>
    <xf numFmtId="0" fontId="3" fillId="2" borderId="2" applyNumberFormat="0" applyAlignment="0" applyProtection="0"/>
    <xf numFmtId="0" fontId="4" fillId="0" borderId="0"/>
    <xf numFmtId="0" fontId="5" fillId="0" borderId="0" applyNumberForma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4" fillId="0" borderId="0" applyFont="0" applyFill="0" applyBorder="0" applyAlignment="0" applyProtection="0"/>
    <xf numFmtId="0" fontId="4" fillId="0" borderId="0"/>
    <xf numFmtId="0" fontId="4" fillId="0" borderId="0"/>
    <xf numFmtId="43" fontId="8" fillId="0" borderId="0" applyFont="0" applyFill="0" applyBorder="0" applyAlignment="0" applyProtection="0"/>
    <xf numFmtId="43" fontId="8" fillId="0" borderId="0" applyFont="0" applyFill="0" applyBorder="0" applyAlignment="0" applyProtection="0"/>
  </cellStyleXfs>
  <cellXfs count="157">
    <xf numFmtId="0" fontId="0" fillId="0" borderId="0" xfId="0"/>
    <xf numFmtId="0" fontId="1" fillId="0" borderId="0" xfId="0" applyFont="1"/>
    <xf numFmtId="0" fontId="2" fillId="0" borderId="0" xfId="0" applyFont="1"/>
    <xf numFmtId="0" fontId="0" fillId="0" borderId="1" xfId="0" applyBorder="1"/>
    <xf numFmtId="0" fontId="4" fillId="0" borderId="0" xfId="2"/>
    <xf numFmtId="0" fontId="3" fillId="2" borderId="2" xfId="1"/>
    <xf numFmtId="0" fontId="4" fillId="0" borderId="0" xfId="2" applyAlignment="1">
      <alignment vertical="top"/>
    </xf>
    <xf numFmtId="0" fontId="13" fillId="0" borderId="9" xfId="2" applyFont="1" applyBorder="1"/>
    <xf numFmtId="0" fontId="14" fillId="3" borderId="10" xfId="2" applyFont="1" applyFill="1" applyBorder="1" applyAlignment="1">
      <alignment horizontal="center"/>
    </xf>
    <xf numFmtId="0" fontId="15" fillId="3" borderId="11" xfId="2" applyFont="1" applyFill="1" applyBorder="1" applyAlignment="1">
      <alignment horizontal="center"/>
    </xf>
    <xf numFmtId="0" fontId="16" fillId="3" borderId="12" xfId="2" applyFont="1" applyFill="1" applyBorder="1" applyAlignment="1">
      <alignment horizontal="center"/>
    </xf>
    <xf numFmtId="0" fontId="12" fillId="0" borderId="0" xfId="2" applyFont="1" applyAlignment="1">
      <alignment horizontal="right"/>
    </xf>
    <xf numFmtId="0" fontId="13" fillId="0" borderId="13" xfId="2" applyFont="1" applyBorder="1"/>
    <xf numFmtId="0" fontId="13" fillId="4" borderId="14" xfId="2" applyFont="1" applyFill="1" applyBorder="1" applyAlignment="1">
      <alignment horizontal="center"/>
    </xf>
    <xf numFmtId="0" fontId="13" fillId="5" borderId="15" xfId="2" applyFont="1" applyFill="1" applyBorder="1" applyAlignment="1">
      <alignment horizontal="center"/>
    </xf>
    <xf numFmtId="0" fontId="17" fillId="6" borderId="16" xfId="2" applyFont="1" applyFill="1" applyBorder="1" applyAlignment="1">
      <alignment horizontal="center"/>
    </xf>
    <xf numFmtId="0" fontId="18" fillId="0" borderId="0" xfId="2" quotePrefix="1" applyFont="1" applyAlignment="1">
      <alignment horizontal="left" indent="2"/>
    </xf>
    <xf numFmtId="0" fontId="22" fillId="0" borderId="4" xfId="2" applyFont="1" applyBorder="1" applyAlignment="1">
      <alignment vertical="top"/>
    </xf>
    <xf numFmtId="0" fontId="4" fillId="0" borderId="5" xfId="2" applyBorder="1"/>
    <xf numFmtId="0" fontId="4" fillId="0" borderId="6" xfId="2" applyBorder="1"/>
    <xf numFmtId="0" fontId="4" fillId="0" borderId="7" xfId="2" applyBorder="1"/>
    <xf numFmtId="0" fontId="4" fillId="0" borderId="8" xfId="2" applyBorder="1"/>
    <xf numFmtId="0" fontId="22" fillId="0" borderId="4" xfId="2" applyFont="1" applyBorder="1" applyAlignment="1">
      <alignment vertical="center"/>
    </xf>
    <xf numFmtId="0" fontId="22" fillId="0" borderId="5" xfId="2" applyFont="1" applyBorder="1" applyAlignment="1">
      <alignment vertical="center"/>
    </xf>
    <xf numFmtId="0" fontId="4" fillId="0" borderId="5" xfId="2" applyBorder="1" applyAlignment="1">
      <alignment vertical="center"/>
    </xf>
    <xf numFmtId="0" fontId="24" fillId="0" borderId="6" xfId="2" applyFont="1" applyBorder="1" applyAlignment="1">
      <alignment horizontal="right" vertical="center"/>
    </xf>
    <xf numFmtId="0" fontId="12" fillId="0" borderId="0" xfId="2" applyFont="1" applyAlignment="1">
      <alignment horizontal="right" vertical="center"/>
    </xf>
    <xf numFmtId="0" fontId="4" fillId="0" borderId="7" xfId="2" applyBorder="1" applyAlignment="1">
      <alignment vertical="center"/>
    </xf>
    <xf numFmtId="0" fontId="4" fillId="0" borderId="0" xfId="2" applyAlignment="1">
      <alignment vertical="center"/>
    </xf>
    <xf numFmtId="0" fontId="4" fillId="0" borderId="8" xfId="2" applyBorder="1" applyAlignment="1">
      <alignment vertical="center"/>
    </xf>
    <xf numFmtId="0" fontId="6" fillId="0" borderId="7" xfId="2" applyFont="1" applyBorder="1" applyAlignment="1">
      <alignment vertical="center"/>
    </xf>
    <xf numFmtId="0" fontId="6" fillId="0" borderId="0" xfId="2" applyFont="1" applyAlignment="1">
      <alignment vertical="center"/>
    </xf>
    <xf numFmtId="0" fontId="25" fillId="0" borderId="0" xfId="2" applyFont="1" applyAlignment="1">
      <alignment vertical="center"/>
    </xf>
    <xf numFmtId="0" fontId="12" fillId="0" borderId="0" xfId="2" applyFont="1" applyAlignment="1">
      <alignment vertical="center"/>
    </xf>
    <xf numFmtId="0" fontId="4" fillId="0" borderId="7" xfId="2" applyBorder="1" applyAlignment="1">
      <alignment horizontal="right" vertical="center" indent="1"/>
    </xf>
    <xf numFmtId="0" fontId="4" fillId="0" borderId="0" xfId="2" applyAlignment="1">
      <alignment horizontal="right" vertical="center" indent="1"/>
    </xf>
    <xf numFmtId="1" fontId="26" fillId="3" borderId="1" xfId="2" applyNumberFormat="1" applyFont="1" applyFill="1" applyBorder="1" applyAlignment="1" applyProtection="1">
      <alignment horizontal="right" vertical="center" indent="1"/>
      <protection locked="0"/>
    </xf>
    <xf numFmtId="0" fontId="12" fillId="0" borderId="0" xfId="2" applyFont="1" applyAlignment="1">
      <alignment horizontal="left" vertical="center" indent="1"/>
    </xf>
    <xf numFmtId="164" fontId="27" fillId="0" borderId="0" xfId="2" applyNumberFormat="1" applyFont="1" applyAlignment="1">
      <alignment horizontal="right" vertical="center"/>
    </xf>
    <xf numFmtId="0" fontId="27" fillId="0" borderId="8" xfId="2" applyFont="1" applyBorder="1" applyAlignment="1">
      <alignment vertical="center"/>
    </xf>
    <xf numFmtId="0" fontId="26" fillId="3" borderId="1" xfId="2" applyFont="1" applyFill="1" applyBorder="1" applyAlignment="1" applyProtection="1">
      <alignment horizontal="right" vertical="center" indent="1"/>
      <protection locked="0"/>
    </xf>
    <xf numFmtId="165" fontId="4" fillId="0" borderId="0" xfId="2" applyNumberFormat="1" applyAlignment="1">
      <alignment horizontal="right" vertical="center" indent="1"/>
    </xf>
    <xf numFmtId="1" fontId="4" fillId="0" borderId="0" xfId="2" applyNumberFormat="1" applyAlignment="1">
      <alignment horizontal="right" vertical="center" indent="1"/>
    </xf>
    <xf numFmtId="2" fontId="31" fillId="3" borderId="1" xfId="2" applyNumberFormat="1" applyFont="1" applyFill="1" applyBorder="1" applyAlignment="1" applyProtection="1">
      <alignment horizontal="right" vertical="center" indent="1"/>
      <protection locked="0"/>
    </xf>
    <xf numFmtId="0" fontId="18" fillId="0" borderId="0" xfId="2" applyFont="1" applyAlignment="1">
      <alignment horizontal="left" vertical="center" indent="1"/>
    </xf>
    <xf numFmtId="0" fontId="12" fillId="0" borderId="8" xfId="2" applyFont="1" applyBorder="1" applyAlignment="1">
      <alignment horizontal="right" vertical="center"/>
    </xf>
    <xf numFmtId="2" fontId="4" fillId="0" borderId="0" xfId="2" applyNumberFormat="1" applyAlignment="1">
      <alignment vertical="center"/>
    </xf>
    <xf numFmtId="0" fontId="4" fillId="0" borderId="17" xfId="2" applyBorder="1" applyAlignment="1">
      <alignment vertical="center"/>
    </xf>
    <xf numFmtId="0" fontId="4" fillId="0" borderId="18" xfId="2" applyBorder="1" applyAlignment="1">
      <alignment vertical="center"/>
    </xf>
    <xf numFmtId="0" fontId="4" fillId="0" borderId="19" xfId="2" applyBorder="1" applyAlignment="1">
      <alignment vertical="center"/>
    </xf>
    <xf numFmtId="0" fontId="13" fillId="0" borderId="0" xfId="2" applyFont="1" applyAlignment="1">
      <alignment horizontal="right" vertical="center" indent="1"/>
    </xf>
    <xf numFmtId="164" fontId="4" fillId="0" borderId="0" xfId="2" applyNumberFormat="1"/>
    <xf numFmtId="164" fontId="4" fillId="0" borderId="0" xfId="2" applyNumberFormat="1" applyAlignment="1">
      <alignment vertical="center"/>
    </xf>
    <xf numFmtId="0" fontId="31" fillId="3" borderId="1" xfId="2" applyFont="1" applyFill="1" applyBorder="1" applyAlignment="1" applyProtection="1">
      <alignment horizontal="right" vertical="center" indent="1"/>
      <protection locked="0"/>
    </xf>
    <xf numFmtId="166" fontId="4" fillId="0" borderId="0" xfId="2" applyNumberFormat="1" applyAlignment="1">
      <alignment vertical="center"/>
    </xf>
    <xf numFmtId="0" fontId="4" fillId="0" borderId="7" xfId="2" applyBorder="1" applyAlignment="1">
      <alignment horizontal="left" vertical="center" indent="1"/>
    </xf>
    <xf numFmtId="2" fontId="4" fillId="4" borderId="1" xfId="2" applyNumberFormat="1" applyFill="1" applyBorder="1" applyAlignment="1">
      <alignment horizontal="right" vertical="center" indent="1"/>
    </xf>
    <xf numFmtId="1" fontId="4" fillId="0" borderId="0" xfId="2" applyNumberFormat="1" applyAlignment="1">
      <alignment vertical="center"/>
    </xf>
    <xf numFmtId="0" fontId="27" fillId="0" borderId="0" xfId="2" applyFont="1" applyAlignment="1">
      <alignment vertical="center"/>
    </xf>
    <xf numFmtId="0" fontId="4" fillId="0" borderId="0" xfId="2" applyAlignment="1">
      <alignment horizontal="left" vertical="center" indent="1"/>
    </xf>
    <xf numFmtId="167" fontId="4" fillId="0" borderId="0" xfId="2" applyNumberFormat="1" applyAlignment="1">
      <alignment vertical="center"/>
    </xf>
    <xf numFmtId="0" fontId="41" fillId="3" borderId="20" xfId="2" applyFont="1" applyFill="1" applyBorder="1" applyAlignment="1" applyProtection="1">
      <alignment horizontal="right" vertical="center" indent="1"/>
      <protection locked="0"/>
    </xf>
    <xf numFmtId="0" fontId="27" fillId="0" borderId="0" xfId="2" applyFont="1" applyAlignment="1">
      <alignment horizontal="right" vertical="center" indent="1"/>
    </xf>
    <xf numFmtId="0" fontId="26" fillId="3" borderId="22" xfId="2" applyFont="1" applyFill="1" applyBorder="1" applyAlignment="1" applyProtection="1">
      <alignment horizontal="right" vertical="center" indent="1"/>
      <protection locked="0"/>
    </xf>
    <xf numFmtId="1" fontId="26" fillId="3" borderId="23" xfId="2" applyNumberFormat="1" applyFont="1" applyFill="1" applyBorder="1" applyAlignment="1" applyProtection="1">
      <alignment horizontal="right" vertical="center" indent="1"/>
      <protection locked="0"/>
    </xf>
    <xf numFmtId="2" fontId="22" fillId="4" borderId="21" xfId="2" applyNumberFormat="1" applyFont="1" applyFill="1" applyBorder="1" applyAlignment="1">
      <alignment horizontal="right" vertical="center" indent="1"/>
    </xf>
    <xf numFmtId="0" fontId="42" fillId="0" borderId="0" xfId="2" applyFont="1" applyAlignment="1">
      <alignment horizontal="left" vertical="center" indent="1"/>
    </xf>
    <xf numFmtId="167" fontId="27" fillId="0" borderId="0" xfId="2" applyNumberFormat="1" applyFont="1" applyAlignment="1">
      <alignment horizontal="right" vertical="center"/>
    </xf>
    <xf numFmtId="0" fontId="44" fillId="0" borderId="8" xfId="2" applyFont="1" applyBorder="1" applyAlignment="1">
      <alignment horizontal="right" vertical="center"/>
    </xf>
    <xf numFmtId="0" fontId="45" fillId="0" borderId="8" xfId="2" applyFont="1" applyBorder="1" applyAlignment="1">
      <alignment horizontal="right" vertical="center"/>
    </xf>
    <xf numFmtId="0" fontId="12" fillId="0" borderId="8" xfId="2" quotePrefix="1" applyFont="1" applyBorder="1" applyAlignment="1">
      <alignment horizontal="right" vertical="center"/>
    </xf>
    <xf numFmtId="0" fontId="48" fillId="0" borderId="8" xfId="2" applyFont="1" applyBorder="1" applyAlignment="1">
      <alignment vertical="center"/>
    </xf>
    <xf numFmtId="0" fontId="50" fillId="0" borderId="0" xfId="2" applyFont="1" applyAlignment="1">
      <alignment vertical="center"/>
    </xf>
    <xf numFmtId="2" fontId="4" fillId="0" borderId="0" xfId="2" applyNumberFormat="1" applyAlignment="1">
      <alignment horizontal="right" vertical="center" indent="1"/>
    </xf>
    <xf numFmtId="0" fontId="4" fillId="0" borderId="17" xfId="2" applyBorder="1"/>
    <xf numFmtId="0" fontId="4" fillId="0" borderId="18" xfId="2" applyBorder="1"/>
    <xf numFmtId="0" fontId="4" fillId="0" borderId="19" xfId="2" applyBorder="1"/>
    <xf numFmtId="0" fontId="12" fillId="0" borderId="0" xfId="2" applyFont="1"/>
    <xf numFmtId="0" fontId="51" fillId="0" borderId="0" xfId="2" applyFont="1" applyAlignment="1">
      <alignment vertical="center"/>
    </xf>
    <xf numFmtId="0" fontId="22" fillId="0" borderId="0" xfId="2" applyFont="1" applyAlignment="1">
      <alignment vertical="center"/>
    </xf>
    <xf numFmtId="0" fontId="52" fillId="0" borderId="0" xfId="2" applyFont="1" applyAlignment="1">
      <alignment horizontal="left" vertical="center"/>
    </xf>
    <xf numFmtId="1" fontId="22" fillId="0" borderId="0" xfId="2" applyNumberFormat="1" applyFont="1" applyAlignment="1">
      <alignment horizontal="center" vertical="center"/>
    </xf>
    <xf numFmtId="0" fontId="4" fillId="0" borderId="0" xfId="2" applyAlignment="1">
      <alignment horizontal="right" vertical="center"/>
    </xf>
    <xf numFmtId="0" fontId="4" fillId="0" borderId="0" xfId="2" applyAlignment="1">
      <alignment horizontal="center" vertical="center"/>
    </xf>
    <xf numFmtId="0" fontId="51" fillId="0" borderId="0" xfId="2" applyFont="1" applyAlignment="1">
      <alignment horizontal="left" vertical="center"/>
    </xf>
    <xf numFmtId="0" fontId="4" fillId="0" borderId="0" xfId="2" applyAlignment="1">
      <alignment horizontal="right"/>
    </xf>
    <xf numFmtId="0" fontId="4" fillId="0" borderId="0" xfId="2" applyAlignment="1">
      <alignment horizontal="center"/>
    </xf>
    <xf numFmtId="0" fontId="53" fillId="0" borderId="0" xfId="2" applyFont="1"/>
    <xf numFmtId="0" fontId="54" fillId="0" borderId="0" xfId="2" applyFont="1" applyAlignment="1">
      <alignment vertical="center"/>
    </xf>
    <xf numFmtId="0" fontId="0" fillId="0" borderId="0" xfId="0" applyAlignment="1">
      <alignment horizontal="right"/>
    </xf>
    <xf numFmtId="1" fontId="4" fillId="4" borderId="0" xfId="2" applyNumberFormat="1" applyFill="1" applyAlignment="1">
      <alignment horizontal="right" vertical="center" indent="1"/>
    </xf>
    <xf numFmtId="2" fontId="22" fillId="4" borderId="0" xfId="2" applyNumberFormat="1" applyFont="1" applyFill="1" applyAlignment="1">
      <alignment horizontal="right" vertical="center" indent="1"/>
    </xf>
    <xf numFmtId="0" fontId="6" fillId="0" borderId="7" xfId="2" applyFont="1" applyBorder="1" applyAlignment="1">
      <alignment horizontal="right" vertical="center" indent="1"/>
    </xf>
    <xf numFmtId="0" fontId="4" fillId="0" borderId="7" xfId="2" applyBorder="1" applyAlignment="1">
      <alignment horizontal="left" indent="1"/>
    </xf>
    <xf numFmtId="167" fontId="26" fillId="3" borderId="1" xfId="2" applyNumberFormat="1" applyFont="1" applyFill="1" applyBorder="1" applyAlignment="1" applyProtection="1">
      <alignment horizontal="right" vertical="center" indent="1"/>
      <protection locked="0"/>
    </xf>
    <xf numFmtId="166" fontId="26" fillId="3" borderId="1" xfId="2" applyNumberFormat="1" applyFont="1" applyFill="1" applyBorder="1" applyAlignment="1" applyProtection="1">
      <alignment horizontal="right" vertical="center" indent="1"/>
      <protection locked="0"/>
    </xf>
    <xf numFmtId="1" fontId="0" fillId="0" borderId="0" xfId="0" applyNumberFormat="1"/>
    <xf numFmtId="2" fontId="0" fillId="0" borderId="1" xfId="0" applyNumberFormat="1" applyBorder="1"/>
    <xf numFmtId="167" fontId="0" fillId="0" borderId="1" xfId="0" applyNumberFormat="1" applyBorder="1"/>
    <xf numFmtId="1" fontId="9" fillId="0" borderId="3" xfId="0" applyNumberFormat="1" applyFont="1" applyBorder="1"/>
    <xf numFmtId="0" fontId="3" fillId="2" borderId="1" xfId="1" applyBorder="1"/>
    <xf numFmtId="2" fontId="3" fillId="2" borderId="1" xfId="1" applyNumberFormat="1" applyBorder="1"/>
    <xf numFmtId="9" fontId="0" fillId="0" borderId="0" xfId="4" applyFont="1"/>
    <xf numFmtId="0" fontId="3" fillId="2" borderId="1" xfId="1" applyBorder="1" applyAlignment="1">
      <alignment horizontal="center"/>
    </xf>
    <xf numFmtId="2" fontId="0" fillId="0" borderId="0" xfId="0" applyNumberFormat="1"/>
    <xf numFmtId="1" fontId="0" fillId="0" borderId="1" xfId="0" applyNumberFormat="1" applyBorder="1" applyAlignment="1">
      <alignment horizontal="center"/>
    </xf>
    <xf numFmtId="9" fontId="0" fillId="0" borderId="1" xfId="4" applyFont="1" applyBorder="1" applyAlignment="1">
      <alignment horizontal="center"/>
    </xf>
    <xf numFmtId="9" fontId="9" fillId="0" borderId="1" xfId="4" applyFont="1" applyBorder="1" applyAlignment="1">
      <alignment horizontal="center"/>
    </xf>
    <xf numFmtId="0" fontId="4" fillId="0" borderId="0" xfId="2" applyAlignment="1">
      <alignment wrapText="1"/>
    </xf>
    <xf numFmtId="0" fontId="57" fillId="0" borderId="0" xfId="2" applyFont="1"/>
    <xf numFmtId="166" fontId="0" fillId="0" borderId="0" xfId="0" applyNumberFormat="1"/>
    <xf numFmtId="0" fontId="0" fillId="7" borderId="1" xfId="0" applyFill="1" applyBorder="1" applyAlignment="1">
      <alignment horizontal="center" vertical="center"/>
    </xf>
    <xf numFmtId="49" fontId="0" fillId="7" borderId="1" xfId="0" applyNumberFormat="1" applyFill="1" applyBorder="1" applyAlignment="1">
      <alignment horizontal="center" vertical="center"/>
    </xf>
    <xf numFmtId="166" fontId="0" fillId="7" borderId="1" xfId="0" applyNumberFormat="1" applyFill="1" applyBorder="1" applyAlignment="1">
      <alignment horizontal="center" vertical="center"/>
    </xf>
    <xf numFmtId="1" fontId="0" fillId="7" borderId="1" xfId="0" applyNumberFormat="1" applyFill="1" applyBorder="1" applyAlignment="1">
      <alignment horizontal="center" vertical="center"/>
    </xf>
    <xf numFmtId="1" fontId="9" fillId="0" borderId="0" xfId="0" applyNumberFormat="1" applyFont="1"/>
    <xf numFmtId="1" fontId="9" fillId="0" borderId="5" xfId="0" applyNumberFormat="1" applyFont="1" applyBorder="1"/>
    <xf numFmtId="168" fontId="0" fillId="0" borderId="0" xfId="4" applyNumberFormat="1" applyFont="1"/>
    <xf numFmtId="0" fontId="56" fillId="0" borderId="0" xfId="0" applyFont="1"/>
    <xf numFmtId="1" fontId="0" fillId="0" borderId="0" xfId="0" applyNumberFormat="1" applyAlignment="1">
      <alignment horizontal="center"/>
    </xf>
    <xf numFmtId="9" fontId="9" fillId="0" borderId="0" xfId="4" applyFont="1" applyBorder="1" applyAlignment="1">
      <alignment horizontal="center"/>
    </xf>
    <xf numFmtId="164" fontId="3" fillId="2" borderId="2" xfId="1" applyNumberFormat="1"/>
    <xf numFmtId="164" fontId="0" fillId="0" borderId="0" xfId="0" applyNumberFormat="1"/>
    <xf numFmtId="0" fontId="0" fillId="0" borderId="1" xfId="0" applyBorder="1" applyAlignment="1">
      <alignment horizontal="center"/>
    </xf>
    <xf numFmtId="2" fontId="3" fillId="2" borderId="2" xfId="1" applyNumberFormat="1"/>
    <xf numFmtId="0" fontId="0" fillId="0" borderId="27" xfId="0" applyBorder="1"/>
    <xf numFmtId="0" fontId="59" fillId="3" borderId="22" xfId="2" applyFont="1" applyFill="1" applyBorder="1" applyAlignment="1" applyProtection="1">
      <alignment horizontal="right" vertical="center" indent="1"/>
      <protection locked="0"/>
    </xf>
    <xf numFmtId="166" fontId="0" fillId="8" borderId="1" xfId="0" applyNumberFormat="1" applyFill="1" applyBorder="1" applyAlignment="1">
      <alignment horizontal="center" vertical="center"/>
    </xf>
    <xf numFmtId="1" fontId="0" fillId="0" borderId="28" xfId="0" applyNumberFormat="1" applyBorder="1" applyAlignment="1">
      <alignment horizontal="center"/>
    </xf>
    <xf numFmtId="9" fontId="0" fillId="0" borderId="28" xfId="4" applyFont="1" applyBorder="1" applyAlignment="1">
      <alignment horizontal="center"/>
    </xf>
    <xf numFmtId="0" fontId="0" fillId="0" borderId="28" xfId="0" applyBorder="1" applyAlignment="1">
      <alignment horizontal="center"/>
    </xf>
    <xf numFmtId="169" fontId="0" fillId="0" borderId="0" xfId="5" applyNumberFormat="1" applyFont="1"/>
    <xf numFmtId="0" fontId="60" fillId="0" borderId="0" xfId="0" applyFont="1"/>
    <xf numFmtId="0" fontId="3" fillId="9" borderId="1" xfId="1" applyFill="1" applyBorder="1"/>
    <xf numFmtId="0" fontId="3" fillId="10" borderId="1" xfId="1" applyFill="1" applyBorder="1"/>
    <xf numFmtId="0" fontId="9" fillId="0" borderId="0" xfId="0" applyFont="1"/>
    <xf numFmtId="2" fontId="26" fillId="3" borderId="1" xfId="2" applyNumberFormat="1" applyFont="1" applyFill="1" applyBorder="1" applyAlignment="1" applyProtection="1">
      <alignment horizontal="right" vertical="center" indent="1"/>
      <protection locked="0"/>
    </xf>
    <xf numFmtId="0" fontId="4" fillId="0" borderId="0" xfId="2" applyAlignment="1">
      <alignment horizontal="left" vertical="top" wrapText="1"/>
    </xf>
    <xf numFmtId="0" fontId="4" fillId="0" borderId="0" xfId="2" applyAlignment="1">
      <alignment horizontal="left" vertical="top" wrapText="1"/>
    </xf>
    <xf numFmtId="164" fontId="22" fillId="4" borderId="0" xfId="2" applyNumberFormat="1" applyFont="1" applyFill="1" applyAlignment="1">
      <alignment horizontal="right" vertical="center" indent="1"/>
    </xf>
    <xf numFmtId="0" fontId="4" fillId="0" borderId="0" xfId="2" applyAlignment="1">
      <alignment horizontal="left" vertical="top" wrapText="1"/>
    </xf>
    <xf numFmtId="0" fontId="4" fillId="0" borderId="0" xfId="2" applyAlignment="1">
      <alignment horizontal="left" vertical="top" wrapText="1"/>
    </xf>
    <xf numFmtId="0" fontId="12" fillId="0" borderId="0" xfId="2" applyFont="1" applyAlignment="1">
      <alignment horizontal="center" vertical="center" wrapText="1"/>
    </xf>
    <xf numFmtId="0" fontId="18" fillId="0" borderId="0" xfId="2" quotePrefix="1" applyFont="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1" xfId="0" applyBorder="1" applyAlignment="1"/>
    <xf numFmtId="0" fontId="58" fillId="0" borderId="1" xfId="0" applyFont="1" applyBorder="1" applyAlignment="1">
      <alignment horizontal="center" wrapText="1"/>
    </xf>
  </cellXfs>
  <cellStyles count="12">
    <cellStyle name="Comma" xfId="5" builtinId="3"/>
    <cellStyle name="Comma 2" xfId="10" xr:uid="{00000000-0005-0000-0000-000001000000}"/>
    <cellStyle name="Comma 3" xfId="11" xr:uid="{00000000-0005-0000-0000-000002000000}"/>
    <cellStyle name="Hyperlink 2" xfId="3" xr:uid="{00000000-0005-0000-0000-000003000000}"/>
    <cellStyle name="Input" xfId="1" builtinId="20"/>
    <cellStyle name="Normal" xfId="0" builtinId="0"/>
    <cellStyle name="Normal 2" xfId="2" xr:uid="{00000000-0005-0000-0000-000006000000}"/>
    <cellStyle name="Normal 2 2" xfId="9" xr:uid="{00000000-0005-0000-0000-000007000000}"/>
    <cellStyle name="Normal 2 3" xfId="6" xr:uid="{00000000-0005-0000-0000-000008000000}"/>
    <cellStyle name="Normal 3" xfId="8" xr:uid="{00000000-0005-0000-0000-000009000000}"/>
    <cellStyle name="Percent" xfId="4" builtinId="5"/>
    <cellStyle name="Percent 2" xfId="7" xr:uid="{00000000-0005-0000-0000-00000B000000}"/>
  </cellStyles>
  <dxfs count="186">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s>
  <tableStyles count="0" defaultTableStyle="TableStyleMedium2" defaultPivotStyle="PivotStyleLight16"/>
  <colors>
    <mruColors>
      <color rgb="FFFC34DF"/>
      <color rgb="FFA3FFD1"/>
      <color rgb="FFFF7C80"/>
      <color rgb="FFBEF5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656953</xdr:colOff>
      <xdr:row>1</xdr:row>
      <xdr:rowOff>9525</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5955234" cy="1277541"/>
          <a:chOff x="0" y="0"/>
          <a:chExt cx="6096000" cy="1276350"/>
        </a:xfrm>
      </xdr:grpSpPr>
      <xdr:sp macro="" textlink="">
        <xdr:nvSpPr>
          <xdr:cNvPr id="3" name="Rectangle 38">
            <a:extLst>
              <a:ext uri="{FF2B5EF4-FFF2-40B4-BE49-F238E27FC236}">
                <a16:creationId xmlns:a16="http://schemas.microsoft.com/office/drawing/2014/main" id="{00000000-0008-0000-0300-000003000000}"/>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 name="txtSheetTitle">
            <a:extLst>
              <a:ext uri="{FF2B5EF4-FFF2-40B4-BE49-F238E27FC236}">
                <a16:creationId xmlns:a16="http://schemas.microsoft.com/office/drawing/2014/main" id="{00000000-0008-0000-0300-000004000000}"/>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sp>
      <xdr:sp macro="" textlink="">
        <xdr:nvSpPr>
          <xdr:cNvPr id="5" name="Rectangle 60">
            <a:extLst>
              <a:ext uri="{FF2B5EF4-FFF2-40B4-BE49-F238E27FC236}">
                <a16:creationId xmlns:a16="http://schemas.microsoft.com/office/drawing/2014/main" id="{00000000-0008-0000-0300-000005000000}"/>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Rectangle 62">
            <a:extLst>
              <a:ext uri="{FF2B5EF4-FFF2-40B4-BE49-F238E27FC236}">
                <a16:creationId xmlns:a16="http://schemas.microsoft.com/office/drawing/2014/main" id="{00000000-0008-0000-0300-000006000000}"/>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4">
            <a:extLst>
              <a:ext uri="{FF2B5EF4-FFF2-40B4-BE49-F238E27FC236}">
                <a16:creationId xmlns:a16="http://schemas.microsoft.com/office/drawing/2014/main" id="{00000000-0008-0000-0300-000007000000}"/>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3">
            <a:extLst>
              <a:ext uri="{FF2B5EF4-FFF2-40B4-BE49-F238E27FC236}">
                <a16:creationId xmlns:a16="http://schemas.microsoft.com/office/drawing/2014/main" id="{00000000-0008-0000-0300-000008000000}"/>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7">
            <a:extLst>
              <a:ext uri="{FF2B5EF4-FFF2-40B4-BE49-F238E27FC236}">
                <a16:creationId xmlns:a16="http://schemas.microsoft.com/office/drawing/2014/main" id="{00000000-0008-0000-0300-000009000000}"/>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6">
            <a:extLst>
              <a:ext uri="{FF2B5EF4-FFF2-40B4-BE49-F238E27FC236}">
                <a16:creationId xmlns:a16="http://schemas.microsoft.com/office/drawing/2014/main" id="{00000000-0008-0000-0300-00000A000000}"/>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5">
            <a:extLst>
              <a:ext uri="{FF2B5EF4-FFF2-40B4-BE49-F238E27FC236}">
                <a16:creationId xmlns:a16="http://schemas.microsoft.com/office/drawing/2014/main" id="{00000000-0008-0000-0300-00000B000000}"/>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1">
            <a:extLst>
              <a:ext uri="{FF2B5EF4-FFF2-40B4-BE49-F238E27FC236}">
                <a16:creationId xmlns:a16="http://schemas.microsoft.com/office/drawing/2014/main" id="{00000000-0008-0000-0300-00000C000000}"/>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39">
            <a:extLst>
              <a:ext uri="{FF2B5EF4-FFF2-40B4-BE49-F238E27FC236}">
                <a16:creationId xmlns:a16="http://schemas.microsoft.com/office/drawing/2014/main" id="{00000000-0008-0000-0300-00000D000000}"/>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4" name="txtSheetNo">
            <a:extLst>
              <a:ext uri="{FF2B5EF4-FFF2-40B4-BE49-F238E27FC236}">
                <a16:creationId xmlns:a16="http://schemas.microsoft.com/office/drawing/2014/main" id="{00000000-0008-0000-0300-00000E000000}"/>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0</a:t>
            </a:fld>
            <a:endParaRPr lang="en-GB"/>
          </a:p>
        </xdr:txBody>
      </xdr:sp>
      <xdr:sp macro="" textlink="MadeBy">
        <xdr:nvSpPr>
          <xdr:cNvPr id="15" name="txtMadeBy">
            <a:extLst>
              <a:ext uri="{FF2B5EF4-FFF2-40B4-BE49-F238E27FC236}">
                <a16:creationId xmlns:a16="http://schemas.microsoft.com/office/drawing/2014/main" id="{00000000-0008-0000-0300-00000F000000}"/>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6" name="txtDate">
            <a:extLst>
              <a:ext uri="{FF2B5EF4-FFF2-40B4-BE49-F238E27FC236}">
                <a16:creationId xmlns:a16="http://schemas.microsoft.com/office/drawing/2014/main" id="{00000000-0008-0000-0300-000010000000}"/>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7" name="txtJobNo">
            <a:extLst>
              <a:ext uri="{FF2B5EF4-FFF2-40B4-BE49-F238E27FC236}">
                <a16:creationId xmlns:a16="http://schemas.microsoft.com/office/drawing/2014/main" id="{00000000-0008-0000-0300-000011000000}"/>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8" name="txtChd">
            <a:extLst>
              <a:ext uri="{FF2B5EF4-FFF2-40B4-BE49-F238E27FC236}">
                <a16:creationId xmlns:a16="http://schemas.microsoft.com/office/drawing/2014/main" id="{00000000-0008-0000-0300-000012000000}"/>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19" name="txtRev">
            <a:extLst>
              <a:ext uri="{FF2B5EF4-FFF2-40B4-BE49-F238E27FC236}">
                <a16:creationId xmlns:a16="http://schemas.microsoft.com/office/drawing/2014/main" id="{00000000-0008-0000-0300-000013000000}"/>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 </a:t>
            </a:fld>
            <a:endParaRPr lang="en-GB"/>
          </a:p>
        </xdr:txBody>
      </xdr:sp>
      <xdr:sp macro="" textlink="JobTitle">
        <xdr:nvSpPr>
          <xdr:cNvPr id="20" name="txtJobTitle">
            <a:extLst>
              <a:ext uri="{FF2B5EF4-FFF2-40B4-BE49-F238E27FC236}">
                <a16:creationId xmlns:a16="http://schemas.microsoft.com/office/drawing/2014/main" id="{00000000-0008-0000-0300-000014000000}"/>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1" name="txtDrgRef">
            <a:extLst>
              <a:ext uri="{FF2B5EF4-FFF2-40B4-BE49-F238E27FC236}">
                <a16:creationId xmlns:a16="http://schemas.microsoft.com/office/drawing/2014/main" id="{00000000-0008-0000-0300-000015000000}"/>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0</a:t>
            </a:fld>
            <a:endParaRPr lang="en-GB"/>
          </a:p>
        </xdr:txBody>
      </xdr:sp>
      <xdr:sp macro="" textlink="Member_Location">
        <xdr:nvSpPr>
          <xdr:cNvPr id="22" name="txtMemLoc">
            <a:extLst>
              <a:ext uri="{FF2B5EF4-FFF2-40B4-BE49-F238E27FC236}">
                <a16:creationId xmlns:a16="http://schemas.microsoft.com/office/drawing/2014/main" id="{00000000-0008-0000-0300-000016000000}"/>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3" name="Line 14">
            <a:extLst>
              <a:ext uri="{FF2B5EF4-FFF2-40B4-BE49-F238E27FC236}">
                <a16:creationId xmlns:a16="http://schemas.microsoft.com/office/drawing/2014/main" id="{00000000-0008-0000-0300-000017000000}"/>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 name="Line 15">
            <a:extLst>
              <a:ext uri="{FF2B5EF4-FFF2-40B4-BE49-F238E27FC236}">
                <a16:creationId xmlns:a16="http://schemas.microsoft.com/office/drawing/2014/main" id="{00000000-0008-0000-0300-000018000000}"/>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6">
            <a:extLst>
              <a:ext uri="{FF2B5EF4-FFF2-40B4-BE49-F238E27FC236}">
                <a16:creationId xmlns:a16="http://schemas.microsoft.com/office/drawing/2014/main" id="{00000000-0008-0000-0300-000019000000}"/>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7">
            <a:extLst>
              <a:ext uri="{FF2B5EF4-FFF2-40B4-BE49-F238E27FC236}">
                <a16:creationId xmlns:a16="http://schemas.microsoft.com/office/drawing/2014/main" id="{00000000-0008-0000-0300-00001A000000}"/>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8">
            <a:extLst>
              <a:ext uri="{FF2B5EF4-FFF2-40B4-BE49-F238E27FC236}">
                <a16:creationId xmlns:a16="http://schemas.microsoft.com/office/drawing/2014/main" id="{00000000-0008-0000-0300-00001B000000}"/>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9">
            <a:extLst>
              <a:ext uri="{FF2B5EF4-FFF2-40B4-BE49-F238E27FC236}">
                <a16:creationId xmlns:a16="http://schemas.microsoft.com/office/drawing/2014/main" id="{00000000-0008-0000-0300-00001C000000}"/>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20">
            <a:extLst>
              <a:ext uri="{FF2B5EF4-FFF2-40B4-BE49-F238E27FC236}">
                <a16:creationId xmlns:a16="http://schemas.microsoft.com/office/drawing/2014/main" id="{00000000-0008-0000-0300-00001D000000}"/>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2">
            <a:extLst>
              <a:ext uri="{FF2B5EF4-FFF2-40B4-BE49-F238E27FC236}">
                <a16:creationId xmlns:a16="http://schemas.microsoft.com/office/drawing/2014/main" id="{00000000-0008-0000-0300-00001E000000}"/>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3">
            <a:extLst>
              <a:ext uri="{FF2B5EF4-FFF2-40B4-BE49-F238E27FC236}">
                <a16:creationId xmlns:a16="http://schemas.microsoft.com/office/drawing/2014/main" id="{00000000-0008-0000-0300-00001F000000}"/>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4">
            <a:extLst>
              <a:ext uri="{FF2B5EF4-FFF2-40B4-BE49-F238E27FC236}">
                <a16:creationId xmlns:a16="http://schemas.microsoft.com/office/drawing/2014/main" id="{00000000-0008-0000-0300-00002000000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53">
            <a:extLst>
              <a:ext uri="{FF2B5EF4-FFF2-40B4-BE49-F238E27FC236}">
                <a16:creationId xmlns:a16="http://schemas.microsoft.com/office/drawing/2014/main" id="{00000000-0008-0000-0300-000021000000}"/>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blJobNo">
            <a:extLst>
              <a:ext uri="{FF2B5EF4-FFF2-40B4-BE49-F238E27FC236}">
                <a16:creationId xmlns:a16="http://schemas.microsoft.com/office/drawing/2014/main" id="{00000000-0008-0000-0300-000022000000}"/>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5" name="lblMemLoc">
            <a:extLst>
              <a:ext uri="{FF2B5EF4-FFF2-40B4-BE49-F238E27FC236}">
                <a16:creationId xmlns:a16="http://schemas.microsoft.com/office/drawing/2014/main" id="{00000000-0008-0000-0300-000023000000}"/>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6" name="lblMadeBy">
            <a:extLst>
              <a:ext uri="{FF2B5EF4-FFF2-40B4-BE49-F238E27FC236}">
                <a16:creationId xmlns:a16="http://schemas.microsoft.com/office/drawing/2014/main" id="{00000000-0008-0000-0300-000024000000}"/>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7" name="lblJobTitle">
            <a:extLst>
              <a:ext uri="{FF2B5EF4-FFF2-40B4-BE49-F238E27FC236}">
                <a16:creationId xmlns:a16="http://schemas.microsoft.com/office/drawing/2014/main" id="{00000000-0008-0000-0300-000025000000}"/>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8" name="lblChd">
            <a:extLst>
              <a:ext uri="{FF2B5EF4-FFF2-40B4-BE49-F238E27FC236}">
                <a16:creationId xmlns:a16="http://schemas.microsoft.com/office/drawing/2014/main" id="{00000000-0008-0000-0300-000026000000}"/>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39" name="lblDate">
            <a:extLst>
              <a:ext uri="{FF2B5EF4-FFF2-40B4-BE49-F238E27FC236}">
                <a16:creationId xmlns:a16="http://schemas.microsoft.com/office/drawing/2014/main" id="{00000000-0008-0000-0300-00002700000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0" name="lblDrgRef">
            <a:extLst>
              <a:ext uri="{FF2B5EF4-FFF2-40B4-BE49-F238E27FC236}">
                <a16:creationId xmlns:a16="http://schemas.microsoft.com/office/drawing/2014/main" id="{00000000-0008-0000-0300-000028000000}"/>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1" name="lblSheetNo">
            <a:extLst>
              <a:ext uri="{FF2B5EF4-FFF2-40B4-BE49-F238E27FC236}">
                <a16:creationId xmlns:a16="http://schemas.microsoft.com/office/drawing/2014/main" id="{00000000-0008-0000-0300-000029000000}"/>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2" name="lblRev">
            <a:extLst>
              <a:ext uri="{FF2B5EF4-FFF2-40B4-BE49-F238E27FC236}">
                <a16:creationId xmlns:a16="http://schemas.microsoft.com/office/drawing/2014/main" id="{00000000-0008-0000-0300-00002A000000}"/>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3" name="Text Box 37">
            <a:extLst>
              <a:ext uri="{FF2B5EF4-FFF2-40B4-BE49-F238E27FC236}">
                <a16:creationId xmlns:a16="http://schemas.microsoft.com/office/drawing/2014/main" id="{00000000-0008-0000-0300-00002B000000}"/>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4" name="Picture 43" descr="Arup26mm.png">
            <a:extLst>
              <a:ext uri="{FF2B5EF4-FFF2-40B4-BE49-F238E27FC236}">
                <a16:creationId xmlns:a16="http://schemas.microsoft.com/office/drawing/2014/main" id="{00000000-0008-0000-0300-00002C000000}"/>
              </a:ext>
            </a:extLst>
          </xdr:cNvPr>
          <xdr:cNvPicPr>
            <a:picLocks noChangeAspect="1"/>
          </xdr:cNvPicPr>
        </xdr:nvPicPr>
        <xdr:blipFill>
          <a:blip xmlns:r="http://schemas.openxmlformats.org/officeDocument/2006/relationships" r:embed="rId1" cstate="print"/>
          <a:stretch>
            <a:fillRect/>
          </a:stretch>
        </xdr:blipFill>
        <xdr:spPr>
          <a:xfrm>
            <a:off x="114300" y="152400"/>
            <a:ext cx="954026" cy="30480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C24AAADB-481B-483C-83FE-4A972456CE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4629150" y="2689860"/>
          <a:ext cx="3036208"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F0C1D713-F424-48C4-B8EB-F2AA91D591AE}"/>
            </a:ext>
          </a:extLst>
        </xdr:cNvPr>
        <xdr:cNvGrpSpPr/>
      </xdr:nvGrpSpPr>
      <xdr:grpSpPr>
        <a:xfrm>
          <a:off x="0" y="0"/>
          <a:ext cx="7990742" cy="1313968"/>
          <a:chOff x="0" y="0"/>
          <a:chExt cx="6096000" cy="1276350"/>
        </a:xfrm>
      </xdr:grpSpPr>
      <xdr:sp macro="" textlink="">
        <xdr:nvSpPr>
          <xdr:cNvPr id="4" name="Rectangle 38">
            <a:extLst>
              <a:ext uri="{FF2B5EF4-FFF2-40B4-BE49-F238E27FC236}">
                <a16:creationId xmlns:a16="http://schemas.microsoft.com/office/drawing/2014/main" id="{CC77A257-F65F-48E2-8715-BFF318065615}"/>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CA12963D-89B0-4C8E-8AEB-F53C41D16840}"/>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5C19DF4D-BB9B-4AD8-BA25-1547CAC1A26A}"/>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69742BF5-9992-4894-AEB0-D4AE9FFE98BF}"/>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AE92B30F-B6CC-4506-B334-B684514D576A}"/>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2FFA3DD0-775C-441E-808B-A61E84570E93}"/>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884CF0B7-314F-4BC4-917C-8C437170E68E}"/>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03050A9B-7D65-4F05-8479-C511E6FA131D}"/>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12A678C1-BCEA-4F66-96F9-3B7839738896}"/>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77066CD6-6623-48EF-8ED8-F9ADDB290D25}"/>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81C550B5-C2A0-4FE4-81C3-644601DACE7E}"/>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5D6B620C-96BA-4397-BF49-3A9D85954B3B}"/>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DD07494E-26E2-4911-AE3C-1653A0EC30A5}"/>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D3A18D7D-A7A8-4E38-B1B3-29278E333F8A}"/>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857DE70C-9F50-4863-A06C-520CD540371D}"/>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8E1B5BF3-544E-427B-83B4-2B049D78B931}"/>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9E8B6AF7-1065-4FBF-8C42-A3DB7D046A2B}"/>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517603F7-7B33-43FA-B13D-B6CEAD1E6DB3}"/>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CD6836FC-5E22-49DE-A63E-E32D1C70B681}"/>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C281B752-8D62-48C1-9318-D82B331EB3B1}"/>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694FEAE5-F5B7-4BD1-A2F0-B96F220B1BE0}"/>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F72F898A-77CF-4274-98CE-31E13106B6F9}"/>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325B94FA-A63F-4B00-A5F2-5105310B7B8B}"/>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7BA50485-C4AF-4E0D-B153-A09311F3CAC2}"/>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F310E0CD-7BE5-49A6-84C7-A58C969E841F}"/>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9430DD96-C202-4949-890C-B06ED45FA951}"/>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63F8ECEE-D856-4585-8F7D-950440C2A033}"/>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B4F925B2-2BAD-476A-AB97-EBAE4000FA73}"/>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4287F6C7-96FC-48D7-BDE3-4C4F216F83D3}"/>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BA95FB5A-A998-43BA-A208-E7D06B21CA4B}"/>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7C857C1C-6BEE-4E46-A275-16A82B45E49E}"/>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EFE53B39-C036-4625-869C-D9ED6E9D3A36}"/>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1093F5F4-2CE1-44AA-919B-A590BFFC8EDC}"/>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A4D31EDF-9297-4228-AFC7-1E039E2BCEEB}"/>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1106903B-FFFD-4BE2-89E9-FE2CBD0C38DD}"/>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A06D1582-B24A-4946-846C-F7959BFDA4FC}"/>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E787C213-851C-46A9-8230-28B46774892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BEC9E63A-1638-4978-8A1A-547432410CFA}"/>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98FAF8AE-CF05-41C0-AC2E-0116B08C3821}"/>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3E834FBC-E94C-45B9-AC38-C3456B00F3A6}"/>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7E7DC3C5-9233-4D7A-B3B0-79F4868B0767}"/>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CCB00B3F-F0BB-470B-96CA-9E50B3437B0C}"/>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8D60261A-6E06-47A4-B11A-274E8E612A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4629150" y="2689860"/>
          <a:ext cx="3036208"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2CE98DE7-96BD-4189-A9BA-BDBACFF986BE}"/>
            </a:ext>
          </a:extLst>
        </xdr:cNvPr>
        <xdr:cNvGrpSpPr/>
      </xdr:nvGrpSpPr>
      <xdr:grpSpPr>
        <a:xfrm>
          <a:off x="0" y="0"/>
          <a:ext cx="7990742" cy="1313968"/>
          <a:chOff x="0" y="0"/>
          <a:chExt cx="6096000" cy="1276350"/>
        </a:xfrm>
      </xdr:grpSpPr>
      <xdr:sp macro="" textlink="">
        <xdr:nvSpPr>
          <xdr:cNvPr id="4" name="Rectangle 38">
            <a:extLst>
              <a:ext uri="{FF2B5EF4-FFF2-40B4-BE49-F238E27FC236}">
                <a16:creationId xmlns:a16="http://schemas.microsoft.com/office/drawing/2014/main" id="{97FAB3DC-AAB6-0363-D1C0-83C4634BF83D}"/>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AE5BAEE3-78A4-419D-1EF2-5D4C52D29553}"/>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81FD15E1-CCCF-A12C-5818-FECC9FA7BBE0}"/>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6032751E-4B45-C895-73AC-58ADA13036CA}"/>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7342269C-B1DE-B1A9-16F8-A7ED22289CA2}"/>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F88D5619-2E7F-849B-D534-4BCFE38EC739}"/>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7199B0D8-9BE2-B84D-F6EF-7D6DE1E0B60B}"/>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CC6B0950-2FFC-C384-3E0D-E42ACABFA6BE}"/>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BA4093E7-95A5-F24C-A9DF-55AF2824D43D}"/>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9706111B-BCCA-7D45-31D7-D85D0259A9CF}"/>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4579E15F-5395-D6A7-73A1-525768927B5E}"/>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781BD367-43E5-93A5-DEF5-DD00FF23F35B}"/>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0F4688A9-5051-275A-725D-9A3F998B0602}"/>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CDAC25A5-DE25-BFF6-0D6B-B57EA9726EF9}"/>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CAF26411-77B5-9A56-079B-9962E5F48ED4}"/>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99933CBE-DC2F-BCB2-FB33-0440850E3144}"/>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E6A9E887-750A-E033-D052-A319EE531B7D}"/>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1C94DEB0-9D7D-D409-9B93-C351A8E22143}"/>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9AB94AD6-0E2E-88F9-E0AB-8AD4BD04314B}"/>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C95DF23C-7EEA-8ABA-0582-F84C42FD48F3}"/>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B2E0055F-AC56-DAEF-7EDC-C40E0ADC51EE}"/>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188535F5-688B-D879-D053-F3FF09C4C0D3}"/>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A1F7BBED-72F2-3B7F-D469-DB78AC6C99FB}"/>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4374FD65-58A4-3023-B35C-73C256C09EB4}"/>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A6A86C7C-332E-7109-D386-2D90DD76D61F}"/>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62D835EC-9005-40E4-5622-B90743B8B051}"/>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712DDB40-47D1-A1B7-5BE4-F76F0653A0DD}"/>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4F5471AF-4ADF-6B03-0DED-59EC09E17FBB}"/>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29629CFB-C04A-BDB3-331B-A47EA55B7D0B}"/>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549A18FC-E23D-DC86-9087-6939CD045B67}"/>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F17AEAB7-A7CF-C509-FAB6-6584AD151D5F}"/>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EBE3331F-B910-262C-5C53-15A585FEE6A3}"/>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91D8FDDC-172B-A552-E2EC-E7A4836E0C4D}"/>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1D96FA60-0049-8293-4206-E29DB8FB7D08}"/>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ED2D5383-48CA-8118-F8F1-87710F282FC4}"/>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386225B0-BB71-AC6F-7E99-2CD11F87D663}"/>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FB87A125-6B0E-37D1-3EDD-6FE8E6F4A2C3}"/>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99A576A2-CE5C-8971-47A1-1DADD6AD9E0C}"/>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3DB0EB47-26E9-5CA8-2505-1352B77BFF11}"/>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2DF4E28E-ECCF-7E37-AC0F-64B81E98DB53}"/>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02E99251-8C0F-6FBA-516E-879E2C23B8FB}"/>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B1C44EE4-69BC-E6E4-1DBE-7921A232EDF8}"/>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B5C14AA3-93AA-4D30-AD9F-F50EA50FB6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4629150" y="2689860"/>
          <a:ext cx="3036208"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D4EDCE70-ACBC-42EA-BC07-F047B1F0F718}"/>
            </a:ext>
          </a:extLst>
        </xdr:cNvPr>
        <xdr:cNvGrpSpPr/>
      </xdr:nvGrpSpPr>
      <xdr:grpSpPr>
        <a:xfrm>
          <a:off x="0" y="0"/>
          <a:ext cx="7999343" cy="1311101"/>
          <a:chOff x="0" y="0"/>
          <a:chExt cx="6096000" cy="1276350"/>
        </a:xfrm>
      </xdr:grpSpPr>
      <xdr:sp macro="" textlink="">
        <xdr:nvSpPr>
          <xdr:cNvPr id="4" name="Rectangle 38">
            <a:extLst>
              <a:ext uri="{FF2B5EF4-FFF2-40B4-BE49-F238E27FC236}">
                <a16:creationId xmlns:a16="http://schemas.microsoft.com/office/drawing/2014/main" id="{621CA484-CA04-A8F7-3D93-BFF8F082B227}"/>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4147E56C-ED96-0709-B6D0-00A0C210ADFA}"/>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32753F36-0E41-9701-729E-635B0EC01E8F}"/>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6E756F33-41F1-0307-FE7A-CD3D4DC41B63}"/>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85ECED3F-1921-EC93-E0A6-E17C38F55401}"/>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C7B9CBB5-70A3-E93A-072B-0BBE957E837D}"/>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93F7AC3F-90C9-C024-5C03-3EF428E84269}"/>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F31BD37C-7282-185B-18DD-554C02D54856}"/>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7F489ADE-862C-B48B-B98C-9F52DB6EF03D}"/>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555B1A79-1514-C6EC-49CF-6A0A397D7261}"/>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A9AE8F80-D2F3-1B3B-DE4B-A54E86103855}"/>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AFD0BA46-0BFD-C87C-E23D-A43D358D2578}"/>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8C9A6A79-B769-2E0E-F31C-F2D068F8B34B}"/>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27AA8C19-746B-EC20-6FDC-724B121FE489}"/>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92DDEF02-14E8-F2B0-C573-7813A8FAFC99}"/>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3E5F8E86-2EF0-8E5C-C374-6E020CAE4AAE}"/>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4F774CCA-AC32-A2B0-F81B-B9D0F3BB5E06}"/>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845EFB84-B0F0-5EB6-B8DC-4B60F5EF430A}"/>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414D5838-4B98-F636-BEB2-D2F0B128DDEF}"/>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37D9F6E0-CFD0-C8EF-D03E-0ECE97AC3C6B}"/>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70958981-36FA-2789-2B0B-5CF9E646EA09}"/>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7AE42535-1ECD-BF1C-B92A-F3F8A6673848}"/>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0B9D99BD-FE07-DD14-578A-963FC473F820}"/>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C4B458AB-E57E-8147-82D2-58C7EB6F4DBA}"/>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9036B1F5-191E-EA8B-8489-DCE1EACBC74B}"/>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646E2292-F102-A77A-1C03-1069CA3CA61E}"/>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4BD67BD6-84D5-674A-9981-97E48C702FB9}"/>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8615E8B3-846A-A715-0B5C-C3CACC6E3F13}"/>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ABC1F873-6BB5-70C6-DB02-6368565E5EFF}"/>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4731E071-3D02-8F65-D49D-8962A494F3C9}"/>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2652E148-C963-9180-8CC2-9B88CC51259F}"/>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273E6DB1-53C2-DBE5-38B5-8201784DF9A4}"/>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2202B048-F6F4-8C0A-94A2-E84EF3ECDE7D}"/>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5A868EB6-E8B6-3B12-6995-0908BB98966F}"/>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D2ABE45F-1D1F-D1AB-524C-B2E170DD001C}"/>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53253DDA-584F-477F-8BD3-2FA03F1C47FE}"/>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3E182A21-D853-2744-5E79-0BFE111303E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A1EB8678-9245-D942-ED50-89E625938F54}"/>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947345E2-3055-FA71-186F-901C64C90B5F}"/>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70D86E32-731E-1D82-6643-25DBC01EAC59}"/>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A21C47E9-4780-BC7B-9D49-D2DD86DEBD8D}"/>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838E577E-8A40-845C-87C2-17158DF022F5}"/>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xdr:colOff>
      <xdr:row>3</xdr:row>
      <xdr:rowOff>54428</xdr:rowOff>
    </xdr:from>
    <xdr:to>
      <xdr:col>14</xdr:col>
      <xdr:colOff>809626</xdr:colOff>
      <xdr:row>10</xdr:row>
      <xdr:rowOff>16055</xdr:rowOff>
    </xdr:to>
    <xdr:grpSp>
      <xdr:nvGrpSpPr>
        <xdr:cNvPr id="2" name="Group 1">
          <a:extLst>
            <a:ext uri="{FF2B5EF4-FFF2-40B4-BE49-F238E27FC236}">
              <a16:creationId xmlns:a16="http://schemas.microsoft.com/office/drawing/2014/main" id="{00000000-0008-0000-1700-000002000000}"/>
            </a:ext>
          </a:extLst>
        </xdr:cNvPr>
        <xdr:cNvGrpSpPr/>
      </xdr:nvGrpSpPr>
      <xdr:grpSpPr>
        <a:xfrm>
          <a:off x="1" y="715575"/>
          <a:ext cx="7488331" cy="1339951"/>
          <a:chOff x="0" y="0"/>
          <a:chExt cx="6096000" cy="1276350"/>
        </a:xfrm>
      </xdr:grpSpPr>
      <xdr:sp macro="" textlink="">
        <xdr:nvSpPr>
          <xdr:cNvPr id="3" name="Rectangle 38">
            <a:extLst>
              <a:ext uri="{FF2B5EF4-FFF2-40B4-BE49-F238E27FC236}">
                <a16:creationId xmlns:a16="http://schemas.microsoft.com/office/drawing/2014/main" id="{00000000-0008-0000-1700-000003000000}"/>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 name="txtSheetTitle">
            <a:extLst>
              <a:ext uri="{FF2B5EF4-FFF2-40B4-BE49-F238E27FC236}">
                <a16:creationId xmlns:a16="http://schemas.microsoft.com/office/drawing/2014/main" id="{00000000-0008-0000-1700-000004000000}"/>
              </a:ext>
            </a:extLst>
          </xdr:cNvPr>
          <xdr:cNvSpPr txBox="1">
            <a:spLocks noChangeArrowheads="1"/>
          </xdr:cNvSpPr>
        </xdr:nvSpPr>
        <xdr:spPr bwMode="auto">
          <a:xfrm>
            <a:off x="628650" y="87148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Investigation into effect of pile diameter</a:t>
            </a:r>
            <a:r>
              <a:rPr lang="en-GB" sz="1100" baseline="0">
                <a:effectLst/>
                <a:latin typeface="+mn-lt"/>
                <a:ea typeface="+mn-ea"/>
                <a:cs typeface="+mn-cs"/>
              </a:rPr>
              <a:t> on reinforcement within the piles</a:t>
            </a:r>
            <a:endParaRPr lang="en-GB">
              <a:effectLst/>
            </a:endParaRPr>
          </a:p>
          <a:p>
            <a:endParaRPr lang="en-GB"/>
          </a:p>
        </xdr:txBody>
      </xdr:sp>
      <xdr:sp macro="" textlink="">
        <xdr:nvSpPr>
          <xdr:cNvPr id="5" name="Rectangle 60">
            <a:extLst>
              <a:ext uri="{FF2B5EF4-FFF2-40B4-BE49-F238E27FC236}">
                <a16:creationId xmlns:a16="http://schemas.microsoft.com/office/drawing/2014/main" id="{00000000-0008-0000-1700-000005000000}"/>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Rectangle 62">
            <a:extLst>
              <a:ext uri="{FF2B5EF4-FFF2-40B4-BE49-F238E27FC236}">
                <a16:creationId xmlns:a16="http://schemas.microsoft.com/office/drawing/2014/main" id="{00000000-0008-0000-1700-000006000000}"/>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4">
            <a:extLst>
              <a:ext uri="{FF2B5EF4-FFF2-40B4-BE49-F238E27FC236}">
                <a16:creationId xmlns:a16="http://schemas.microsoft.com/office/drawing/2014/main" id="{00000000-0008-0000-1700-000007000000}"/>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3">
            <a:extLst>
              <a:ext uri="{FF2B5EF4-FFF2-40B4-BE49-F238E27FC236}">
                <a16:creationId xmlns:a16="http://schemas.microsoft.com/office/drawing/2014/main" id="{00000000-0008-0000-1700-000008000000}"/>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7">
            <a:extLst>
              <a:ext uri="{FF2B5EF4-FFF2-40B4-BE49-F238E27FC236}">
                <a16:creationId xmlns:a16="http://schemas.microsoft.com/office/drawing/2014/main" id="{00000000-0008-0000-1700-000009000000}"/>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6">
            <a:extLst>
              <a:ext uri="{FF2B5EF4-FFF2-40B4-BE49-F238E27FC236}">
                <a16:creationId xmlns:a16="http://schemas.microsoft.com/office/drawing/2014/main" id="{00000000-0008-0000-1700-00000A000000}"/>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5">
            <a:extLst>
              <a:ext uri="{FF2B5EF4-FFF2-40B4-BE49-F238E27FC236}">
                <a16:creationId xmlns:a16="http://schemas.microsoft.com/office/drawing/2014/main" id="{00000000-0008-0000-1700-00000B000000}"/>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1">
            <a:extLst>
              <a:ext uri="{FF2B5EF4-FFF2-40B4-BE49-F238E27FC236}">
                <a16:creationId xmlns:a16="http://schemas.microsoft.com/office/drawing/2014/main" id="{00000000-0008-0000-1700-00000C000000}"/>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39">
            <a:extLst>
              <a:ext uri="{FF2B5EF4-FFF2-40B4-BE49-F238E27FC236}">
                <a16:creationId xmlns:a16="http://schemas.microsoft.com/office/drawing/2014/main" id="{00000000-0008-0000-1700-00000D000000}"/>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4" name="txtSheetNo">
            <a:extLst>
              <a:ext uri="{FF2B5EF4-FFF2-40B4-BE49-F238E27FC236}">
                <a16:creationId xmlns:a16="http://schemas.microsoft.com/office/drawing/2014/main" id="{00000000-0008-0000-1700-00000E000000}"/>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0</a:t>
            </a:fld>
            <a:endParaRPr lang="en-GB"/>
          </a:p>
        </xdr:txBody>
      </xdr:sp>
      <xdr:sp macro="" textlink="MadeBy">
        <xdr:nvSpPr>
          <xdr:cNvPr id="15" name="txtMadeBy">
            <a:extLst>
              <a:ext uri="{FF2B5EF4-FFF2-40B4-BE49-F238E27FC236}">
                <a16:creationId xmlns:a16="http://schemas.microsoft.com/office/drawing/2014/main" id="{00000000-0008-0000-1700-00000F000000}"/>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6" name="txtDate">
            <a:extLst>
              <a:ext uri="{FF2B5EF4-FFF2-40B4-BE49-F238E27FC236}">
                <a16:creationId xmlns:a16="http://schemas.microsoft.com/office/drawing/2014/main" id="{00000000-0008-0000-1700-000010000000}"/>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7" name="txtJobNo">
            <a:extLst>
              <a:ext uri="{FF2B5EF4-FFF2-40B4-BE49-F238E27FC236}">
                <a16:creationId xmlns:a16="http://schemas.microsoft.com/office/drawing/2014/main" id="{00000000-0008-0000-1700-000011000000}"/>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8" name="txtChd">
            <a:extLst>
              <a:ext uri="{FF2B5EF4-FFF2-40B4-BE49-F238E27FC236}">
                <a16:creationId xmlns:a16="http://schemas.microsoft.com/office/drawing/2014/main" id="{00000000-0008-0000-1700-000012000000}"/>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19" name="txtRev">
            <a:extLst>
              <a:ext uri="{FF2B5EF4-FFF2-40B4-BE49-F238E27FC236}">
                <a16:creationId xmlns:a16="http://schemas.microsoft.com/office/drawing/2014/main" id="{00000000-0008-0000-1700-000013000000}"/>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 </a:t>
            </a:fld>
            <a:endParaRPr lang="en-GB"/>
          </a:p>
        </xdr:txBody>
      </xdr:sp>
      <xdr:sp macro="" textlink="JobTitle">
        <xdr:nvSpPr>
          <xdr:cNvPr id="20" name="txtJobTitle">
            <a:extLst>
              <a:ext uri="{FF2B5EF4-FFF2-40B4-BE49-F238E27FC236}">
                <a16:creationId xmlns:a16="http://schemas.microsoft.com/office/drawing/2014/main" id="{00000000-0008-0000-1700-000014000000}"/>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1" name="txtDrgRef">
            <a:extLst>
              <a:ext uri="{FF2B5EF4-FFF2-40B4-BE49-F238E27FC236}">
                <a16:creationId xmlns:a16="http://schemas.microsoft.com/office/drawing/2014/main" id="{00000000-0008-0000-1700-000015000000}"/>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0</a:t>
            </a:fld>
            <a:endParaRPr lang="en-GB"/>
          </a:p>
        </xdr:txBody>
      </xdr:sp>
      <xdr:sp macro="" textlink="Member_Location">
        <xdr:nvSpPr>
          <xdr:cNvPr id="22" name="txtMemLoc">
            <a:extLst>
              <a:ext uri="{FF2B5EF4-FFF2-40B4-BE49-F238E27FC236}">
                <a16:creationId xmlns:a16="http://schemas.microsoft.com/office/drawing/2014/main" id="{00000000-0008-0000-1700-000016000000}"/>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3" name="Line 14">
            <a:extLst>
              <a:ext uri="{FF2B5EF4-FFF2-40B4-BE49-F238E27FC236}">
                <a16:creationId xmlns:a16="http://schemas.microsoft.com/office/drawing/2014/main" id="{00000000-0008-0000-1700-000017000000}"/>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 name="Line 15">
            <a:extLst>
              <a:ext uri="{FF2B5EF4-FFF2-40B4-BE49-F238E27FC236}">
                <a16:creationId xmlns:a16="http://schemas.microsoft.com/office/drawing/2014/main" id="{00000000-0008-0000-1700-000018000000}"/>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6">
            <a:extLst>
              <a:ext uri="{FF2B5EF4-FFF2-40B4-BE49-F238E27FC236}">
                <a16:creationId xmlns:a16="http://schemas.microsoft.com/office/drawing/2014/main" id="{00000000-0008-0000-1700-000019000000}"/>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7">
            <a:extLst>
              <a:ext uri="{FF2B5EF4-FFF2-40B4-BE49-F238E27FC236}">
                <a16:creationId xmlns:a16="http://schemas.microsoft.com/office/drawing/2014/main" id="{00000000-0008-0000-1700-00001A000000}"/>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8">
            <a:extLst>
              <a:ext uri="{FF2B5EF4-FFF2-40B4-BE49-F238E27FC236}">
                <a16:creationId xmlns:a16="http://schemas.microsoft.com/office/drawing/2014/main" id="{00000000-0008-0000-1700-00001B000000}"/>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9">
            <a:extLst>
              <a:ext uri="{FF2B5EF4-FFF2-40B4-BE49-F238E27FC236}">
                <a16:creationId xmlns:a16="http://schemas.microsoft.com/office/drawing/2014/main" id="{00000000-0008-0000-1700-00001C000000}"/>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20">
            <a:extLst>
              <a:ext uri="{FF2B5EF4-FFF2-40B4-BE49-F238E27FC236}">
                <a16:creationId xmlns:a16="http://schemas.microsoft.com/office/drawing/2014/main" id="{00000000-0008-0000-1700-00001D000000}"/>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2">
            <a:extLst>
              <a:ext uri="{FF2B5EF4-FFF2-40B4-BE49-F238E27FC236}">
                <a16:creationId xmlns:a16="http://schemas.microsoft.com/office/drawing/2014/main" id="{00000000-0008-0000-1700-00001E000000}"/>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3">
            <a:extLst>
              <a:ext uri="{FF2B5EF4-FFF2-40B4-BE49-F238E27FC236}">
                <a16:creationId xmlns:a16="http://schemas.microsoft.com/office/drawing/2014/main" id="{00000000-0008-0000-1700-00001F000000}"/>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4">
            <a:extLst>
              <a:ext uri="{FF2B5EF4-FFF2-40B4-BE49-F238E27FC236}">
                <a16:creationId xmlns:a16="http://schemas.microsoft.com/office/drawing/2014/main" id="{00000000-0008-0000-1700-00002000000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53">
            <a:extLst>
              <a:ext uri="{FF2B5EF4-FFF2-40B4-BE49-F238E27FC236}">
                <a16:creationId xmlns:a16="http://schemas.microsoft.com/office/drawing/2014/main" id="{00000000-0008-0000-1700-000021000000}"/>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blJobNo">
            <a:extLst>
              <a:ext uri="{FF2B5EF4-FFF2-40B4-BE49-F238E27FC236}">
                <a16:creationId xmlns:a16="http://schemas.microsoft.com/office/drawing/2014/main" id="{00000000-0008-0000-1700-000022000000}"/>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5" name="lblMemLoc">
            <a:extLst>
              <a:ext uri="{FF2B5EF4-FFF2-40B4-BE49-F238E27FC236}">
                <a16:creationId xmlns:a16="http://schemas.microsoft.com/office/drawing/2014/main" id="{00000000-0008-0000-1700-000023000000}"/>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6" name="lblMadeBy">
            <a:extLst>
              <a:ext uri="{FF2B5EF4-FFF2-40B4-BE49-F238E27FC236}">
                <a16:creationId xmlns:a16="http://schemas.microsoft.com/office/drawing/2014/main" id="{00000000-0008-0000-1700-000024000000}"/>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7" name="lblJobTitle">
            <a:extLst>
              <a:ext uri="{FF2B5EF4-FFF2-40B4-BE49-F238E27FC236}">
                <a16:creationId xmlns:a16="http://schemas.microsoft.com/office/drawing/2014/main" id="{00000000-0008-0000-1700-000025000000}"/>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8" name="lblChd">
            <a:extLst>
              <a:ext uri="{FF2B5EF4-FFF2-40B4-BE49-F238E27FC236}">
                <a16:creationId xmlns:a16="http://schemas.microsoft.com/office/drawing/2014/main" id="{00000000-0008-0000-1700-000026000000}"/>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39" name="lblDate">
            <a:extLst>
              <a:ext uri="{FF2B5EF4-FFF2-40B4-BE49-F238E27FC236}">
                <a16:creationId xmlns:a16="http://schemas.microsoft.com/office/drawing/2014/main" id="{00000000-0008-0000-1700-00002700000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0" name="lblDrgRef">
            <a:extLst>
              <a:ext uri="{FF2B5EF4-FFF2-40B4-BE49-F238E27FC236}">
                <a16:creationId xmlns:a16="http://schemas.microsoft.com/office/drawing/2014/main" id="{00000000-0008-0000-1700-000028000000}"/>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1" name="lblSheetNo">
            <a:extLst>
              <a:ext uri="{FF2B5EF4-FFF2-40B4-BE49-F238E27FC236}">
                <a16:creationId xmlns:a16="http://schemas.microsoft.com/office/drawing/2014/main" id="{00000000-0008-0000-1700-000029000000}"/>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2" name="lblRev">
            <a:extLst>
              <a:ext uri="{FF2B5EF4-FFF2-40B4-BE49-F238E27FC236}">
                <a16:creationId xmlns:a16="http://schemas.microsoft.com/office/drawing/2014/main" id="{00000000-0008-0000-1700-00002A000000}"/>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3" name="Text Box 37">
            <a:extLst>
              <a:ext uri="{FF2B5EF4-FFF2-40B4-BE49-F238E27FC236}">
                <a16:creationId xmlns:a16="http://schemas.microsoft.com/office/drawing/2014/main" id="{00000000-0008-0000-1700-00002B000000}"/>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4" name="Picture 43" descr="Arup26mm.png">
            <a:extLst>
              <a:ext uri="{FF2B5EF4-FFF2-40B4-BE49-F238E27FC236}">
                <a16:creationId xmlns:a16="http://schemas.microsoft.com/office/drawing/2014/main" id="{00000000-0008-0000-1700-00002C000000}"/>
              </a:ext>
            </a:extLst>
          </xdr:cNvPr>
          <xdr:cNvPicPr>
            <a:picLocks noChangeAspect="1"/>
          </xdr:cNvPicPr>
        </xdr:nvPicPr>
        <xdr:blipFill>
          <a:blip xmlns:r="http://schemas.openxmlformats.org/officeDocument/2006/relationships" r:embed="rId1" cstate="print"/>
          <a:stretch>
            <a:fillRect/>
          </a:stretch>
        </xdr:blipFill>
        <xdr:spPr>
          <a:xfrm>
            <a:off x="114300" y="152400"/>
            <a:ext cx="954026" cy="304801"/>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global\europe\newcastle\Jobs\250000\253300\00%20AHEP\04%20DELIVERABLES\4-05%20Project%20Wide%20Quays\4-05.5%20Structures\Calcs\Suspended%20deck%20design\Global%20deck%20design%20model\for%20Duncan-%20Pile%20Reinforcement%20Design\Shear%20Link%20Design\Shear%20Links%20Calcs.xls?FC24B979" TargetMode="External"/><Relationship Id="rId1" Type="http://schemas.openxmlformats.org/officeDocument/2006/relationships/externalLinkPath" Target="file:///\\FC24B979\Shear%20Links%20Calc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lobal\europe\newcastle\Jobs\250000\253300\00%20AHEP\04%20DELIVERABLES\4-05%20Project%20Wide%20Quays\4-05.5%20Structures\Calcs\Suspended%20deck%20design\Global%20deck%20design%20model\WQ%20Piles\1500%20dia%201%20joint\Anchorage%20&amp;%20Lap%20length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obal\europe\newcastle\Jobs\250000\253300\00%20AHEP\04%20DELIVERABLES\4-05%20Project%20Wide%20Quays\4-05.5%20Structures\Calcs\Suspended%20deck%20design\Global%20deck%20design%20model\Pile%20reinforcement%20design14.06.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lobal\europe\newcastle\Jobs\250000\253300\00%20AHEP\04%20DELIVERABLES\4-05%20Project%20Wide%20Quays\4-05.5%20Structures\Calcs\Suspended%20deck%20design\Global%20deck%20design%20model\WQ%20Piles\Rev%202%20WQ%20Pile%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
      <sheetName val="B"/>
      <sheetName val="C"/>
      <sheetName val="D"/>
      <sheetName val="E"/>
      <sheetName val="F"/>
      <sheetName val="2011NST04 method SI units"/>
      <sheetName val="Lists"/>
    </sheetNames>
    <sheetDataSet>
      <sheetData sheetId="0">
        <row r="5">
          <cell r="F5" t="str">
            <v>Enter Data on cover sheet</v>
          </cell>
        </row>
        <row r="15">
          <cell r="F15" t="str">
            <v>Shear Design for circular sections with plane (discrete) or spiral links to EN1992 (with UK NA) and Arup 2011 NST 04</v>
          </cell>
        </row>
        <row r="30">
          <cell r="F30" t="str">
            <v>r2.4</v>
          </cell>
        </row>
      </sheetData>
      <sheetData sheetId="1"/>
      <sheetData sheetId="2" refreshError="1"/>
      <sheetData sheetId="3" refreshError="1"/>
      <sheetData sheetId="4" refreshError="1"/>
      <sheetData sheetId="5" refreshError="1"/>
      <sheetData sheetId="6" refreshError="1"/>
      <sheetData sheetId="7" refreshError="1"/>
      <sheetData sheetId="8">
        <row r="3">
          <cell r="B3">
            <v>8</v>
          </cell>
          <cell r="D3" t="str">
            <v>Links</v>
          </cell>
          <cell r="F3">
            <v>12</v>
          </cell>
          <cell r="H3">
            <v>1.5</v>
          </cell>
          <cell r="J3">
            <v>1</v>
          </cell>
        </row>
        <row r="4">
          <cell r="B4">
            <v>10</v>
          </cell>
          <cell r="D4" t="str">
            <v>Spiral</v>
          </cell>
          <cell r="F4">
            <v>16</v>
          </cell>
          <cell r="H4">
            <v>1.65</v>
          </cell>
          <cell r="J4">
            <v>0.85</v>
          </cell>
        </row>
        <row r="5">
          <cell r="B5">
            <v>12</v>
          </cell>
          <cell r="F5">
            <v>20</v>
          </cell>
        </row>
        <row r="6">
          <cell r="B6">
            <v>16</v>
          </cell>
          <cell r="F6">
            <v>25</v>
          </cell>
        </row>
        <row r="7">
          <cell r="B7">
            <v>20</v>
          </cell>
          <cell r="F7">
            <v>32</v>
          </cell>
        </row>
        <row r="8">
          <cell r="B8">
            <v>25</v>
          </cell>
          <cell r="F8">
            <v>40</v>
          </cell>
        </row>
        <row r="9">
          <cell r="F9">
            <v>50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lculations"/>
      <sheetName val="Tension (constant cover)"/>
      <sheetName val="Tension (constant Fck)"/>
      <sheetName val="Compression"/>
    </sheetNames>
    <sheetDataSet>
      <sheetData sheetId="0"/>
      <sheetData sheetId="1">
        <row r="76">
          <cell r="L76" t="str">
            <v>C12/15</v>
          </cell>
        </row>
        <row r="77">
          <cell r="L77" t="str">
            <v>C16/20</v>
          </cell>
        </row>
        <row r="78">
          <cell r="L78" t="str">
            <v>C20/25</v>
          </cell>
        </row>
        <row r="79">
          <cell r="L79" t="str">
            <v>C25/30</v>
          </cell>
        </row>
        <row r="80">
          <cell r="L80" t="str">
            <v>C30/37</v>
          </cell>
        </row>
        <row r="81">
          <cell r="L81" t="str">
            <v>C32/40</v>
          </cell>
        </row>
        <row r="82">
          <cell r="L82" t="str">
            <v>C35/45</v>
          </cell>
        </row>
        <row r="83">
          <cell r="L83" t="str">
            <v>C40/50</v>
          </cell>
        </row>
        <row r="84">
          <cell r="L84" t="str">
            <v>C45/55</v>
          </cell>
        </row>
        <row r="85">
          <cell r="L85" t="str">
            <v>C50/60</v>
          </cell>
        </row>
        <row r="86">
          <cell r="L86" t="str">
            <v>C55/67</v>
          </cell>
        </row>
        <row r="87">
          <cell r="L87" t="str">
            <v>C60/75</v>
          </cell>
        </row>
        <row r="88">
          <cell r="L88" t="str">
            <v>C70/85</v>
          </cell>
        </row>
        <row r="89">
          <cell r="L89" t="str">
            <v>C80/95</v>
          </cell>
        </row>
        <row r="90">
          <cell r="L90" t="str">
            <v>C90/105</v>
          </cell>
        </row>
      </sheetData>
      <sheetData sheetId="2"/>
      <sheetData sheetId="3">
        <row r="44">
          <cell r="K44" t="b">
            <v>1</v>
          </cell>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Notes"/>
      <sheetName val="Summary"/>
      <sheetName val="7.5m Pile (Zones A+B)"/>
      <sheetName val="15m Pile  (Zones C+D)"/>
      <sheetName val="15m Pile  (Zones E+F)"/>
      <sheetName val="15m Pile"/>
      <sheetName val="Calc(L)"/>
      <sheetName val="Calc(side)"/>
    </sheetNames>
    <sheetDataSet>
      <sheetData sheetId="0">
        <row r="5">
          <cell r="F5" t="str">
            <v>AHEP</v>
          </cell>
        </row>
        <row r="17">
          <cell r="F17">
            <v>0</v>
          </cell>
        </row>
        <row r="19">
          <cell r="F19">
            <v>0</v>
          </cell>
        </row>
        <row r="21">
          <cell r="F21">
            <v>0</v>
          </cell>
        </row>
      </sheetData>
      <sheetData sheetId="1" refreshError="1"/>
      <sheetData sheetId="2"/>
      <sheetData sheetId="3">
        <row r="55">
          <cell r="M55" t="str">
            <v>Myz,upper (kNm)</v>
          </cell>
        </row>
      </sheetData>
      <sheetData sheetId="4">
        <row r="65">
          <cell r="M65" t="str">
            <v>Myz,upper (kNm)</v>
          </cell>
        </row>
      </sheetData>
      <sheetData sheetId="5">
        <row r="65">
          <cell r="M65" t="str">
            <v>Myz (kNm)</v>
          </cell>
        </row>
      </sheetData>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Thermal reduction reasoning"/>
      <sheetName val="Zone A"/>
      <sheetName val="Envelope Zone A"/>
      <sheetName val="Max permutation (Zone A, top)"/>
      <sheetName val="Shear in Zone A (top 3m)"/>
      <sheetName val="Shear in Zone A (3-3.5m)"/>
      <sheetName val="Shear in Zone A (3.5-5.5m)"/>
      <sheetName val="Shear in Zone A (5.5-7.5m)"/>
      <sheetName val="Shear in Zone A (7.5-16m)"/>
      <sheetName val="Shear in Zone A (16-30m)"/>
      <sheetName val="Zone B"/>
      <sheetName val="Envelope Zone B"/>
      <sheetName val="Max permutation (Zone B, top)"/>
      <sheetName val="Shear in Zone B (top 14m)"/>
      <sheetName val="Shear in Zone B (top 14-20m)"/>
      <sheetName val="Shear in Zone B (below 20m)"/>
      <sheetName val="Zone C"/>
      <sheetName val="Envelope Zone C"/>
      <sheetName val="Max permutation (Zone C, top)"/>
      <sheetName val="Shear in Zone C (top 3m)"/>
      <sheetName val="Shear in Zone C (3-5m)"/>
      <sheetName val="Shear in Zone C (5-16m)"/>
      <sheetName val="Shear in Zone C (16m-end)"/>
      <sheetName val="Zone D"/>
      <sheetName val="Envelope Zone D"/>
      <sheetName val="Max permutation (Zone D, top)"/>
      <sheetName val="Shear in Zone D (top 14m)"/>
      <sheetName val="Shear in Zone D (14-22m)"/>
      <sheetName val="Shear in Zone D (22-32m)"/>
      <sheetName val="Zone E"/>
      <sheetName val="Envelope Zone E"/>
      <sheetName val="Max permutation (Zone E, top)"/>
      <sheetName val="Shear in Zone E (top 2m)"/>
      <sheetName val="Shear in Zone E (2-5m)"/>
      <sheetName val="Shear in Zone E (5-16m)"/>
      <sheetName val="Shear in Zone E (16-24m)"/>
      <sheetName val="Zone F"/>
      <sheetName val="Envelope Zone F"/>
      <sheetName val="Max permutation (Zone F, top)"/>
      <sheetName val="Shear in Zone F (top 14m)"/>
      <sheetName val="Shear in Zone F (14-22m)"/>
      <sheetName val="Summary (07.09)"/>
      <sheetName val="Summary (03.07)"/>
      <sheetName val="Summary (21.06)"/>
      <sheetName val="North Quay Estimate"/>
      <sheetName val="Summary Mass Calc"/>
      <sheetName val="AdSec Section Capacitie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47">
          <cell r="Q47">
            <v>18</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I11"/>
  <sheetViews>
    <sheetView view="pageBreakPreview" topLeftCell="A7" zoomScale="160" zoomScaleNormal="100" zoomScaleSheetLayoutView="160" workbookViewId="0">
      <selection activeCell="A7" sqref="A7:I7"/>
    </sheetView>
  </sheetViews>
  <sheetFormatPr defaultColWidth="8.85546875" defaultRowHeight="12.75"/>
  <cols>
    <col min="1" max="1" width="14.42578125" style="4" customWidth="1"/>
    <col min="2" max="2" width="10" style="4" customWidth="1"/>
    <col min="3" max="3" width="7.5703125" style="4" customWidth="1"/>
    <col min="4" max="5" width="8.85546875" style="4"/>
    <col min="6" max="7" width="10.42578125" style="4" bestFit="1" customWidth="1"/>
    <col min="8" max="8" width="8.85546875" style="4"/>
    <col min="9" max="9" width="12.42578125" style="4" customWidth="1"/>
    <col min="10" max="10" width="9.42578125" style="4" customWidth="1"/>
    <col min="11" max="16384" width="8.85546875" style="4"/>
  </cols>
  <sheetData>
    <row r="1" spans="1:9" ht="99.75" customHeight="1"/>
    <row r="3" spans="1:9" ht="15">
      <c r="A3" s="109" t="s">
        <v>0</v>
      </c>
    </row>
    <row r="5" spans="1:9" ht="95.1" customHeight="1">
      <c r="A5" s="141" t="s">
        <v>1</v>
      </c>
      <c r="B5" s="141"/>
      <c r="C5" s="141"/>
      <c r="D5" s="141"/>
      <c r="E5" s="141"/>
      <c r="F5" s="141"/>
      <c r="G5" s="141"/>
      <c r="H5" s="141"/>
      <c r="I5" s="141"/>
    </row>
    <row r="7" spans="1:9" ht="69" customHeight="1">
      <c r="A7" s="141" t="s">
        <v>2</v>
      </c>
      <c r="B7" s="141"/>
      <c r="C7" s="141"/>
      <c r="D7" s="141"/>
      <c r="E7" s="141"/>
      <c r="F7" s="141"/>
      <c r="G7" s="141"/>
      <c r="H7" s="141"/>
      <c r="I7" s="141"/>
    </row>
    <row r="9" spans="1:9" ht="72" customHeight="1">
      <c r="A9" s="141" t="s">
        <v>3</v>
      </c>
      <c r="B9" s="141"/>
      <c r="C9" s="141"/>
      <c r="D9" s="141"/>
      <c r="E9" s="141"/>
      <c r="F9" s="141"/>
      <c r="G9" s="141"/>
      <c r="H9" s="141"/>
      <c r="I9" s="141"/>
    </row>
    <row r="11" spans="1:9">
      <c r="A11" s="108"/>
      <c r="B11" s="108"/>
      <c r="C11" s="108"/>
      <c r="D11" s="108"/>
      <c r="E11" s="108"/>
      <c r="F11" s="108"/>
      <c r="G11" s="108"/>
      <c r="H11" s="108"/>
      <c r="I11" s="108"/>
    </row>
  </sheetData>
  <mergeCells count="3">
    <mergeCell ref="A5:I5"/>
    <mergeCell ref="A7:I7"/>
    <mergeCell ref="A9:I9"/>
  </mergeCells>
  <pageMargins left="0.51181102362204722" right="0.51181102362204722" top="0.59055118110236227" bottom="0.70866141732283472" header="0.51181102362204722" footer="0.39370078740157483"/>
  <pageSetup paperSize="9" orientation="portrait" r:id="rId1"/>
  <headerFooter>
    <oddFooter>&amp;L&amp;8&amp;Z
&amp;F : &amp;A&amp;R&amp;8Page &amp;P of &amp;N
Printed &amp;D  Time &amp;T</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40EF4-B629-4FB6-A0A2-43E71E087446}">
  <sheetPr codeName="Sheet4">
    <tabColor theme="5" tint="0.39997558519241921"/>
    <pageSetUpPr fitToPage="1"/>
  </sheetPr>
  <dimension ref="A1:R116"/>
  <sheetViews>
    <sheetView showGridLines="0" view="pageBreakPreview" topLeftCell="A18" zoomScale="130" zoomScaleNormal="100" zoomScaleSheetLayoutView="130" workbookViewId="0">
      <selection activeCell="C40" sqref="C40"/>
    </sheetView>
  </sheetViews>
  <sheetFormatPr defaultColWidth="9.140625" defaultRowHeight="12.75"/>
  <cols>
    <col min="1" max="1" width="11" style="4" customWidth="1"/>
    <col min="2" max="3" width="12.5703125" style="4" customWidth="1"/>
    <col min="4" max="4" width="11" style="4" customWidth="1"/>
    <col min="5" max="5" width="8.42578125" style="4" customWidth="1"/>
    <col min="6" max="6" width="11.42578125" style="4" customWidth="1"/>
    <col min="7" max="7" width="1.85546875" style="4" customWidth="1"/>
    <col min="8" max="8" width="8.42578125" style="4" customWidth="1"/>
    <col min="9" max="9" width="11.42578125" style="4" customWidth="1"/>
    <col min="10" max="11" width="10.42578125" style="4" customWidth="1"/>
    <col min="12" max="12" width="10.5703125" style="4" customWidth="1"/>
    <col min="13" max="13" width="10" style="4" customWidth="1"/>
    <col min="14" max="14" width="11" style="4" bestFit="1" customWidth="1"/>
    <col min="15" max="15" width="12" style="4" customWidth="1"/>
    <col min="16" max="16" width="11.140625" style="4" customWidth="1"/>
    <col min="17" max="17" width="9.5703125" style="4" customWidth="1"/>
    <col min="18" max="18" width="10.42578125" style="4" customWidth="1"/>
    <col min="19" max="19" width="8.5703125" style="4" customWidth="1"/>
    <col min="20" max="20" width="11" style="4" customWidth="1"/>
    <col min="21" max="21" width="13.42578125" style="4" bestFit="1" customWidth="1"/>
    <col min="22" max="22" width="9.42578125" style="4" customWidth="1"/>
    <col min="23" max="23" width="7.5703125" style="4" customWidth="1"/>
    <col min="24" max="24" width="11.42578125" style="4" customWidth="1"/>
    <col min="25" max="25" width="9.42578125" style="4" customWidth="1"/>
    <col min="26" max="26" width="11.42578125" style="4" customWidth="1"/>
    <col min="27" max="27" width="13.42578125" style="4" bestFit="1" customWidth="1"/>
    <col min="28" max="28" width="5.5703125" style="4" bestFit="1" customWidth="1"/>
    <col min="29" max="29" width="19.5703125" style="4" bestFit="1" customWidth="1"/>
    <col min="30" max="30" width="1.42578125" style="4" customWidth="1"/>
    <col min="31" max="31" width="13.42578125" style="4" bestFit="1" customWidth="1"/>
    <col min="32" max="32" width="8.5703125" style="4" bestFit="1" customWidth="1"/>
    <col min="33" max="33" width="8.85546875" style="4" bestFit="1" customWidth="1"/>
    <col min="34" max="256" width="9.140625" style="4"/>
    <col min="257" max="257" width="11" style="4" customWidth="1"/>
    <col min="258" max="259" width="12.5703125" style="4" customWidth="1"/>
    <col min="260" max="260" width="11" style="4" customWidth="1"/>
    <col min="261" max="261" width="8.42578125" style="4" customWidth="1"/>
    <col min="262" max="262" width="11.42578125" style="4" customWidth="1"/>
    <col min="263" max="263" width="1.85546875" style="4" customWidth="1"/>
    <col min="264" max="264" width="8.42578125" style="4" customWidth="1"/>
    <col min="265" max="265" width="11.42578125" style="4" customWidth="1"/>
    <col min="266" max="267" width="10.42578125" style="4" customWidth="1"/>
    <col min="268" max="268" width="10.5703125" style="4" customWidth="1"/>
    <col min="269" max="269" width="10" style="4" customWidth="1"/>
    <col min="270" max="270" width="11" style="4" bestFit="1" customWidth="1"/>
    <col min="271" max="271" width="12" style="4" customWidth="1"/>
    <col min="272" max="272" width="11.140625" style="4" customWidth="1"/>
    <col min="273" max="273" width="9.5703125" style="4" customWidth="1"/>
    <col min="274" max="274" width="10.42578125" style="4" customWidth="1"/>
    <col min="275" max="275" width="8.5703125" style="4" customWidth="1"/>
    <col min="276" max="276" width="11" style="4" customWidth="1"/>
    <col min="277" max="277" width="13.42578125" style="4" bestFit="1" customWidth="1"/>
    <col min="278" max="278" width="9.42578125" style="4" customWidth="1"/>
    <col min="279" max="279" width="7.5703125" style="4" customWidth="1"/>
    <col min="280" max="280" width="11.42578125" style="4" customWidth="1"/>
    <col min="281" max="281" width="9.42578125" style="4" customWidth="1"/>
    <col min="282" max="282" width="11.42578125" style="4" customWidth="1"/>
    <col min="283" max="283" width="13.42578125" style="4" bestFit="1" customWidth="1"/>
    <col min="284" max="284" width="5.5703125" style="4" bestFit="1" customWidth="1"/>
    <col min="285" max="285" width="19.5703125" style="4" bestFit="1" customWidth="1"/>
    <col min="286" max="286" width="1.42578125" style="4" customWidth="1"/>
    <col min="287" max="287" width="13.42578125" style="4" bestFit="1" customWidth="1"/>
    <col min="288" max="288" width="8.5703125" style="4" bestFit="1" customWidth="1"/>
    <col min="289" max="289" width="8.85546875" style="4" bestFit="1" customWidth="1"/>
    <col min="290" max="512" width="9.140625" style="4"/>
    <col min="513" max="513" width="11" style="4" customWidth="1"/>
    <col min="514" max="515" width="12.5703125" style="4" customWidth="1"/>
    <col min="516" max="516" width="11" style="4" customWidth="1"/>
    <col min="517" max="517" width="8.42578125" style="4" customWidth="1"/>
    <col min="518" max="518" width="11.42578125" style="4" customWidth="1"/>
    <col min="519" max="519" width="1.85546875" style="4" customWidth="1"/>
    <col min="520" max="520" width="8.42578125" style="4" customWidth="1"/>
    <col min="521" max="521" width="11.42578125" style="4" customWidth="1"/>
    <col min="522" max="523" width="10.42578125" style="4" customWidth="1"/>
    <col min="524" max="524" width="10.5703125" style="4" customWidth="1"/>
    <col min="525" max="525" width="10" style="4" customWidth="1"/>
    <col min="526" max="526" width="11" style="4" bestFit="1" customWidth="1"/>
    <col min="527" max="527" width="12" style="4" customWidth="1"/>
    <col min="528" max="528" width="11.140625" style="4" customWidth="1"/>
    <col min="529" max="529" width="9.5703125" style="4" customWidth="1"/>
    <col min="530" max="530" width="10.42578125" style="4" customWidth="1"/>
    <col min="531" max="531" width="8.5703125" style="4" customWidth="1"/>
    <col min="532" max="532" width="11" style="4" customWidth="1"/>
    <col min="533" max="533" width="13.42578125" style="4" bestFit="1" customWidth="1"/>
    <col min="534" max="534" width="9.42578125" style="4" customWidth="1"/>
    <col min="535" max="535" width="7.5703125" style="4" customWidth="1"/>
    <col min="536" max="536" width="11.42578125" style="4" customWidth="1"/>
    <col min="537" max="537" width="9.42578125" style="4" customWidth="1"/>
    <col min="538" max="538" width="11.42578125" style="4" customWidth="1"/>
    <col min="539" max="539" width="13.42578125" style="4" bestFit="1" customWidth="1"/>
    <col min="540" max="540" width="5.5703125" style="4" bestFit="1" customWidth="1"/>
    <col min="541" max="541" width="19.5703125" style="4" bestFit="1" customWidth="1"/>
    <col min="542" max="542" width="1.42578125" style="4" customWidth="1"/>
    <col min="543" max="543" width="13.42578125" style="4" bestFit="1" customWidth="1"/>
    <col min="544" max="544" width="8.5703125" style="4" bestFit="1" customWidth="1"/>
    <col min="545" max="545" width="8.85546875" style="4" bestFit="1" customWidth="1"/>
    <col min="546" max="768" width="9.140625" style="4"/>
    <col min="769" max="769" width="11" style="4" customWidth="1"/>
    <col min="770" max="771" width="12.5703125" style="4" customWidth="1"/>
    <col min="772" max="772" width="11" style="4" customWidth="1"/>
    <col min="773" max="773" width="8.42578125" style="4" customWidth="1"/>
    <col min="774" max="774" width="11.42578125" style="4" customWidth="1"/>
    <col min="775" max="775" width="1.85546875" style="4" customWidth="1"/>
    <col min="776" max="776" width="8.42578125" style="4" customWidth="1"/>
    <col min="777" max="777" width="11.42578125" style="4" customWidth="1"/>
    <col min="778" max="779" width="10.42578125" style="4" customWidth="1"/>
    <col min="780" max="780" width="10.5703125" style="4" customWidth="1"/>
    <col min="781" max="781" width="10" style="4" customWidth="1"/>
    <col min="782" max="782" width="11" style="4" bestFit="1" customWidth="1"/>
    <col min="783" max="783" width="12" style="4" customWidth="1"/>
    <col min="784" max="784" width="11.140625" style="4" customWidth="1"/>
    <col min="785" max="785" width="9.5703125" style="4" customWidth="1"/>
    <col min="786" max="786" width="10.42578125" style="4" customWidth="1"/>
    <col min="787" max="787" width="8.5703125" style="4" customWidth="1"/>
    <col min="788" max="788" width="11" style="4" customWidth="1"/>
    <col min="789" max="789" width="13.42578125" style="4" bestFit="1" customWidth="1"/>
    <col min="790" max="790" width="9.42578125" style="4" customWidth="1"/>
    <col min="791" max="791" width="7.5703125" style="4" customWidth="1"/>
    <col min="792" max="792" width="11.42578125" style="4" customWidth="1"/>
    <col min="793" max="793" width="9.42578125" style="4" customWidth="1"/>
    <col min="794" max="794" width="11.42578125" style="4" customWidth="1"/>
    <col min="795" max="795" width="13.42578125" style="4" bestFit="1" customWidth="1"/>
    <col min="796" max="796" width="5.5703125" style="4" bestFit="1" customWidth="1"/>
    <col min="797" max="797" width="19.5703125" style="4" bestFit="1" customWidth="1"/>
    <col min="798" max="798" width="1.42578125" style="4" customWidth="1"/>
    <col min="799" max="799" width="13.42578125" style="4" bestFit="1" customWidth="1"/>
    <col min="800" max="800" width="8.5703125" style="4" bestFit="1" customWidth="1"/>
    <col min="801" max="801" width="8.85546875" style="4" bestFit="1" customWidth="1"/>
    <col min="802" max="1024" width="9.140625" style="4"/>
    <col min="1025" max="1025" width="11" style="4" customWidth="1"/>
    <col min="1026" max="1027" width="12.5703125" style="4" customWidth="1"/>
    <col min="1028" max="1028" width="11" style="4" customWidth="1"/>
    <col min="1029" max="1029" width="8.42578125" style="4" customWidth="1"/>
    <col min="1030" max="1030" width="11.42578125" style="4" customWidth="1"/>
    <col min="1031" max="1031" width="1.85546875" style="4" customWidth="1"/>
    <col min="1032" max="1032" width="8.42578125" style="4" customWidth="1"/>
    <col min="1033" max="1033" width="11.42578125" style="4" customWidth="1"/>
    <col min="1034" max="1035" width="10.42578125" style="4" customWidth="1"/>
    <col min="1036" max="1036" width="10.5703125" style="4" customWidth="1"/>
    <col min="1037" max="1037" width="10" style="4" customWidth="1"/>
    <col min="1038" max="1038" width="11" style="4" bestFit="1" customWidth="1"/>
    <col min="1039" max="1039" width="12" style="4" customWidth="1"/>
    <col min="1040" max="1040" width="11.140625" style="4" customWidth="1"/>
    <col min="1041" max="1041" width="9.5703125" style="4" customWidth="1"/>
    <col min="1042" max="1042" width="10.42578125" style="4" customWidth="1"/>
    <col min="1043" max="1043" width="8.5703125" style="4" customWidth="1"/>
    <col min="1044" max="1044" width="11" style="4" customWidth="1"/>
    <col min="1045" max="1045" width="13.42578125" style="4" bestFit="1" customWidth="1"/>
    <col min="1046" max="1046" width="9.42578125" style="4" customWidth="1"/>
    <col min="1047" max="1047" width="7.5703125" style="4" customWidth="1"/>
    <col min="1048" max="1048" width="11.42578125" style="4" customWidth="1"/>
    <col min="1049" max="1049" width="9.42578125" style="4" customWidth="1"/>
    <col min="1050" max="1050" width="11.42578125" style="4" customWidth="1"/>
    <col min="1051" max="1051" width="13.42578125" style="4" bestFit="1" customWidth="1"/>
    <col min="1052" max="1052" width="5.5703125" style="4" bestFit="1" customWidth="1"/>
    <col min="1053" max="1053" width="19.5703125" style="4" bestFit="1" customWidth="1"/>
    <col min="1054" max="1054" width="1.42578125" style="4" customWidth="1"/>
    <col min="1055" max="1055" width="13.42578125" style="4" bestFit="1" customWidth="1"/>
    <col min="1056" max="1056" width="8.5703125" style="4" bestFit="1" customWidth="1"/>
    <col min="1057" max="1057" width="8.85546875" style="4" bestFit="1" customWidth="1"/>
    <col min="1058" max="1280" width="9.140625" style="4"/>
    <col min="1281" max="1281" width="11" style="4" customWidth="1"/>
    <col min="1282" max="1283" width="12.5703125" style="4" customWidth="1"/>
    <col min="1284" max="1284" width="11" style="4" customWidth="1"/>
    <col min="1285" max="1285" width="8.42578125" style="4" customWidth="1"/>
    <col min="1286" max="1286" width="11.42578125" style="4" customWidth="1"/>
    <col min="1287" max="1287" width="1.85546875" style="4" customWidth="1"/>
    <col min="1288" max="1288" width="8.42578125" style="4" customWidth="1"/>
    <col min="1289" max="1289" width="11.42578125" style="4" customWidth="1"/>
    <col min="1290" max="1291" width="10.42578125" style="4" customWidth="1"/>
    <col min="1292" max="1292" width="10.5703125" style="4" customWidth="1"/>
    <col min="1293" max="1293" width="10" style="4" customWidth="1"/>
    <col min="1294" max="1294" width="11" style="4" bestFit="1" customWidth="1"/>
    <col min="1295" max="1295" width="12" style="4" customWidth="1"/>
    <col min="1296" max="1296" width="11.140625" style="4" customWidth="1"/>
    <col min="1297" max="1297" width="9.5703125" style="4" customWidth="1"/>
    <col min="1298" max="1298" width="10.42578125" style="4" customWidth="1"/>
    <col min="1299" max="1299" width="8.5703125" style="4" customWidth="1"/>
    <col min="1300" max="1300" width="11" style="4" customWidth="1"/>
    <col min="1301" max="1301" width="13.42578125" style="4" bestFit="1" customWidth="1"/>
    <col min="1302" max="1302" width="9.42578125" style="4" customWidth="1"/>
    <col min="1303" max="1303" width="7.5703125" style="4" customWidth="1"/>
    <col min="1304" max="1304" width="11.42578125" style="4" customWidth="1"/>
    <col min="1305" max="1305" width="9.42578125" style="4" customWidth="1"/>
    <col min="1306" max="1306" width="11.42578125" style="4" customWidth="1"/>
    <col min="1307" max="1307" width="13.42578125" style="4" bestFit="1" customWidth="1"/>
    <col min="1308" max="1308" width="5.5703125" style="4" bestFit="1" customWidth="1"/>
    <col min="1309" max="1309" width="19.5703125" style="4" bestFit="1" customWidth="1"/>
    <col min="1310" max="1310" width="1.42578125" style="4" customWidth="1"/>
    <col min="1311" max="1311" width="13.42578125" style="4" bestFit="1" customWidth="1"/>
    <col min="1312" max="1312" width="8.5703125" style="4" bestFit="1" customWidth="1"/>
    <col min="1313" max="1313" width="8.85546875" style="4" bestFit="1" customWidth="1"/>
    <col min="1314" max="1536" width="9.140625" style="4"/>
    <col min="1537" max="1537" width="11" style="4" customWidth="1"/>
    <col min="1538" max="1539" width="12.5703125" style="4" customWidth="1"/>
    <col min="1540" max="1540" width="11" style="4" customWidth="1"/>
    <col min="1541" max="1541" width="8.42578125" style="4" customWidth="1"/>
    <col min="1542" max="1542" width="11.42578125" style="4" customWidth="1"/>
    <col min="1543" max="1543" width="1.85546875" style="4" customWidth="1"/>
    <col min="1544" max="1544" width="8.42578125" style="4" customWidth="1"/>
    <col min="1545" max="1545" width="11.42578125" style="4" customWidth="1"/>
    <col min="1546" max="1547" width="10.42578125" style="4" customWidth="1"/>
    <col min="1548" max="1548" width="10.5703125" style="4" customWidth="1"/>
    <col min="1549" max="1549" width="10" style="4" customWidth="1"/>
    <col min="1550" max="1550" width="11" style="4" bestFit="1" customWidth="1"/>
    <col min="1551" max="1551" width="12" style="4" customWidth="1"/>
    <col min="1552" max="1552" width="11.140625" style="4" customWidth="1"/>
    <col min="1553" max="1553" width="9.5703125" style="4" customWidth="1"/>
    <col min="1554" max="1554" width="10.42578125" style="4" customWidth="1"/>
    <col min="1555" max="1555" width="8.5703125" style="4" customWidth="1"/>
    <col min="1556" max="1556" width="11" style="4" customWidth="1"/>
    <col min="1557" max="1557" width="13.42578125" style="4" bestFit="1" customWidth="1"/>
    <col min="1558" max="1558" width="9.42578125" style="4" customWidth="1"/>
    <col min="1559" max="1559" width="7.5703125" style="4" customWidth="1"/>
    <col min="1560" max="1560" width="11.42578125" style="4" customWidth="1"/>
    <col min="1561" max="1561" width="9.42578125" style="4" customWidth="1"/>
    <col min="1562" max="1562" width="11.42578125" style="4" customWidth="1"/>
    <col min="1563" max="1563" width="13.42578125" style="4" bestFit="1" customWidth="1"/>
    <col min="1564" max="1564" width="5.5703125" style="4" bestFit="1" customWidth="1"/>
    <col min="1565" max="1565" width="19.5703125" style="4" bestFit="1" customWidth="1"/>
    <col min="1566" max="1566" width="1.42578125" style="4" customWidth="1"/>
    <col min="1567" max="1567" width="13.42578125" style="4" bestFit="1" customWidth="1"/>
    <col min="1568" max="1568" width="8.5703125" style="4" bestFit="1" customWidth="1"/>
    <col min="1569" max="1569" width="8.85546875" style="4" bestFit="1" customWidth="1"/>
    <col min="1570" max="1792" width="9.140625" style="4"/>
    <col min="1793" max="1793" width="11" style="4" customWidth="1"/>
    <col min="1794" max="1795" width="12.5703125" style="4" customWidth="1"/>
    <col min="1796" max="1796" width="11" style="4" customWidth="1"/>
    <col min="1797" max="1797" width="8.42578125" style="4" customWidth="1"/>
    <col min="1798" max="1798" width="11.42578125" style="4" customWidth="1"/>
    <col min="1799" max="1799" width="1.85546875" style="4" customWidth="1"/>
    <col min="1800" max="1800" width="8.42578125" style="4" customWidth="1"/>
    <col min="1801" max="1801" width="11.42578125" style="4" customWidth="1"/>
    <col min="1802" max="1803" width="10.42578125" style="4" customWidth="1"/>
    <col min="1804" max="1804" width="10.5703125" style="4" customWidth="1"/>
    <col min="1805" max="1805" width="10" style="4" customWidth="1"/>
    <col min="1806" max="1806" width="11" style="4" bestFit="1" customWidth="1"/>
    <col min="1807" max="1807" width="12" style="4" customWidth="1"/>
    <col min="1808" max="1808" width="11.140625" style="4" customWidth="1"/>
    <col min="1809" max="1809" width="9.5703125" style="4" customWidth="1"/>
    <col min="1810" max="1810" width="10.42578125" style="4" customWidth="1"/>
    <col min="1811" max="1811" width="8.5703125" style="4" customWidth="1"/>
    <col min="1812" max="1812" width="11" style="4" customWidth="1"/>
    <col min="1813" max="1813" width="13.42578125" style="4" bestFit="1" customWidth="1"/>
    <col min="1814" max="1814" width="9.42578125" style="4" customWidth="1"/>
    <col min="1815" max="1815" width="7.5703125" style="4" customWidth="1"/>
    <col min="1816" max="1816" width="11.42578125" style="4" customWidth="1"/>
    <col min="1817" max="1817" width="9.42578125" style="4" customWidth="1"/>
    <col min="1818" max="1818" width="11.42578125" style="4" customWidth="1"/>
    <col min="1819" max="1819" width="13.42578125" style="4" bestFit="1" customWidth="1"/>
    <col min="1820" max="1820" width="5.5703125" style="4" bestFit="1" customWidth="1"/>
    <col min="1821" max="1821" width="19.5703125" style="4" bestFit="1" customWidth="1"/>
    <col min="1822" max="1822" width="1.42578125" style="4" customWidth="1"/>
    <col min="1823" max="1823" width="13.42578125" style="4" bestFit="1" customWidth="1"/>
    <col min="1824" max="1824" width="8.5703125" style="4" bestFit="1" customWidth="1"/>
    <col min="1825" max="1825" width="8.85546875" style="4" bestFit="1" customWidth="1"/>
    <col min="1826" max="2048" width="9.140625" style="4"/>
    <col min="2049" max="2049" width="11" style="4" customWidth="1"/>
    <col min="2050" max="2051" width="12.5703125" style="4" customWidth="1"/>
    <col min="2052" max="2052" width="11" style="4" customWidth="1"/>
    <col min="2053" max="2053" width="8.42578125" style="4" customWidth="1"/>
    <col min="2054" max="2054" width="11.42578125" style="4" customWidth="1"/>
    <col min="2055" max="2055" width="1.85546875" style="4" customWidth="1"/>
    <col min="2056" max="2056" width="8.42578125" style="4" customWidth="1"/>
    <col min="2057" max="2057" width="11.42578125" style="4" customWidth="1"/>
    <col min="2058" max="2059" width="10.42578125" style="4" customWidth="1"/>
    <col min="2060" max="2060" width="10.5703125" style="4" customWidth="1"/>
    <col min="2061" max="2061" width="10" style="4" customWidth="1"/>
    <col min="2062" max="2062" width="11" style="4" bestFit="1" customWidth="1"/>
    <col min="2063" max="2063" width="12" style="4" customWidth="1"/>
    <col min="2064" max="2064" width="11.140625" style="4" customWidth="1"/>
    <col min="2065" max="2065" width="9.5703125" style="4" customWidth="1"/>
    <col min="2066" max="2066" width="10.42578125" style="4" customWidth="1"/>
    <col min="2067" max="2067" width="8.5703125" style="4" customWidth="1"/>
    <col min="2068" max="2068" width="11" style="4" customWidth="1"/>
    <col min="2069" max="2069" width="13.42578125" style="4" bestFit="1" customWidth="1"/>
    <col min="2070" max="2070" width="9.42578125" style="4" customWidth="1"/>
    <col min="2071" max="2071" width="7.5703125" style="4" customWidth="1"/>
    <col min="2072" max="2072" width="11.42578125" style="4" customWidth="1"/>
    <col min="2073" max="2073" width="9.42578125" style="4" customWidth="1"/>
    <col min="2074" max="2074" width="11.42578125" style="4" customWidth="1"/>
    <col min="2075" max="2075" width="13.42578125" style="4" bestFit="1" customWidth="1"/>
    <col min="2076" max="2076" width="5.5703125" style="4" bestFit="1" customWidth="1"/>
    <col min="2077" max="2077" width="19.5703125" style="4" bestFit="1" customWidth="1"/>
    <col min="2078" max="2078" width="1.42578125" style="4" customWidth="1"/>
    <col min="2079" max="2079" width="13.42578125" style="4" bestFit="1" customWidth="1"/>
    <col min="2080" max="2080" width="8.5703125" style="4" bestFit="1" customWidth="1"/>
    <col min="2081" max="2081" width="8.85546875" style="4" bestFit="1" customWidth="1"/>
    <col min="2082" max="2304" width="9.140625" style="4"/>
    <col min="2305" max="2305" width="11" style="4" customWidth="1"/>
    <col min="2306" max="2307" width="12.5703125" style="4" customWidth="1"/>
    <col min="2308" max="2308" width="11" style="4" customWidth="1"/>
    <col min="2309" max="2309" width="8.42578125" style="4" customWidth="1"/>
    <col min="2310" max="2310" width="11.42578125" style="4" customWidth="1"/>
    <col min="2311" max="2311" width="1.85546875" style="4" customWidth="1"/>
    <col min="2312" max="2312" width="8.42578125" style="4" customWidth="1"/>
    <col min="2313" max="2313" width="11.42578125" style="4" customWidth="1"/>
    <col min="2314" max="2315" width="10.42578125" style="4" customWidth="1"/>
    <col min="2316" max="2316" width="10.5703125" style="4" customWidth="1"/>
    <col min="2317" max="2317" width="10" style="4" customWidth="1"/>
    <col min="2318" max="2318" width="11" style="4" bestFit="1" customWidth="1"/>
    <col min="2319" max="2319" width="12" style="4" customWidth="1"/>
    <col min="2320" max="2320" width="11.140625" style="4" customWidth="1"/>
    <col min="2321" max="2321" width="9.5703125" style="4" customWidth="1"/>
    <col min="2322" max="2322" width="10.42578125" style="4" customWidth="1"/>
    <col min="2323" max="2323" width="8.5703125" style="4" customWidth="1"/>
    <col min="2324" max="2324" width="11" style="4" customWidth="1"/>
    <col min="2325" max="2325" width="13.42578125" style="4" bestFit="1" customWidth="1"/>
    <col min="2326" max="2326" width="9.42578125" style="4" customWidth="1"/>
    <col min="2327" max="2327" width="7.5703125" style="4" customWidth="1"/>
    <col min="2328" max="2328" width="11.42578125" style="4" customWidth="1"/>
    <col min="2329" max="2329" width="9.42578125" style="4" customWidth="1"/>
    <col min="2330" max="2330" width="11.42578125" style="4" customWidth="1"/>
    <col min="2331" max="2331" width="13.42578125" style="4" bestFit="1" customWidth="1"/>
    <col min="2332" max="2332" width="5.5703125" style="4" bestFit="1" customWidth="1"/>
    <col min="2333" max="2333" width="19.5703125" style="4" bestFit="1" customWidth="1"/>
    <col min="2334" max="2334" width="1.42578125" style="4" customWidth="1"/>
    <col min="2335" max="2335" width="13.42578125" style="4" bestFit="1" customWidth="1"/>
    <col min="2336" max="2336" width="8.5703125" style="4" bestFit="1" customWidth="1"/>
    <col min="2337" max="2337" width="8.85546875" style="4" bestFit="1" customWidth="1"/>
    <col min="2338" max="2560" width="9.140625" style="4"/>
    <col min="2561" max="2561" width="11" style="4" customWidth="1"/>
    <col min="2562" max="2563" width="12.5703125" style="4" customWidth="1"/>
    <col min="2564" max="2564" width="11" style="4" customWidth="1"/>
    <col min="2565" max="2565" width="8.42578125" style="4" customWidth="1"/>
    <col min="2566" max="2566" width="11.42578125" style="4" customWidth="1"/>
    <col min="2567" max="2567" width="1.85546875" style="4" customWidth="1"/>
    <col min="2568" max="2568" width="8.42578125" style="4" customWidth="1"/>
    <col min="2569" max="2569" width="11.42578125" style="4" customWidth="1"/>
    <col min="2570" max="2571" width="10.42578125" style="4" customWidth="1"/>
    <col min="2572" max="2572" width="10.5703125" style="4" customWidth="1"/>
    <col min="2573" max="2573" width="10" style="4" customWidth="1"/>
    <col min="2574" max="2574" width="11" style="4" bestFit="1" customWidth="1"/>
    <col min="2575" max="2575" width="12" style="4" customWidth="1"/>
    <col min="2576" max="2576" width="11.140625" style="4" customWidth="1"/>
    <col min="2577" max="2577" width="9.5703125" style="4" customWidth="1"/>
    <col min="2578" max="2578" width="10.42578125" style="4" customWidth="1"/>
    <col min="2579" max="2579" width="8.5703125" style="4" customWidth="1"/>
    <col min="2580" max="2580" width="11" style="4" customWidth="1"/>
    <col min="2581" max="2581" width="13.42578125" style="4" bestFit="1" customWidth="1"/>
    <col min="2582" max="2582" width="9.42578125" style="4" customWidth="1"/>
    <col min="2583" max="2583" width="7.5703125" style="4" customWidth="1"/>
    <col min="2584" max="2584" width="11.42578125" style="4" customWidth="1"/>
    <col min="2585" max="2585" width="9.42578125" style="4" customWidth="1"/>
    <col min="2586" max="2586" width="11.42578125" style="4" customWidth="1"/>
    <col min="2587" max="2587" width="13.42578125" style="4" bestFit="1" customWidth="1"/>
    <col min="2588" max="2588" width="5.5703125" style="4" bestFit="1" customWidth="1"/>
    <col min="2589" max="2589" width="19.5703125" style="4" bestFit="1" customWidth="1"/>
    <col min="2590" max="2590" width="1.42578125" style="4" customWidth="1"/>
    <col min="2591" max="2591" width="13.42578125" style="4" bestFit="1" customWidth="1"/>
    <col min="2592" max="2592" width="8.5703125" style="4" bestFit="1" customWidth="1"/>
    <col min="2593" max="2593" width="8.85546875" style="4" bestFit="1" customWidth="1"/>
    <col min="2594" max="2816" width="9.140625" style="4"/>
    <col min="2817" max="2817" width="11" style="4" customWidth="1"/>
    <col min="2818" max="2819" width="12.5703125" style="4" customWidth="1"/>
    <col min="2820" max="2820" width="11" style="4" customWidth="1"/>
    <col min="2821" max="2821" width="8.42578125" style="4" customWidth="1"/>
    <col min="2822" max="2822" width="11.42578125" style="4" customWidth="1"/>
    <col min="2823" max="2823" width="1.85546875" style="4" customWidth="1"/>
    <col min="2824" max="2824" width="8.42578125" style="4" customWidth="1"/>
    <col min="2825" max="2825" width="11.42578125" style="4" customWidth="1"/>
    <col min="2826" max="2827" width="10.42578125" style="4" customWidth="1"/>
    <col min="2828" max="2828" width="10.5703125" style="4" customWidth="1"/>
    <col min="2829" max="2829" width="10" style="4" customWidth="1"/>
    <col min="2830" max="2830" width="11" style="4" bestFit="1" customWidth="1"/>
    <col min="2831" max="2831" width="12" style="4" customWidth="1"/>
    <col min="2832" max="2832" width="11.140625" style="4" customWidth="1"/>
    <col min="2833" max="2833" width="9.5703125" style="4" customWidth="1"/>
    <col min="2834" max="2834" width="10.42578125" style="4" customWidth="1"/>
    <col min="2835" max="2835" width="8.5703125" style="4" customWidth="1"/>
    <col min="2836" max="2836" width="11" style="4" customWidth="1"/>
    <col min="2837" max="2837" width="13.42578125" style="4" bestFit="1" customWidth="1"/>
    <col min="2838" max="2838" width="9.42578125" style="4" customWidth="1"/>
    <col min="2839" max="2839" width="7.5703125" style="4" customWidth="1"/>
    <col min="2840" max="2840" width="11.42578125" style="4" customWidth="1"/>
    <col min="2841" max="2841" width="9.42578125" style="4" customWidth="1"/>
    <col min="2842" max="2842" width="11.42578125" style="4" customWidth="1"/>
    <col min="2843" max="2843" width="13.42578125" style="4" bestFit="1" customWidth="1"/>
    <col min="2844" max="2844" width="5.5703125" style="4" bestFit="1" customWidth="1"/>
    <col min="2845" max="2845" width="19.5703125" style="4" bestFit="1" customWidth="1"/>
    <col min="2846" max="2846" width="1.42578125" style="4" customWidth="1"/>
    <col min="2847" max="2847" width="13.42578125" style="4" bestFit="1" customWidth="1"/>
    <col min="2848" max="2848" width="8.5703125" style="4" bestFit="1" customWidth="1"/>
    <col min="2849" max="2849" width="8.85546875" style="4" bestFit="1" customWidth="1"/>
    <col min="2850" max="3072" width="9.140625" style="4"/>
    <col min="3073" max="3073" width="11" style="4" customWidth="1"/>
    <col min="3074" max="3075" width="12.5703125" style="4" customWidth="1"/>
    <col min="3076" max="3076" width="11" style="4" customWidth="1"/>
    <col min="3077" max="3077" width="8.42578125" style="4" customWidth="1"/>
    <col min="3078" max="3078" width="11.42578125" style="4" customWidth="1"/>
    <col min="3079" max="3079" width="1.85546875" style="4" customWidth="1"/>
    <col min="3080" max="3080" width="8.42578125" style="4" customWidth="1"/>
    <col min="3081" max="3081" width="11.42578125" style="4" customWidth="1"/>
    <col min="3082" max="3083" width="10.42578125" style="4" customWidth="1"/>
    <col min="3084" max="3084" width="10.5703125" style="4" customWidth="1"/>
    <col min="3085" max="3085" width="10" style="4" customWidth="1"/>
    <col min="3086" max="3086" width="11" style="4" bestFit="1" customWidth="1"/>
    <col min="3087" max="3087" width="12" style="4" customWidth="1"/>
    <col min="3088" max="3088" width="11.140625" style="4" customWidth="1"/>
    <col min="3089" max="3089" width="9.5703125" style="4" customWidth="1"/>
    <col min="3090" max="3090" width="10.42578125" style="4" customWidth="1"/>
    <col min="3091" max="3091" width="8.5703125" style="4" customWidth="1"/>
    <col min="3092" max="3092" width="11" style="4" customWidth="1"/>
    <col min="3093" max="3093" width="13.42578125" style="4" bestFit="1" customWidth="1"/>
    <col min="3094" max="3094" width="9.42578125" style="4" customWidth="1"/>
    <col min="3095" max="3095" width="7.5703125" style="4" customWidth="1"/>
    <col min="3096" max="3096" width="11.42578125" style="4" customWidth="1"/>
    <col min="3097" max="3097" width="9.42578125" style="4" customWidth="1"/>
    <col min="3098" max="3098" width="11.42578125" style="4" customWidth="1"/>
    <col min="3099" max="3099" width="13.42578125" style="4" bestFit="1" customWidth="1"/>
    <col min="3100" max="3100" width="5.5703125" style="4" bestFit="1" customWidth="1"/>
    <col min="3101" max="3101" width="19.5703125" style="4" bestFit="1" customWidth="1"/>
    <col min="3102" max="3102" width="1.42578125" style="4" customWidth="1"/>
    <col min="3103" max="3103" width="13.42578125" style="4" bestFit="1" customWidth="1"/>
    <col min="3104" max="3104" width="8.5703125" style="4" bestFit="1" customWidth="1"/>
    <col min="3105" max="3105" width="8.85546875" style="4" bestFit="1" customWidth="1"/>
    <col min="3106" max="3328" width="9.140625" style="4"/>
    <col min="3329" max="3329" width="11" style="4" customWidth="1"/>
    <col min="3330" max="3331" width="12.5703125" style="4" customWidth="1"/>
    <col min="3332" max="3332" width="11" style="4" customWidth="1"/>
    <col min="3333" max="3333" width="8.42578125" style="4" customWidth="1"/>
    <col min="3334" max="3334" width="11.42578125" style="4" customWidth="1"/>
    <col min="3335" max="3335" width="1.85546875" style="4" customWidth="1"/>
    <col min="3336" max="3336" width="8.42578125" style="4" customWidth="1"/>
    <col min="3337" max="3337" width="11.42578125" style="4" customWidth="1"/>
    <col min="3338" max="3339" width="10.42578125" style="4" customWidth="1"/>
    <col min="3340" max="3340" width="10.5703125" style="4" customWidth="1"/>
    <col min="3341" max="3341" width="10" style="4" customWidth="1"/>
    <col min="3342" max="3342" width="11" style="4" bestFit="1" customWidth="1"/>
    <col min="3343" max="3343" width="12" style="4" customWidth="1"/>
    <col min="3344" max="3344" width="11.140625" style="4" customWidth="1"/>
    <col min="3345" max="3345" width="9.5703125" style="4" customWidth="1"/>
    <col min="3346" max="3346" width="10.42578125" style="4" customWidth="1"/>
    <col min="3347" max="3347" width="8.5703125" style="4" customWidth="1"/>
    <col min="3348" max="3348" width="11" style="4" customWidth="1"/>
    <col min="3349" max="3349" width="13.42578125" style="4" bestFit="1" customWidth="1"/>
    <col min="3350" max="3350" width="9.42578125" style="4" customWidth="1"/>
    <col min="3351" max="3351" width="7.5703125" style="4" customWidth="1"/>
    <col min="3352" max="3352" width="11.42578125" style="4" customWidth="1"/>
    <col min="3353" max="3353" width="9.42578125" style="4" customWidth="1"/>
    <col min="3354" max="3354" width="11.42578125" style="4" customWidth="1"/>
    <col min="3355" max="3355" width="13.42578125" style="4" bestFit="1" customWidth="1"/>
    <col min="3356" max="3356" width="5.5703125" style="4" bestFit="1" customWidth="1"/>
    <col min="3357" max="3357" width="19.5703125" style="4" bestFit="1" customWidth="1"/>
    <col min="3358" max="3358" width="1.42578125" style="4" customWidth="1"/>
    <col min="3359" max="3359" width="13.42578125" style="4" bestFit="1" customWidth="1"/>
    <col min="3360" max="3360" width="8.5703125" style="4" bestFit="1" customWidth="1"/>
    <col min="3361" max="3361" width="8.85546875" style="4" bestFit="1" customWidth="1"/>
    <col min="3362" max="3584" width="9.140625" style="4"/>
    <col min="3585" max="3585" width="11" style="4" customWidth="1"/>
    <col min="3586" max="3587" width="12.5703125" style="4" customWidth="1"/>
    <col min="3588" max="3588" width="11" style="4" customWidth="1"/>
    <col min="3589" max="3589" width="8.42578125" style="4" customWidth="1"/>
    <col min="3590" max="3590" width="11.42578125" style="4" customWidth="1"/>
    <col min="3591" max="3591" width="1.85546875" style="4" customWidth="1"/>
    <col min="3592" max="3592" width="8.42578125" style="4" customWidth="1"/>
    <col min="3593" max="3593" width="11.42578125" style="4" customWidth="1"/>
    <col min="3594" max="3595" width="10.42578125" style="4" customWidth="1"/>
    <col min="3596" max="3596" width="10.5703125" style="4" customWidth="1"/>
    <col min="3597" max="3597" width="10" style="4" customWidth="1"/>
    <col min="3598" max="3598" width="11" style="4" bestFit="1" customWidth="1"/>
    <col min="3599" max="3599" width="12" style="4" customWidth="1"/>
    <col min="3600" max="3600" width="11.140625" style="4" customWidth="1"/>
    <col min="3601" max="3601" width="9.5703125" style="4" customWidth="1"/>
    <col min="3602" max="3602" width="10.42578125" style="4" customWidth="1"/>
    <col min="3603" max="3603" width="8.5703125" style="4" customWidth="1"/>
    <col min="3604" max="3604" width="11" style="4" customWidth="1"/>
    <col min="3605" max="3605" width="13.42578125" style="4" bestFit="1" customWidth="1"/>
    <col min="3606" max="3606" width="9.42578125" style="4" customWidth="1"/>
    <col min="3607" max="3607" width="7.5703125" style="4" customWidth="1"/>
    <col min="3608" max="3608" width="11.42578125" style="4" customWidth="1"/>
    <col min="3609" max="3609" width="9.42578125" style="4" customWidth="1"/>
    <col min="3610" max="3610" width="11.42578125" style="4" customWidth="1"/>
    <col min="3611" max="3611" width="13.42578125" style="4" bestFit="1" customWidth="1"/>
    <col min="3612" max="3612" width="5.5703125" style="4" bestFit="1" customWidth="1"/>
    <col min="3613" max="3613" width="19.5703125" style="4" bestFit="1" customWidth="1"/>
    <col min="3614" max="3614" width="1.42578125" style="4" customWidth="1"/>
    <col min="3615" max="3615" width="13.42578125" style="4" bestFit="1" customWidth="1"/>
    <col min="3616" max="3616" width="8.5703125" style="4" bestFit="1" customWidth="1"/>
    <col min="3617" max="3617" width="8.85546875" style="4" bestFit="1" customWidth="1"/>
    <col min="3618" max="3840" width="9.140625" style="4"/>
    <col min="3841" max="3841" width="11" style="4" customWidth="1"/>
    <col min="3842" max="3843" width="12.5703125" style="4" customWidth="1"/>
    <col min="3844" max="3844" width="11" style="4" customWidth="1"/>
    <col min="3845" max="3845" width="8.42578125" style="4" customWidth="1"/>
    <col min="3846" max="3846" width="11.42578125" style="4" customWidth="1"/>
    <col min="3847" max="3847" width="1.85546875" style="4" customWidth="1"/>
    <col min="3848" max="3848" width="8.42578125" style="4" customWidth="1"/>
    <col min="3849" max="3849" width="11.42578125" style="4" customWidth="1"/>
    <col min="3850" max="3851" width="10.42578125" style="4" customWidth="1"/>
    <col min="3852" max="3852" width="10.5703125" style="4" customWidth="1"/>
    <col min="3853" max="3853" width="10" style="4" customWidth="1"/>
    <col min="3854" max="3854" width="11" style="4" bestFit="1" customWidth="1"/>
    <col min="3855" max="3855" width="12" style="4" customWidth="1"/>
    <col min="3856" max="3856" width="11.140625" style="4" customWidth="1"/>
    <col min="3857" max="3857" width="9.5703125" style="4" customWidth="1"/>
    <col min="3858" max="3858" width="10.42578125" style="4" customWidth="1"/>
    <col min="3859" max="3859" width="8.5703125" style="4" customWidth="1"/>
    <col min="3860" max="3860" width="11" style="4" customWidth="1"/>
    <col min="3861" max="3861" width="13.42578125" style="4" bestFit="1" customWidth="1"/>
    <col min="3862" max="3862" width="9.42578125" style="4" customWidth="1"/>
    <col min="3863" max="3863" width="7.5703125" style="4" customWidth="1"/>
    <col min="3864" max="3864" width="11.42578125" style="4" customWidth="1"/>
    <col min="3865" max="3865" width="9.42578125" style="4" customWidth="1"/>
    <col min="3866" max="3866" width="11.42578125" style="4" customWidth="1"/>
    <col min="3867" max="3867" width="13.42578125" style="4" bestFit="1" customWidth="1"/>
    <col min="3868" max="3868" width="5.5703125" style="4" bestFit="1" customWidth="1"/>
    <col min="3869" max="3869" width="19.5703125" style="4" bestFit="1" customWidth="1"/>
    <col min="3870" max="3870" width="1.42578125" style="4" customWidth="1"/>
    <col min="3871" max="3871" width="13.42578125" style="4" bestFit="1" customWidth="1"/>
    <col min="3872" max="3872" width="8.5703125" style="4" bestFit="1" customWidth="1"/>
    <col min="3873" max="3873" width="8.85546875" style="4" bestFit="1" customWidth="1"/>
    <col min="3874" max="4096" width="9.140625" style="4"/>
    <col min="4097" max="4097" width="11" style="4" customWidth="1"/>
    <col min="4098" max="4099" width="12.5703125" style="4" customWidth="1"/>
    <col min="4100" max="4100" width="11" style="4" customWidth="1"/>
    <col min="4101" max="4101" width="8.42578125" style="4" customWidth="1"/>
    <col min="4102" max="4102" width="11.42578125" style="4" customWidth="1"/>
    <col min="4103" max="4103" width="1.85546875" style="4" customWidth="1"/>
    <col min="4104" max="4104" width="8.42578125" style="4" customWidth="1"/>
    <col min="4105" max="4105" width="11.42578125" style="4" customWidth="1"/>
    <col min="4106" max="4107" width="10.42578125" style="4" customWidth="1"/>
    <col min="4108" max="4108" width="10.5703125" style="4" customWidth="1"/>
    <col min="4109" max="4109" width="10" style="4" customWidth="1"/>
    <col min="4110" max="4110" width="11" style="4" bestFit="1" customWidth="1"/>
    <col min="4111" max="4111" width="12" style="4" customWidth="1"/>
    <col min="4112" max="4112" width="11.140625" style="4" customWidth="1"/>
    <col min="4113" max="4113" width="9.5703125" style="4" customWidth="1"/>
    <col min="4114" max="4114" width="10.42578125" style="4" customWidth="1"/>
    <col min="4115" max="4115" width="8.5703125" style="4" customWidth="1"/>
    <col min="4116" max="4116" width="11" style="4" customWidth="1"/>
    <col min="4117" max="4117" width="13.42578125" style="4" bestFit="1" customWidth="1"/>
    <col min="4118" max="4118" width="9.42578125" style="4" customWidth="1"/>
    <col min="4119" max="4119" width="7.5703125" style="4" customWidth="1"/>
    <col min="4120" max="4120" width="11.42578125" style="4" customWidth="1"/>
    <col min="4121" max="4121" width="9.42578125" style="4" customWidth="1"/>
    <col min="4122" max="4122" width="11.42578125" style="4" customWidth="1"/>
    <col min="4123" max="4123" width="13.42578125" style="4" bestFit="1" customWidth="1"/>
    <col min="4124" max="4124" width="5.5703125" style="4" bestFit="1" customWidth="1"/>
    <col min="4125" max="4125" width="19.5703125" style="4" bestFit="1" customWidth="1"/>
    <col min="4126" max="4126" width="1.42578125" style="4" customWidth="1"/>
    <col min="4127" max="4127" width="13.42578125" style="4" bestFit="1" customWidth="1"/>
    <col min="4128" max="4128" width="8.5703125" style="4" bestFit="1" customWidth="1"/>
    <col min="4129" max="4129" width="8.85546875" style="4" bestFit="1" customWidth="1"/>
    <col min="4130" max="4352" width="9.140625" style="4"/>
    <col min="4353" max="4353" width="11" style="4" customWidth="1"/>
    <col min="4354" max="4355" width="12.5703125" style="4" customWidth="1"/>
    <col min="4356" max="4356" width="11" style="4" customWidth="1"/>
    <col min="4357" max="4357" width="8.42578125" style="4" customWidth="1"/>
    <col min="4358" max="4358" width="11.42578125" style="4" customWidth="1"/>
    <col min="4359" max="4359" width="1.85546875" style="4" customWidth="1"/>
    <col min="4360" max="4360" width="8.42578125" style="4" customWidth="1"/>
    <col min="4361" max="4361" width="11.42578125" style="4" customWidth="1"/>
    <col min="4362" max="4363" width="10.42578125" style="4" customWidth="1"/>
    <col min="4364" max="4364" width="10.5703125" style="4" customWidth="1"/>
    <col min="4365" max="4365" width="10" style="4" customWidth="1"/>
    <col min="4366" max="4366" width="11" style="4" bestFit="1" customWidth="1"/>
    <col min="4367" max="4367" width="12" style="4" customWidth="1"/>
    <col min="4368" max="4368" width="11.140625" style="4" customWidth="1"/>
    <col min="4369" max="4369" width="9.5703125" style="4" customWidth="1"/>
    <col min="4370" max="4370" width="10.42578125" style="4" customWidth="1"/>
    <col min="4371" max="4371" width="8.5703125" style="4" customWidth="1"/>
    <col min="4372" max="4372" width="11" style="4" customWidth="1"/>
    <col min="4373" max="4373" width="13.42578125" style="4" bestFit="1" customWidth="1"/>
    <col min="4374" max="4374" width="9.42578125" style="4" customWidth="1"/>
    <col min="4375" max="4375" width="7.5703125" style="4" customWidth="1"/>
    <col min="4376" max="4376" width="11.42578125" style="4" customWidth="1"/>
    <col min="4377" max="4377" width="9.42578125" style="4" customWidth="1"/>
    <col min="4378" max="4378" width="11.42578125" style="4" customWidth="1"/>
    <col min="4379" max="4379" width="13.42578125" style="4" bestFit="1" customWidth="1"/>
    <col min="4380" max="4380" width="5.5703125" style="4" bestFit="1" customWidth="1"/>
    <col min="4381" max="4381" width="19.5703125" style="4" bestFit="1" customWidth="1"/>
    <col min="4382" max="4382" width="1.42578125" style="4" customWidth="1"/>
    <col min="4383" max="4383" width="13.42578125" style="4" bestFit="1" customWidth="1"/>
    <col min="4384" max="4384" width="8.5703125" style="4" bestFit="1" customWidth="1"/>
    <col min="4385" max="4385" width="8.85546875" style="4" bestFit="1" customWidth="1"/>
    <col min="4386" max="4608" width="9.140625" style="4"/>
    <col min="4609" max="4609" width="11" style="4" customWidth="1"/>
    <col min="4610" max="4611" width="12.5703125" style="4" customWidth="1"/>
    <col min="4612" max="4612" width="11" style="4" customWidth="1"/>
    <col min="4613" max="4613" width="8.42578125" style="4" customWidth="1"/>
    <col min="4614" max="4614" width="11.42578125" style="4" customWidth="1"/>
    <col min="4615" max="4615" width="1.85546875" style="4" customWidth="1"/>
    <col min="4616" max="4616" width="8.42578125" style="4" customWidth="1"/>
    <col min="4617" max="4617" width="11.42578125" style="4" customWidth="1"/>
    <col min="4618" max="4619" width="10.42578125" style="4" customWidth="1"/>
    <col min="4620" max="4620" width="10.5703125" style="4" customWidth="1"/>
    <col min="4621" max="4621" width="10" style="4" customWidth="1"/>
    <col min="4622" max="4622" width="11" style="4" bestFit="1" customWidth="1"/>
    <col min="4623" max="4623" width="12" style="4" customWidth="1"/>
    <col min="4624" max="4624" width="11.140625" style="4" customWidth="1"/>
    <col min="4625" max="4625" width="9.5703125" style="4" customWidth="1"/>
    <col min="4626" max="4626" width="10.42578125" style="4" customWidth="1"/>
    <col min="4627" max="4627" width="8.5703125" style="4" customWidth="1"/>
    <col min="4628" max="4628" width="11" style="4" customWidth="1"/>
    <col min="4629" max="4629" width="13.42578125" style="4" bestFit="1" customWidth="1"/>
    <col min="4630" max="4630" width="9.42578125" style="4" customWidth="1"/>
    <col min="4631" max="4631" width="7.5703125" style="4" customWidth="1"/>
    <col min="4632" max="4632" width="11.42578125" style="4" customWidth="1"/>
    <col min="4633" max="4633" width="9.42578125" style="4" customWidth="1"/>
    <col min="4634" max="4634" width="11.42578125" style="4" customWidth="1"/>
    <col min="4635" max="4635" width="13.42578125" style="4" bestFit="1" customWidth="1"/>
    <col min="4636" max="4636" width="5.5703125" style="4" bestFit="1" customWidth="1"/>
    <col min="4637" max="4637" width="19.5703125" style="4" bestFit="1" customWidth="1"/>
    <col min="4638" max="4638" width="1.42578125" style="4" customWidth="1"/>
    <col min="4639" max="4639" width="13.42578125" style="4" bestFit="1" customWidth="1"/>
    <col min="4640" max="4640" width="8.5703125" style="4" bestFit="1" customWidth="1"/>
    <col min="4641" max="4641" width="8.85546875" style="4" bestFit="1" customWidth="1"/>
    <col min="4642" max="4864" width="9.140625" style="4"/>
    <col min="4865" max="4865" width="11" style="4" customWidth="1"/>
    <col min="4866" max="4867" width="12.5703125" style="4" customWidth="1"/>
    <col min="4868" max="4868" width="11" style="4" customWidth="1"/>
    <col min="4869" max="4869" width="8.42578125" style="4" customWidth="1"/>
    <col min="4870" max="4870" width="11.42578125" style="4" customWidth="1"/>
    <col min="4871" max="4871" width="1.85546875" style="4" customWidth="1"/>
    <col min="4872" max="4872" width="8.42578125" style="4" customWidth="1"/>
    <col min="4873" max="4873" width="11.42578125" style="4" customWidth="1"/>
    <col min="4874" max="4875" width="10.42578125" style="4" customWidth="1"/>
    <col min="4876" max="4876" width="10.5703125" style="4" customWidth="1"/>
    <col min="4877" max="4877" width="10" style="4" customWidth="1"/>
    <col min="4878" max="4878" width="11" style="4" bestFit="1" customWidth="1"/>
    <col min="4879" max="4879" width="12" style="4" customWidth="1"/>
    <col min="4880" max="4880" width="11.140625" style="4" customWidth="1"/>
    <col min="4881" max="4881" width="9.5703125" style="4" customWidth="1"/>
    <col min="4882" max="4882" width="10.42578125" style="4" customWidth="1"/>
    <col min="4883" max="4883" width="8.5703125" style="4" customWidth="1"/>
    <col min="4884" max="4884" width="11" style="4" customWidth="1"/>
    <col min="4885" max="4885" width="13.42578125" style="4" bestFit="1" customWidth="1"/>
    <col min="4886" max="4886" width="9.42578125" style="4" customWidth="1"/>
    <col min="4887" max="4887" width="7.5703125" style="4" customWidth="1"/>
    <col min="4888" max="4888" width="11.42578125" style="4" customWidth="1"/>
    <col min="4889" max="4889" width="9.42578125" style="4" customWidth="1"/>
    <col min="4890" max="4890" width="11.42578125" style="4" customWidth="1"/>
    <col min="4891" max="4891" width="13.42578125" style="4" bestFit="1" customWidth="1"/>
    <col min="4892" max="4892" width="5.5703125" style="4" bestFit="1" customWidth="1"/>
    <col min="4893" max="4893" width="19.5703125" style="4" bestFit="1" customWidth="1"/>
    <col min="4894" max="4894" width="1.42578125" style="4" customWidth="1"/>
    <col min="4895" max="4895" width="13.42578125" style="4" bestFit="1" customWidth="1"/>
    <col min="4896" max="4896" width="8.5703125" style="4" bestFit="1" customWidth="1"/>
    <col min="4897" max="4897" width="8.85546875" style="4" bestFit="1" customWidth="1"/>
    <col min="4898" max="5120" width="9.140625" style="4"/>
    <col min="5121" max="5121" width="11" style="4" customWidth="1"/>
    <col min="5122" max="5123" width="12.5703125" style="4" customWidth="1"/>
    <col min="5124" max="5124" width="11" style="4" customWidth="1"/>
    <col min="5125" max="5125" width="8.42578125" style="4" customWidth="1"/>
    <col min="5126" max="5126" width="11.42578125" style="4" customWidth="1"/>
    <col min="5127" max="5127" width="1.85546875" style="4" customWidth="1"/>
    <col min="5128" max="5128" width="8.42578125" style="4" customWidth="1"/>
    <col min="5129" max="5129" width="11.42578125" style="4" customWidth="1"/>
    <col min="5130" max="5131" width="10.42578125" style="4" customWidth="1"/>
    <col min="5132" max="5132" width="10.5703125" style="4" customWidth="1"/>
    <col min="5133" max="5133" width="10" style="4" customWidth="1"/>
    <col min="5134" max="5134" width="11" style="4" bestFit="1" customWidth="1"/>
    <col min="5135" max="5135" width="12" style="4" customWidth="1"/>
    <col min="5136" max="5136" width="11.140625" style="4" customWidth="1"/>
    <col min="5137" max="5137" width="9.5703125" style="4" customWidth="1"/>
    <col min="5138" max="5138" width="10.42578125" style="4" customWidth="1"/>
    <col min="5139" max="5139" width="8.5703125" style="4" customWidth="1"/>
    <col min="5140" max="5140" width="11" style="4" customWidth="1"/>
    <col min="5141" max="5141" width="13.42578125" style="4" bestFit="1" customWidth="1"/>
    <col min="5142" max="5142" width="9.42578125" style="4" customWidth="1"/>
    <col min="5143" max="5143" width="7.5703125" style="4" customWidth="1"/>
    <col min="5144" max="5144" width="11.42578125" style="4" customWidth="1"/>
    <col min="5145" max="5145" width="9.42578125" style="4" customWidth="1"/>
    <col min="5146" max="5146" width="11.42578125" style="4" customWidth="1"/>
    <col min="5147" max="5147" width="13.42578125" style="4" bestFit="1" customWidth="1"/>
    <col min="5148" max="5148" width="5.5703125" style="4" bestFit="1" customWidth="1"/>
    <col min="5149" max="5149" width="19.5703125" style="4" bestFit="1" customWidth="1"/>
    <col min="5150" max="5150" width="1.42578125" style="4" customWidth="1"/>
    <col min="5151" max="5151" width="13.42578125" style="4" bestFit="1" customWidth="1"/>
    <col min="5152" max="5152" width="8.5703125" style="4" bestFit="1" customWidth="1"/>
    <col min="5153" max="5153" width="8.85546875" style="4" bestFit="1" customWidth="1"/>
    <col min="5154" max="5376" width="9.140625" style="4"/>
    <col min="5377" max="5377" width="11" style="4" customWidth="1"/>
    <col min="5378" max="5379" width="12.5703125" style="4" customWidth="1"/>
    <col min="5380" max="5380" width="11" style="4" customWidth="1"/>
    <col min="5381" max="5381" width="8.42578125" style="4" customWidth="1"/>
    <col min="5382" max="5382" width="11.42578125" style="4" customWidth="1"/>
    <col min="5383" max="5383" width="1.85546875" style="4" customWidth="1"/>
    <col min="5384" max="5384" width="8.42578125" style="4" customWidth="1"/>
    <col min="5385" max="5385" width="11.42578125" style="4" customWidth="1"/>
    <col min="5386" max="5387" width="10.42578125" style="4" customWidth="1"/>
    <col min="5388" max="5388" width="10.5703125" style="4" customWidth="1"/>
    <col min="5389" max="5389" width="10" style="4" customWidth="1"/>
    <col min="5390" max="5390" width="11" style="4" bestFit="1" customWidth="1"/>
    <col min="5391" max="5391" width="12" style="4" customWidth="1"/>
    <col min="5392" max="5392" width="11.140625" style="4" customWidth="1"/>
    <col min="5393" max="5393" width="9.5703125" style="4" customWidth="1"/>
    <col min="5394" max="5394" width="10.42578125" style="4" customWidth="1"/>
    <col min="5395" max="5395" width="8.5703125" style="4" customWidth="1"/>
    <col min="5396" max="5396" width="11" style="4" customWidth="1"/>
    <col min="5397" max="5397" width="13.42578125" style="4" bestFit="1" customWidth="1"/>
    <col min="5398" max="5398" width="9.42578125" style="4" customWidth="1"/>
    <col min="5399" max="5399" width="7.5703125" style="4" customWidth="1"/>
    <col min="5400" max="5400" width="11.42578125" style="4" customWidth="1"/>
    <col min="5401" max="5401" width="9.42578125" style="4" customWidth="1"/>
    <col min="5402" max="5402" width="11.42578125" style="4" customWidth="1"/>
    <col min="5403" max="5403" width="13.42578125" style="4" bestFit="1" customWidth="1"/>
    <col min="5404" max="5404" width="5.5703125" style="4" bestFit="1" customWidth="1"/>
    <col min="5405" max="5405" width="19.5703125" style="4" bestFit="1" customWidth="1"/>
    <col min="5406" max="5406" width="1.42578125" style="4" customWidth="1"/>
    <col min="5407" max="5407" width="13.42578125" style="4" bestFit="1" customWidth="1"/>
    <col min="5408" max="5408" width="8.5703125" style="4" bestFit="1" customWidth="1"/>
    <col min="5409" max="5409" width="8.85546875" style="4" bestFit="1" customWidth="1"/>
    <col min="5410" max="5632" width="9.140625" style="4"/>
    <col min="5633" max="5633" width="11" style="4" customWidth="1"/>
    <col min="5634" max="5635" width="12.5703125" style="4" customWidth="1"/>
    <col min="5636" max="5636" width="11" style="4" customWidth="1"/>
    <col min="5637" max="5637" width="8.42578125" style="4" customWidth="1"/>
    <col min="5638" max="5638" width="11.42578125" style="4" customWidth="1"/>
    <col min="5639" max="5639" width="1.85546875" style="4" customWidth="1"/>
    <col min="5640" max="5640" width="8.42578125" style="4" customWidth="1"/>
    <col min="5641" max="5641" width="11.42578125" style="4" customWidth="1"/>
    <col min="5642" max="5643" width="10.42578125" style="4" customWidth="1"/>
    <col min="5644" max="5644" width="10.5703125" style="4" customWidth="1"/>
    <col min="5645" max="5645" width="10" style="4" customWidth="1"/>
    <col min="5646" max="5646" width="11" style="4" bestFit="1" customWidth="1"/>
    <col min="5647" max="5647" width="12" style="4" customWidth="1"/>
    <col min="5648" max="5648" width="11.140625" style="4" customWidth="1"/>
    <col min="5649" max="5649" width="9.5703125" style="4" customWidth="1"/>
    <col min="5650" max="5650" width="10.42578125" style="4" customWidth="1"/>
    <col min="5651" max="5651" width="8.5703125" style="4" customWidth="1"/>
    <col min="5652" max="5652" width="11" style="4" customWidth="1"/>
    <col min="5653" max="5653" width="13.42578125" style="4" bestFit="1" customWidth="1"/>
    <col min="5654" max="5654" width="9.42578125" style="4" customWidth="1"/>
    <col min="5655" max="5655" width="7.5703125" style="4" customWidth="1"/>
    <col min="5656" max="5656" width="11.42578125" style="4" customWidth="1"/>
    <col min="5657" max="5657" width="9.42578125" style="4" customWidth="1"/>
    <col min="5658" max="5658" width="11.42578125" style="4" customWidth="1"/>
    <col min="5659" max="5659" width="13.42578125" style="4" bestFit="1" customWidth="1"/>
    <col min="5660" max="5660" width="5.5703125" style="4" bestFit="1" customWidth="1"/>
    <col min="5661" max="5661" width="19.5703125" style="4" bestFit="1" customWidth="1"/>
    <col min="5662" max="5662" width="1.42578125" style="4" customWidth="1"/>
    <col min="5663" max="5663" width="13.42578125" style="4" bestFit="1" customWidth="1"/>
    <col min="5664" max="5664" width="8.5703125" style="4" bestFit="1" customWidth="1"/>
    <col min="5665" max="5665" width="8.85546875" style="4" bestFit="1" customWidth="1"/>
    <col min="5666" max="5888" width="9.140625" style="4"/>
    <col min="5889" max="5889" width="11" style="4" customWidth="1"/>
    <col min="5890" max="5891" width="12.5703125" style="4" customWidth="1"/>
    <col min="5892" max="5892" width="11" style="4" customWidth="1"/>
    <col min="5893" max="5893" width="8.42578125" style="4" customWidth="1"/>
    <col min="5894" max="5894" width="11.42578125" style="4" customWidth="1"/>
    <col min="5895" max="5895" width="1.85546875" style="4" customWidth="1"/>
    <col min="5896" max="5896" width="8.42578125" style="4" customWidth="1"/>
    <col min="5897" max="5897" width="11.42578125" style="4" customWidth="1"/>
    <col min="5898" max="5899" width="10.42578125" style="4" customWidth="1"/>
    <col min="5900" max="5900" width="10.5703125" style="4" customWidth="1"/>
    <col min="5901" max="5901" width="10" style="4" customWidth="1"/>
    <col min="5902" max="5902" width="11" style="4" bestFit="1" customWidth="1"/>
    <col min="5903" max="5903" width="12" style="4" customWidth="1"/>
    <col min="5904" max="5904" width="11.140625" style="4" customWidth="1"/>
    <col min="5905" max="5905" width="9.5703125" style="4" customWidth="1"/>
    <col min="5906" max="5906" width="10.42578125" style="4" customWidth="1"/>
    <col min="5907" max="5907" width="8.5703125" style="4" customWidth="1"/>
    <col min="5908" max="5908" width="11" style="4" customWidth="1"/>
    <col min="5909" max="5909" width="13.42578125" style="4" bestFit="1" customWidth="1"/>
    <col min="5910" max="5910" width="9.42578125" style="4" customWidth="1"/>
    <col min="5911" max="5911" width="7.5703125" style="4" customWidth="1"/>
    <col min="5912" max="5912" width="11.42578125" style="4" customWidth="1"/>
    <col min="5913" max="5913" width="9.42578125" style="4" customWidth="1"/>
    <col min="5914" max="5914" width="11.42578125" style="4" customWidth="1"/>
    <col min="5915" max="5915" width="13.42578125" style="4" bestFit="1" customWidth="1"/>
    <col min="5916" max="5916" width="5.5703125" style="4" bestFit="1" customWidth="1"/>
    <col min="5917" max="5917" width="19.5703125" style="4" bestFit="1" customWidth="1"/>
    <col min="5918" max="5918" width="1.42578125" style="4" customWidth="1"/>
    <col min="5919" max="5919" width="13.42578125" style="4" bestFit="1" customWidth="1"/>
    <col min="5920" max="5920" width="8.5703125" style="4" bestFit="1" customWidth="1"/>
    <col min="5921" max="5921" width="8.85546875" style="4" bestFit="1" customWidth="1"/>
    <col min="5922" max="6144" width="9.140625" style="4"/>
    <col min="6145" max="6145" width="11" style="4" customWidth="1"/>
    <col min="6146" max="6147" width="12.5703125" style="4" customWidth="1"/>
    <col min="6148" max="6148" width="11" style="4" customWidth="1"/>
    <col min="6149" max="6149" width="8.42578125" style="4" customWidth="1"/>
    <col min="6150" max="6150" width="11.42578125" style="4" customWidth="1"/>
    <col min="6151" max="6151" width="1.85546875" style="4" customWidth="1"/>
    <col min="6152" max="6152" width="8.42578125" style="4" customWidth="1"/>
    <col min="6153" max="6153" width="11.42578125" style="4" customWidth="1"/>
    <col min="6154" max="6155" width="10.42578125" style="4" customWidth="1"/>
    <col min="6156" max="6156" width="10.5703125" style="4" customWidth="1"/>
    <col min="6157" max="6157" width="10" style="4" customWidth="1"/>
    <col min="6158" max="6158" width="11" style="4" bestFit="1" customWidth="1"/>
    <col min="6159" max="6159" width="12" style="4" customWidth="1"/>
    <col min="6160" max="6160" width="11.140625" style="4" customWidth="1"/>
    <col min="6161" max="6161" width="9.5703125" style="4" customWidth="1"/>
    <col min="6162" max="6162" width="10.42578125" style="4" customWidth="1"/>
    <col min="6163" max="6163" width="8.5703125" style="4" customWidth="1"/>
    <col min="6164" max="6164" width="11" style="4" customWidth="1"/>
    <col min="6165" max="6165" width="13.42578125" style="4" bestFit="1" customWidth="1"/>
    <col min="6166" max="6166" width="9.42578125" style="4" customWidth="1"/>
    <col min="6167" max="6167" width="7.5703125" style="4" customWidth="1"/>
    <col min="6168" max="6168" width="11.42578125" style="4" customWidth="1"/>
    <col min="6169" max="6169" width="9.42578125" style="4" customWidth="1"/>
    <col min="6170" max="6170" width="11.42578125" style="4" customWidth="1"/>
    <col min="6171" max="6171" width="13.42578125" style="4" bestFit="1" customWidth="1"/>
    <col min="6172" max="6172" width="5.5703125" style="4" bestFit="1" customWidth="1"/>
    <col min="6173" max="6173" width="19.5703125" style="4" bestFit="1" customWidth="1"/>
    <col min="6174" max="6174" width="1.42578125" style="4" customWidth="1"/>
    <col min="6175" max="6175" width="13.42578125" style="4" bestFit="1" customWidth="1"/>
    <col min="6176" max="6176" width="8.5703125" style="4" bestFit="1" customWidth="1"/>
    <col min="6177" max="6177" width="8.85546875" style="4" bestFit="1" customWidth="1"/>
    <col min="6178" max="6400" width="9.140625" style="4"/>
    <col min="6401" max="6401" width="11" style="4" customWidth="1"/>
    <col min="6402" max="6403" width="12.5703125" style="4" customWidth="1"/>
    <col min="6404" max="6404" width="11" style="4" customWidth="1"/>
    <col min="6405" max="6405" width="8.42578125" style="4" customWidth="1"/>
    <col min="6406" max="6406" width="11.42578125" style="4" customWidth="1"/>
    <col min="6407" max="6407" width="1.85546875" style="4" customWidth="1"/>
    <col min="6408" max="6408" width="8.42578125" style="4" customWidth="1"/>
    <col min="6409" max="6409" width="11.42578125" style="4" customWidth="1"/>
    <col min="6410" max="6411" width="10.42578125" style="4" customWidth="1"/>
    <col min="6412" max="6412" width="10.5703125" style="4" customWidth="1"/>
    <col min="6413" max="6413" width="10" style="4" customWidth="1"/>
    <col min="6414" max="6414" width="11" style="4" bestFit="1" customWidth="1"/>
    <col min="6415" max="6415" width="12" style="4" customWidth="1"/>
    <col min="6416" max="6416" width="11.140625" style="4" customWidth="1"/>
    <col min="6417" max="6417" width="9.5703125" style="4" customWidth="1"/>
    <col min="6418" max="6418" width="10.42578125" style="4" customWidth="1"/>
    <col min="6419" max="6419" width="8.5703125" style="4" customWidth="1"/>
    <col min="6420" max="6420" width="11" style="4" customWidth="1"/>
    <col min="6421" max="6421" width="13.42578125" style="4" bestFit="1" customWidth="1"/>
    <col min="6422" max="6422" width="9.42578125" style="4" customWidth="1"/>
    <col min="6423" max="6423" width="7.5703125" style="4" customWidth="1"/>
    <col min="6424" max="6424" width="11.42578125" style="4" customWidth="1"/>
    <col min="6425" max="6425" width="9.42578125" style="4" customWidth="1"/>
    <col min="6426" max="6426" width="11.42578125" style="4" customWidth="1"/>
    <col min="6427" max="6427" width="13.42578125" style="4" bestFit="1" customWidth="1"/>
    <col min="6428" max="6428" width="5.5703125" style="4" bestFit="1" customWidth="1"/>
    <col min="6429" max="6429" width="19.5703125" style="4" bestFit="1" customWidth="1"/>
    <col min="6430" max="6430" width="1.42578125" style="4" customWidth="1"/>
    <col min="6431" max="6431" width="13.42578125" style="4" bestFit="1" customWidth="1"/>
    <col min="6432" max="6432" width="8.5703125" style="4" bestFit="1" customWidth="1"/>
    <col min="6433" max="6433" width="8.85546875" style="4" bestFit="1" customWidth="1"/>
    <col min="6434" max="6656" width="9.140625" style="4"/>
    <col min="6657" max="6657" width="11" style="4" customWidth="1"/>
    <col min="6658" max="6659" width="12.5703125" style="4" customWidth="1"/>
    <col min="6660" max="6660" width="11" style="4" customWidth="1"/>
    <col min="6661" max="6661" width="8.42578125" style="4" customWidth="1"/>
    <col min="6662" max="6662" width="11.42578125" style="4" customWidth="1"/>
    <col min="6663" max="6663" width="1.85546875" style="4" customWidth="1"/>
    <col min="6664" max="6664" width="8.42578125" style="4" customWidth="1"/>
    <col min="6665" max="6665" width="11.42578125" style="4" customWidth="1"/>
    <col min="6666" max="6667" width="10.42578125" style="4" customWidth="1"/>
    <col min="6668" max="6668" width="10.5703125" style="4" customWidth="1"/>
    <col min="6669" max="6669" width="10" style="4" customWidth="1"/>
    <col min="6670" max="6670" width="11" style="4" bestFit="1" customWidth="1"/>
    <col min="6671" max="6671" width="12" style="4" customWidth="1"/>
    <col min="6672" max="6672" width="11.140625" style="4" customWidth="1"/>
    <col min="6673" max="6673" width="9.5703125" style="4" customWidth="1"/>
    <col min="6674" max="6674" width="10.42578125" style="4" customWidth="1"/>
    <col min="6675" max="6675" width="8.5703125" style="4" customWidth="1"/>
    <col min="6676" max="6676" width="11" style="4" customWidth="1"/>
    <col min="6677" max="6677" width="13.42578125" style="4" bestFit="1" customWidth="1"/>
    <col min="6678" max="6678" width="9.42578125" style="4" customWidth="1"/>
    <col min="6679" max="6679" width="7.5703125" style="4" customWidth="1"/>
    <col min="6680" max="6680" width="11.42578125" style="4" customWidth="1"/>
    <col min="6681" max="6681" width="9.42578125" style="4" customWidth="1"/>
    <col min="6682" max="6682" width="11.42578125" style="4" customWidth="1"/>
    <col min="6683" max="6683" width="13.42578125" style="4" bestFit="1" customWidth="1"/>
    <col min="6684" max="6684" width="5.5703125" style="4" bestFit="1" customWidth="1"/>
    <col min="6685" max="6685" width="19.5703125" style="4" bestFit="1" customWidth="1"/>
    <col min="6686" max="6686" width="1.42578125" style="4" customWidth="1"/>
    <col min="6687" max="6687" width="13.42578125" style="4" bestFit="1" customWidth="1"/>
    <col min="6688" max="6688" width="8.5703125" style="4" bestFit="1" customWidth="1"/>
    <col min="6689" max="6689" width="8.85546875" style="4" bestFit="1" customWidth="1"/>
    <col min="6690" max="6912" width="9.140625" style="4"/>
    <col min="6913" max="6913" width="11" style="4" customWidth="1"/>
    <col min="6914" max="6915" width="12.5703125" style="4" customWidth="1"/>
    <col min="6916" max="6916" width="11" style="4" customWidth="1"/>
    <col min="6917" max="6917" width="8.42578125" style="4" customWidth="1"/>
    <col min="6918" max="6918" width="11.42578125" style="4" customWidth="1"/>
    <col min="6919" max="6919" width="1.85546875" style="4" customWidth="1"/>
    <col min="6920" max="6920" width="8.42578125" style="4" customWidth="1"/>
    <col min="6921" max="6921" width="11.42578125" style="4" customWidth="1"/>
    <col min="6922" max="6923" width="10.42578125" style="4" customWidth="1"/>
    <col min="6924" max="6924" width="10.5703125" style="4" customWidth="1"/>
    <col min="6925" max="6925" width="10" style="4" customWidth="1"/>
    <col min="6926" max="6926" width="11" style="4" bestFit="1" customWidth="1"/>
    <col min="6927" max="6927" width="12" style="4" customWidth="1"/>
    <col min="6928" max="6928" width="11.140625" style="4" customWidth="1"/>
    <col min="6929" max="6929" width="9.5703125" style="4" customWidth="1"/>
    <col min="6930" max="6930" width="10.42578125" style="4" customWidth="1"/>
    <col min="6931" max="6931" width="8.5703125" style="4" customWidth="1"/>
    <col min="6932" max="6932" width="11" style="4" customWidth="1"/>
    <col min="6933" max="6933" width="13.42578125" style="4" bestFit="1" customWidth="1"/>
    <col min="6934" max="6934" width="9.42578125" style="4" customWidth="1"/>
    <col min="6935" max="6935" width="7.5703125" style="4" customWidth="1"/>
    <col min="6936" max="6936" width="11.42578125" style="4" customWidth="1"/>
    <col min="6937" max="6937" width="9.42578125" style="4" customWidth="1"/>
    <col min="6938" max="6938" width="11.42578125" style="4" customWidth="1"/>
    <col min="6939" max="6939" width="13.42578125" style="4" bestFit="1" customWidth="1"/>
    <col min="6940" max="6940" width="5.5703125" style="4" bestFit="1" customWidth="1"/>
    <col min="6941" max="6941" width="19.5703125" style="4" bestFit="1" customWidth="1"/>
    <col min="6942" max="6942" width="1.42578125" style="4" customWidth="1"/>
    <col min="6943" max="6943" width="13.42578125" style="4" bestFit="1" customWidth="1"/>
    <col min="6944" max="6944" width="8.5703125" style="4" bestFit="1" customWidth="1"/>
    <col min="6945" max="6945" width="8.85546875" style="4" bestFit="1" customWidth="1"/>
    <col min="6946" max="7168" width="9.140625" style="4"/>
    <col min="7169" max="7169" width="11" style="4" customWidth="1"/>
    <col min="7170" max="7171" width="12.5703125" style="4" customWidth="1"/>
    <col min="7172" max="7172" width="11" style="4" customWidth="1"/>
    <col min="7173" max="7173" width="8.42578125" style="4" customWidth="1"/>
    <col min="7174" max="7174" width="11.42578125" style="4" customWidth="1"/>
    <col min="7175" max="7175" width="1.85546875" style="4" customWidth="1"/>
    <col min="7176" max="7176" width="8.42578125" style="4" customWidth="1"/>
    <col min="7177" max="7177" width="11.42578125" style="4" customWidth="1"/>
    <col min="7178" max="7179" width="10.42578125" style="4" customWidth="1"/>
    <col min="7180" max="7180" width="10.5703125" style="4" customWidth="1"/>
    <col min="7181" max="7181" width="10" style="4" customWidth="1"/>
    <col min="7182" max="7182" width="11" style="4" bestFit="1" customWidth="1"/>
    <col min="7183" max="7183" width="12" style="4" customWidth="1"/>
    <col min="7184" max="7184" width="11.140625" style="4" customWidth="1"/>
    <col min="7185" max="7185" width="9.5703125" style="4" customWidth="1"/>
    <col min="7186" max="7186" width="10.42578125" style="4" customWidth="1"/>
    <col min="7187" max="7187" width="8.5703125" style="4" customWidth="1"/>
    <col min="7188" max="7188" width="11" style="4" customWidth="1"/>
    <col min="7189" max="7189" width="13.42578125" style="4" bestFit="1" customWidth="1"/>
    <col min="7190" max="7190" width="9.42578125" style="4" customWidth="1"/>
    <col min="7191" max="7191" width="7.5703125" style="4" customWidth="1"/>
    <col min="7192" max="7192" width="11.42578125" style="4" customWidth="1"/>
    <col min="7193" max="7193" width="9.42578125" style="4" customWidth="1"/>
    <col min="7194" max="7194" width="11.42578125" style="4" customWidth="1"/>
    <col min="7195" max="7195" width="13.42578125" style="4" bestFit="1" customWidth="1"/>
    <col min="7196" max="7196" width="5.5703125" style="4" bestFit="1" customWidth="1"/>
    <col min="7197" max="7197" width="19.5703125" style="4" bestFit="1" customWidth="1"/>
    <col min="7198" max="7198" width="1.42578125" style="4" customWidth="1"/>
    <col min="7199" max="7199" width="13.42578125" style="4" bestFit="1" customWidth="1"/>
    <col min="7200" max="7200" width="8.5703125" style="4" bestFit="1" customWidth="1"/>
    <col min="7201" max="7201" width="8.85546875" style="4" bestFit="1" customWidth="1"/>
    <col min="7202" max="7424" width="9.140625" style="4"/>
    <col min="7425" max="7425" width="11" style="4" customWidth="1"/>
    <col min="7426" max="7427" width="12.5703125" style="4" customWidth="1"/>
    <col min="7428" max="7428" width="11" style="4" customWidth="1"/>
    <col min="7429" max="7429" width="8.42578125" style="4" customWidth="1"/>
    <col min="7430" max="7430" width="11.42578125" style="4" customWidth="1"/>
    <col min="7431" max="7431" width="1.85546875" style="4" customWidth="1"/>
    <col min="7432" max="7432" width="8.42578125" style="4" customWidth="1"/>
    <col min="7433" max="7433" width="11.42578125" style="4" customWidth="1"/>
    <col min="7434" max="7435" width="10.42578125" style="4" customWidth="1"/>
    <col min="7436" max="7436" width="10.5703125" style="4" customWidth="1"/>
    <col min="7437" max="7437" width="10" style="4" customWidth="1"/>
    <col min="7438" max="7438" width="11" style="4" bestFit="1" customWidth="1"/>
    <col min="7439" max="7439" width="12" style="4" customWidth="1"/>
    <col min="7440" max="7440" width="11.140625" style="4" customWidth="1"/>
    <col min="7441" max="7441" width="9.5703125" style="4" customWidth="1"/>
    <col min="7442" max="7442" width="10.42578125" style="4" customWidth="1"/>
    <col min="7443" max="7443" width="8.5703125" style="4" customWidth="1"/>
    <col min="7444" max="7444" width="11" style="4" customWidth="1"/>
    <col min="7445" max="7445" width="13.42578125" style="4" bestFit="1" customWidth="1"/>
    <col min="7446" max="7446" width="9.42578125" style="4" customWidth="1"/>
    <col min="7447" max="7447" width="7.5703125" style="4" customWidth="1"/>
    <col min="7448" max="7448" width="11.42578125" style="4" customWidth="1"/>
    <col min="7449" max="7449" width="9.42578125" style="4" customWidth="1"/>
    <col min="7450" max="7450" width="11.42578125" style="4" customWidth="1"/>
    <col min="7451" max="7451" width="13.42578125" style="4" bestFit="1" customWidth="1"/>
    <col min="7452" max="7452" width="5.5703125" style="4" bestFit="1" customWidth="1"/>
    <col min="7453" max="7453" width="19.5703125" style="4" bestFit="1" customWidth="1"/>
    <col min="7454" max="7454" width="1.42578125" style="4" customWidth="1"/>
    <col min="7455" max="7455" width="13.42578125" style="4" bestFit="1" customWidth="1"/>
    <col min="7456" max="7456" width="8.5703125" style="4" bestFit="1" customWidth="1"/>
    <col min="7457" max="7457" width="8.85546875" style="4" bestFit="1" customWidth="1"/>
    <col min="7458" max="7680" width="9.140625" style="4"/>
    <col min="7681" max="7681" width="11" style="4" customWidth="1"/>
    <col min="7682" max="7683" width="12.5703125" style="4" customWidth="1"/>
    <col min="7684" max="7684" width="11" style="4" customWidth="1"/>
    <col min="7685" max="7685" width="8.42578125" style="4" customWidth="1"/>
    <col min="7686" max="7686" width="11.42578125" style="4" customWidth="1"/>
    <col min="7687" max="7687" width="1.85546875" style="4" customWidth="1"/>
    <col min="7688" max="7688" width="8.42578125" style="4" customWidth="1"/>
    <col min="7689" max="7689" width="11.42578125" style="4" customWidth="1"/>
    <col min="7690" max="7691" width="10.42578125" style="4" customWidth="1"/>
    <col min="7692" max="7692" width="10.5703125" style="4" customWidth="1"/>
    <col min="7693" max="7693" width="10" style="4" customWidth="1"/>
    <col min="7694" max="7694" width="11" style="4" bestFit="1" customWidth="1"/>
    <col min="7695" max="7695" width="12" style="4" customWidth="1"/>
    <col min="7696" max="7696" width="11.140625" style="4" customWidth="1"/>
    <col min="7697" max="7697" width="9.5703125" style="4" customWidth="1"/>
    <col min="7698" max="7698" width="10.42578125" style="4" customWidth="1"/>
    <col min="7699" max="7699" width="8.5703125" style="4" customWidth="1"/>
    <col min="7700" max="7700" width="11" style="4" customWidth="1"/>
    <col min="7701" max="7701" width="13.42578125" style="4" bestFit="1" customWidth="1"/>
    <col min="7702" max="7702" width="9.42578125" style="4" customWidth="1"/>
    <col min="7703" max="7703" width="7.5703125" style="4" customWidth="1"/>
    <col min="7704" max="7704" width="11.42578125" style="4" customWidth="1"/>
    <col min="7705" max="7705" width="9.42578125" style="4" customWidth="1"/>
    <col min="7706" max="7706" width="11.42578125" style="4" customWidth="1"/>
    <col min="7707" max="7707" width="13.42578125" style="4" bestFit="1" customWidth="1"/>
    <col min="7708" max="7708" width="5.5703125" style="4" bestFit="1" customWidth="1"/>
    <col min="7709" max="7709" width="19.5703125" style="4" bestFit="1" customWidth="1"/>
    <col min="7710" max="7710" width="1.42578125" style="4" customWidth="1"/>
    <col min="7711" max="7711" width="13.42578125" style="4" bestFit="1" customWidth="1"/>
    <col min="7712" max="7712" width="8.5703125" style="4" bestFit="1" customWidth="1"/>
    <col min="7713" max="7713" width="8.85546875" style="4" bestFit="1" customWidth="1"/>
    <col min="7714" max="7936" width="9.140625" style="4"/>
    <col min="7937" max="7937" width="11" style="4" customWidth="1"/>
    <col min="7938" max="7939" width="12.5703125" style="4" customWidth="1"/>
    <col min="7940" max="7940" width="11" style="4" customWidth="1"/>
    <col min="7941" max="7941" width="8.42578125" style="4" customWidth="1"/>
    <col min="7942" max="7942" width="11.42578125" style="4" customWidth="1"/>
    <col min="7943" max="7943" width="1.85546875" style="4" customWidth="1"/>
    <col min="7944" max="7944" width="8.42578125" style="4" customWidth="1"/>
    <col min="7945" max="7945" width="11.42578125" style="4" customWidth="1"/>
    <col min="7946" max="7947" width="10.42578125" style="4" customWidth="1"/>
    <col min="7948" max="7948" width="10.5703125" style="4" customWidth="1"/>
    <col min="7949" max="7949" width="10" style="4" customWidth="1"/>
    <col min="7950" max="7950" width="11" style="4" bestFit="1" customWidth="1"/>
    <col min="7951" max="7951" width="12" style="4" customWidth="1"/>
    <col min="7952" max="7952" width="11.140625" style="4" customWidth="1"/>
    <col min="7953" max="7953" width="9.5703125" style="4" customWidth="1"/>
    <col min="7954" max="7954" width="10.42578125" style="4" customWidth="1"/>
    <col min="7955" max="7955" width="8.5703125" style="4" customWidth="1"/>
    <col min="7956" max="7956" width="11" style="4" customWidth="1"/>
    <col min="7957" max="7957" width="13.42578125" style="4" bestFit="1" customWidth="1"/>
    <col min="7958" max="7958" width="9.42578125" style="4" customWidth="1"/>
    <col min="7959" max="7959" width="7.5703125" style="4" customWidth="1"/>
    <col min="7960" max="7960" width="11.42578125" style="4" customWidth="1"/>
    <col min="7961" max="7961" width="9.42578125" style="4" customWidth="1"/>
    <col min="7962" max="7962" width="11.42578125" style="4" customWidth="1"/>
    <col min="7963" max="7963" width="13.42578125" style="4" bestFit="1" customWidth="1"/>
    <col min="7964" max="7964" width="5.5703125" style="4" bestFit="1" customWidth="1"/>
    <col min="7965" max="7965" width="19.5703125" style="4" bestFit="1" customWidth="1"/>
    <col min="7966" max="7966" width="1.42578125" style="4" customWidth="1"/>
    <col min="7967" max="7967" width="13.42578125" style="4" bestFit="1" customWidth="1"/>
    <col min="7968" max="7968" width="8.5703125" style="4" bestFit="1" customWidth="1"/>
    <col min="7969" max="7969" width="8.85546875" style="4" bestFit="1" customWidth="1"/>
    <col min="7970" max="8192" width="9.140625" style="4"/>
    <col min="8193" max="8193" width="11" style="4" customWidth="1"/>
    <col min="8194" max="8195" width="12.5703125" style="4" customWidth="1"/>
    <col min="8196" max="8196" width="11" style="4" customWidth="1"/>
    <col min="8197" max="8197" width="8.42578125" style="4" customWidth="1"/>
    <col min="8198" max="8198" width="11.42578125" style="4" customWidth="1"/>
    <col min="8199" max="8199" width="1.85546875" style="4" customWidth="1"/>
    <col min="8200" max="8200" width="8.42578125" style="4" customWidth="1"/>
    <col min="8201" max="8201" width="11.42578125" style="4" customWidth="1"/>
    <col min="8202" max="8203" width="10.42578125" style="4" customWidth="1"/>
    <col min="8204" max="8204" width="10.5703125" style="4" customWidth="1"/>
    <col min="8205" max="8205" width="10" style="4" customWidth="1"/>
    <col min="8206" max="8206" width="11" style="4" bestFit="1" customWidth="1"/>
    <col min="8207" max="8207" width="12" style="4" customWidth="1"/>
    <col min="8208" max="8208" width="11.140625" style="4" customWidth="1"/>
    <col min="8209" max="8209" width="9.5703125" style="4" customWidth="1"/>
    <col min="8210" max="8210" width="10.42578125" style="4" customWidth="1"/>
    <col min="8211" max="8211" width="8.5703125" style="4" customWidth="1"/>
    <col min="8212" max="8212" width="11" style="4" customWidth="1"/>
    <col min="8213" max="8213" width="13.42578125" style="4" bestFit="1" customWidth="1"/>
    <col min="8214" max="8214" width="9.42578125" style="4" customWidth="1"/>
    <col min="8215" max="8215" width="7.5703125" style="4" customWidth="1"/>
    <col min="8216" max="8216" width="11.42578125" style="4" customWidth="1"/>
    <col min="8217" max="8217" width="9.42578125" style="4" customWidth="1"/>
    <col min="8218" max="8218" width="11.42578125" style="4" customWidth="1"/>
    <col min="8219" max="8219" width="13.42578125" style="4" bestFit="1" customWidth="1"/>
    <col min="8220" max="8220" width="5.5703125" style="4" bestFit="1" customWidth="1"/>
    <col min="8221" max="8221" width="19.5703125" style="4" bestFit="1" customWidth="1"/>
    <col min="8222" max="8222" width="1.42578125" style="4" customWidth="1"/>
    <col min="8223" max="8223" width="13.42578125" style="4" bestFit="1" customWidth="1"/>
    <col min="8224" max="8224" width="8.5703125" style="4" bestFit="1" customWidth="1"/>
    <col min="8225" max="8225" width="8.85546875" style="4" bestFit="1" customWidth="1"/>
    <col min="8226" max="8448" width="9.140625" style="4"/>
    <col min="8449" max="8449" width="11" style="4" customWidth="1"/>
    <col min="8450" max="8451" width="12.5703125" style="4" customWidth="1"/>
    <col min="8452" max="8452" width="11" style="4" customWidth="1"/>
    <col min="8453" max="8453" width="8.42578125" style="4" customWidth="1"/>
    <col min="8454" max="8454" width="11.42578125" style="4" customWidth="1"/>
    <col min="8455" max="8455" width="1.85546875" style="4" customWidth="1"/>
    <col min="8456" max="8456" width="8.42578125" style="4" customWidth="1"/>
    <col min="8457" max="8457" width="11.42578125" style="4" customWidth="1"/>
    <col min="8458" max="8459" width="10.42578125" style="4" customWidth="1"/>
    <col min="8460" max="8460" width="10.5703125" style="4" customWidth="1"/>
    <col min="8461" max="8461" width="10" style="4" customWidth="1"/>
    <col min="8462" max="8462" width="11" style="4" bestFit="1" customWidth="1"/>
    <col min="8463" max="8463" width="12" style="4" customWidth="1"/>
    <col min="8464" max="8464" width="11.140625" style="4" customWidth="1"/>
    <col min="8465" max="8465" width="9.5703125" style="4" customWidth="1"/>
    <col min="8466" max="8466" width="10.42578125" style="4" customWidth="1"/>
    <col min="8467" max="8467" width="8.5703125" style="4" customWidth="1"/>
    <col min="8468" max="8468" width="11" style="4" customWidth="1"/>
    <col min="8469" max="8469" width="13.42578125" style="4" bestFit="1" customWidth="1"/>
    <col min="8470" max="8470" width="9.42578125" style="4" customWidth="1"/>
    <col min="8471" max="8471" width="7.5703125" style="4" customWidth="1"/>
    <col min="8472" max="8472" width="11.42578125" style="4" customWidth="1"/>
    <col min="8473" max="8473" width="9.42578125" style="4" customWidth="1"/>
    <col min="8474" max="8474" width="11.42578125" style="4" customWidth="1"/>
    <col min="8475" max="8475" width="13.42578125" style="4" bestFit="1" customWidth="1"/>
    <col min="8476" max="8476" width="5.5703125" style="4" bestFit="1" customWidth="1"/>
    <col min="8477" max="8477" width="19.5703125" style="4" bestFit="1" customWidth="1"/>
    <col min="8478" max="8478" width="1.42578125" style="4" customWidth="1"/>
    <col min="8479" max="8479" width="13.42578125" style="4" bestFit="1" customWidth="1"/>
    <col min="8480" max="8480" width="8.5703125" style="4" bestFit="1" customWidth="1"/>
    <col min="8481" max="8481" width="8.85546875" style="4" bestFit="1" customWidth="1"/>
    <col min="8482" max="8704" width="9.140625" style="4"/>
    <col min="8705" max="8705" width="11" style="4" customWidth="1"/>
    <col min="8706" max="8707" width="12.5703125" style="4" customWidth="1"/>
    <col min="8708" max="8708" width="11" style="4" customWidth="1"/>
    <col min="8709" max="8709" width="8.42578125" style="4" customWidth="1"/>
    <col min="8710" max="8710" width="11.42578125" style="4" customWidth="1"/>
    <col min="8711" max="8711" width="1.85546875" style="4" customWidth="1"/>
    <col min="8712" max="8712" width="8.42578125" style="4" customWidth="1"/>
    <col min="8713" max="8713" width="11.42578125" style="4" customWidth="1"/>
    <col min="8714" max="8715" width="10.42578125" style="4" customWidth="1"/>
    <col min="8716" max="8716" width="10.5703125" style="4" customWidth="1"/>
    <col min="8717" max="8717" width="10" style="4" customWidth="1"/>
    <col min="8718" max="8718" width="11" style="4" bestFit="1" customWidth="1"/>
    <col min="8719" max="8719" width="12" style="4" customWidth="1"/>
    <col min="8720" max="8720" width="11.140625" style="4" customWidth="1"/>
    <col min="8721" max="8721" width="9.5703125" style="4" customWidth="1"/>
    <col min="8722" max="8722" width="10.42578125" style="4" customWidth="1"/>
    <col min="8723" max="8723" width="8.5703125" style="4" customWidth="1"/>
    <col min="8724" max="8724" width="11" style="4" customWidth="1"/>
    <col min="8725" max="8725" width="13.42578125" style="4" bestFit="1" customWidth="1"/>
    <col min="8726" max="8726" width="9.42578125" style="4" customWidth="1"/>
    <col min="8727" max="8727" width="7.5703125" style="4" customWidth="1"/>
    <col min="8728" max="8728" width="11.42578125" style="4" customWidth="1"/>
    <col min="8729" max="8729" width="9.42578125" style="4" customWidth="1"/>
    <col min="8730" max="8730" width="11.42578125" style="4" customWidth="1"/>
    <col min="8731" max="8731" width="13.42578125" style="4" bestFit="1" customWidth="1"/>
    <col min="8732" max="8732" width="5.5703125" style="4" bestFit="1" customWidth="1"/>
    <col min="8733" max="8733" width="19.5703125" style="4" bestFit="1" customWidth="1"/>
    <col min="8734" max="8734" width="1.42578125" style="4" customWidth="1"/>
    <col min="8735" max="8735" width="13.42578125" style="4" bestFit="1" customWidth="1"/>
    <col min="8736" max="8736" width="8.5703125" style="4" bestFit="1" customWidth="1"/>
    <col min="8737" max="8737" width="8.85546875" style="4" bestFit="1" customWidth="1"/>
    <col min="8738" max="8960" width="9.140625" style="4"/>
    <col min="8961" max="8961" width="11" style="4" customWidth="1"/>
    <col min="8962" max="8963" width="12.5703125" style="4" customWidth="1"/>
    <col min="8964" max="8964" width="11" style="4" customWidth="1"/>
    <col min="8965" max="8965" width="8.42578125" style="4" customWidth="1"/>
    <col min="8966" max="8966" width="11.42578125" style="4" customWidth="1"/>
    <col min="8967" max="8967" width="1.85546875" style="4" customWidth="1"/>
    <col min="8968" max="8968" width="8.42578125" style="4" customWidth="1"/>
    <col min="8969" max="8969" width="11.42578125" style="4" customWidth="1"/>
    <col min="8970" max="8971" width="10.42578125" style="4" customWidth="1"/>
    <col min="8972" max="8972" width="10.5703125" style="4" customWidth="1"/>
    <col min="8973" max="8973" width="10" style="4" customWidth="1"/>
    <col min="8974" max="8974" width="11" style="4" bestFit="1" customWidth="1"/>
    <col min="8975" max="8975" width="12" style="4" customWidth="1"/>
    <col min="8976" max="8976" width="11.140625" style="4" customWidth="1"/>
    <col min="8977" max="8977" width="9.5703125" style="4" customWidth="1"/>
    <col min="8978" max="8978" width="10.42578125" style="4" customWidth="1"/>
    <col min="8979" max="8979" width="8.5703125" style="4" customWidth="1"/>
    <col min="8980" max="8980" width="11" style="4" customWidth="1"/>
    <col min="8981" max="8981" width="13.42578125" style="4" bestFit="1" customWidth="1"/>
    <col min="8982" max="8982" width="9.42578125" style="4" customWidth="1"/>
    <col min="8983" max="8983" width="7.5703125" style="4" customWidth="1"/>
    <col min="8984" max="8984" width="11.42578125" style="4" customWidth="1"/>
    <col min="8985" max="8985" width="9.42578125" style="4" customWidth="1"/>
    <col min="8986" max="8986" width="11.42578125" style="4" customWidth="1"/>
    <col min="8987" max="8987" width="13.42578125" style="4" bestFit="1" customWidth="1"/>
    <col min="8988" max="8988" width="5.5703125" style="4" bestFit="1" customWidth="1"/>
    <col min="8989" max="8989" width="19.5703125" style="4" bestFit="1" customWidth="1"/>
    <col min="8990" max="8990" width="1.42578125" style="4" customWidth="1"/>
    <col min="8991" max="8991" width="13.42578125" style="4" bestFit="1" customWidth="1"/>
    <col min="8992" max="8992" width="8.5703125" style="4" bestFit="1" customWidth="1"/>
    <col min="8993" max="8993" width="8.85546875" style="4" bestFit="1" customWidth="1"/>
    <col min="8994" max="9216" width="9.140625" style="4"/>
    <col min="9217" max="9217" width="11" style="4" customWidth="1"/>
    <col min="9218" max="9219" width="12.5703125" style="4" customWidth="1"/>
    <col min="9220" max="9220" width="11" style="4" customWidth="1"/>
    <col min="9221" max="9221" width="8.42578125" style="4" customWidth="1"/>
    <col min="9222" max="9222" width="11.42578125" style="4" customWidth="1"/>
    <col min="9223" max="9223" width="1.85546875" style="4" customWidth="1"/>
    <col min="9224" max="9224" width="8.42578125" style="4" customWidth="1"/>
    <col min="9225" max="9225" width="11.42578125" style="4" customWidth="1"/>
    <col min="9226" max="9227" width="10.42578125" style="4" customWidth="1"/>
    <col min="9228" max="9228" width="10.5703125" style="4" customWidth="1"/>
    <col min="9229" max="9229" width="10" style="4" customWidth="1"/>
    <col min="9230" max="9230" width="11" style="4" bestFit="1" customWidth="1"/>
    <col min="9231" max="9231" width="12" style="4" customWidth="1"/>
    <col min="9232" max="9232" width="11.140625" style="4" customWidth="1"/>
    <col min="9233" max="9233" width="9.5703125" style="4" customWidth="1"/>
    <col min="9234" max="9234" width="10.42578125" style="4" customWidth="1"/>
    <col min="9235" max="9235" width="8.5703125" style="4" customWidth="1"/>
    <col min="9236" max="9236" width="11" style="4" customWidth="1"/>
    <col min="9237" max="9237" width="13.42578125" style="4" bestFit="1" customWidth="1"/>
    <col min="9238" max="9238" width="9.42578125" style="4" customWidth="1"/>
    <col min="9239" max="9239" width="7.5703125" style="4" customWidth="1"/>
    <col min="9240" max="9240" width="11.42578125" style="4" customWidth="1"/>
    <col min="9241" max="9241" width="9.42578125" style="4" customWidth="1"/>
    <col min="9242" max="9242" width="11.42578125" style="4" customWidth="1"/>
    <col min="9243" max="9243" width="13.42578125" style="4" bestFit="1" customWidth="1"/>
    <col min="9244" max="9244" width="5.5703125" style="4" bestFit="1" customWidth="1"/>
    <col min="9245" max="9245" width="19.5703125" style="4" bestFit="1" customWidth="1"/>
    <col min="9246" max="9246" width="1.42578125" style="4" customWidth="1"/>
    <col min="9247" max="9247" width="13.42578125" style="4" bestFit="1" customWidth="1"/>
    <col min="9248" max="9248" width="8.5703125" style="4" bestFit="1" customWidth="1"/>
    <col min="9249" max="9249" width="8.85546875" style="4" bestFit="1" customWidth="1"/>
    <col min="9250" max="9472" width="9.140625" style="4"/>
    <col min="9473" max="9473" width="11" style="4" customWidth="1"/>
    <col min="9474" max="9475" width="12.5703125" style="4" customWidth="1"/>
    <col min="9476" max="9476" width="11" style="4" customWidth="1"/>
    <col min="9477" max="9477" width="8.42578125" style="4" customWidth="1"/>
    <col min="9478" max="9478" width="11.42578125" style="4" customWidth="1"/>
    <col min="9479" max="9479" width="1.85546875" style="4" customWidth="1"/>
    <col min="9480" max="9480" width="8.42578125" style="4" customWidth="1"/>
    <col min="9481" max="9481" width="11.42578125" style="4" customWidth="1"/>
    <col min="9482" max="9483" width="10.42578125" style="4" customWidth="1"/>
    <col min="9484" max="9484" width="10.5703125" style="4" customWidth="1"/>
    <col min="9485" max="9485" width="10" style="4" customWidth="1"/>
    <col min="9486" max="9486" width="11" style="4" bestFit="1" customWidth="1"/>
    <col min="9487" max="9487" width="12" style="4" customWidth="1"/>
    <col min="9488" max="9488" width="11.140625" style="4" customWidth="1"/>
    <col min="9489" max="9489" width="9.5703125" style="4" customWidth="1"/>
    <col min="9490" max="9490" width="10.42578125" style="4" customWidth="1"/>
    <col min="9491" max="9491" width="8.5703125" style="4" customWidth="1"/>
    <col min="9492" max="9492" width="11" style="4" customWidth="1"/>
    <col min="9493" max="9493" width="13.42578125" style="4" bestFit="1" customWidth="1"/>
    <col min="9494" max="9494" width="9.42578125" style="4" customWidth="1"/>
    <col min="9495" max="9495" width="7.5703125" style="4" customWidth="1"/>
    <col min="9496" max="9496" width="11.42578125" style="4" customWidth="1"/>
    <col min="9497" max="9497" width="9.42578125" style="4" customWidth="1"/>
    <col min="9498" max="9498" width="11.42578125" style="4" customWidth="1"/>
    <col min="9499" max="9499" width="13.42578125" style="4" bestFit="1" customWidth="1"/>
    <col min="9500" max="9500" width="5.5703125" style="4" bestFit="1" customWidth="1"/>
    <col min="9501" max="9501" width="19.5703125" style="4" bestFit="1" customWidth="1"/>
    <col min="9502" max="9502" width="1.42578125" style="4" customWidth="1"/>
    <col min="9503" max="9503" width="13.42578125" style="4" bestFit="1" customWidth="1"/>
    <col min="9504" max="9504" width="8.5703125" style="4" bestFit="1" customWidth="1"/>
    <col min="9505" max="9505" width="8.85546875" style="4" bestFit="1" customWidth="1"/>
    <col min="9506" max="9728" width="9.140625" style="4"/>
    <col min="9729" max="9729" width="11" style="4" customWidth="1"/>
    <col min="9730" max="9731" width="12.5703125" style="4" customWidth="1"/>
    <col min="9732" max="9732" width="11" style="4" customWidth="1"/>
    <col min="9733" max="9733" width="8.42578125" style="4" customWidth="1"/>
    <col min="9734" max="9734" width="11.42578125" style="4" customWidth="1"/>
    <col min="9735" max="9735" width="1.85546875" style="4" customWidth="1"/>
    <col min="9736" max="9736" width="8.42578125" style="4" customWidth="1"/>
    <col min="9737" max="9737" width="11.42578125" style="4" customWidth="1"/>
    <col min="9738" max="9739" width="10.42578125" style="4" customWidth="1"/>
    <col min="9740" max="9740" width="10.5703125" style="4" customWidth="1"/>
    <col min="9741" max="9741" width="10" style="4" customWidth="1"/>
    <col min="9742" max="9742" width="11" style="4" bestFit="1" customWidth="1"/>
    <col min="9743" max="9743" width="12" style="4" customWidth="1"/>
    <col min="9744" max="9744" width="11.140625" style="4" customWidth="1"/>
    <col min="9745" max="9745" width="9.5703125" style="4" customWidth="1"/>
    <col min="9746" max="9746" width="10.42578125" style="4" customWidth="1"/>
    <col min="9747" max="9747" width="8.5703125" style="4" customWidth="1"/>
    <col min="9748" max="9748" width="11" style="4" customWidth="1"/>
    <col min="9749" max="9749" width="13.42578125" style="4" bestFit="1" customWidth="1"/>
    <col min="9750" max="9750" width="9.42578125" style="4" customWidth="1"/>
    <col min="9751" max="9751" width="7.5703125" style="4" customWidth="1"/>
    <col min="9752" max="9752" width="11.42578125" style="4" customWidth="1"/>
    <col min="9753" max="9753" width="9.42578125" style="4" customWidth="1"/>
    <col min="9754" max="9754" width="11.42578125" style="4" customWidth="1"/>
    <col min="9755" max="9755" width="13.42578125" style="4" bestFit="1" customWidth="1"/>
    <col min="9756" max="9756" width="5.5703125" style="4" bestFit="1" customWidth="1"/>
    <col min="9757" max="9757" width="19.5703125" style="4" bestFit="1" customWidth="1"/>
    <col min="9758" max="9758" width="1.42578125" style="4" customWidth="1"/>
    <col min="9759" max="9759" width="13.42578125" style="4" bestFit="1" customWidth="1"/>
    <col min="9760" max="9760" width="8.5703125" style="4" bestFit="1" customWidth="1"/>
    <col min="9761" max="9761" width="8.85546875" style="4" bestFit="1" customWidth="1"/>
    <col min="9762" max="9984" width="9.140625" style="4"/>
    <col min="9985" max="9985" width="11" style="4" customWidth="1"/>
    <col min="9986" max="9987" width="12.5703125" style="4" customWidth="1"/>
    <col min="9988" max="9988" width="11" style="4" customWidth="1"/>
    <col min="9989" max="9989" width="8.42578125" style="4" customWidth="1"/>
    <col min="9990" max="9990" width="11.42578125" style="4" customWidth="1"/>
    <col min="9991" max="9991" width="1.85546875" style="4" customWidth="1"/>
    <col min="9992" max="9992" width="8.42578125" style="4" customWidth="1"/>
    <col min="9993" max="9993" width="11.42578125" style="4" customWidth="1"/>
    <col min="9994" max="9995" width="10.42578125" style="4" customWidth="1"/>
    <col min="9996" max="9996" width="10.5703125" style="4" customWidth="1"/>
    <col min="9997" max="9997" width="10" style="4" customWidth="1"/>
    <col min="9998" max="9998" width="11" style="4" bestFit="1" customWidth="1"/>
    <col min="9999" max="9999" width="12" style="4" customWidth="1"/>
    <col min="10000" max="10000" width="11.140625" style="4" customWidth="1"/>
    <col min="10001" max="10001" width="9.5703125" style="4" customWidth="1"/>
    <col min="10002" max="10002" width="10.42578125" style="4" customWidth="1"/>
    <col min="10003" max="10003" width="8.5703125" style="4" customWidth="1"/>
    <col min="10004" max="10004" width="11" style="4" customWidth="1"/>
    <col min="10005" max="10005" width="13.42578125" style="4" bestFit="1" customWidth="1"/>
    <col min="10006" max="10006" width="9.42578125" style="4" customWidth="1"/>
    <col min="10007" max="10007" width="7.5703125" style="4" customWidth="1"/>
    <col min="10008" max="10008" width="11.42578125" style="4" customWidth="1"/>
    <col min="10009" max="10009" width="9.42578125" style="4" customWidth="1"/>
    <col min="10010" max="10010" width="11.42578125" style="4" customWidth="1"/>
    <col min="10011" max="10011" width="13.42578125" style="4" bestFit="1" customWidth="1"/>
    <col min="10012" max="10012" width="5.5703125" style="4" bestFit="1" customWidth="1"/>
    <col min="10013" max="10013" width="19.5703125" style="4" bestFit="1" customWidth="1"/>
    <col min="10014" max="10014" width="1.42578125" style="4" customWidth="1"/>
    <col min="10015" max="10015" width="13.42578125" style="4" bestFit="1" customWidth="1"/>
    <col min="10016" max="10016" width="8.5703125" style="4" bestFit="1" customWidth="1"/>
    <col min="10017" max="10017" width="8.85546875" style="4" bestFit="1" customWidth="1"/>
    <col min="10018" max="10240" width="9.140625" style="4"/>
    <col min="10241" max="10241" width="11" style="4" customWidth="1"/>
    <col min="10242" max="10243" width="12.5703125" style="4" customWidth="1"/>
    <col min="10244" max="10244" width="11" style="4" customWidth="1"/>
    <col min="10245" max="10245" width="8.42578125" style="4" customWidth="1"/>
    <col min="10246" max="10246" width="11.42578125" style="4" customWidth="1"/>
    <col min="10247" max="10247" width="1.85546875" style="4" customWidth="1"/>
    <col min="10248" max="10248" width="8.42578125" style="4" customWidth="1"/>
    <col min="10249" max="10249" width="11.42578125" style="4" customWidth="1"/>
    <col min="10250" max="10251" width="10.42578125" style="4" customWidth="1"/>
    <col min="10252" max="10252" width="10.5703125" style="4" customWidth="1"/>
    <col min="10253" max="10253" width="10" style="4" customWidth="1"/>
    <col min="10254" max="10254" width="11" style="4" bestFit="1" customWidth="1"/>
    <col min="10255" max="10255" width="12" style="4" customWidth="1"/>
    <col min="10256" max="10256" width="11.140625" style="4" customWidth="1"/>
    <col min="10257" max="10257" width="9.5703125" style="4" customWidth="1"/>
    <col min="10258" max="10258" width="10.42578125" style="4" customWidth="1"/>
    <col min="10259" max="10259" width="8.5703125" style="4" customWidth="1"/>
    <col min="10260" max="10260" width="11" style="4" customWidth="1"/>
    <col min="10261" max="10261" width="13.42578125" style="4" bestFit="1" customWidth="1"/>
    <col min="10262" max="10262" width="9.42578125" style="4" customWidth="1"/>
    <col min="10263" max="10263" width="7.5703125" style="4" customWidth="1"/>
    <col min="10264" max="10264" width="11.42578125" style="4" customWidth="1"/>
    <col min="10265" max="10265" width="9.42578125" style="4" customWidth="1"/>
    <col min="10266" max="10266" width="11.42578125" style="4" customWidth="1"/>
    <col min="10267" max="10267" width="13.42578125" style="4" bestFit="1" customWidth="1"/>
    <col min="10268" max="10268" width="5.5703125" style="4" bestFit="1" customWidth="1"/>
    <col min="10269" max="10269" width="19.5703125" style="4" bestFit="1" customWidth="1"/>
    <col min="10270" max="10270" width="1.42578125" style="4" customWidth="1"/>
    <col min="10271" max="10271" width="13.42578125" style="4" bestFit="1" customWidth="1"/>
    <col min="10272" max="10272" width="8.5703125" style="4" bestFit="1" customWidth="1"/>
    <col min="10273" max="10273" width="8.85546875" style="4" bestFit="1" customWidth="1"/>
    <col min="10274" max="10496" width="9.140625" style="4"/>
    <col min="10497" max="10497" width="11" style="4" customWidth="1"/>
    <col min="10498" max="10499" width="12.5703125" style="4" customWidth="1"/>
    <col min="10500" max="10500" width="11" style="4" customWidth="1"/>
    <col min="10501" max="10501" width="8.42578125" style="4" customWidth="1"/>
    <col min="10502" max="10502" width="11.42578125" style="4" customWidth="1"/>
    <col min="10503" max="10503" width="1.85546875" style="4" customWidth="1"/>
    <col min="10504" max="10504" width="8.42578125" style="4" customWidth="1"/>
    <col min="10505" max="10505" width="11.42578125" style="4" customWidth="1"/>
    <col min="10506" max="10507" width="10.42578125" style="4" customWidth="1"/>
    <col min="10508" max="10508" width="10.5703125" style="4" customWidth="1"/>
    <col min="10509" max="10509" width="10" style="4" customWidth="1"/>
    <col min="10510" max="10510" width="11" style="4" bestFit="1" customWidth="1"/>
    <col min="10511" max="10511" width="12" style="4" customWidth="1"/>
    <col min="10512" max="10512" width="11.140625" style="4" customWidth="1"/>
    <col min="10513" max="10513" width="9.5703125" style="4" customWidth="1"/>
    <col min="10514" max="10514" width="10.42578125" style="4" customWidth="1"/>
    <col min="10515" max="10515" width="8.5703125" style="4" customWidth="1"/>
    <col min="10516" max="10516" width="11" style="4" customWidth="1"/>
    <col min="10517" max="10517" width="13.42578125" style="4" bestFit="1" customWidth="1"/>
    <col min="10518" max="10518" width="9.42578125" style="4" customWidth="1"/>
    <col min="10519" max="10519" width="7.5703125" style="4" customWidth="1"/>
    <col min="10520" max="10520" width="11.42578125" style="4" customWidth="1"/>
    <col min="10521" max="10521" width="9.42578125" style="4" customWidth="1"/>
    <col min="10522" max="10522" width="11.42578125" style="4" customWidth="1"/>
    <col min="10523" max="10523" width="13.42578125" style="4" bestFit="1" customWidth="1"/>
    <col min="10524" max="10524" width="5.5703125" style="4" bestFit="1" customWidth="1"/>
    <col min="10525" max="10525" width="19.5703125" style="4" bestFit="1" customWidth="1"/>
    <col min="10526" max="10526" width="1.42578125" style="4" customWidth="1"/>
    <col min="10527" max="10527" width="13.42578125" style="4" bestFit="1" customWidth="1"/>
    <col min="10528" max="10528" width="8.5703125" style="4" bestFit="1" customWidth="1"/>
    <col min="10529" max="10529" width="8.85546875" style="4" bestFit="1" customWidth="1"/>
    <col min="10530" max="10752" width="9.140625" style="4"/>
    <col min="10753" max="10753" width="11" style="4" customWidth="1"/>
    <col min="10754" max="10755" width="12.5703125" style="4" customWidth="1"/>
    <col min="10756" max="10756" width="11" style="4" customWidth="1"/>
    <col min="10757" max="10757" width="8.42578125" style="4" customWidth="1"/>
    <col min="10758" max="10758" width="11.42578125" style="4" customWidth="1"/>
    <col min="10759" max="10759" width="1.85546875" style="4" customWidth="1"/>
    <col min="10760" max="10760" width="8.42578125" style="4" customWidth="1"/>
    <col min="10761" max="10761" width="11.42578125" style="4" customWidth="1"/>
    <col min="10762" max="10763" width="10.42578125" style="4" customWidth="1"/>
    <col min="10764" max="10764" width="10.5703125" style="4" customWidth="1"/>
    <col min="10765" max="10765" width="10" style="4" customWidth="1"/>
    <col min="10766" max="10766" width="11" style="4" bestFit="1" customWidth="1"/>
    <col min="10767" max="10767" width="12" style="4" customWidth="1"/>
    <col min="10768" max="10768" width="11.140625" style="4" customWidth="1"/>
    <col min="10769" max="10769" width="9.5703125" style="4" customWidth="1"/>
    <col min="10770" max="10770" width="10.42578125" style="4" customWidth="1"/>
    <col min="10771" max="10771" width="8.5703125" style="4" customWidth="1"/>
    <col min="10772" max="10772" width="11" style="4" customWidth="1"/>
    <col min="10773" max="10773" width="13.42578125" style="4" bestFit="1" customWidth="1"/>
    <col min="10774" max="10774" width="9.42578125" style="4" customWidth="1"/>
    <col min="10775" max="10775" width="7.5703125" style="4" customWidth="1"/>
    <col min="10776" max="10776" width="11.42578125" style="4" customWidth="1"/>
    <col min="10777" max="10777" width="9.42578125" style="4" customWidth="1"/>
    <col min="10778" max="10778" width="11.42578125" style="4" customWidth="1"/>
    <col min="10779" max="10779" width="13.42578125" style="4" bestFit="1" customWidth="1"/>
    <col min="10780" max="10780" width="5.5703125" style="4" bestFit="1" customWidth="1"/>
    <col min="10781" max="10781" width="19.5703125" style="4" bestFit="1" customWidth="1"/>
    <col min="10782" max="10782" width="1.42578125" style="4" customWidth="1"/>
    <col min="10783" max="10783" width="13.42578125" style="4" bestFit="1" customWidth="1"/>
    <col min="10784" max="10784" width="8.5703125" style="4" bestFit="1" customWidth="1"/>
    <col min="10785" max="10785" width="8.85546875" style="4" bestFit="1" customWidth="1"/>
    <col min="10786" max="11008" width="9.140625" style="4"/>
    <col min="11009" max="11009" width="11" style="4" customWidth="1"/>
    <col min="11010" max="11011" width="12.5703125" style="4" customWidth="1"/>
    <col min="11012" max="11012" width="11" style="4" customWidth="1"/>
    <col min="11013" max="11013" width="8.42578125" style="4" customWidth="1"/>
    <col min="11014" max="11014" width="11.42578125" style="4" customWidth="1"/>
    <col min="11015" max="11015" width="1.85546875" style="4" customWidth="1"/>
    <col min="11016" max="11016" width="8.42578125" style="4" customWidth="1"/>
    <col min="11017" max="11017" width="11.42578125" style="4" customWidth="1"/>
    <col min="11018" max="11019" width="10.42578125" style="4" customWidth="1"/>
    <col min="11020" max="11020" width="10.5703125" style="4" customWidth="1"/>
    <col min="11021" max="11021" width="10" style="4" customWidth="1"/>
    <col min="11022" max="11022" width="11" style="4" bestFit="1" customWidth="1"/>
    <col min="11023" max="11023" width="12" style="4" customWidth="1"/>
    <col min="11024" max="11024" width="11.140625" style="4" customWidth="1"/>
    <col min="11025" max="11025" width="9.5703125" style="4" customWidth="1"/>
    <col min="11026" max="11026" width="10.42578125" style="4" customWidth="1"/>
    <col min="11027" max="11027" width="8.5703125" style="4" customWidth="1"/>
    <col min="11028" max="11028" width="11" style="4" customWidth="1"/>
    <col min="11029" max="11029" width="13.42578125" style="4" bestFit="1" customWidth="1"/>
    <col min="11030" max="11030" width="9.42578125" style="4" customWidth="1"/>
    <col min="11031" max="11031" width="7.5703125" style="4" customWidth="1"/>
    <col min="11032" max="11032" width="11.42578125" style="4" customWidth="1"/>
    <col min="11033" max="11033" width="9.42578125" style="4" customWidth="1"/>
    <col min="11034" max="11034" width="11.42578125" style="4" customWidth="1"/>
    <col min="11035" max="11035" width="13.42578125" style="4" bestFit="1" customWidth="1"/>
    <col min="11036" max="11036" width="5.5703125" style="4" bestFit="1" customWidth="1"/>
    <col min="11037" max="11037" width="19.5703125" style="4" bestFit="1" customWidth="1"/>
    <col min="11038" max="11038" width="1.42578125" style="4" customWidth="1"/>
    <col min="11039" max="11039" width="13.42578125" style="4" bestFit="1" customWidth="1"/>
    <col min="11040" max="11040" width="8.5703125" style="4" bestFit="1" customWidth="1"/>
    <col min="11041" max="11041" width="8.85546875" style="4" bestFit="1" customWidth="1"/>
    <col min="11042" max="11264" width="9.140625" style="4"/>
    <col min="11265" max="11265" width="11" style="4" customWidth="1"/>
    <col min="11266" max="11267" width="12.5703125" style="4" customWidth="1"/>
    <col min="11268" max="11268" width="11" style="4" customWidth="1"/>
    <col min="11269" max="11269" width="8.42578125" style="4" customWidth="1"/>
    <col min="11270" max="11270" width="11.42578125" style="4" customWidth="1"/>
    <col min="11271" max="11271" width="1.85546875" style="4" customWidth="1"/>
    <col min="11272" max="11272" width="8.42578125" style="4" customWidth="1"/>
    <col min="11273" max="11273" width="11.42578125" style="4" customWidth="1"/>
    <col min="11274" max="11275" width="10.42578125" style="4" customWidth="1"/>
    <col min="11276" max="11276" width="10.5703125" style="4" customWidth="1"/>
    <col min="11277" max="11277" width="10" style="4" customWidth="1"/>
    <col min="11278" max="11278" width="11" style="4" bestFit="1" customWidth="1"/>
    <col min="11279" max="11279" width="12" style="4" customWidth="1"/>
    <col min="11280" max="11280" width="11.140625" style="4" customWidth="1"/>
    <col min="11281" max="11281" width="9.5703125" style="4" customWidth="1"/>
    <col min="11282" max="11282" width="10.42578125" style="4" customWidth="1"/>
    <col min="11283" max="11283" width="8.5703125" style="4" customWidth="1"/>
    <col min="11284" max="11284" width="11" style="4" customWidth="1"/>
    <col min="11285" max="11285" width="13.42578125" style="4" bestFit="1" customWidth="1"/>
    <col min="11286" max="11286" width="9.42578125" style="4" customWidth="1"/>
    <col min="11287" max="11287" width="7.5703125" style="4" customWidth="1"/>
    <col min="11288" max="11288" width="11.42578125" style="4" customWidth="1"/>
    <col min="11289" max="11289" width="9.42578125" style="4" customWidth="1"/>
    <col min="11290" max="11290" width="11.42578125" style="4" customWidth="1"/>
    <col min="11291" max="11291" width="13.42578125" style="4" bestFit="1" customWidth="1"/>
    <col min="11292" max="11292" width="5.5703125" style="4" bestFit="1" customWidth="1"/>
    <col min="11293" max="11293" width="19.5703125" style="4" bestFit="1" customWidth="1"/>
    <col min="11294" max="11294" width="1.42578125" style="4" customWidth="1"/>
    <col min="11295" max="11295" width="13.42578125" style="4" bestFit="1" customWidth="1"/>
    <col min="11296" max="11296" width="8.5703125" style="4" bestFit="1" customWidth="1"/>
    <col min="11297" max="11297" width="8.85546875" style="4" bestFit="1" customWidth="1"/>
    <col min="11298" max="11520" width="9.140625" style="4"/>
    <col min="11521" max="11521" width="11" style="4" customWidth="1"/>
    <col min="11522" max="11523" width="12.5703125" style="4" customWidth="1"/>
    <col min="11524" max="11524" width="11" style="4" customWidth="1"/>
    <col min="11525" max="11525" width="8.42578125" style="4" customWidth="1"/>
    <col min="11526" max="11526" width="11.42578125" style="4" customWidth="1"/>
    <col min="11527" max="11527" width="1.85546875" style="4" customWidth="1"/>
    <col min="11528" max="11528" width="8.42578125" style="4" customWidth="1"/>
    <col min="11529" max="11529" width="11.42578125" style="4" customWidth="1"/>
    <col min="11530" max="11531" width="10.42578125" style="4" customWidth="1"/>
    <col min="11532" max="11532" width="10.5703125" style="4" customWidth="1"/>
    <col min="11533" max="11533" width="10" style="4" customWidth="1"/>
    <col min="11534" max="11534" width="11" style="4" bestFit="1" customWidth="1"/>
    <col min="11535" max="11535" width="12" style="4" customWidth="1"/>
    <col min="11536" max="11536" width="11.140625" style="4" customWidth="1"/>
    <col min="11537" max="11537" width="9.5703125" style="4" customWidth="1"/>
    <col min="11538" max="11538" width="10.42578125" style="4" customWidth="1"/>
    <col min="11539" max="11539" width="8.5703125" style="4" customWidth="1"/>
    <col min="11540" max="11540" width="11" style="4" customWidth="1"/>
    <col min="11541" max="11541" width="13.42578125" style="4" bestFit="1" customWidth="1"/>
    <col min="11542" max="11542" width="9.42578125" style="4" customWidth="1"/>
    <col min="11543" max="11543" width="7.5703125" style="4" customWidth="1"/>
    <col min="11544" max="11544" width="11.42578125" style="4" customWidth="1"/>
    <col min="11545" max="11545" width="9.42578125" style="4" customWidth="1"/>
    <col min="11546" max="11546" width="11.42578125" style="4" customWidth="1"/>
    <col min="11547" max="11547" width="13.42578125" style="4" bestFit="1" customWidth="1"/>
    <col min="11548" max="11548" width="5.5703125" style="4" bestFit="1" customWidth="1"/>
    <col min="11549" max="11549" width="19.5703125" style="4" bestFit="1" customWidth="1"/>
    <col min="11550" max="11550" width="1.42578125" style="4" customWidth="1"/>
    <col min="11551" max="11551" width="13.42578125" style="4" bestFit="1" customWidth="1"/>
    <col min="11552" max="11552" width="8.5703125" style="4" bestFit="1" customWidth="1"/>
    <col min="11553" max="11553" width="8.85546875" style="4" bestFit="1" customWidth="1"/>
    <col min="11554" max="11776" width="9.140625" style="4"/>
    <col min="11777" max="11777" width="11" style="4" customWidth="1"/>
    <col min="11778" max="11779" width="12.5703125" style="4" customWidth="1"/>
    <col min="11780" max="11780" width="11" style="4" customWidth="1"/>
    <col min="11781" max="11781" width="8.42578125" style="4" customWidth="1"/>
    <col min="11782" max="11782" width="11.42578125" style="4" customWidth="1"/>
    <col min="11783" max="11783" width="1.85546875" style="4" customWidth="1"/>
    <col min="11784" max="11784" width="8.42578125" style="4" customWidth="1"/>
    <col min="11785" max="11785" width="11.42578125" style="4" customWidth="1"/>
    <col min="11786" max="11787" width="10.42578125" style="4" customWidth="1"/>
    <col min="11788" max="11788" width="10.5703125" style="4" customWidth="1"/>
    <col min="11789" max="11789" width="10" style="4" customWidth="1"/>
    <col min="11790" max="11790" width="11" style="4" bestFit="1" customWidth="1"/>
    <col min="11791" max="11791" width="12" style="4" customWidth="1"/>
    <col min="11792" max="11792" width="11.140625" style="4" customWidth="1"/>
    <col min="11793" max="11793" width="9.5703125" style="4" customWidth="1"/>
    <col min="11794" max="11794" width="10.42578125" style="4" customWidth="1"/>
    <col min="11795" max="11795" width="8.5703125" style="4" customWidth="1"/>
    <col min="11796" max="11796" width="11" style="4" customWidth="1"/>
    <col min="11797" max="11797" width="13.42578125" style="4" bestFit="1" customWidth="1"/>
    <col min="11798" max="11798" width="9.42578125" style="4" customWidth="1"/>
    <col min="11799" max="11799" width="7.5703125" style="4" customWidth="1"/>
    <col min="11800" max="11800" width="11.42578125" style="4" customWidth="1"/>
    <col min="11801" max="11801" width="9.42578125" style="4" customWidth="1"/>
    <col min="11802" max="11802" width="11.42578125" style="4" customWidth="1"/>
    <col min="11803" max="11803" width="13.42578125" style="4" bestFit="1" customWidth="1"/>
    <col min="11804" max="11804" width="5.5703125" style="4" bestFit="1" customWidth="1"/>
    <col min="11805" max="11805" width="19.5703125" style="4" bestFit="1" customWidth="1"/>
    <col min="11806" max="11806" width="1.42578125" style="4" customWidth="1"/>
    <col min="11807" max="11807" width="13.42578125" style="4" bestFit="1" customWidth="1"/>
    <col min="11808" max="11808" width="8.5703125" style="4" bestFit="1" customWidth="1"/>
    <col min="11809" max="11809" width="8.85546875" style="4" bestFit="1" customWidth="1"/>
    <col min="11810" max="12032" width="9.140625" style="4"/>
    <col min="12033" max="12033" width="11" style="4" customWidth="1"/>
    <col min="12034" max="12035" width="12.5703125" style="4" customWidth="1"/>
    <col min="12036" max="12036" width="11" style="4" customWidth="1"/>
    <col min="12037" max="12037" width="8.42578125" style="4" customWidth="1"/>
    <col min="12038" max="12038" width="11.42578125" style="4" customWidth="1"/>
    <col min="12039" max="12039" width="1.85546875" style="4" customWidth="1"/>
    <col min="12040" max="12040" width="8.42578125" style="4" customWidth="1"/>
    <col min="12041" max="12041" width="11.42578125" style="4" customWidth="1"/>
    <col min="12042" max="12043" width="10.42578125" style="4" customWidth="1"/>
    <col min="12044" max="12044" width="10.5703125" style="4" customWidth="1"/>
    <col min="12045" max="12045" width="10" style="4" customWidth="1"/>
    <col min="12046" max="12046" width="11" style="4" bestFit="1" customWidth="1"/>
    <col min="12047" max="12047" width="12" style="4" customWidth="1"/>
    <col min="12048" max="12048" width="11.140625" style="4" customWidth="1"/>
    <col min="12049" max="12049" width="9.5703125" style="4" customWidth="1"/>
    <col min="12050" max="12050" width="10.42578125" style="4" customWidth="1"/>
    <col min="12051" max="12051" width="8.5703125" style="4" customWidth="1"/>
    <col min="12052" max="12052" width="11" style="4" customWidth="1"/>
    <col min="12053" max="12053" width="13.42578125" style="4" bestFit="1" customWidth="1"/>
    <col min="12054" max="12054" width="9.42578125" style="4" customWidth="1"/>
    <col min="12055" max="12055" width="7.5703125" style="4" customWidth="1"/>
    <col min="12056" max="12056" width="11.42578125" style="4" customWidth="1"/>
    <col min="12057" max="12057" width="9.42578125" style="4" customWidth="1"/>
    <col min="12058" max="12058" width="11.42578125" style="4" customWidth="1"/>
    <col min="12059" max="12059" width="13.42578125" style="4" bestFit="1" customWidth="1"/>
    <col min="12060" max="12060" width="5.5703125" style="4" bestFit="1" customWidth="1"/>
    <col min="12061" max="12061" width="19.5703125" style="4" bestFit="1" customWidth="1"/>
    <col min="12062" max="12062" width="1.42578125" style="4" customWidth="1"/>
    <col min="12063" max="12063" width="13.42578125" style="4" bestFit="1" customWidth="1"/>
    <col min="12064" max="12064" width="8.5703125" style="4" bestFit="1" customWidth="1"/>
    <col min="12065" max="12065" width="8.85546875" style="4" bestFit="1" customWidth="1"/>
    <col min="12066" max="12288" width="9.140625" style="4"/>
    <col min="12289" max="12289" width="11" style="4" customWidth="1"/>
    <col min="12290" max="12291" width="12.5703125" style="4" customWidth="1"/>
    <col min="12292" max="12292" width="11" style="4" customWidth="1"/>
    <col min="12293" max="12293" width="8.42578125" style="4" customWidth="1"/>
    <col min="12294" max="12294" width="11.42578125" style="4" customWidth="1"/>
    <col min="12295" max="12295" width="1.85546875" style="4" customWidth="1"/>
    <col min="12296" max="12296" width="8.42578125" style="4" customWidth="1"/>
    <col min="12297" max="12297" width="11.42578125" style="4" customWidth="1"/>
    <col min="12298" max="12299" width="10.42578125" style="4" customWidth="1"/>
    <col min="12300" max="12300" width="10.5703125" style="4" customWidth="1"/>
    <col min="12301" max="12301" width="10" style="4" customWidth="1"/>
    <col min="12302" max="12302" width="11" style="4" bestFit="1" customWidth="1"/>
    <col min="12303" max="12303" width="12" style="4" customWidth="1"/>
    <col min="12304" max="12304" width="11.140625" style="4" customWidth="1"/>
    <col min="12305" max="12305" width="9.5703125" style="4" customWidth="1"/>
    <col min="12306" max="12306" width="10.42578125" style="4" customWidth="1"/>
    <col min="12307" max="12307" width="8.5703125" style="4" customWidth="1"/>
    <col min="12308" max="12308" width="11" style="4" customWidth="1"/>
    <col min="12309" max="12309" width="13.42578125" style="4" bestFit="1" customWidth="1"/>
    <col min="12310" max="12310" width="9.42578125" style="4" customWidth="1"/>
    <col min="12311" max="12311" width="7.5703125" style="4" customWidth="1"/>
    <col min="12312" max="12312" width="11.42578125" style="4" customWidth="1"/>
    <col min="12313" max="12313" width="9.42578125" style="4" customWidth="1"/>
    <col min="12314" max="12314" width="11.42578125" style="4" customWidth="1"/>
    <col min="12315" max="12315" width="13.42578125" style="4" bestFit="1" customWidth="1"/>
    <col min="12316" max="12316" width="5.5703125" style="4" bestFit="1" customWidth="1"/>
    <col min="12317" max="12317" width="19.5703125" style="4" bestFit="1" customWidth="1"/>
    <col min="12318" max="12318" width="1.42578125" style="4" customWidth="1"/>
    <col min="12319" max="12319" width="13.42578125" style="4" bestFit="1" customWidth="1"/>
    <col min="12320" max="12320" width="8.5703125" style="4" bestFit="1" customWidth="1"/>
    <col min="12321" max="12321" width="8.85546875" style="4" bestFit="1" customWidth="1"/>
    <col min="12322" max="12544" width="9.140625" style="4"/>
    <col min="12545" max="12545" width="11" style="4" customWidth="1"/>
    <col min="12546" max="12547" width="12.5703125" style="4" customWidth="1"/>
    <col min="12548" max="12548" width="11" style="4" customWidth="1"/>
    <col min="12549" max="12549" width="8.42578125" style="4" customWidth="1"/>
    <col min="12550" max="12550" width="11.42578125" style="4" customWidth="1"/>
    <col min="12551" max="12551" width="1.85546875" style="4" customWidth="1"/>
    <col min="12552" max="12552" width="8.42578125" style="4" customWidth="1"/>
    <col min="12553" max="12553" width="11.42578125" style="4" customWidth="1"/>
    <col min="12554" max="12555" width="10.42578125" style="4" customWidth="1"/>
    <col min="12556" max="12556" width="10.5703125" style="4" customWidth="1"/>
    <col min="12557" max="12557" width="10" style="4" customWidth="1"/>
    <col min="12558" max="12558" width="11" style="4" bestFit="1" customWidth="1"/>
    <col min="12559" max="12559" width="12" style="4" customWidth="1"/>
    <col min="12560" max="12560" width="11.140625" style="4" customWidth="1"/>
    <col min="12561" max="12561" width="9.5703125" style="4" customWidth="1"/>
    <col min="12562" max="12562" width="10.42578125" style="4" customWidth="1"/>
    <col min="12563" max="12563" width="8.5703125" style="4" customWidth="1"/>
    <col min="12564" max="12564" width="11" style="4" customWidth="1"/>
    <col min="12565" max="12565" width="13.42578125" style="4" bestFit="1" customWidth="1"/>
    <col min="12566" max="12566" width="9.42578125" style="4" customWidth="1"/>
    <col min="12567" max="12567" width="7.5703125" style="4" customWidth="1"/>
    <col min="12568" max="12568" width="11.42578125" style="4" customWidth="1"/>
    <col min="12569" max="12569" width="9.42578125" style="4" customWidth="1"/>
    <col min="12570" max="12570" width="11.42578125" style="4" customWidth="1"/>
    <col min="12571" max="12571" width="13.42578125" style="4" bestFit="1" customWidth="1"/>
    <col min="12572" max="12572" width="5.5703125" style="4" bestFit="1" customWidth="1"/>
    <col min="12573" max="12573" width="19.5703125" style="4" bestFit="1" customWidth="1"/>
    <col min="12574" max="12574" width="1.42578125" style="4" customWidth="1"/>
    <col min="12575" max="12575" width="13.42578125" style="4" bestFit="1" customWidth="1"/>
    <col min="12576" max="12576" width="8.5703125" style="4" bestFit="1" customWidth="1"/>
    <col min="12577" max="12577" width="8.85546875" style="4" bestFit="1" customWidth="1"/>
    <col min="12578" max="12800" width="9.140625" style="4"/>
    <col min="12801" max="12801" width="11" style="4" customWidth="1"/>
    <col min="12802" max="12803" width="12.5703125" style="4" customWidth="1"/>
    <col min="12804" max="12804" width="11" style="4" customWidth="1"/>
    <col min="12805" max="12805" width="8.42578125" style="4" customWidth="1"/>
    <col min="12806" max="12806" width="11.42578125" style="4" customWidth="1"/>
    <col min="12807" max="12807" width="1.85546875" style="4" customWidth="1"/>
    <col min="12808" max="12808" width="8.42578125" style="4" customWidth="1"/>
    <col min="12809" max="12809" width="11.42578125" style="4" customWidth="1"/>
    <col min="12810" max="12811" width="10.42578125" style="4" customWidth="1"/>
    <col min="12812" max="12812" width="10.5703125" style="4" customWidth="1"/>
    <col min="12813" max="12813" width="10" style="4" customWidth="1"/>
    <col min="12814" max="12814" width="11" style="4" bestFit="1" customWidth="1"/>
    <col min="12815" max="12815" width="12" style="4" customWidth="1"/>
    <col min="12816" max="12816" width="11.140625" style="4" customWidth="1"/>
    <col min="12817" max="12817" width="9.5703125" style="4" customWidth="1"/>
    <col min="12818" max="12818" width="10.42578125" style="4" customWidth="1"/>
    <col min="12819" max="12819" width="8.5703125" style="4" customWidth="1"/>
    <col min="12820" max="12820" width="11" style="4" customWidth="1"/>
    <col min="12821" max="12821" width="13.42578125" style="4" bestFit="1" customWidth="1"/>
    <col min="12822" max="12822" width="9.42578125" style="4" customWidth="1"/>
    <col min="12823" max="12823" width="7.5703125" style="4" customWidth="1"/>
    <col min="12824" max="12824" width="11.42578125" style="4" customWidth="1"/>
    <col min="12825" max="12825" width="9.42578125" style="4" customWidth="1"/>
    <col min="12826" max="12826" width="11.42578125" style="4" customWidth="1"/>
    <col min="12827" max="12827" width="13.42578125" style="4" bestFit="1" customWidth="1"/>
    <col min="12828" max="12828" width="5.5703125" style="4" bestFit="1" customWidth="1"/>
    <col min="12829" max="12829" width="19.5703125" style="4" bestFit="1" customWidth="1"/>
    <col min="12830" max="12830" width="1.42578125" style="4" customWidth="1"/>
    <col min="12831" max="12831" width="13.42578125" style="4" bestFit="1" customWidth="1"/>
    <col min="12832" max="12832" width="8.5703125" style="4" bestFit="1" customWidth="1"/>
    <col min="12833" max="12833" width="8.85546875" style="4" bestFit="1" customWidth="1"/>
    <col min="12834" max="13056" width="9.140625" style="4"/>
    <col min="13057" max="13057" width="11" style="4" customWidth="1"/>
    <col min="13058" max="13059" width="12.5703125" style="4" customWidth="1"/>
    <col min="13060" max="13060" width="11" style="4" customWidth="1"/>
    <col min="13061" max="13061" width="8.42578125" style="4" customWidth="1"/>
    <col min="13062" max="13062" width="11.42578125" style="4" customWidth="1"/>
    <col min="13063" max="13063" width="1.85546875" style="4" customWidth="1"/>
    <col min="13064" max="13064" width="8.42578125" style="4" customWidth="1"/>
    <col min="13065" max="13065" width="11.42578125" style="4" customWidth="1"/>
    <col min="13066" max="13067" width="10.42578125" style="4" customWidth="1"/>
    <col min="13068" max="13068" width="10.5703125" style="4" customWidth="1"/>
    <col min="13069" max="13069" width="10" style="4" customWidth="1"/>
    <col min="13070" max="13070" width="11" style="4" bestFit="1" customWidth="1"/>
    <col min="13071" max="13071" width="12" style="4" customWidth="1"/>
    <col min="13072" max="13072" width="11.140625" style="4" customWidth="1"/>
    <col min="13073" max="13073" width="9.5703125" style="4" customWidth="1"/>
    <col min="13074" max="13074" width="10.42578125" style="4" customWidth="1"/>
    <col min="13075" max="13075" width="8.5703125" style="4" customWidth="1"/>
    <col min="13076" max="13076" width="11" style="4" customWidth="1"/>
    <col min="13077" max="13077" width="13.42578125" style="4" bestFit="1" customWidth="1"/>
    <col min="13078" max="13078" width="9.42578125" style="4" customWidth="1"/>
    <col min="13079" max="13079" width="7.5703125" style="4" customWidth="1"/>
    <col min="13080" max="13080" width="11.42578125" style="4" customWidth="1"/>
    <col min="13081" max="13081" width="9.42578125" style="4" customWidth="1"/>
    <col min="13082" max="13082" width="11.42578125" style="4" customWidth="1"/>
    <col min="13083" max="13083" width="13.42578125" style="4" bestFit="1" customWidth="1"/>
    <col min="13084" max="13084" width="5.5703125" style="4" bestFit="1" customWidth="1"/>
    <col min="13085" max="13085" width="19.5703125" style="4" bestFit="1" customWidth="1"/>
    <col min="13086" max="13086" width="1.42578125" style="4" customWidth="1"/>
    <col min="13087" max="13087" width="13.42578125" style="4" bestFit="1" customWidth="1"/>
    <col min="13088" max="13088" width="8.5703125" style="4" bestFit="1" customWidth="1"/>
    <col min="13089" max="13089" width="8.85546875" style="4" bestFit="1" customWidth="1"/>
    <col min="13090" max="13312" width="9.140625" style="4"/>
    <col min="13313" max="13313" width="11" style="4" customWidth="1"/>
    <col min="13314" max="13315" width="12.5703125" style="4" customWidth="1"/>
    <col min="13316" max="13316" width="11" style="4" customWidth="1"/>
    <col min="13317" max="13317" width="8.42578125" style="4" customWidth="1"/>
    <col min="13318" max="13318" width="11.42578125" style="4" customWidth="1"/>
    <col min="13319" max="13319" width="1.85546875" style="4" customWidth="1"/>
    <col min="13320" max="13320" width="8.42578125" style="4" customWidth="1"/>
    <col min="13321" max="13321" width="11.42578125" style="4" customWidth="1"/>
    <col min="13322" max="13323" width="10.42578125" style="4" customWidth="1"/>
    <col min="13324" max="13324" width="10.5703125" style="4" customWidth="1"/>
    <col min="13325" max="13325" width="10" style="4" customWidth="1"/>
    <col min="13326" max="13326" width="11" style="4" bestFit="1" customWidth="1"/>
    <col min="13327" max="13327" width="12" style="4" customWidth="1"/>
    <col min="13328" max="13328" width="11.140625" style="4" customWidth="1"/>
    <col min="13329" max="13329" width="9.5703125" style="4" customWidth="1"/>
    <col min="13330" max="13330" width="10.42578125" style="4" customWidth="1"/>
    <col min="13331" max="13331" width="8.5703125" style="4" customWidth="1"/>
    <col min="13332" max="13332" width="11" style="4" customWidth="1"/>
    <col min="13333" max="13333" width="13.42578125" style="4" bestFit="1" customWidth="1"/>
    <col min="13334" max="13334" width="9.42578125" style="4" customWidth="1"/>
    <col min="13335" max="13335" width="7.5703125" style="4" customWidth="1"/>
    <col min="13336" max="13336" width="11.42578125" style="4" customWidth="1"/>
    <col min="13337" max="13337" width="9.42578125" style="4" customWidth="1"/>
    <col min="13338" max="13338" width="11.42578125" style="4" customWidth="1"/>
    <col min="13339" max="13339" width="13.42578125" style="4" bestFit="1" customWidth="1"/>
    <col min="13340" max="13340" width="5.5703125" style="4" bestFit="1" customWidth="1"/>
    <col min="13341" max="13341" width="19.5703125" style="4" bestFit="1" customWidth="1"/>
    <col min="13342" max="13342" width="1.42578125" style="4" customWidth="1"/>
    <col min="13343" max="13343" width="13.42578125" style="4" bestFit="1" customWidth="1"/>
    <col min="13344" max="13344" width="8.5703125" style="4" bestFit="1" customWidth="1"/>
    <col min="13345" max="13345" width="8.85546875" style="4" bestFit="1" customWidth="1"/>
    <col min="13346" max="13568" width="9.140625" style="4"/>
    <col min="13569" max="13569" width="11" style="4" customWidth="1"/>
    <col min="13570" max="13571" width="12.5703125" style="4" customWidth="1"/>
    <col min="13572" max="13572" width="11" style="4" customWidth="1"/>
    <col min="13573" max="13573" width="8.42578125" style="4" customWidth="1"/>
    <col min="13574" max="13574" width="11.42578125" style="4" customWidth="1"/>
    <col min="13575" max="13575" width="1.85546875" style="4" customWidth="1"/>
    <col min="13576" max="13576" width="8.42578125" style="4" customWidth="1"/>
    <col min="13577" max="13577" width="11.42578125" style="4" customWidth="1"/>
    <col min="13578" max="13579" width="10.42578125" style="4" customWidth="1"/>
    <col min="13580" max="13580" width="10.5703125" style="4" customWidth="1"/>
    <col min="13581" max="13581" width="10" style="4" customWidth="1"/>
    <col min="13582" max="13582" width="11" style="4" bestFit="1" customWidth="1"/>
    <col min="13583" max="13583" width="12" style="4" customWidth="1"/>
    <col min="13584" max="13584" width="11.140625" style="4" customWidth="1"/>
    <col min="13585" max="13585" width="9.5703125" style="4" customWidth="1"/>
    <col min="13586" max="13586" width="10.42578125" style="4" customWidth="1"/>
    <col min="13587" max="13587" width="8.5703125" style="4" customWidth="1"/>
    <col min="13588" max="13588" width="11" style="4" customWidth="1"/>
    <col min="13589" max="13589" width="13.42578125" style="4" bestFit="1" customWidth="1"/>
    <col min="13590" max="13590" width="9.42578125" style="4" customWidth="1"/>
    <col min="13591" max="13591" width="7.5703125" style="4" customWidth="1"/>
    <col min="13592" max="13592" width="11.42578125" style="4" customWidth="1"/>
    <col min="13593" max="13593" width="9.42578125" style="4" customWidth="1"/>
    <col min="13594" max="13594" width="11.42578125" style="4" customWidth="1"/>
    <col min="13595" max="13595" width="13.42578125" style="4" bestFit="1" customWidth="1"/>
    <col min="13596" max="13596" width="5.5703125" style="4" bestFit="1" customWidth="1"/>
    <col min="13597" max="13597" width="19.5703125" style="4" bestFit="1" customWidth="1"/>
    <col min="13598" max="13598" width="1.42578125" style="4" customWidth="1"/>
    <col min="13599" max="13599" width="13.42578125" style="4" bestFit="1" customWidth="1"/>
    <col min="13600" max="13600" width="8.5703125" style="4" bestFit="1" customWidth="1"/>
    <col min="13601" max="13601" width="8.85546875" style="4" bestFit="1" customWidth="1"/>
    <col min="13602" max="13824" width="9.140625" style="4"/>
    <col min="13825" max="13825" width="11" style="4" customWidth="1"/>
    <col min="13826" max="13827" width="12.5703125" style="4" customWidth="1"/>
    <col min="13828" max="13828" width="11" style="4" customWidth="1"/>
    <col min="13829" max="13829" width="8.42578125" style="4" customWidth="1"/>
    <col min="13830" max="13830" width="11.42578125" style="4" customWidth="1"/>
    <col min="13831" max="13831" width="1.85546875" style="4" customWidth="1"/>
    <col min="13832" max="13832" width="8.42578125" style="4" customWidth="1"/>
    <col min="13833" max="13833" width="11.42578125" style="4" customWidth="1"/>
    <col min="13834" max="13835" width="10.42578125" style="4" customWidth="1"/>
    <col min="13836" max="13836" width="10.5703125" style="4" customWidth="1"/>
    <col min="13837" max="13837" width="10" style="4" customWidth="1"/>
    <col min="13838" max="13838" width="11" style="4" bestFit="1" customWidth="1"/>
    <col min="13839" max="13839" width="12" style="4" customWidth="1"/>
    <col min="13840" max="13840" width="11.140625" style="4" customWidth="1"/>
    <col min="13841" max="13841" width="9.5703125" style="4" customWidth="1"/>
    <col min="13842" max="13842" width="10.42578125" style="4" customWidth="1"/>
    <col min="13843" max="13843" width="8.5703125" style="4" customWidth="1"/>
    <col min="13844" max="13844" width="11" style="4" customWidth="1"/>
    <col min="13845" max="13845" width="13.42578125" style="4" bestFit="1" customWidth="1"/>
    <col min="13846" max="13846" width="9.42578125" style="4" customWidth="1"/>
    <col min="13847" max="13847" width="7.5703125" style="4" customWidth="1"/>
    <col min="13848" max="13848" width="11.42578125" style="4" customWidth="1"/>
    <col min="13849" max="13849" width="9.42578125" style="4" customWidth="1"/>
    <col min="13850" max="13850" width="11.42578125" style="4" customWidth="1"/>
    <col min="13851" max="13851" width="13.42578125" style="4" bestFit="1" customWidth="1"/>
    <col min="13852" max="13852" width="5.5703125" style="4" bestFit="1" customWidth="1"/>
    <col min="13853" max="13853" width="19.5703125" style="4" bestFit="1" customWidth="1"/>
    <col min="13854" max="13854" width="1.42578125" style="4" customWidth="1"/>
    <col min="13855" max="13855" width="13.42578125" style="4" bestFit="1" customWidth="1"/>
    <col min="13856" max="13856" width="8.5703125" style="4" bestFit="1" customWidth="1"/>
    <col min="13857" max="13857" width="8.85546875" style="4" bestFit="1" customWidth="1"/>
    <col min="13858" max="14080" width="9.140625" style="4"/>
    <col min="14081" max="14081" width="11" style="4" customWidth="1"/>
    <col min="14082" max="14083" width="12.5703125" style="4" customWidth="1"/>
    <col min="14084" max="14084" width="11" style="4" customWidth="1"/>
    <col min="14085" max="14085" width="8.42578125" style="4" customWidth="1"/>
    <col min="14086" max="14086" width="11.42578125" style="4" customWidth="1"/>
    <col min="14087" max="14087" width="1.85546875" style="4" customWidth="1"/>
    <col min="14088" max="14088" width="8.42578125" style="4" customWidth="1"/>
    <col min="14089" max="14089" width="11.42578125" style="4" customWidth="1"/>
    <col min="14090" max="14091" width="10.42578125" style="4" customWidth="1"/>
    <col min="14092" max="14092" width="10.5703125" style="4" customWidth="1"/>
    <col min="14093" max="14093" width="10" style="4" customWidth="1"/>
    <col min="14094" max="14094" width="11" style="4" bestFit="1" customWidth="1"/>
    <col min="14095" max="14095" width="12" style="4" customWidth="1"/>
    <col min="14096" max="14096" width="11.140625" style="4" customWidth="1"/>
    <col min="14097" max="14097" width="9.5703125" style="4" customWidth="1"/>
    <col min="14098" max="14098" width="10.42578125" style="4" customWidth="1"/>
    <col min="14099" max="14099" width="8.5703125" style="4" customWidth="1"/>
    <col min="14100" max="14100" width="11" style="4" customWidth="1"/>
    <col min="14101" max="14101" width="13.42578125" style="4" bestFit="1" customWidth="1"/>
    <col min="14102" max="14102" width="9.42578125" style="4" customWidth="1"/>
    <col min="14103" max="14103" width="7.5703125" style="4" customWidth="1"/>
    <col min="14104" max="14104" width="11.42578125" style="4" customWidth="1"/>
    <col min="14105" max="14105" width="9.42578125" style="4" customWidth="1"/>
    <col min="14106" max="14106" width="11.42578125" style="4" customWidth="1"/>
    <col min="14107" max="14107" width="13.42578125" style="4" bestFit="1" customWidth="1"/>
    <col min="14108" max="14108" width="5.5703125" style="4" bestFit="1" customWidth="1"/>
    <col min="14109" max="14109" width="19.5703125" style="4" bestFit="1" customWidth="1"/>
    <col min="14110" max="14110" width="1.42578125" style="4" customWidth="1"/>
    <col min="14111" max="14111" width="13.42578125" style="4" bestFit="1" customWidth="1"/>
    <col min="14112" max="14112" width="8.5703125" style="4" bestFit="1" customWidth="1"/>
    <col min="14113" max="14113" width="8.85546875" style="4" bestFit="1" customWidth="1"/>
    <col min="14114" max="14336" width="9.140625" style="4"/>
    <col min="14337" max="14337" width="11" style="4" customWidth="1"/>
    <col min="14338" max="14339" width="12.5703125" style="4" customWidth="1"/>
    <col min="14340" max="14340" width="11" style="4" customWidth="1"/>
    <col min="14341" max="14341" width="8.42578125" style="4" customWidth="1"/>
    <col min="14342" max="14342" width="11.42578125" style="4" customWidth="1"/>
    <col min="14343" max="14343" width="1.85546875" style="4" customWidth="1"/>
    <col min="14344" max="14344" width="8.42578125" style="4" customWidth="1"/>
    <col min="14345" max="14345" width="11.42578125" style="4" customWidth="1"/>
    <col min="14346" max="14347" width="10.42578125" style="4" customWidth="1"/>
    <col min="14348" max="14348" width="10.5703125" style="4" customWidth="1"/>
    <col min="14349" max="14349" width="10" style="4" customWidth="1"/>
    <col min="14350" max="14350" width="11" style="4" bestFit="1" customWidth="1"/>
    <col min="14351" max="14351" width="12" style="4" customWidth="1"/>
    <col min="14352" max="14352" width="11.140625" style="4" customWidth="1"/>
    <col min="14353" max="14353" width="9.5703125" style="4" customWidth="1"/>
    <col min="14354" max="14354" width="10.42578125" style="4" customWidth="1"/>
    <col min="14355" max="14355" width="8.5703125" style="4" customWidth="1"/>
    <col min="14356" max="14356" width="11" style="4" customWidth="1"/>
    <col min="14357" max="14357" width="13.42578125" style="4" bestFit="1" customWidth="1"/>
    <col min="14358" max="14358" width="9.42578125" style="4" customWidth="1"/>
    <col min="14359" max="14359" width="7.5703125" style="4" customWidth="1"/>
    <col min="14360" max="14360" width="11.42578125" style="4" customWidth="1"/>
    <col min="14361" max="14361" width="9.42578125" style="4" customWidth="1"/>
    <col min="14362" max="14362" width="11.42578125" style="4" customWidth="1"/>
    <col min="14363" max="14363" width="13.42578125" style="4" bestFit="1" customWidth="1"/>
    <col min="14364" max="14364" width="5.5703125" style="4" bestFit="1" customWidth="1"/>
    <col min="14365" max="14365" width="19.5703125" style="4" bestFit="1" customWidth="1"/>
    <col min="14366" max="14366" width="1.42578125" style="4" customWidth="1"/>
    <col min="14367" max="14367" width="13.42578125" style="4" bestFit="1" customWidth="1"/>
    <col min="14368" max="14368" width="8.5703125" style="4" bestFit="1" customWidth="1"/>
    <col min="14369" max="14369" width="8.85546875" style="4" bestFit="1" customWidth="1"/>
    <col min="14370" max="14592" width="9.140625" style="4"/>
    <col min="14593" max="14593" width="11" style="4" customWidth="1"/>
    <col min="14594" max="14595" width="12.5703125" style="4" customWidth="1"/>
    <col min="14596" max="14596" width="11" style="4" customWidth="1"/>
    <col min="14597" max="14597" width="8.42578125" style="4" customWidth="1"/>
    <col min="14598" max="14598" width="11.42578125" style="4" customWidth="1"/>
    <col min="14599" max="14599" width="1.85546875" style="4" customWidth="1"/>
    <col min="14600" max="14600" width="8.42578125" style="4" customWidth="1"/>
    <col min="14601" max="14601" width="11.42578125" style="4" customWidth="1"/>
    <col min="14602" max="14603" width="10.42578125" style="4" customWidth="1"/>
    <col min="14604" max="14604" width="10.5703125" style="4" customWidth="1"/>
    <col min="14605" max="14605" width="10" style="4" customWidth="1"/>
    <col min="14606" max="14606" width="11" style="4" bestFit="1" customWidth="1"/>
    <col min="14607" max="14607" width="12" style="4" customWidth="1"/>
    <col min="14608" max="14608" width="11.140625" style="4" customWidth="1"/>
    <col min="14609" max="14609" width="9.5703125" style="4" customWidth="1"/>
    <col min="14610" max="14610" width="10.42578125" style="4" customWidth="1"/>
    <col min="14611" max="14611" width="8.5703125" style="4" customWidth="1"/>
    <col min="14612" max="14612" width="11" style="4" customWidth="1"/>
    <col min="14613" max="14613" width="13.42578125" style="4" bestFit="1" customWidth="1"/>
    <col min="14614" max="14614" width="9.42578125" style="4" customWidth="1"/>
    <col min="14615" max="14615" width="7.5703125" style="4" customWidth="1"/>
    <col min="14616" max="14616" width="11.42578125" style="4" customWidth="1"/>
    <col min="14617" max="14617" width="9.42578125" style="4" customWidth="1"/>
    <col min="14618" max="14618" width="11.42578125" style="4" customWidth="1"/>
    <col min="14619" max="14619" width="13.42578125" style="4" bestFit="1" customWidth="1"/>
    <col min="14620" max="14620" width="5.5703125" style="4" bestFit="1" customWidth="1"/>
    <col min="14621" max="14621" width="19.5703125" style="4" bestFit="1" customWidth="1"/>
    <col min="14622" max="14622" width="1.42578125" style="4" customWidth="1"/>
    <col min="14623" max="14623" width="13.42578125" style="4" bestFit="1" customWidth="1"/>
    <col min="14624" max="14624" width="8.5703125" style="4" bestFit="1" customWidth="1"/>
    <col min="14625" max="14625" width="8.85546875" style="4" bestFit="1" customWidth="1"/>
    <col min="14626" max="14848" width="9.140625" style="4"/>
    <col min="14849" max="14849" width="11" style="4" customWidth="1"/>
    <col min="14850" max="14851" width="12.5703125" style="4" customWidth="1"/>
    <col min="14852" max="14852" width="11" style="4" customWidth="1"/>
    <col min="14853" max="14853" width="8.42578125" style="4" customWidth="1"/>
    <col min="14854" max="14854" width="11.42578125" style="4" customWidth="1"/>
    <col min="14855" max="14855" width="1.85546875" style="4" customWidth="1"/>
    <col min="14856" max="14856" width="8.42578125" style="4" customWidth="1"/>
    <col min="14857" max="14857" width="11.42578125" style="4" customWidth="1"/>
    <col min="14858" max="14859" width="10.42578125" style="4" customWidth="1"/>
    <col min="14860" max="14860" width="10.5703125" style="4" customWidth="1"/>
    <col min="14861" max="14861" width="10" style="4" customWidth="1"/>
    <col min="14862" max="14862" width="11" style="4" bestFit="1" customWidth="1"/>
    <col min="14863" max="14863" width="12" style="4" customWidth="1"/>
    <col min="14864" max="14864" width="11.140625" style="4" customWidth="1"/>
    <col min="14865" max="14865" width="9.5703125" style="4" customWidth="1"/>
    <col min="14866" max="14866" width="10.42578125" style="4" customWidth="1"/>
    <col min="14867" max="14867" width="8.5703125" style="4" customWidth="1"/>
    <col min="14868" max="14868" width="11" style="4" customWidth="1"/>
    <col min="14869" max="14869" width="13.42578125" style="4" bestFit="1" customWidth="1"/>
    <col min="14870" max="14870" width="9.42578125" style="4" customWidth="1"/>
    <col min="14871" max="14871" width="7.5703125" style="4" customWidth="1"/>
    <col min="14872" max="14872" width="11.42578125" style="4" customWidth="1"/>
    <col min="14873" max="14873" width="9.42578125" style="4" customWidth="1"/>
    <col min="14874" max="14874" width="11.42578125" style="4" customWidth="1"/>
    <col min="14875" max="14875" width="13.42578125" style="4" bestFit="1" customWidth="1"/>
    <col min="14876" max="14876" width="5.5703125" style="4" bestFit="1" customWidth="1"/>
    <col min="14877" max="14877" width="19.5703125" style="4" bestFit="1" customWidth="1"/>
    <col min="14878" max="14878" width="1.42578125" style="4" customWidth="1"/>
    <col min="14879" max="14879" width="13.42578125" style="4" bestFit="1" customWidth="1"/>
    <col min="14880" max="14880" width="8.5703125" style="4" bestFit="1" customWidth="1"/>
    <col min="14881" max="14881" width="8.85546875" style="4" bestFit="1" customWidth="1"/>
    <col min="14882" max="15104" width="9.140625" style="4"/>
    <col min="15105" max="15105" width="11" style="4" customWidth="1"/>
    <col min="15106" max="15107" width="12.5703125" style="4" customWidth="1"/>
    <col min="15108" max="15108" width="11" style="4" customWidth="1"/>
    <col min="15109" max="15109" width="8.42578125" style="4" customWidth="1"/>
    <col min="15110" max="15110" width="11.42578125" style="4" customWidth="1"/>
    <col min="15111" max="15111" width="1.85546875" style="4" customWidth="1"/>
    <col min="15112" max="15112" width="8.42578125" style="4" customWidth="1"/>
    <col min="15113" max="15113" width="11.42578125" style="4" customWidth="1"/>
    <col min="15114" max="15115" width="10.42578125" style="4" customWidth="1"/>
    <col min="15116" max="15116" width="10.5703125" style="4" customWidth="1"/>
    <col min="15117" max="15117" width="10" style="4" customWidth="1"/>
    <col min="15118" max="15118" width="11" style="4" bestFit="1" customWidth="1"/>
    <col min="15119" max="15119" width="12" style="4" customWidth="1"/>
    <col min="15120" max="15120" width="11.140625" style="4" customWidth="1"/>
    <col min="15121" max="15121" width="9.5703125" style="4" customWidth="1"/>
    <col min="15122" max="15122" width="10.42578125" style="4" customWidth="1"/>
    <col min="15123" max="15123" width="8.5703125" style="4" customWidth="1"/>
    <col min="15124" max="15124" width="11" style="4" customWidth="1"/>
    <col min="15125" max="15125" width="13.42578125" style="4" bestFit="1" customWidth="1"/>
    <col min="15126" max="15126" width="9.42578125" style="4" customWidth="1"/>
    <col min="15127" max="15127" width="7.5703125" style="4" customWidth="1"/>
    <col min="15128" max="15128" width="11.42578125" style="4" customWidth="1"/>
    <col min="15129" max="15129" width="9.42578125" style="4" customWidth="1"/>
    <col min="15130" max="15130" width="11.42578125" style="4" customWidth="1"/>
    <col min="15131" max="15131" width="13.42578125" style="4" bestFit="1" customWidth="1"/>
    <col min="15132" max="15132" width="5.5703125" style="4" bestFit="1" customWidth="1"/>
    <col min="15133" max="15133" width="19.5703125" style="4" bestFit="1" customWidth="1"/>
    <col min="15134" max="15134" width="1.42578125" style="4" customWidth="1"/>
    <col min="15135" max="15135" width="13.42578125" style="4" bestFit="1" customWidth="1"/>
    <col min="15136" max="15136" width="8.5703125" style="4" bestFit="1" customWidth="1"/>
    <col min="15137" max="15137" width="8.85546875" style="4" bestFit="1" customWidth="1"/>
    <col min="15138" max="15360" width="9.140625" style="4"/>
    <col min="15361" max="15361" width="11" style="4" customWidth="1"/>
    <col min="15362" max="15363" width="12.5703125" style="4" customWidth="1"/>
    <col min="15364" max="15364" width="11" style="4" customWidth="1"/>
    <col min="15365" max="15365" width="8.42578125" style="4" customWidth="1"/>
    <col min="15366" max="15366" width="11.42578125" style="4" customWidth="1"/>
    <col min="15367" max="15367" width="1.85546875" style="4" customWidth="1"/>
    <col min="15368" max="15368" width="8.42578125" style="4" customWidth="1"/>
    <col min="15369" max="15369" width="11.42578125" style="4" customWidth="1"/>
    <col min="15370" max="15371" width="10.42578125" style="4" customWidth="1"/>
    <col min="15372" max="15372" width="10.5703125" style="4" customWidth="1"/>
    <col min="15373" max="15373" width="10" style="4" customWidth="1"/>
    <col min="15374" max="15374" width="11" style="4" bestFit="1" customWidth="1"/>
    <col min="15375" max="15375" width="12" style="4" customWidth="1"/>
    <col min="15376" max="15376" width="11.140625" style="4" customWidth="1"/>
    <col min="15377" max="15377" width="9.5703125" style="4" customWidth="1"/>
    <col min="15378" max="15378" width="10.42578125" style="4" customWidth="1"/>
    <col min="15379" max="15379" width="8.5703125" style="4" customWidth="1"/>
    <col min="15380" max="15380" width="11" style="4" customWidth="1"/>
    <col min="15381" max="15381" width="13.42578125" style="4" bestFit="1" customWidth="1"/>
    <col min="15382" max="15382" width="9.42578125" style="4" customWidth="1"/>
    <col min="15383" max="15383" width="7.5703125" style="4" customWidth="1"/>
    <col min="15384" max="15384" width="11.42578125" style="4" customWidth="1"/>
    <col min="15385" max="15385" width="9.42578125" style="4" customWidth="1"/>
    <col min="15386" max="15386" width="11.42578125" style="4" customWidth="1"/>
    <col min="15387" max="15387" width="13.42578125" style="4" bestFit="1" customWidth="1"/>
    <col min="15388" max="15388" width="5.5703125" style="4" bestFit="1" customWidth="1"/>
    <col min="15389" max="15389" width="19.5703125" style="4" bestFit="1" customWidth="1"/>
    <col min="15390" max="15390" width="1.42578125" style="4" customWidth="1"/>
    <col min="15391" max="15391" width="13.42578125" style="4" bestFit="1" customWidth="1"/>
    <col min="15392" max="15392" width="8.5703125" style="4" bestFit="1" customWidth="1"/>
    <col min="15393" max="15393" width="8.85546875" style="4" bestFit="1" customWidth="1"/>
    <col min="15394" max="15616" width="9.140625" style="4"/>
    <col min="15617" max="15617" width="11" style="4" customWidth="1"/>
    <col min="15618" max="15619" width="12.5703125" style="4" customWidth="1"/>
    <col min="15620" max="15620" width="11" style="4" customWidth="1"/>
    <col min="15621" max="15621" width="8.42578125" style="4" customWidth="1"/>
    <col min="15622" max="15622" width="11.42578125" style="4" customWidth="1"/>
    <col min="15623" max="15623" width="1.85546875" style="4" customWidth="1"/>
    <col min="15624" max="15624" width="8.42578125" style="4" customWidth="1"/>
    <col min="15625" max="15625" width="11.42578125" style="4" customWidth="1"/>
    <col min="15626" max="15627" width="10.42578125" style="4" customWidth="1"/>
    <col min="15628" max="15628" width="10.5703125" style="4" customWidth="1"/>
    <col min="15629" max="15629" width="10" style="4" customWidth="1"/>
    <col min="15630" max="15630" width="11" style="4" bestFit="1" customWidth="1"/>
    <col min="15631" max="15631" width="12" style="4" customWidth="1"/>
    <col min="15632" max="15632" width="11.140625" style="4" customWidth="1"/>
    <col min="15633" max="15633" width="9.5703125" style="4" customWidth="1"/>
    <col min="15634" max="15634" width="10.42578125" style="4" customWidth="1"/>
    <col min="15635" max="15635" width="8.5703125" style="4" customWidth="1"/>
    <col min="15636" max="15636" width="11" style="4" customWidth="1"/>
    <col min="15637" max="15637" width="13.42578125" style="4" bestFit="1" customWidth="1"/>
    <col min="15638" max="15638" width="9.42578125" style="4" customWidth="1"/>
    <col min="15639" max="15639" width="7.5703125" style="4" customWidth="1"/>
    <col min="15640" max="15640" width="11.42578125" style="4" customWidth="1"/>
    <col min="15641" max="15641" width="9.42578125" style="4" customWidth="1"/>
    <col min="15642" max="15642" width="11.42578125" style="4" customWidth="1"/>
    <col min="15643" max="15643" width="13.42578125" style="4" bestFit="1" customWidth="1"/>
    <col min="15644" max="15644" width="5.5703125" style="4" bestFit="1" customWidth="1"/>
    <col min="15645" max="15645" width="19.5703125" style="4" bestFit="1" customWidth="1"/>
    <col min="15646" max="15646" width="1.42578125" style="4" customWidth="1"/>
    <col min="15647" max="15647" width="13.42578125" style="4" bestFit="1" customWidth="1"/>
    <col min="15648" max="15648" width="8.5703125" style="4" bestFit="1" customWidth="1"/>
    <col min="15649" max="15649" width="8.85546875" style="4" bestFit="1" customWidth="1"/>
    <col min="15650" max="15872" width="9.140625" style="4"/>
    <col min="15873" max="15873" width="11" style="4" customWidth="1"/>
    <col min="15874" max="15875" width="12.5703125" style="4" customWidth="1"/>
    <col min="15876" max="15876" width="11" style="4" customWidth="1"/>
    <col min="15877" max="15877" width="8.42578125" style="4" customWidth="1"/>
    <col min="15878" max="15878" width="11.42578125" style="4" customWidth="1"/>
    <col min="15879" max="15879" width="1.85546875" style="4" customWidth="1"/>
    <col min="15880" max="15880" width="8.42578125" style="4" customWidth="1"/>
    <col min="15881" max="15881" width="11.42578125" style="4" customWidth="1"/>
    <col min="15882" max="15883" width="10.42578125" style="4" customWidth="1"/>
    <col min="15884" max="15884" width="10.5703125" style="4" customWidth="1"/>
    <col min="15885" max="15885" width="10" style="4" customWidth="1"/>
    <col min="15886" max="15886" width="11" style="4" bestFit="1" customWidth="1"/>
    <col min="15887" max="15887" width="12" style="4" customWidth="1"/>
    <col min="15888" max="15888" width="11.140625" style="4" customWidth="1"/>
    <col min="15889" max="15889" width="9.5703125" style="4" customWidth="1"/>
    <col min="15890" max="15890" width="10.42578125" style="4" customWidth="1"/>
    <col min="15891" max="15891" width="8.5703125" style="4" customWidth="1"/>
    <col min="15892" max="15892" width="11" style="4" customWidth="1"/>
    <col min="15893" max="15893" width="13.42578125" style="4" bestFit="1" customWidth="1"/>
    <col min="15894" max="15894" width="9.42578125" style="4" customWidth="1"/>
    <col min="15895" max="15895" width="7.5703125" style="4" customWidth="1"/>
    <col min="15896" max="15896" width="11.42578125" style="4" customWidth="1"/>
    <col min="15897" max="15897" width="9.42578125" style="4" customWidth="1"/>
    <col min="15898" max="15898" width="11.42578125" style="4" customWidth="1"/>
    <col min="15899" max="15899" width="13.42578125" style="4" bestFit="1" customWidth="1"/>
    <col min="15900" max="15900" width="5.5703125" style="4" bestFit="1" customWidth="1"/>
    <col min="15901" max="15901" width="19.5703125" style="4" bestFit="1" customWidth="1"/>
    <col min="15902" max="15902" width="1.42578125" style="4" customWidth="1"/>
    <col min="15903" max="15903" width="13.42578125" style="4" bestFit="1" customWidth="1"/>
    <col min="15904" max="15904" width="8.5703125" style="4" bestFit="1" customWidth="1"/>
    <col min="15905" max="15905" width="8.85546875" style="4" bestFit="1" customWidth="1"/>
    <col min="15906" max="16128" width="9.140625" style="4"/>
    <col min="16129" max="16129" width="11" style="4" customWidth="1"/>
    <col min="16130" max="16131" width="12.5703125" style="4" customWidth="1"/>
    <col min="16132" max="16132" width="11" style="4" customWidth="1"/>
    <col min="16133" max="16133" width="8.42578125" style="4" customWidth="1"/>
    <col min="16134" max="16134" width="11.42578125" style="4" customWidth="1"/>
    <col min="16135" max="16135" width="1.85546875" style="4" customWidth="1"/>
    <col min="16136" max="16136" width="8.42578125" style="4" customWidth="1"/>
    <col min="16137" max="16137" width="11.42578125" style="4" customWidth="1"/>
    <col min="16138" max="16139" width="10.42578125" style="4" customWidth="1"/>
    <col min="16140" max="16140" width="10.5703125" style="4" customWidth="1"/>
    <col min="16141" max="16141" width="10" style="4" customWidth="1"/>
    <col min="16142" max="16142" width="11" style="4" bestFit="1" customWidth="1"/>
    <col min="16143" max="16143" width="12" style="4" customWidth="1"/>
    <col min="16144" max="16144" width="11.140625" style="4" customWidth="1"/>
    <col min="16145" max="16145" width="9.5703125" style="4" customWidth="1"/>
    <col min="16146" max="16146" width="10.42578125" style="4" customWidth="1"/>
    <col min="16147" max="16147" width="8.5703125" style="4" customWidth="1"/>
    <col min="16148" max="16148" width="11" style="4" customWidth="1"/>
    <col min="16149" max="16149" width="13.42578125" style="4" bestFit="1" customWidth="1"/>
    <col min="16150" max="16150" width="9.42578125" style="4" customWidth="1"/>
    <col min="16151" max="16151" width="7.5703125" style="4" customWidth="1"/>
    <col min="16152" max="16152" width="11.42578125" style="4" customWidth="1"/>
    <col min="16153" max="16153" width="9.42578125" style="4" customWidth="1"/>
    <col min="16154" max="16154" width="11.42578125" style="4" customWidth="1"/>
    <col min="16155" max="16155" width="13.42578125" style="4" bestFit="1" customWidth="1"/>
    <col min="16156" max="16156" width="5.5703125" style="4" bestFit="1" customWidth="1"/>
    <col min="16157" max="16157" width="19.5703125" style="4" bestFit="1" customWidth="1"/>
    <col min="16158" max="16158" width="1.42578125" style="4" customWidth="1"/>
    <col min="16159" max="16159" width="13.42578125" style="4" bestFit="1" customWidth="1"/>
    <col min="16160" max="16160" width="8.5703125" style="4" bestFit="1" customWidth="1"/>
    <col min="16161" max="16161" width="8.85546875" style="4" bestFit="1" customWidth="1"/>
    <col min="16162" max="16384" width="9.140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5">
      <c r="A4"/>
      <c r="B4"/>
      <c r="C4"/>
      <c r="D4"/>
      <c r="E4"/>
      <c r="F4"/>
      <c r="G4"/>
      <c r="H4"/>
      <c r="I4"/>
      <c r="J4"/>
      <c r="K4"/>
      <c r="L4"/>
      <c r="M4"/>
    </row>
    <row r="5" spans="1:14" ht="4.5" customHeight="1">
      <c r="A5"/>
      <c r="B5"/>
      <c r="C5"/>
      <c r="D5"/>
      <c r="E5"/>
      <c r="F5"/>
      <c r="G5"/>
      <c r="H5"/>
      <c r="I5"/>
      <c r="J5"/>
      <c r="K5"/>
      <c r="L5"/>
      <c r="M5"/>
    </row>
    <row r="6" spans="1:14" ht="15">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75">
      <c r="A9" s="1"/>
      <c r="B9"/>
      <c r="C9"/>
      <c r="D9"/>
      <c r="E9"/>
      <c r="F9"/>
      <c r="G9"/>
      <c r="H9"/>
      <c r="I9"/>
      <c r="J9"/>
      <c r="K9"/>
      <c r="L9"/>
      <c r="M9"/>
    </row>
    <row r="10" spans="1:14" ht="15">
      <c r="A10" s="2" t="str">
        <f ca="1">MID(CELL("filename",A1),FIND("]",CELL("filename",A1))+1,256)</f>
        <v>508-450dia</v>
      </c>
      <c r="B10"/>
      <c r="C10" s="135">
        <f>C46</f>
        <v>0</v>
      </c>
      <c r="D10" s="135" t="s">
        <v>4</v>
      </c>
      <c r="E10"/>
      <c r="F10"/>
      <c r="G10"/>
      <c r="H10"/>
      <c r="I10"/>
      <c r="J10"/>
      <c r="K10"/>
      <c r="L10"/>
      <c r="M10"/>
    </row>
    <row r="11" spans="1:14" ht="13.5" thickBot="1">
      <c r="H11" s="85"/>
    </row>
    <row r="12" spans="1:14">
      <c r="A12" s="7" t="s">
        <v>5</v>
      </c>
      <c r="B12" s="8" t="s">
        <v>6</v>
      </c>
      <c r="C12" s="9" t="s">
        <v>7</v>
      </c>
      <c r="D12" s="10" t="s">
        <v>8</v>
      </c>
      <c r="N12" s="11"/>
    </row>
    <row r="13" spans="1:14" ht="13.5"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482.6</v>
      </c>
      <c r="D20" s="37" t="s">
        <v>20</v>
      </c>
      <c r="E20" s="38">
        <f>C20/1000</f>
        <v>0.48260000000000003</v>
      </c>
      <c r="F20" s="39" t="s">
        <v>4</v>
      </c>
      <c r="G20" s="26"/>
      <c r="H20" s="27"/>
      <c r="L20" s="29"/>
      <c r="P20" s="4"/>
      <c r="Q20" s="4"/>
      <c r="R20" s="4"/>
    </row>
    <row r="21" spans="1:18" s="28" customFormat="1">
      <c r="A21" s="34"/>
      <c r="B21" s="35" t="s">
        <v>21</v>
      </c>
      <c r="C21" s="40">
        <v>91</v>
      </c>
      <c r="D21" s="37" t="s">
        <v>20</v>
      </c>
      <c r="E21" s="38">
        <f>C21/1000</f>
        <v>9.0999999999999998E-2</v>
      </c>
      <c r="F21" s="39" t="s">
        <v>4</v>
      </c>
      <c r="G21" s="26"/>
      <c r="H21" s="27"/>
      <c r="L21" s="29"/>
      <c r="P21" s="4"/>
      <c r="Q21" s="4"/>
      <c r="R21" s="4"/>
    </row>
    <row r="22" spans="1:18" s="28" customFormat="1" ht="15.75">
      <c r="A22" s="34"/>
      <c r="B22" s="35" t="s">
        <v>22</v>
      </c>
      <c r="C22" s="41">
        <f>(PI()*C20^2/4)</f>
        <v>182921.39995419668</v>
      </c>
      <c r="D22" s="37" t="s">
        <v>23</v>
      </c>
      <c r="E22" s="38">
        <f>PI()*E20^2/4</f>
        <v>0.18292139995419671</v>
      </c>
      <c r="F22" s="39" t="s">
        <v>24</v>
      </c>
      <c r="G22" s="26"/>
      <c r="H22" s="27"/>
      <c r="L22" s="29"/>
      <c r="P22" s="4"/>
      <c r="Q22" s="4"/>
      <c r="R22" s="4"/>
    </row>
    <row r="23" spans="1:18" s="28" customFormat="1" ht="15.75">
      <c r="A23" s="34"/>
      <c r="B23" s="35" t="s">
        <v>25</v>
      </c>
      <c r="C23" s="42">
        <f>C20-2*C21-2*C48-C40</f>
        <v>248.60000000000002</v>
      </c>
      <c r="D23" s="37" t="s">
        <v>20</v>
      </c>
      <c r="E23" s="38">
        <f>E20-2*E21-2*E48-E40</f>
        <v>0.24860000000000002</v>
      </c>
      <c r="F23" s="39" t="s">
        <v>4</v>
      </c>
      <c r="G23" s="26"/>
      <c r="H23" s="27"/>
      <c r="L23" s="29"/>
      <c r="P23" s="4"/>
      <c r="Q23" s="4"/>
      <c r="R23" s="4"/>
    </row>
    <row r="24" spans="1:18" s="28" customFormat="1" ht="15.75">
      <c r="A24" s="34"/>
      <c r="B24" s="35" t="s">
        <v>26</v>
      </c>
      <c r="C24" s="42">
        <f>C20-2*C21-C48</f>
        <v>290.60000000000002</v>
      </c>
      <c r="D24" s="37" t="s">
        <v>20</v>
      </c>
      <c r="E24" s="38">
        <f>E20-2*E21-E48</f>
        <v>0.29060000000000002</v>
      </c>
      <c r="F24" s="39" t="s">
        <v>4</v>
      </c>
      <c r="G24" s="26"/>
      <c r="H24" s="27"/>
      <c r="L24" s="29"/>
      <c r="P24" s="4"/>
      <c r="Q24" s="4"/>
      <c r="R24" s="4"/>
    </row>
    <row r="25" spans="1:18" s="28" customFormat="1">
      <c r="A25" s="27"/>
      <c r="F25" s="29"/>
      <c r="G25" s="26"/>
      <c r="H25" s="27"/>
      <c r="L25" s="29"/>
      <c r="O25" s="4"/>
      <c r="P25" s="4"/>
      <c r="Q25" s="4"/>
      <c r="R25" s="4"/>
    </row>
    <row r="26" spans="1:18" s="28" customFormat="1" ht="15.75">
      <c r="A26" s="34"/>
      <c r="B26" s="35" t="s">
        <v>27</v>
      </c>
      <c r="C26" s="40">
        <v>40</v>
      </c>
      <c r="D26" s="37" t="s">
        <v>28</v>
      </c>
      <c r="F26" s="29"/>
      <c r="G26" s="26"/>
      <c r="H26" s="27"/>
      <c r="L26" s="29"/>
      <c r="O26" s="4"/>
      <c r="P26" s="4"/>
      <c r="Q26" s="4"/>
      <c r="R26" s="4"/>
    </row>
    <row r="27" spans="1:18" s="28" customFormat="1" ht="15.75">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75">
      <c r="A28" s="34"/>
      <c r="B28" s="35" t="s">
        <v>31</v>
      </c>
      <c r="C28" s="46">
        <f>1.75+MAX(0,0.55*(C26-50)/40)</f>
        <v>1.75</v>
      </c>
      <c r="D28" s="37" t="s">
        <v>32</v>
      </c>
      <c r="F28" s="45" t="s">
        <v>33</v>
      </c>
      <c r="G28" s="26"/>
      <c r="H28" s="27"/>
      <c r="L28" s="29"/>
      <c r="O28" s="4"/>
      <c r="P28" s="4"/>
      <c r="Q28" s="4"/>
      <c r="R28" s="4"/>
    </row>
    <row r="29" spans="1:18" s="28" customFormat="1" ht="15.75">
      <c r="A29" s="34"/>
      <c r="B29" s="35" t="s">
        <v>34</v>
      </c>
      <c r="C29" s="46">
        <f>(0.85*C26/C27)/C28</f>
        <v>11.774891774891774</v>
      </c>
      <c r="D29" s="37" t="s">
        <v>35</v>
      </c>
      <c r="F29" s="45" t="s">
        <v>36</v>
      </c>
      <c r="G29" s="26"/>
      <c r="H29" s="47"/>
      <c r="I29" s="48"/>
      <c r="J29" s="48"/>
      <c r="K29" s="48"/>
      <c r="L29" s="49"/>
    </row>
    <row r="30" spans="1:18" s="28" customFormat="1" ht="13.5">
      <c r="A30" s="34"/>
      <c r="B30" s="35" t="s">
        <v>37</v>
      </c>
      <c r="C30" s="43">
        <v>1</v>
      </c>
      <c r="D30" s="37"/>
      <c r="F30" s="45" t="s">
        <v>38</v>
      </c>
      <c r="G30" s="26"/>
    </row>
    <row r="31" spans="1:18" s="28" customFormat="1" ht="13.5">
      <c r="A31" s="34"/>
      <c r="B31" s="50" t="s">
        <v>39</v>
      </c>
      <c r="C31" s="46">
        <f>C30*C26/C27</f>
        <v>24.242424242424242</v>
      </c>
      <c r="D31" s="37" t="s">
        <v>28</v>
      </c>
      <c r="F31" s="45" t="s">
        <v>38</v>
      </c>
      <c r="G31" s="26"/>
      <c r="H31" s="22" t="s">
        <v>40</v>
      </c>
      <c r="I31" s="24"/>
      <c r="J31" s="24"/>
      <c r="K31" s="24"/>
      <c r="L31" s="25" t="s">
        <v>17</v>
      </c>
    </row>
    <row r="32" spans="1:18" s="28" customFormat="1" ht="13.5">
      <c r="A32" s="34"/>
      <c r="B32" s="35" t="s">
        <v>41</v>
      </c>
      <c r="C32" s="46">
        <f>0.6*(1-C26/250)*C31</f>
        <v>12.218181818181819</v>
      </c>
      <c r="D32" s="37" t="s">
        <v>28</v>
      </c>
      <c r="F32" s="45" t="s">
        <v>42</v>
      </c>
      <c r="G32" s="26"/>
      <c r="H32" s="30" t="s">
        <v>43</v>
      </c>
      <c r="L32" s="29"/>
    </row>
    <row r="33" spans="1:14" s="28" customFormat="1" ht="15.75">
      <c r="A33" s="34"/>
      <c r="F33" s="29"/>
      <c r="G33" s="26"/>
      <c r="H33" s="27"/>
      <c r="I33" s="35" t="s">
        <v>44</v>
      </c>
      <c r="J33" s="52">
        <f>MIN(1,2.5*(1-C56)+18*E43*(C56-0.6))</f>
        <v>0.42126800472437498</v>
      </c>
      <c r="L33" s="29"/>
    </row>
    <row r="34" spans="1:14" s="28" customFormat="1" ht="15.75">
      <c r="A34" s="34"/>
      <c r="B34" s="35" t="s">
        <v>45</v>
      </c>
      <c r="C34" s="53">
        <v>500</v>
      </c>
      <c r="D34" s="37" t="s">
        <v>28</v>
      </c>
      <c r="F34" s="45" t="s">
        <v>46</v>
      </c>
      <c r="G34" s="26"/>
      <c r="H34" s="27"/>
      <c r="I34" s="35" t="s">
        <v>47</v>
      </c>
      <c r="J34" s="52">
        <f>MIN(1,2.5*(1-C56)+MIN(2.25,1.5+37.5*E43)*(C56-0.6))</f>
        <v>0.9225000000000001</v>
      </c>
      <c r="L34" s="29"/>
      <c r="N34" s="51"/>
    </row>
    <row r="35" spans="1:14" s="28" customFormat="1" ht="15.75">
      <c r="A35" s="34"/>
      <c r="B35" s="35" t="s">
        <v>48</v>
      </c>
      <c r="C35" s="53">
        <v>200</v>
      </c>
      <c r="D35" s="37" t="s">
        <v>35</v>
      </c>
      <c r="E35" s="33"/>
      <c r="F35" s="45" t="s">
        <v>49</v>
      </c>
      <c r="G35" s="26"/>
      <c r="H35" s="27"/>
      <c r="I35" s="35" t="s">
        <v>50</v>
      </c>
      <c r="J35" s="52">
        <f>MIN(1,2.5*(1-C56)+MIN(2,100*E43)*(C56-0.6))</f>
        <v>0.84499999999999997</v>
      </c>
      <c r="L35" s="29"/>
    </row>
    <row r="36" spans="1:14" s="28" customFormat="1" ht="15.75" customHeight="1">
      <c r="A36" s="34"/>
      <c r="B36" s="35" t="s">
        <v>51</v>
      </c>
      <c r="C36" s="53">
        <v>1.1499999999999999</v>
      </c>
      <c r="F36" s="45" t="s">
        <v>30</v>
      </c>
      <c r="G36" s="26"/>
      <c r="H36" s="27"/>
      <c r="L36" s="29"/>
    </row>
    <row r="37" spans="1:14" s="28" customFormat="1" ht="15.75">
      <c r="A37" s="34"/>
      <c r="B37" s="35" t="s">
        <v>52</v>
      </c>
      <c r="C37" s="54">
        <f>C34/C36</f>
        <v>434.78260869565219</v>
      </c>
      <c r="D37" s="37" t="s">
        <v>28</v>
      </c>
      <c r="F37" s="45" t="s">
        <v>53</v>
      </c>
      <c r="G37" s="26"/>
      <c r="H37" s="30" t="s">
        <v>54</v>
      </c>
      <c r="L37" s="29"/>
    </row>
    <row r="38" spans="1:14" s="28" customFormat="1" ht="15.75">
      <c r="A38" s="27"/>
      <c r="F38" s="29"/>
      <c r="G38" s="26"/>
      <c r="H38" s="27"/>
      <c r="I38" s="35" t="s">
        <v>55</v>
      </c>
      <c r="J38" s="52">
        <f>MIN(0.65,0.4+(E23/E20)/(1.3-LOG(E43*C35/C29)))*E24</f>
        <v>0.18889000000000003</v>
      </c>
      <c r="K38" s="37" t="s">
        <v>4</v>
      </c>
      <c r="L38" s="29"/>
    </row>
    <row r="39" spans="1:14" s="28" customFormat="1" ht="15.75">
      <c r="A39" s="30" t="s">
        <v>56</v>
      </c>
      <c r="B39" s="31"/>
      <c r="D39" s="37"/>
      <c r="E39" s="33"/>
      <c r="F39" s="45"/>
      <c r="G39" s="26"/>
      <c r="H39" s="27"/>
      <c r="I39" s="35" t="s">
        <v>57</v>
      </c>
      <c r="J39" s="52">
        <f>MAX(0.4,(1.3+0.2*LOG(C35*E43/C29))*(E23/E20-0.3)+0.6*(1-E23/E20))*E22</f>
        <v>0.1026121782645141</v>
      </c>
      <c r="K39" s="37" t="s">
        <v>58</v>
      </c>
      <c r="L39" s="29"/>
      <c r="M39" s="137"/>
    </row>
    <row r="40" spans="1:14" s="28" customFormat="1" ht="15.75" customHeight="1">
      <c r="A40" s="27"/>
      <c r="B40" s="35" t="s">
        <v>59</v>
      </c>
      <c r="C40" s="136">
        <v>32</v>
      </c>
      <c r="D40" s="37" t="s">
        <v>20</v>
      </c>
      <c r="E40" s="38">
        <f>C40/1000</f>
        <v>3.2000000000000001E-2</v>
      </c>
      <c r="F40" s="39" t="s">
        <v>4</v>
      </c>
      <c r="G40" s="26"/>
      <c r="H40" s="27"/>
      <c r="I40" s="35" t="s">
        <v>60</v>
      </c>
      <c r="J40" s="52">
        <f>0.9*(1-(1-E23/E20)^(2.5+0.6*LOG(E43*C35/C29)))</f>
        <v>0.73762805678356447</v>
      </c>
      <c r="L40" s="29"/>
    </row>
    <row r="41" spans="1:14" s="28" customFormat="1" ht="15.75">
      <c r="A41" s="27"/>
      <c r="B41" s="35" t="s">
        <v>61</v>
      </c>
      <c r="C41" s="40">
        <v>8</v>
      </c>
      <c r="D41" s="37"/>
      <c r="E41" s="58"/>
      <c r="F41" s="39"/>
      <c r="G41" s="26"/>
      <c r="H41" s="27"/>
      <c r="L41" s="29"/>
    </row>
    <row r="42" spans="1:14" s="28" customFormat="1" ht="15.75">
      <c r="A42" s="27"/>
      <c r="B42" s="35" t="s">
        <v>62</v>
      </c>
      <c r="C42" s="42">
        <f>PI()*C40^2/4*C41</f>
        <v>6433.9817545518963</v>
      </c>
      <c r="D42" s="37" t="s">
        <v>63</v>
      </c>
      <c r="E42" s="38">
        <f>PI()*E40^2/4*C41</f>
        <v>6.4339817545518959E-3</v>
      </c>
      <c r="F42" s="39" t="s">
        <v>64</v>
      </c>
      <c r="G42" s="26"/>
      <c r="H42" s="30" t="s">
        <v>65</v>
      </c>
      <c r="L42" s="29"/>
    </row>
    <row r="43" spans="1:14" s="28" customFormat="1" ht="15.75">
      <c r="A43" s="55"/>
      <c r="B43" s="35" t="s">
        <v>66</v>
      </c>
      <c r="C43" s="56">
        <f>E43*100</f>
        <v>3.5173477549171155</v>
      </c>
      <c r="D43" s="37" t="s">
        <v>67</v>
      </c>
      <c r="E43" s="38">
        <f>(E42)/(E22)</f>
        <v>3.5173477549171155E-2</v>
      </c>
      <c r="F43" s="39"/>
      <c r="G43" s="26"/>
      <c r="H43" s="92" t="s">
        <v>68</v>
      </c>
      <c r="L43" s="29"/>
    </row>
    <row r="44" spans="1:14" s="28" customFormat="1" ht="15.75">
      <c r="A44" s="27"/>
      <c r="E44" s="58"/>
      <c r="F44" s="39"/>
      <c r="G44" s="26"/>
      <c r="H44" s="27"/>
      <c r="I44" s="35" t="s">
        <v>69</v>
      </c>
      <c r="J44" s="57">
        <f>2*E50*J38*C37*IF(E47=1,J35*(1-E49/(J40*PI()*E24))/SQRT(1+(E49/(PI()*E24))^2),J34)*1000</f>
        <v>79.337063771085738</v>
      </c>
      <c r="K44" s="37" t="s">
        <v>70</v>
      </c>
      <c r="L44" s="45" t="s">
        <v>71</v>
      </c>
    </row>
    <row r="45" spans="1:14" s="28" customFormat="1" ht="16.5" thickBot="1">
      <c r="A45" s="30" t="s">
        <v>72</v>
      </c>
      <c r="B45" s="31"/>
      <c r="D45" s="59"/>
      <c r="E45" s="58"/>
      <c r="F45" s="39"/>
      <c r="G45" s="26"/>
      <c r="H45" s="27"/>
      <c r="I45" s="35" t="s">
        <v>73</v>
      </c>
      <c r="J45" s="57">
        <f>C59*J33*J39*C32/2*1000</f>
        <v>267.66224125629367</v>
      </c>
      <c r="K45" s="37" t="s">
        <v>70</v>
      </c>
      <c r="L45" s="45" t="s">
        <v>74</v>
      </c>
    </row>
    <row r="46" spans="1:14" s="28" customFormat="1" ht="15.75">
      <c r="A46" s="59"/>
      <c r="B46" s="35" t="s">
        <v>75</v>
      </c>
      <c r="C46" s="61">
        <v>0</v>
      </c>
      <c r="D46" s="59" t="s">
        <v>76</v>
      </c>
      <c r="E46" s="58"/>
      <c r="F46" s="39"/>
      <c r="G46" s="26"/>
      <c r="H46" s="27"/>
      <c r="I46" s="35" t="s">
        <v>77</v>
      </c>
      <c r="J46" s="60">
        <f>IF(J45&lt;J44,1,IF(J44&lt;0,1,MIN(IF(C57&lt;0,1.25,2.5),SQRT(2*J45/J44-1))))</f>
        <v>2.3973882274168958</v>
      </c>
      <c r="L46" s="29"/>
    </row>
    <row r="47" spans="1:14" s="28" customFormat="1" ht="15.75">
      <c r="A47" s="27"/>
      <c r="B47" s="35" t="s">
        <v>78</v>
      </c>
      <c r="C47" s="126" t="s">
        <v>227</v>
      </c>
      <c r="E47" s="62">
        <f>IF(C47="Spiral",1,0)</f>
        <v>0</v>
      </c>
      <c r="F47" s="39"/>
      <c r="G47" s="26"/>
      <c r="H47" s="27"/>
      <c r="I47" s="35" t="s">
        <v>79</v>
      </c>
      <c r="J47" s="90">
        <f>MIN(2*J45/(J46+1/J46),2*E50*J38*C37*J46*IF(E47=1,J35*(1-E49/(J40*PI()*E24*J46))/SQRT(1+(E49/(PI()*E24))^2),J34)*1000)</f>
        <v>190.20174268262446</v>
      </c>
      <c r="K47" s="37" t="s">
        <v>70</v>
      </c>
      <c r="L47" s="29"/>
    </row>
    <row r="48" spans="1:14" s="28" customFormat="1" ht="15.75" customHeight="1">
      <c r="A48" s="27"/>
      <c r="B48" s="35" t="s">
        <v>80</v>
      </c>
      <c r="C48" s="63">
        <v>10</v>
      </c>
      <c r="D48" s="37" t="s">
        <v>20</v>
      </c>
      <c r="E48" s="38">
        <f>C48/1000</f>
        <v>0.01</v>
      </c>
      <c r="F48" s="39" t="s">
        <v>4</v>
      </c>
      <c r="G48" s="26"/>
      <c r="H48" s="27"/>
      <c r="I48" s="35" t="s">
        <v>81</v>
      </c>
      <c r="J48" s="139">
        <f>C55/J47</f>
        <v>0.81071812395169318</v>
      </c>
      <c r="K48" s="66" t="str">
        <f>IF(J48&gt;1,"FAIL","Pass")</f>
        <v>Pass</v>
      </c>
      <c r="L48" s="29"/>
    </row>
    <row r="49" spans="1:13" s="28" customFormat="1" ht="13.5" thickBot="1">
      <c r="A49" s="27"/>
      <c r="B49" s="35" t="str">
        <f>IF(E47=1,"Spiral pitch, p =", "Link spacing, s =")</f>
        <v>Link spacing, s =</v>
      </c>
      <c r="C49" s="64">
        <v>150</v>
      </c>
      <c r="D49" s="37" t="s">
        <v>20</v>
      </c>
      <c r="E49" s="38">
        <f>C49/1000</f>
        <v>0.15</v>
      </c>
      <c r="F49" s="39" t="s">
        <v>4</v>
      </c>
      <c r="G49" s="26"/>
      <c r="H49" s="27"/>
      <c r="I49" s="28" t="s">
        <v>82</v>
      </c>
      <c r="J49" s="28">
        <f>J47*0.75</f>
        <v>142.65130701196836</v>
      </c>
      <c r="K49" s="28" t="s">
        <v>70</v>
      </c>
      <c r="L49" s="29"/>
    </row>
    <row r="50" spans="1:13" s="28" customFormat="1" ht="15.75">
      <c r="A50" s="27"/>
      <c r="B50" s="35" t="str">
        <f>IF(E47=1,"Asw / p =","Asw / s =")</f>
        <v>Asw / s =</v>
      </c>
      <c r="C50" s="42">
        <f>(C48^2*PI()/4)/E49</f>
        <v>523.59877559829886</v>
      </c>
      <c r="D50" s="37" t="s">
        <v>83</v>
      </c>
      <c r="E50" s="67">
        <f>(E48^2*PI()/4)/E49</f>
        <v>5.2359877559829892E-4</v>
      </c>
      <c r="F50" s="39" t="s">
        <v>84</v>
      </c>
      <c r="G50" s="26"/>
      <c r="H50" s="92" t="s">
        <v>85</v>
      </c>
      <c r="L50" s="29"/>
    </row>
    <row r="51" spans="1:13" s="28" customFormat="1" ht="15.75">
      <c r="A51" s="27"/>
      <c r="E51" s="38"/>
      <c r="F51" s="68" t="str">
        <f>IF(E47=1,IF(C49&gt;0.4*C24*J46,"Spiral pitch, P exceeds limit of 0.4Dw.cotθ = "&amp;ROUND(0.4*C24*J46,0)&amp;"mm. Result not valid",""),"")</f>
        <v/>
      </c>
      <c r="G51" s="26"/>
      <c r="H51" s="27"/>
      <c r="I51" s="35" t="s">
        <v>69</v>
      </c>
      <c r="J51" s="57">
        <f>2*E50*J38*C37*IF(E47=1,J35*(1-E49/(J40*PI()*E24))/SQRT(1+(E49/(PI()*E24))^2),J34)*1000</f>
        <v>79.337063771085738</v>
      </c>
      <c r="K51" s="37" t="s">
        <v>70</v>
      </c>
      <c r="L51" s="45" t="s">
        <v>71</v>
      </c>
    </row>
    <row r="52" spans="1:13" s="28" customFormat="1" ht="15.75">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330.09882892952311</v>
      </c>
      <c r="K52" s="37" t="s">
        <v>70</v>
      </c>
      <c r="L52" s="45" t="s">
        <v>74</v>
      </c>
    </row>
    <row r="53" spans="1:13" s="28" customFormat="1" ht="15">
      <c r="A53" s="27"/>
      <c r="F53" s="69" t="str">
        <f>IF(C26&gt;50,"",IF(C49&gt;0.6*MIN(20*C40,C20,400),"Link spacing or pitch exceeds limit set by EN1992-1-1 cl 9.5.3(4) = "&amp;ROUND(0.6*MIN(20*C40,C20,400),0)&amp;"mm",""))</f>
        <v/>
      </c>
      <c r="H53" s="27"/>
      <c r="I53" s="35" t="s">
        <v>77</v>
      </c>
      <c r="J53" s="60">
        <f>IF(J52&lt;J51,1,IF(J51&lt;0,1,MIN(IF(C61&lt;0,1.25,2.5),SQRT(2*J52/J51-1))))</f>
        <v>2.5</v>
      </c>
      <c r="L53" s="29"/>
    </row>
    <row r="54" spans="1:13" s="28" customFormat="1" ht="15.75">
      <c r="A54" s="30" t="s">
        <v>86</v>
      </c>
      <c r="D54" s="37"/>
      <c r="E54" s="38"/>
      <c r="F54" s="39"/>
      <c r="H54" s="27"/>
      <c r="I54" s="35" t="s">
        <v>79</v>
      </c>
      <c r="J54" s="90">
        <f>MIN(2*J52/(J53+1/J53),2*E50*J38*C37*J53*IF(E47=1,J35*(1-E49/(J40*PI()*E24*J53))/SQRT(1+(E49/(PI()*E24))^2),J34)*1000)</f>
        <v>198.34265942771435</v>
      </c>
      <c r="K54" s="37" t="s">
        <v>70</v>
      </c>
      <c r="L54" s="29"/>
    </row>
    <row r="55" spans="1:13" s="28" customFormat="1" ht="15.75">
      <c r="A55" s="27"/>
      <c r="B55" s="35" t="s">
        <v>87</v>
      </c>
      <c r="C55" s="95">
        <v>154.19999999999999</v>
      </c>
      <c r="D55" s="37" t="s">
        <v>70</v>
      </c>
      <c r="E55" s="38">
        <f>C55/1000</f>
        <v>0.15419999999999998</v>
      </c>
      <c r="F55" s="39" t="s">
        <v>88</v>
      </c>
      <c r="G55" s="26"/>
      <c r="H55" s="27"/>
      <c r="I55" s="35" t="s">
        <v>81</v>
      </c>
      <c r="J55" s="139">
        <f>C55/J54</f>
        <v>0.77744243444612038</v>
      </c>
      <c r="K55" s="66" t="str">
        <f>IF(J55&gt;1,"FAIL","Pass")</f>
        <v>Pass</v>
      </c>
      <c r="L55" s="29"/>
    </row>
    <row r="56" spans="1:13" s="28" customFormat="1" ht="15.75">
      <c r="A56" s="27"/>
      <c r="B56" s="35" t="s">
        <v>89</v>
      </c>
      <c r="C56" s="94">
        <v>0.91</v>
      </c>
      <c r="D56" s="37"/>
      <c r="F56" s="71"/>
      <c r="G56" s="26"/>
      <c r="H56" s="47"/>
      <c r="I56" s="48"/>
      <c r="J56" s="48"/>
      <c r="K56" s="48"/>
      <c r="L56" s="49"/>
    </row>
    <row r="57" spans="1:13" s="28" customFormat="1" ht="15.75">
      <c r="A57" s="92" t="s">
        <v>68</v>
      </c>
      <c r="B57" s="35" t="s">
        <v>90</v>
      </c>
      <c r="C57" s="40">
        <v>94</v>
      </c>
      <c r="D57" s="37" t="s">
        <v>91</v>
      </c>
      <c r="E57" s="72"/>
      <c r="F57" s="45"/>
      <c r="G57" s="26"/>
    </row>
    <row r="58" spans="1:13" s="28" customFormat="1" ht="13.5">
      <c r="A58" s="34"/>
      <c r="B58" s="35" t="s">
        <v>92</v>
      </c>
      <c r="C58" s="73">
        <f>E58/((E22-E42)+(E42*C35/C29))</f>
        <v>0.32893529274753536</v>
      </c>
      <c r="D58" s="37" t="s">
        <v>28</v>
      </c>
      <c r="E58" s="38">
        <f>C57/1000</f>
        <v>9.4E-2</v>
      </c>
      <c r="F58" s="39" t="s">
        <v>88</v>
      </c>
      <c r="G58" s="26"/>
      <c r="H58" s="22" t="s">
        <v>93</v>
      </c>
      <c r="I58" s="24"/>
      <c r="J58" s="24"/>
      <c r="K58" s="24"/>
      <c r="L58" s="25" t="s">
        <v>17</v>
      </c>
      <c r="M58" s="4"/>
    </row>
    <row r="59" spans="1:13" s="28" customFormat="1" ht="13.5">
      <c r="A59" s="34"/>
      <c r="B59" s="35" t="s">
        <v>94</v>
      </c>
      <c r="C59" s="46">
        <f>IF(C58&lt;0.5*C31,MIN((1+C58/C31),1.25),IF(C58&lt;C31,2.5*(1-C58/C31),"Error: N.Ed too large!"))</f>
        <v>1.0135685808258359</v>
      </c>
      <c r="D59" s="37"/>
      <c r="F59" s="45" t="s">
        <v>42</v>
      </c>
      <c r="G59" s="26"/>
      <c r="H59" s="30" t="s">
        <v>95</v>
      </c>
      <c r="L59" s="45" t="s">
        <v>96</v>
      </c>
      <c r="M59" s="4"/>
    </row>
    <row r="60" spans="1:13" s="28" customFormat="1" ht="15.75">
      <c r="A60" s="34"/>
      <c r="B60" s="35"/>
      <c r="C60" s="73"/>
      <c r="D60" s="37"/>
      <c r="E60" s="38"/>
      <c r="F60" s="39"/>
      <c r="G60" s="26"/>
      <c r="H60" s="27"/>
      <c r="I60" s="35" t="s">
        <v>97</v>
      </c>
      <c r="J60" s="60">
        <f>0.08*SQRT(C26)/C34</f>
        <v>1.0119288512538814E-3</v>
      </c>
      <c r="L60" s="70" t="s">
        <v>98</v>
      </c>
      <c r="M60" s="4"/>
    </row>
    <row r="61" spans="1:13" s="28" customFormat="1" ht="16.5" thickBot="1">
      <c r="A61" s="92" t="s">
        <v>85</v>
      </c>
      <c r="B61" s="35" t="s">
        <v>90</v>
      </c>
      <c r="C61" s="40">
        <v>2437</v>
      </c>
      <c r="D61" s="37" t="s">
        <v>91</v>
      </c>
      <c r="E61" s="72"/>
      <c r="F61" s="45"/>
      <c r="G61" s="26"/>
      <c r="H61" s="27"/>
      <c r="I61" s="35" t="s">
        <v>99</v>
      </c>
      <c r="J61" s="60">
        <f>MIN((IF(J46=1,J44,J47/J46)/(C37*1000))/(J39*J33),(IF(J53=1,J51,J54/J53)/(C37*1000))/(J39*J33))</f>
        <v>4.2213034888757004E-3</v>
      </c>
      <c r="L61" s="70" t="s">
        <v>100</v>
      </c>
      <c r="M61" s="4"/>
    </row>
    <row r="62" spans="1:13" s="28" customFormat="1" ht="16.5" thickBot="1">
      <c r="A62" s="27"/>
      <c r="B62" s="35" t="s">
        <v>92</v>
      </c>
      <c r="C62" s="73">
        <f>E62/((E22-E42)+(E42*C35/C29))</f>
        <v>8.5278224300611036</v>
      </c>
      <c r="D62" s="37" t="s">
        <v>28</v>
      </c>
      <c r="E62" s="38">
        <f>C61/1000</f>
        <v>2.4369999999999998</v>
      </c>
      <c r="F62" s="39" t="s">
        <v>88</v>
      </c>
      <c r="G62" s="26"/>
      <c r="H62" s="27"/>
      <c r="I62" s="35" t="s">
        <v>101</v>
      </c>
      <c r="J62" s="65">
        <f>J61/J60</f>
        <v>4.1715417873945206</v>
      </c>
      <c r="K62" s="66" t="str">
        <f>IF(J62&lt;1,"FAIL","Pass")</f>
        <v>Pass</v>
      </c>
      <c r="L62" s="29"/>
      <c r="M62" s="4"/>
    </row>
    <row r="63" spans="1:13" s="28" customFormat="1" ht="13.5">
      <c r="A63" s="93"/>
      <c r="B63" s="35" t="s">
        <v>94</v>
      </c>
      <c r="C63" s="46">
        <f>IF(C62&lt;0.5*C31,MIN((1+C62/C31),1.25),IF(C62&lt;C31,2.5*(1-C62/C31),"Error: N.Ed too large!"))</f>
        <v>1.25</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184.83863233384267</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E83:E84"/>
    <mergeCell ref="A15:F15"/>
    <mergeCell ref="A16:F16"/>
    <mergeCell ref="E75:E77"/>
    <mergeCell ref="E78:E80"/>
    <mergeCell ref="E81:E82"/>
  </mergeCells>
  <conditionalFormatting sqref="H6 J6 B6 B8 B4 H4 H2">
    <cfRule type="cellIs" dxfId="185" priority="14" stopIfTrue="1" operator="equal">
      <formula>0</formula>
    </cfRule>
  </conditionalFormatting>
  <conditionalFormatting sqref="B6">
    <cfRule type="cellIs" dxfId="184" priority="13" stopIfTrue="1" operator="equal">
      <formula>0</formula>
    </cfRule>
  </conditionalFormatting>
  <conditionalFormatting sqref="H6 J6 H4">
    <cfRule type="cellIs" dxfId="183" priority="12" stopIfTrue="1" operator="equal">
      <formula>0</formula>
    </cfRule>
  </conditionalFormatting>
  <conditionalFormatting sqref="J48">
    <cfRule type="cellIs" dxfId="182" priority="10" stopIfTrue="1" operator="greaterThan">
      <formula>1</formula>
    </cfRule>
    <cfRule type="cellIs" dxfId="181" priority="11" stopIfTrue="1" operator="lessThanOrEqual">
      <formula>1</formula>
    </cfRule>
  </conditionalFormatting>
  <conditionalFormatting sqref="J62">
    <cfRule type="cellIs" dxfId="180" priority="8" stopIfTrue="1" operator="lessThan">
      <formula>1</formula>
    </cfRule>
    <cfRule type="cellIs" dxfId="179" priority="9" stopIfTrue="1" operator="greaterThanOrEqual">
      <formula>1</formula>
    </cfRule>
  </conditionalFormatting>
  <conditionalFormatting sqref="K48 K62">
    <cfRule type="cellIs" dxfId="178" priority="6" stopIfTrue="1" operator="equal">
      <formula>"FAIL"</formula>
    </cfRule>
    <cfRule type="cellIs" dxfId="177" priority="7" stopIfTrue="1" operator="equal">
      <formula>"Pass"</formula>
    </cfRule>
  </conditionalFormatting>
  <conditionalFormatting sqref="F52">
    <cfRule type="cellIs" dxfId="176" priority="5" stopIfTrue="1" operator="equal">
      <formula>"Link spacing satisfies limit set by EN1992-1-1 cl 9.5.3(3)"</formula>
    </cfRule>
  </conditionalFormatting>
  <conditionalFormatting sqref="K55">
    <cfRule type="cellIs" dxfId="175" priority="3" stopIfTrue="1" operator="equal">
      <formula>"FAIL"</formula>
    </cfRule>
    <cfRule type="cellIs" dxfId="174" priority="4" stopIfTrue="1" operator="equal">
      <formula>"Pass"</formula>
    </cfRule>
  </conditionalFormatting>
  <conditionalFormatting sqref="J55">
    <cfRule type="cellIs" dxfId="173" priority="1" stopIfTrue="1" operator="greaterThan">
      <formula>1</formula>
    </cfRule>
    <cfRule type="cellIs" dxfId="172" priority="2" stopIfTrue="1" operator="lessThanOrEqual">
      <formula>1</formula>
    </cfRule>
  </conditionalFormatting>
  <dataValidations count="10">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10A47EFD-6AF6-4983-B283-B6EC19AD42C7}">
      <formula1>alphacc</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EE546C88-9B2B-4B1F-921C-933736BC19C6}">
      <formula1>GammaC</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3AE97486-DE50-4165-921F-F946F1A6ED47}">
      <formula1>Link</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885F5997-1C79-434D-A386-0955DFD28046}">
      <formula1>Bar</formula1>
    </dataValidation>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339CCDAC-C3B1-41F7-8915-046A50EAFCCE}">
      <formula1>Type</formula1>
    </dataValidation>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00F7F273-0C7D-4063-9CBF-C4A9F6E6088C}"/>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783476A5-6F17-4457-A1B8-F4AB5A103882}"/>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E2B6528E-AB45-4456-B707-E019C603B7F5}"/>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99FD6097-457E-403A-A70B-82D382C6C431}"/>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4517515D-4A0F-42AB-8DD7-1FA144D1B05C}"/>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F4AA-2B1B-4CA6-BC08-E0ED11056BC1}">
  <sheetPr>
    <tabColor theme="5" tint="0.39997558519241921"/>
    <pageSetUpPr fitToPage="1"/>
  </sheetPr>
  <dimension ref="A1:R116"/>
  <sheetViews>
    <sheetView showGridLines="0" tabSelected="1" view="pageBreakPreview" topLeftCell="A25" zoomScale="130" zoomScaleNormal="100" zoomScaleSheetLayoutView="130" workbookViewId="0">
      <selection activeCell="E51" sqref="E51"/>
    </sheetView>
  </sheetViews>
  <sheetFormatPr defaultColWidth="9.140625" defaultRowHeight="12.75"/>
  <cols>
    <col min="1" max="1" width="11" style="4" customWidth="1"/>
    <col min="2" max="3" width="12.5703125" style="4" customWidth="1"/>
    <col min="4" max="4" width="11" style="4" customWidth="1"/>
    <col min="5" max="5" width="8.42578125" style="4" customWidth="1"/>
    <col min="6" max="6" width="11.42578125" style="4" customWidth="1"/>
    <col min="7" max="7" width="1.85546875" style="4" customWidth="1"/>
    <col min="8" max="8" width="8.42578125" style="4" customWidth="1"/>
    <col min="9" max="9" width="11.42578125" style="4" customWidth="1"/>
    <col min="10" max="11" width="10.42578125" style="4" customWidth="1"/>
    <col min="12" max="12" width="10.5703125" style="4" customWidth="1"/>
    <col min="13" max="13" width="10" style="4" customWidth="1"/>
    <col min="14" max="14" width="11" style="4" bestFit="1" customWidth="1"/>
    <col min="15" max="15" width="12" style="4" customWidth="1"/>
    <col min="16" max="16" width="11.140625" style="4" customWidth="1"/>
    <col min="17" max="17" width="9.5703125" style="4" customWidth="1"/>
    <col min="18" max="18" width="10.42578125" style="4" customWidth="1"/>
    <col min="19" max="19" width="8.5703125" style="4" customWidth="1"/>
    <col min="20" max="20" width="11" style="4" customWidth="1"/>
    <col min="21" max="21" width="13.42578125" style="4" bestFit="1" customWidth="1"/>
    <col min="22" max="22" width="9.42578125" style="4" customWidth="1"/>
    <col min="23" max="23" width="7.5703125" style="4" customWidth="1"/>
    <col min="24" max="24" width="11.42578125" style="4" customWidth="1"/>
    <col min="25" max="25" width="9.42578125" style="4" customWidth="1"/>
    <col min="26" max="26" width="11.42578125" style="4" customWidth="1"/>
    <col min="27" max="27" width="13.42578125" style="4" bestFit="1" customWidth="1"/>
    <col min="28" max="28" width="5.5703125" style="4" bestFit="1" customWidth="1"/>
    <col min="29" max="29" width="19.5703125" style="4" bestFit="1" customWidth="1"/>
    <col min="30" max="30" width="1.42578125" style="4" customWidth="1"/>
    <col min="31" max="31" width="13.42578125" style="4" bestFit="1" customWidth="1"/>
    <col min="32" max="32" width="8.5703125" style="4" bestFit="1" customWidth="1"/>
    <col min="33" max="33" width="8.85546875" style="4" bestFit="1" customWidth="1"/>
    <col min="34" max="256" width="9.140625" style="4"/>
    <col min="257" max="257" width="11" style="4" customWidth="1"/>
    <col min="258" max="259" width="12.5703125" style="4" customWidth="1"/>
    <col min="260" max="260" width="11" style="4" customWidth="1"/>
    <col min="261" max="261" width="8.42578125" style="4" customWidth="1"/>
    <col min="262" max="262" width="11.42578125" style="4" customWidth="1"/>
    <col min="263" max="263" width="1.85546875" style="4" customWidth="1"/>
    <col min="264" max="264" width="8.42578125" style="4" customWidth="1"/>
    <col min="265" max="265" width="11.42578125" style="4" customWidth="1"/>
    <col min="266" max="267" width="10.42578125" style="4" customWidth="1"/>
    <col min="268" max="268" width="10.5703125" style="4" customWidth="1"/>
    <col min="269" max="269" width="10" style="4" customWidth="1"/>
    <col min="270" max="270" width="11" style="4" bestFit="1" customWidth="1"/>
    <col min="271" max="271" width="12" style="4" customWidth="1"/>
    <col min="272" max="272" width="11.140625" style="4" customWidth="1"/>
    <col min="273" max="273" width="9.5703125" style="4" customWidth="1"/>
    <col min="274" max="274" width="10.42578125" style="4" customWidth="1"/>
    <col min="275" max="275" width="8.5703125" style="4" customWidth="1"/>
    <col min="276" max="276" width="11" style="4" customWidth="1"/>
    <col min="277" max="277" width="13.42578125" style="4" bestFit="1" customWidth="1"/>
    <col min="278" max="278" width="9.42578125" style="4" customWidth="1"/>
    <col min="279" max="279" width="7.5703125" style="4" customWidth="1"/>
    <col min="280" max="280" width="11.42578125" style="4" customWidth="1"/>
    <col min="281" max="281" width="9.42578125" style="4" customWidth="1"/>
    <col min="282" max="282" width="11.42578125" style="4" customWidth="1"/>
    <col min="283" max="283" width="13.42578125" style="4" bestFit="1" customWidth="1"/>
    <col min="284" max="284" width="5.5703125" style="4" bestFit="1" customWidth="1"/>
    <col min="285" max="285" width="19.5703125" style="4" bestFit="1" customWidth="1"/>
    <col min="286" max="286" width="1.42578125" style="4" customWidth="1"/>
    <col min="287" max="287" width="13.42578125" style="4" bestFit="1" customWidth="1"/>
    <col min="288" max="288" width="8.5703125" style="4" bestFit="1" customWidth="1"/>
    <col min="289" max="289" width="8.85546875" style="4" bestFit="1" customWidth="1"/>
    <col min="290" max="512" width="9.140625" style="4"/>
    <col min="513" max="513" width="11" style="4" customWidth="1"/>
    <col min="514" max="515" width="12.5703125" style="4" customWidth="1"/>
    <col min="516" max="516" width="11" style="4" customWidth="1"/>
    <col min="517" max="517" width="8.42578125" style="4" customWidth="1"/>
    <col min="518" max="518" width="11.42578125" style="4" customWidth="1"/>
    <col min="519" max="519" width="1.85546875" style="4" customWidth="1"/>
    <col min="520" max="520" width="8.42578125" style="4" customWidth="1"/>
    <col min="521" max="521" width="11.42578125" style="4" customWidth="1"/>
    <col min="522" max="523" width="10.42578125" style="4" customWidth="1"/>
    <col min="524" max="524" width="10.5703125" style="4" customWidth="1"/>
    <col min="525" max="525" width="10" style="4" customWidth="1"/>
    <col min="526" max="526" width="11" style="4" bestFit="1" customWidth="1"/>
    <col min="527" max="527" width="12" style="4" customWidth="1"/>
    <col min="528" max="528" width="11.140625" style="4" customWidth="1"/>
    <col min="529" max="529" width="9.5703125" style="4" customWidth="1"/>
    <col min="530" max="530" width="10.42578125" style="4" customWidth="1"/>
    <col min="531" max="531" width="8.5703125" style="4" customWidth="1"/>
    <col min="532" max="532" width="11" style="4" customWidth="1"/>
    <col min="533" max="533" width="13.42578125" style="4" bestFit="1" customWidth="1"/>
    <col min="534" max="534" width="9.42578125" style="4" customWidth="1"/>
    <col min="535" max="535" width="7.5703125" style="4" customWidth="1"/>
    <col min="536" max="536" width="11.42578125" style="4" customWidth="1"/>
    <col min="537" max="537" width="9.42578125" style="4" customWidth="1"/>
    <col min="538" max="538" width="11.42578125" style="4" customWidth="1"/>
    <col min="539" max="539" width="13.42578125" style="4" bestFit="1" customWidth="1"/>
    <col min="540" max="540" width="5.5703125" style="4" bestFit="1" customWidth="1"/>
    <col min="541" max="541" width="19.5703125" style="4" bestFit="1" customWidth="1"/>
    <col min="542" max="542" width="1.42578125" style="4" customWidth="1"/>
    <col min="543" max="543" width="13.42578125" style="4" bestFit="1" customWidth="1"/>
    <col min="544" max="544" width="8.5703125" style="4" bestFit="1" customWidth="1"/>
    <col min="545" max="545" width="8.85546875" style="4" bestFit="1" customWidth="1"/>
    <col min="546" max="768" width="9.140625" style="4"/>
    <col min="769" max="769" width="11" style="4" customWidth="1"/>
    <col min="770" max="771" width="12.5703125" style="4" customWidth="1"/>
    <col min="772" max="772" width="11" style="4" customWidth="1"/>
    <col min="773" max="773" width="8.42578125" style="4" customWidth="1"/>
    <col min="774" max="774" width="11.42578125" style="4" customWidth="1"/>
    <col min="775" max="775" width="1.85546875" style="4" customWidth="1"/>
    <col min="776" max="776" width="8.42578125" style="4" customWidth="1"/>
    <col min="777" max="777" width="11.42578125" style="4" customWidth="1"/>
    <col min="778" max="779" width="10.42578125" style="4" customWidth="1"/>
    <col min="780" max="780" width="10.5703125" style="4" customWidth="1"/>
    <col min="781" max="781" width="10" style="4" customWidth="1"/>
    <col min="782" max="782" width="11" style="4" bestFit="1" customWidth="1"/>
    <col min="783" max="783" width="12" style="4" customWidth="1"/>
    <col min="784" max="784" width="11.140625" style="4" customWidth="1"/>
    <col min="785" max="785" width="9.5703125" style="4" customWidth="1"/>
    <col min="786" max="786" width="10.42578125" style="4" customWidth="1"/>
    <col min="787" max="787" width="8.5703125" style="4" customWidth="1"/>
    <col min="788" max="788" width="11" style="4" customWidth="1"/>
    <col min="789" max="789" width="13.42578125" style="4" bestFit="1" customWidth="1"/>
    <col min="790" max="790" width="9.42578125" style="4" customWidth="1"/>
    <col min="791" max="791" width="7.5703125" style="4" customWidth="1"/>
    <col min="792" max="792" width="11.42578125" style="4" customWidth="1"/>
    <col min="793" max="793" width="9.42578125" style="4" customWidth="1"/>
    <col min="794" max="794" width="11.42578125" style="4" customWidth="1"/>
    <col min="795" max="795" width="13.42578125" style="4" bestFit="1" customWidth="1"/>
    <col min="796" max="796" width="5.5703125" style="4" bestFit="1" customWidth="1"/>
    <col min="797" max="797" width="19.5703125" style="4" bestFit="1" customWidth="1"/>
    <col min="798" max="798" width="1.42578125" style="4" customWidth="1"/>
    <col min="799" max="799" width="13.42578125" style="4" bestFit="1" customWidth="1"/>
    <col min="800" max="800" width="8.5703125" style="4" bestFit="1" customWidth="1"/>
    <col min="801" max="801" width="8.85546875" style="4" bestFit="1" customWidth="1"/>
    <col min="802" max="1024" width="9.140625" style="4"/>
    <col min="1025" max="1025" width="11" style="4" customWidth="1"/>
    <col min="1026" max="1027" width="12.5703125" style="4" customWidth="1"/>
    <col min="1028" max="1028" width="11" style="4" customWidth="1"/>
    <col min="1029" max="1029" width="8.42578125" style="4" customWidth="1"/>
    <col min="1030" max="1030" width="11.42578125" style="4" customWidth="1"/>
    <col min="1031" max="1031" width="1.85546875" style="4" customWidth="1"/>
    <col min="1032" max="1032" width="8.42578125" style="4" customWidth="1"/>
    <col min="1033" max="1033" width="11.42578125" style="4" customWidth="1"/>
    <col min="1034" max="1035" width="10.42578125" style="4" customWidth="1"/>
    <col min="1036" max="1036" width="10.5703125" style="4" customWidth="1"/>
    <col min="1037" max="1037" width="10" style="4" customWidth="1"/>
    <col min="1038" max="1038" width="11" style="4" bestFit="1" customWidth="1"/>
    <col min="1039" max="1039" width="12" style="4" customWidth="1"/>
    <col min="1040" max="1040" width="11.140625" style="4" customWidth="1"/>
    <col min="1041" max="1041" width="9.5703125" style="4" customWidth="1"/>
    <col min="1042" max="1042" width="10.42578125" style="4" customWidth="1"/>
    <col min="1043" max="1043" width="8.5703125" style="4" customWidth="1"/>
    <col min="1044" max="1044" width="11" style="4" customWidth="1"/>
    <col min="1045" max="1045" width="13.42578125" style="4" bestFit="1" customWidth="1"/>
    <col min="1046" max="1046" width="9.42578125" style="4" customWidth="1"/>
    <col min="1047" max="1047" width="7.5703125" style="4" customWidth="1"/>
    <col min="1048" max="1048" width="11.42578125" style="4" customWidth="1"/>
    <col min="1049" max="1049" width="9.42578125" style="4" customWidth="1"/>
    <col min="1050" max="1050" width="11.42578125" style="4" customWidth="1"/>
    <col min="1051" max="1051" width="13.42578125" style="4" bestFit="1" customWidth="1"/>
    <col min="1052" max="1052" width="5.5703125" style="4" bestFit="1" customWidth="1"/>
    <col min="1053" max="1053" width="19.5703125" style="4" bestFit="1" customWidth="1"/>
    <col min="1054" max="1054" width="1.42578125" style="4" customWidth="1"/>
    <col min="1055" max="1055" width="13.42578125" style="4" bestFit="1" customWidth="1"/>
    <col min="1056" max="1056" width="8.5703125" style="4" bestFit="1" customWidth="1"/>
    <col min="1057" max="1057" width="8.85546875" style="4" bestFit="1" customWidth="1"/>
    <col min="1058" max="1280" width="9.140625" style="4"/>
    <col min="1281" max="1281" width="11" style="4" customWidth="1"/>
    <col min="1282" max="1283" width="12.5703125" style="4" customWidth="1"/>
    <col min="1284" max="1284" width="11" style="4" customWidth="1"/>
    <col min="1285" max="1285" width="8.42578125" style="4" customWidth="1"/>
    <col min="1286" max="1286" width="11.42578125" style="4" customWidth="1"/>
    <col min="1287" max="1287" width="1.85546875" style="4" customWidth="1"/>
    <col min="1288" max="1288" width="8.42578125" style="4" customWidth="1"/>
    <col min="1289" max="1289" width="11.42578125" style="4" customWidth="1"/>
    <col min="1290" max="1291" width="10.42578125" style="4" customWidth="1"/>
    <col min="1292" max="1292" width="10.5703125" style="4" customWidth="1"/>
    <col min="1293" max="1293" width="10" style="4" customWidth="1"/>
    <col min="1294" max="1294" width="11" style="4" bestFit="1" customWidth="1"/>
    <col min="1295" max="1295" width="12" style="4" customWidth="1"/>
    <col min="1296" max="1296" width="11.140625" style="4" customWidth="1"/>
    <col min="1297" max="1297" width="9.5703125" style="4" customWidth="1"/>
    <col min="1298" max="1298" width="10.42578125" style="4" customWidth="1"/>
    <col min="1299" max="1299" width="8.5703125" style="4" customWidth="1"/>
    <col min="1300" max="1300" width="11" style="4" customWidth="1"/>
    <col min="1301" max="1301" width="13.42578125" style="4" bestFit="1" customWidth="1"/>
    <col min="1302" max="1302" width="9.42578125" style="4" customWidth="1"/>
    <col min="1303" max="1303" width="7.5703125" style="4" customWidth="1"/>
    <col min="1304" max="1304" width="11.42578125" style="4" customWidth="1"/>
    <col min="1305" max="1305" width="9.42578125" style="4" customWidth="1"/>
    <col min="1306" max="1306" width="11.42578125" style="4" customWidth="1"/>
    <col min="1307" max="1307" width="13.42578125" style="4" bestFit="1" customWidth="1"/>
    <col min="1308" max="1308" width="5.5703125" style="4" bestFit="1" customWidth="1"/>
    <col min="1309" max="1309" width="19.5703125" style="4" bestFit="1" customWidth="1"/>
    <col min="1310" max="1310" width="1.42578125" style="4" customWidth="1"/>
    <col min="1311" max="1311" width="13.42578125" style="4" bestFit="1" customWidth="1"/>
    <col min="1312" max="1312" width="8.5703125" style="4" bestFit="1" customWidth="1"/>
    <col min="1313" max="1313" width="8.85546875" style="4" bestFit="1" customWidth="1"/>
    <col min="1314" max="1536" width="9.140625" style="4"/>
    <col min="1537" max="1537" width="11" style="4" customWidth="1"/>
    <col min="1538" max="1539" width="12.5703125" style="4" customWidth="1"/>
    <col min="1540" max="1540" width="11" style="4" customWidth="1"/>
    <col min="1541" max="1541" width="8.42578125" style="4" customWidth="1"/>
    <col min="1542" max="1542" width="11.42578125" style="4" customWidth="1"/>
    <col min="1543" max="1543" width="1.85546875" style="4" customWidth="1"/>
    <col min="1544" max="1544" width="8.42578125" style="4" customWidth="1"/>
    <col min="1545" max="1545" width="11.42578125" style="4" customWidth="1"/>
    <col min="1546" max="1547" width="10.42578125" style="4" customWidth="1"/>
    <col min="1548" max="1548" width="10.5703125" style="4" customWidth="1"/>
    <col min="1549" max="1549" width="10" style="4" customWidth="1"/>
    <col min="1550" max="1550" width="11" style="4" bestFit="1" customWidth="1"/>
    <col min="1551" max="1551" width="12" style="4" customWidth="1"/>
    <col min="1552" max="1552" width="11.140625" style="4" customWidth="1"/>
    <col min="1553" max="1553" width="9.5703125" style="4" customWidth="1"/>
    <col min="1554" max="1554" width="10.42578125" style="4" customWidth="1"/>
    <col min="1555" max="1555" width="8.5703125" style="4" customWidth="1"/>
    <col min="1556" max="1556" width="11" style="4" customWidth="1"/>
    <col min="1557" max="1557" width="13.42578125" style="4" bestFit="1" customWidth="1"/>
    <col min="1558" max="1558" width="9.42578125" style="4" customWidth="1"/>
    <col min="1559" max="1559" width="7.5703125" style="4" customWidth="1"/>
    <col min="1560" max="1560" width="11.42578125" style="4" customWidth="1"/>
    <col min="1561" max="1561" width="9.42578125" style="4" customWidth="1"/>
    <col min="1562" max="1562" width="11.42578125" style="4" customWidth="1"/>
    <col min="1563" max="1563" width="13.42578125" style="4" bestFit="1" customWidth="1"/>
    <col min="1564" max="1564" width="5.5703125" style="4" bestFit="1" customWidth="1"/>
    <col min="1565" max="1565" width="19.5703125" style="4" bestFit="1" customWidth="1"/>
    <col min="1566" max="1566" width="1.42578125" style="4" customWidth="1"/>
    <col min="1567" max="1567" width="13.42578125" style="4" bestFit="1" customWidth="1"/>
    <col min="1568" max="1568" width="8.5703125" style="4" bestFit="1" customWidth="1"/>
    <col min="1569" max="1569" width="8.85546875" style="4" bestFit="1" customWidth="1"/>
    <col min="1570" max="1792" width="9.140625" style="4"/>
    <col min="1793" max="1793" width="11" style="4" customWidth="1"/>
    <col min="1794" max="1795" width="12.5703125" style="4" customWidth="1"/>
    <col min="1796" max="1796" width="11" style="4" customWidth="1"/>
    <col min="1797" max="1797" width="8.42578125" style="4" customWidth="1"/>
    <col min="1798" max="1798" width="11.42578125" style="4" customWidth="1"/>
    <col min="1799" max="1799" width="1.85546875" style="4" customWidth="1"/>
    <col min="1800" max="1800" width="8.42578125" style="4" customWidth="1"/>
    <col min="1801" max="1801" width="11.42578125" style="4" customWidth="1"/>
    <col min="1802" max="1803" width="10.42578125" style="4" customWidth="1"/>
    <col min="1804" max="1804" width="10.5703125" style="4" customWidth="1"/>
    <col min="1805" max="1805" width="10" style="4" customWidth="1"/>
    <col min="1806" max="1806" width="11" style="4" bestFit="1" customWidth="1"/>
    <col min="1807" max="1807" width="12" style="4" customWidth="1"/>
    <col min="1808" max="1808" width="11.140625" style="4" customWidth="1"/>
    <col min="1809" max="1809" width="9.5703125" style="4" customWidth="1"/>
    <col min="1810" max="1810" width="10.42578125" style="4" customWidth="1"/>
    <col min="1811" max="1811" width="8.5703125" style="4" customWidth="1"/>
    <col min="1812" max="1812" width="11" style="4" customWidth="1"/>
    <col min="1813" max="1813" width="13.42578125" style="4" bestFit="1" customWidth="1"/>
    <col min="1814" max="1814" width="9.42578125" style="4" customWidth="1"/>
    <col min="1815" max="1815" width="7.5703125" style="4" customWidth="1"/>
    <col min="1816" max="1816" width="11.42578125" style="4" customWidth="1"/>
    <col min="1817" max="1817" width="9.42578125" style="4" customWidth="1"/>
    <col min="1818" max="1818" width="11.42578125" style="4" customWidth="1"/>
    <col min="1819" max="1819" width="13.42578125" style="4" bestFit="1" customWidth="1"/>
    <col min="1820" max="1820" width="5.5703125" style="4" bestFit="1" customWidth="1"/>
    <col min="1821" max="1821" width="19.5703125" style="4" bestFit="1" customWidth="1"/>
    <col min="1822" max="1822" width="1.42578125" style="4" customWidth="1"/>
    <col min="1823" max="1823" width="13.42578125" style="4" bestFit="1" customWidth="1"/>
    <col min="1824" max="1824" width="8.5703125" style="4" bestFit="1" customWidth="1"/>
    <col min="1825" max="1825" width="8.85546875" style="4" bestFit="1" customWidth="1"/>
    <col min="1826" max="2048" width="9.140625" style="4"/>
    <col min="2049" max="2049" width="11" style="4" customWidth="1"/>
    <col min="2050" max="2051" width="12.5703125" style="4" customWidth="1"/>
    <col min="2052" max="2052" width="11" style="4" customWidth="1"/>
    <col min="2053" max="2053" width="8.42578125" style="4" customWidth="1"/>
    <col min="2054" max="2054" width="11.42578125" style="4" customWidth="1"/>
    <col min="2055" max="2055" width="1.85546875" style="4" customWidth="1"/>
    <col min="2056" max="2056" width="8.42578125" style="4" customWidth="1"/>
    <col min="2057" max="2057" width="11.42578125" style="4" customWidth="1"/>
    <col min="2058" max="2059" width="10.42578125" style="4" customWidth="1"/>
    <col min="2060" max="2060" width="10.5703125" style="4" customWidth="1"/>
    <col min="2061" max="2061" width="10" style="4" customWidth="1"/>
    <col min="2062" max="2062" width="11" style="4" bestFit="1" customWidth="1"/>
    <col min="2063" max="2063" width="12" style="4" customWidth="1"/>
    <col min="2064" max="2064" width="11.140625" style="4" customWidth="1"/>
    <col min="2065" max="2065" width="9.5703125" style="4" customWidth="1"/>
    <col min="2066" max="2066" width="10.42578125" style="4" customWidth="1"/>
    <col min="2067" max="2067" width="8.5703125" style="4" customWidth="1"/>
    <col min="2068" max="2068" width="11" style="4" customWidth="1"/>
    <col min="2069" max="2069" width="13.42578125" style="4" bestFit="1" customWidth="1"/>
    <col min="2070" max="2070" width="9.42578125" style="4" customWidth="1"/>
    <col min="2071" max="2071" width="7.5703125" style="4" customWidth="1"/>
    <col min="2072" max="2072" width="11.42578125" style="4" customWidth="1"/>
    <col min="2073" max="2073" width="9.42578125" style="4" customWidth="1"/>
    <col min="2074" max="2074" width="11.42578125" style="4" customWidth="1"/>
    <col min="2075" max="2075" width="13.42578125" style="4" bestFit="1" customWidth="1"/>
    <col min="2076" max="2076" width="5.5703125" style="4" bestFit="1" customWidth="1"/>
    <col min="2077" max="2077" width="19.5703125" style="4" bestFit="1" customWidth="1"/>
    <col min="2078" max="2078" width="1.42578125" style="4" customWidth="1"/>
    <col min="2079" max="2079" width="13.42578125" style="4" bestFit="1" customWidth="1"/>
    <col min="2080" max="2080" width="8.5703125" style="4" bestFit="1" customWidth="1"/>
    <col min="2081" max="2081" width="8.85546875" style="4" bestFit="1" customWidth="1"/>
    <col min="2082" max="2304" width="9.140625" style="4"/>
    <col min="2305" max="2305" width="11" style="4" customWidth="1"/>
    <col min="2306" max="2307" width="12.5703125" style="4" customWidth="1"/>
    <col min="2308" max="2308" width="11" style="4" customWidth="1"/>
    <col min="2309" max="2309" width="8.42578125" style="4" customWidth="1"/>
    <col min="2310" max="2310" width="11.42578125" style="4" customWidth="1"/>
    <col min="2311" max="2311" width="1.85546875" style="4" customWidth="1"/>
    <col min="2312" max="2312" width="8.42578125" style="4" customWidth="1"/>
    <col min="2313" max="2313" width="11.42578125" style="4" customWidth="1"/>
    <col min="2314" max="2315" width="10.42578125" style="4" customWidth="1"/>
    <col min="2316" max="2316" width="10.5703125" style="4" customWidth="1"/>
    <col min="2317" max="2317" width="10" style="4" customWidth="1"/>
    <col min="2318" max="2318" width="11" style="4" bestFit="1" customWidth="1"/>
    <col min="2319" max="2319" width="12" style="4" customWidth="1"/>
    <col min="2320" max="2320" width="11.140625" style="4" customWidth="1"/>
    <col min="2321" max="2321" width="9.5703125" style="4" customWidth="1"/>
    <col min="2322" max="2322" width="10.42578125" style="4" customWidth="1"/>
    <col min="2323" max="2323" width="8.5703125" style="4" customWidth="1"/>
    <col min="2324" max="2324" width="11" style="4" customWidth="1"/>
    <col min="2325" max="2325" width="13.42578125" style="4" bestFit="1" customWidth="1"/>
    <col min="2326" max="2326" width="9.42578125" style="4" customWidth="1"/>
    <col min="2327" max="2327" width="7.5703125" style="4" customWidth="1"/>
    <col min="2328" max="2328" width="11.42578125" style="4" customWidth="1"/>
    <col min="2329" max="2329" width="9.42578125" style="4" customWidth="1"/>
    <col min="2330" max="2330" width="11.42578125" style="4" customWidth="1"/>
    <col min="2331" max="2331" width="13.42578125" style="4" bestFit="1" customWidth="1"/>
    <col min="2332" max="2332" width="5.5703125" style="4" bestFit="1" customWidth="1"/>
    <col min="2333" max="2333" width="19.5703125" style="4" bestFit="1" customWidth="1"/>
    <col min="2334" max="2334" width="1.42578125" style="4" customWidth="1"/>
    <col min="2335" max="2335" width="13.42578125" style="4" bestFit="1" customWidth="1"/>
    <col min="2336" max="2336" width="8.5703125" style="4" bestFit="1" customWidth="1"/>
    <col min="2337" max="2337" width="8.85546875" style="4" bestFit="1" customWidth="1"/>
    <col min="2338" max="2560" width="9.140625" style="4"/>
    <col min="2561" max="2561" width="11" style="4" customWidth="1"/>
    <col min="2562" max="2563" width="12.5703125" style="4" customWidth="1"/>
    <col min="2564" max="2564" width="11" style="4" customWidth="1"/>
    <col min="2565" max="2565" width="8.42578125" style="4" customWidth="1"/>
    <col min="2566" max="2566" width="11.42578125" style="4" customWidth="1"/>
    <col min="2567" max="2567" width="1.85546875" style="4" customWidth="1"/>
    <col min="2568" max="2568" width="8.42578125" style="4" customWidth="1"/>
    <col min="2569" max="2569" width="11.42578125" style="4" customWidth="1"/>
    <col min="2570" max="2571" width="10.42578125" style="4" customWidth="1"/>
    <col min="2572" max="2572" width="10.5703125" style="4" customWidth="1"/>
    <col min="2573" max="2573" width="10" style="4" customWidth="1"/>
    <col min="2574" max="2574" width="11" style="4" bestFit="1" customWidth="1"/>
    <col min="2575" max="2575" width="12" style="4" customWidth="1"/>
    <col min="2576" max="2576" width="11.140625" style="4" customWidth="1"/>
    <col min="2577" max="2577" width="9.5703125" style="4" customWidth="1"/>
    <col min="2578" max="2578" width="10.42578125" style="4" customWidth="1"/>
    <col min="2579" max="2579" width="8.5703125" style="4" customWidth="1"/>
    <col min="2580" max="2580" width="11" style="4" customWidth="1"/>
    <col min="2581" max="2581" width="13.42578125" style="4" bestFit="1" customWidth="1"/>
    <col min="2582" max="2582" width="9.42578125" style="4" customWidth="1"/>
    <col min="2583" max="2583" width="7.5703125" style="4" customWidth="1"/>
    <col min="2584" max="2584" width="11.42578125" style="4" customWidth="1"/>
    <col min="2585" max="2585" width="9.42578125" style="4" customWidth="1"/>
    <col min="2586" max="2586" width="11.42578125" style="4" customWidth="1"/>
    <col min="2587" max="2587" width="13.42578125" style="4" bestFit="1" customWidth="1"/>
    <col min="2588" max="2588" width="5.5703125" style="4" bestFit="1" customWidth="1"/>
    <col min="2589" max="2589" width="19.5703125" style="4" bestFit="1" customWidth="1"/>
    <col min="2590" max="2590" width="1.42578125" style="4" customWidth="1"/>
    <col min="2591" max="2591" width="13.42578125" style="4" bestFit="1" customWidth="1"/>
    <col min="2592" max="2592" width="8.5703125" style="4" bestFit="1" customWidth="1"/>
    <col min="2593" max="2593" width="8.85546875" style="4" bestFit="1" customWidth="1"/>
    <col min="2594" max="2816" width="9.140625" style="4"/>
    <col min="2817" max="2817" width="11" style="4" customWidth="1"/>
    <col min="2818" max="2819" width="12.5703125" style="4" customWidth="1"/>
    <col min="2820" max="2820" width="11" style="4" customWidth="1"/>
    <col min="2821" max="2821" width="8.42578125" style="4" customWidth="1"/>
    <col min="2822" max="2822" width="11.42578125" style="4" customWidth="1"/>
    <col min="2823" max="2823" width="1.85546875" style="4" customWidth="1"/>
    <col min="2824" max="2824" width="8.42578125" style="4" customWidth="1"/>
    <col min="2825" max="2825" width="11.42578125" style="4" customWidth="1"/>
    <col min="2826" max="2827" width="10.42578125" style="4" customWidth="1"/>
    <col min="2828" max="2828" width="10.5703125" style="4" customWidth="1"/>
    <col min="2829" max="2829" width="10" style="4" customWidth="1"/>
    <col min="2830" max="2830" width="11" style="4" bestFit="1" customWidth="1"/>
    <col min="2831" max="2831" width="12" style="4" customWidth="1"/>
    <col min="2832" max="2832" width="11.140625" style="4" customWidth="1"/>
    <col min="2833" max="2833" width="9.5703125" style="4" customWidth="1"/>
    <col min="2834" max="2834" width="10.42578125" style="4" customWidth="1"/>
    <col min="2835" max="2835" width="8.5703125" style="4" customWidth="1"/>
    <col min="2836" max="2836" width="11" style="4" customWidth="1"/>
    <col min="2837" max="2837" width="13.42578125" style="4" bestFit="1" customWidth="1"/>
    <col min="2838" max="2838" width="9.42578125" style="4" customWidth="1"/>
    <col min="2839" max="2839" width="7.5703125" style="4" customWidth="1"/>
    <col min="2840" max="2840" width="11.42578125" style="4" customWidth="1"/>
    <col min="2841" max="2841" width="9.42578125" style="4" customWidth="1"/>
    <col min="2842" max="2842" width="11.42578125" style="4" customWidth="1"/>
    <col min="2843" max="2843" width="13.42578125" style="4" bestFit="1" customWidth="1"/>
    <col min="2844" max="2844" width="5.5703125" style="4" bestFit="1" customWidth="1"/>
    <col min="2845" max="2845" width="19.5703125" style="4" bestFit="1" customWidth="1"/>
    <col min="2846" max="2846" width="1.42578125" style="4" customWidth="1"/>
    <col min="2847" max="2847" width="13.42578125" style="4" bestFit="1" customWidth="1"/>
    <col min="2848" max="2848" width="8.5703125" style="4" bestFit="1" customWidth="1"/>
    <col min="2849" max="2849" width="8.85546875" style="4" bestFit="1" customWidth="1"/>
    <col min="2850" max="3072" width="9.140625" style="4"/>
    <col min="3073" max="3073" width="11" style="4" customWidth="1"/>
    <col min="3074" max="3075" width="12.5703125" style="4" customWidth="1"/>
    <col min="3076" max="3076" width="11" style="4" customWidth="1"/>
    <col min="3077" max="3077" width="8.42578125" style="4" customWidth="1"/>
    <col min="3078" max="3078" width="11.42578125" style="4" customWidth="1"/>
    <col min="3079" max="3079" width="1.85546875" style="4" customWidth="1"/>
    <col min="3080" max="3080" width="8.42578125" style="4" customWidth="1"/>
    <col min="3081" max="3081" width="11.42578125" style="4" customWidth="1"/>
    <col min="3082" max="3083" width="10.42578125" style="4" customWidth="1"/>
    <col min="3084" max="3084" width="10.5703125" style="4" customWidth="1"/>
    <col min="3085" max="3085" width="10" style="4" customWidth="1"/>
    <col min="3086" max="3086" width="11" style="4" bestFit="1" customWidth="1"/>
    <col min="3087" max="3087" width="12" style="4" customWidth="1"/>
    <col min="3088" max="3088" width="11.140625" style="4" customWidth="1"/>
    <col min="3089" max="3089" width="9.5703125" style="4" customWidth="1"/>
    <col min="3090" max="3090" width="10.42578125" style="4" customWidth="1"/>
    <col min="3091" max="3091" width="8.5703125" style="4" customWidth="1"/>
    <col min="3092" max="3092" width="11" style="4" customWidth="1"/>
    <col min="3093" max="3093" width="13.42578125" style="4" bestFit="1" customWidth="1"/>
    <col min="3094" max="3094" width="9.42578125" style="4" customWidth="1"/>
    <col min="3095" max="3095" width="7.5703125" style="4" customWidth="1"/>
    <col min="3096" max="3096" width="11.42578125" style="4" customWidth="1"/>
    <col min="3097" max="3097" width="9.42578125" style="4" customWidth="1"/>
    <col min="3098" max="3098" width="11.42578125" style="4" customWidth="1"/>
    <col min="3099" max="3099" width="13.42578125" style="4" bestFit="1" customWidth="1"/>
    <col min="3100" max="3100" width="5.5703125" style="4" bestFit="1" customWidth="1"/>
    <col min="3101" max="3101" width="19.5703125" style="4" bestFit="1" customWidth="1"/>
    <col min="3102" max="3102" width="1.42578125" style="4" customWidth="1"/>
    <col min="3103" max="3103" width="13.42578125" style="4" bestFit="1" customWidth="1"/>
    <col min="3104" max="3104" width="8.5703125" style="4" bestFit="1" customWidth="1"/>
    <col min="3105" max="3105" width="8.85546875" style="4" bestFit="1" customWidth="1"/>
    <col min="3106" max="3328" width="9.140625" style="4"/>
    <col min="3329" max="3329" width="11" style="4" customWidth="1"/>
    <col min="3330" max="3331" width="12.5703125" style="4" customWidth="1"/>
    <col min="3332" max="3332" width="11" style="4" customWidth="1"/>
    <col min="3333" max="3333" width="8.42578125" style="4" customWidth="1"/>
    <col min="3334" max="3334" width="11.42578125" style="4" customWidth="1"/>
    <col min="3335" max="3335" width="1.85546875" style="4" customWidth="1"/>
    <col min="3336" max="3336" width="8.42578125" style="4" customWidth="1"/>
    <col min="3337" max="3337" width="11.42578125" style="4" customWidth="1"/>
    <col min="3338" max="3339" width="10.42578125" style="4" customWidth="1"/>
    <col min="3340" max="3340" width="10.5703125" style="4" customWidth="1"/>
    <col min="3341" max="3341" width="10" style="4" customWidth="1"/>
    <col min="3342" max="3342" width="11" style="4" bestFit="1" customWidth="1"/>
    <col min="3343" max="3343" width="12" style="4" customWidth="1"/>
    <col min="3344" max="3344" width="11.140625" style="4" customWidth="1"/>
    <col min="3345" max="3345" width="9.5703125" style="4" customWidth="1"/>
    <col min="3346" max="3346" width="10.42578125" style="4" customWidth="1"/>
    <col min="3347" max="3347" width="8.5703125" style="4" customWidth="1"/>
    <col min="3348" max="3348" width="11" style="4" customWidth="1"/>
    <col min="3349" max="3349" width="13.42578125" style="4" bestFit="1" customWidth="1"/>
    <col min="3350" max="3350" width="9.42578125" style="4" customWidth="1"/>
    <col min="3351" max="3351" width="7.5703125" style="4" customWidth="1"/>
    <col min="3352" max="3352" width="11.42578125" style="4" customWidth="1"/>
    <col min="3353" max="3353" width="9.42578125" style="4" customWidth="1"/>
    <col min="3354" max="3354" width="11.42578125" style="4" customWidth="1"/>
    <col min="3355" max="3355" width="13.42578125" style="4" bestFit="1" customWidth="1"/>
    <col min="3356" max="3356" width="5.5703125" style="4" bestFit="1" customWidth="1"/>
    <col min="3357" max="3357" width="19.5703125" style="4" bestFit="1" customWidth="1"/>
    <col min="3358" max="3358" width="1.42578125" style="4" customWidth="1"/>
    <col min="3359" max="3359" width="13.42578125" style="4" bestFit="1" customWidth="1"/>
    <col min="3360" max="3360" width="8.5703125" style="4" bestFit="1" customWidth="1"/>
    <col min="3361" max="3361" width="8.85546875" style="4" bestFit="1" customWidth="1"/>
    <col min="3362" max="3584" width="9.140625" style="4"/>
    <col min="3585" max="3585" width="11" style="4" customWidth="1"/>
    <col min="3586" max="3587" width="12.5703125" style="4" customWidth="1"/>
    <col min="3588" max="3588" width="11" style="4" customWidth="1"/>
    <col min="3589" max="3589" width="8.42578125" style="4" customWidth="1"/>
    <col min="3590" max="3590" width="11.42578125" style="4" customWidth="1"/>
    <col min="3591" max="3591" width="1.85546875" style="4" customWidth="1"/>
    <col min="3592" max="3592" width="8.42578125" style="4" customWidth="1"/>
    <col min="3593" max="3593" width="11.42578125" style="4" customWidth="1"/>
    <col min="3594" max="3595" width="10.42578125" style="4" customWidth="1"/>
    <col min="3596" max="3596" width="10.5703125" style="4" customWidth="1"/>
    <col min="3597" max="3597" width="10" style="4" customWidth="1"/>
    <col min="3598" max="3598" width="11" style="4" bestFit="1" customWidth="1"/>
    <col min="3599" max="3599" width="12" style="4" customWidth="1"/>
    <col min="3600" max="3600" width="11.140625" style="4" customWidth="1"/>
    <col min="3601" max="3601" width="9.5703125" style="4" customWidth="1"/>
    <col min="3602" max="3602" width="10.42578125" style="4" customWidth="1"/>
    <col min="3603" max="3603" width="8.5703125" style="4" customWidth="1"/>
    <col min="3604" max="3604" width="11" style="4" customWidth="1"/>
    <col min="3605" max="3605" width="13.42578125" style="4" bestFit="1" customWidth="1"/>
    <col min="3606" max="3606" width="9.42578125" style="4" customWidth="1"/>
    <col min="3607" max="3607" width="7.5703125" style="4" customWidth="1"/>
    <col min="3608" max="3608" width="11.42578125" style="4" customWidth="1"/>
    <col min="3609" max="3609" width="9.42578125" style="4" customWidth="1"/>
    <col min="3610" max="3610" width="11.42578125" style="4" customWidth="1"/>
    <col min="3611" max="3611" width="13.42578125" style="4" bestFit="1" customWidth="1"/>
    <col min="3612" max="3612" width="5.5703125" style="4" bestFit="1" customWidth="1"/>
    <col min="3613" max="3613" width="19.5703125" style="4" bestFit="1" customWidth="1"/>
    <col min="3614" max="3614" width="1.42578125" style="4" customWidth="1"/>
    <col min="3615" max="3615" width="13.42578125" style="4" bestFit="1" customWidth="1"/>
    <col min="3616" max="3616" width="8.5703125" style="4" bestFit="1" customWidth="1"/>
    <col min="3617" max="3617" width="8.85546875" style="4" bestFit="1" customWidth="1"/>
    <col min="3618" max="3840" width="9.140625" style="4"/>
    <col min="3841" max="3841" width="11" style="4" customWidth="1"/>
    <col min="3842" max="3843" width="12.5703125" style="4" customWidth="1"/>
    <col min="3844" max="3844" width="11" style="4" customWidth="1"/>
    <col min="3845" max="3845" width="8.42578125" style="4" customWidth="1"/>
    <col min="3846" max="3846" width="11.42578125" style="4" customWidth="1"/>
    <col min="3847" max="3847" width="1.85546875" style="4" customWidth="1"/>
    <col min="3848" max="3848" width="8.42578125" style="4" customWidth="1"/>
    <col min="3849" max="3849" width="11.42578125" style="4" customWidth="1"/>
    <col min="3850" max="3851" width="10.42578125" style="4" customWidth="1"/>
    <col min="3852" max="3852" width="10.5703125" style="4" customWidth="1"/>
    <col min="3853" max="3853" width="10" style="4" customWidth="1"/>
    <col min="3854" max="3854" width="11" style="4" bestFit="1" customWidth="1"/>
    <col min="3855" max="3855" width="12" style="4" customWidth="1"/>
    <col min="3856" max="3856" width="11.140625" style="4" customWidth="1"/>
    <col min="3857" max="3857" width="9.5703125" style="4" customWidth="1"/>
    <col min="3858" max="3858" width="10.42578125" style="4" customWidth="1"/>
    <col min="3859" max="3859" width="8.5703125" style="4" customWidth="1"/>
    <col min="3860" max="3860" width="11" style="4" customWidth="1"/>
    <col min="3861" max="3861" width="13.42578125" style="4" bestFit="1" customWidth="1"/>
    <col min="3862" max="3862" width="9.42578125" style="4" customWidth="1"/>
    <col min="3863" max="3863" width="7.5703125" style="4" customWidth="1"/>
    <col min="3864" max="3864" width="11.42578125" style="4" customWidth="1"/>
    <col min="3865" max="3865" width="9.42578125" style="4" customWidth="1"/>
    <col min="3866" max="3866" width="11.42578125" style="4" customWidth="1"/>
    <col min="3867" max="3867" width="13.42578125" style="4" bestFit="1" customWidth="1"/>
    <col min="3868" max="3868" width="5.5703125" style="4" bestFit="1" customWidth="1"/>
    <col min="3869" max="3869" width="19.5703125" style="4" bestFit="1" customWidth="1"/>
    <col min="3870" max="3870" width="1.42578125" style="4" customWidth="1"/>
    <col min="3871" max="3871" width="13.42578125" style="4" bestFit="1" customWidth="1"/>
    <col min="3872" max="3872" width="8.5703125" style="4" bestFit="1" customWidth="1"/>
    <col min="3873" max="3873" width="8.85546875" style="4" bestFit="1" customWidth="1"/>
    <col min="3874" max="4096" width="9.140625" style="4"/>
    <col min="4097" max="4097" width="11" style="4" customWidth="1"/>
    <col min="4098" max="4099" width="12.5703125" style="4" customWidth="1"/>
    <col min="4100" max="4100" width="11" style="4" customWidth="1"/>
    <col min="4101" max="4101" width="8.42578125" style="4" customWidth="1"/>
    <col min="4102" max="4102" width="11.42578125" style="4" customWidth="1"/>
    <col min="4103" max="4103" width="1.85546875" style="4" customWidth="1"/>
    <col min="4104" max="4104" width="8.42578125" style="4" customWidth="1"/>
    <col min="4105" max="4105" width="11.42578125" style="4" customWidth="1"/>
    <col min="4106" max="4107" width="10.42578125" style="4" customWidth="1"/>
    <col min="4108" max="4108" width="10.5703125" style="4" customWidth="1"/>
    <col min="4109" max="4109" width="10" style="4" customWidth="1"/>
    <col min="4110" max="4110" width="11" style="4" bestFit="1" customWidth="1"/>
    <col min="4111" max="4111" width="12" style="4" customWidth="1"/>
    <col min="4112" max="4112" width="11.140625" style="4" customWidth="1"/>
    <col min="4113" max="4113" width="9.5703125" style="4" customWidth="1"/>
    <col min="4114" max="4114" width="10.42578125" style="4" customWidth="1"/>
    <col min="4115" max="4115" width="8.5703125" style="4" customWidth="1"/>
    <col min="4116" max="4116" width="11" style="4" customWidth="1"/>
    <col min="4117" max="4117" width="13.42578125" style="4" bestFit="1" customWidth="1"/>
    <col min="4118" max="4118" width="9.42578125" style="4" customWidth="1"/>
    <col min="4119" max="4119" width="7.5703125" style="4" customWidth="1"/>
    <col min="4120" max="4120" width="11.42578125" style="4" customWidth="1"/>
    <col min="4121" max="4121" width="9.42578125" style="4" customWidth="1"/>
    <col min="4122" max="4122" width="11.42578125" style="4" customWidth="1"/>
    <col min="4123" max="4123" width="13.42578125" style="4" bestFit="1" customWidth="1"/>
    <col min="4124" max="4124" width="5.5703125" style="4" bestFit="1" customWidth="1"/>
    <col min="4125" max="4125" width="19.5703125" style="4" bestFit="1" customWidth="1"/>
    <col min="4126" max="4126" width="1.42578125" style="4" customWidth="1"/>
    <col min="4127" max="4127" width="13.42578125" style="4" bestFit="1" customWidth="1"/>
    <col min="4128" max="4128" width="8.5703125" style="4" bestFit="1" customWidth="1"/>
    <col min="4129" max="4129" width="8.85546875" style="4" bestFit="1" customWidth="1"/>
    <col min="4130" max="4352" width="9.140625" style="4"/>
    <col min="4353" max="4353" width="11" style="4" customWidth="1"/>
    <col min="4354" max="4355" width="12.5703125" style="4" customWidth="1"/>
    <col min="4356" max="4356" width="11" style="4" customWidth="1"/>
    <col min="4357" max="4357" width="8.42578125" style="4" customWidth="1"/>
    <col min="4358" max="4358" width="11.42578125" style="4" customWidth="1"/>
    <col min="4359" max="4359" width="1.85546875" style="4" customWidth="1"/>
    <col min="4360" max="4360" width="8.42578125" style="4" customWidth="1"/>
    <col min="4361" max="4361" width="11.42578125" style="4" customWidth="1"/>
    <col min="4362" max="4363" width="10.42578125" style="4" customWidth="1"/>
    <col min="4364" max="4364" width="10.5703125" style="4" customWidth="1"/>
    <col min="4365" max="4365" width="10" style="4" customWidth="1"/>
    <col min="4366" max="4366" width="11" style="4" bestFit="1" customWidth="1"/>
    <col min="4367" max="4367" width="12" style="4" customWidth="1"/>
    <col min="4368" max="4368" width="11.140625" style="4" customWidth="1"/>
    <col min="4369" max="4369" width="9.5703125" style="4" customWidth="1"/>
    <col min="4370" max="4370" width="10.42578125" style="4" customWidth="1"/>
    <col min="4371" max="4371" width="8.5703125" style="4" customWidth="1"/>
    <col min="4372" max="4372" width="11" style="4" customWidth="1"/>
    <col min="4373" max="4373" width="13.42578125" style="4" bestFit="1" customWidth="1"/>
    <col min="4374" max="4374" width="9.42578125" style="4" customWidth="1"/>
    <col min="4375" max="4375" width="7.5703125" style="4" customWidth="1"/>
    <col min="4376" max="4376" width="11.42578125" style="4" customWidth="1"/>
    <col min="4377" max="4377" width="9.42578125" style="4" customWidth="1"/>
    <col min="4378" max="4378" width="11.42578125" style="4" customWidth="1"/>
    <col min="4379" max="4379" width="13.42578125" style="4" bestFit="1" customWidth="1"/>
    <col min="4380" max="4380" width="5.5703125" style="4" bestFit="1" customWidth="1"/>
    <col min="4381" max="4381" width="19.5703125" style="4" bestFit="1" customWidth="1"/>
    <col min="4382" max="4382" width="1.42578125" style="4" customWidth="1"/>
    <col min="4383" max="4383" width="13.42578125" style="4" bestFit="1" customWidth="1"/>
    <col min="4384" max="4384" width="8.5703125" style="4" bestFit="1" customWidth="1"/>
    <col min="4385" max="4385" width="8.85546875" style="4" bestFit="1" customWidth="1"/>
    <col min="4386" max="4608" width="9.140625" style="4"/>
    <col min="4609" max="4609" width="11" style="4" customWidth="1"/>
    <col min="4610" max="4611" width="12.5703125" style="4" customWidth="1"/>
    <col min="4612" max="4612" width="11" style="4" customWidth="1"/>
    <col min="4613" max="4613" width="8.42578125" style="4" customWidth="1"/>
    <col min="4614" max="4614" width="11.42578125" style="4" customWidth="1"/>
    <col min="4615" max="4615" width="1.85546875" style="4" customWidth="1"/>
    <col min="4616" max="4616" width="8.42578125" style="4" customWidth="1"/>
    <col min="4617" max="4617" width="11.42578125" style="4" customWidth="1"/>
    <col min="4618" max="4619" width="10.42578125" style="4" customWidth="1"/>
    <col min="4620" max="4620" width="10.5703125" style="4" customWidth="1"/>
    <col min="4621" max="4621" width="10" style="4" customWidth="1"/>
    <col min="4622" max="4622" width="11" style="4" bestFit="1" customWidth="1"/>
    <col min="4623" max="4623" width="12" style="4" customWidth="1"/>
    <col min="4624" max="4624" width="11.140625" style="4" customWidth="1"/>
    <col min="4625" max="4625" width="9.5703125" style="4" customWidth="1"/>
    <col min="4626" max="4626" width="10.42578125" style="4" customWidth="1"/>
    <col min="4627" max="4627" width="8.5703125" style="4" customWidth="1"/>
    <col min="4628" max="4628" width="11" style="4" customWidth="1"/>
    <col min="4629" max="4629" width="13.42578125" style="4" bestFit="1" customWidth="1"/>
    <col min="4630" max="4630" width="9.42578125" style="4" customWidth="1"/>
    <col min="4631" max="4631" width="7.5703125" style="4" customWidth="1"/>
    <col min="4632" max="4632" width="11.42578125" style="4" customWidth="1"/>
    <col min="4633" max="4633" width="9.42578125" style="4" customWidth="1"/>
    <col min="4634" max="4634" width="11.42578125" style="4" customWidth="1"/>
    <col min="4635" max="4635" width="13.42578125" style="4" bestFit="1" customWidth="1"/>
    <col min="4636" max="4636" width="5.5703125" style="4" bestFit="1" customWidth="1"/>
    <col min="4637" max="4637" width="19.5703125" style="4" bestFit="1" customWidth="1"/>
    <col min="4638" max="4638" width="1.42578125" style="4" customWidth="1"/>
    <col min="4639" max="4639" width="13.42578125" style="4" bestFit="1" customWidth="1"/>
    <col min="4640" max="4640" width="8.5703125" style="4" bestFit="1" customWidth="1"/>
    <col min="4641" max="4641" width="8.85546875" style="4" bestFit="1" customWidth="1"/>
    <col min="4642" max="4864" width="9.140625" style="4"/>
    <col min="4865" max="4865" width="11" style="4" customWidth="1"/>
    <col min="4866" max="4867" width="12.5703125" style="4" customWidth="1"/>
    <col min="4868" max="4868" width="11" style="4" customWidth="1"/>
    <col min="4869" max="4869" width="8.42578125" style="4" customWidth="1"/>
    <col min="4870" max="4870" width="11.42578125" style="4" customWidth="1"/>
    <col min="4871" max="4871" width="1.85546875" style="4" customWidth="1"/>
    <col min="4872" max="4872" width="8.42578125" style="4" customWidth="1"/>
    <col min="4873" max="4873" width="11.42578125" style="4" customWidth="1"/>
    <col min="4874" max="4875" width="10.42578125" style="4" customWidth="1"/>
    <col min="4876" max="4876" width="10.5703125" style="4" customWidth="1"/>
    <col min="4877" max="4877" width="10" style="4" customWidth="1"/>
    <col min="4878" max="4878" width="11" style="4" bestFit="1" customWidth="1"/>
    <col min="4879" max="4879" width="12" style="4" customWidth="1"/>
    <col min="4880" max="4880" width="11.140625" style="4" customWidth="1"/>
    <col min="4881" max="4881" width="9.5703125" style="4" customWidth="1"/>
    <col min="4882" max="4882" width="10.42578125" style="4" customWidth="1"/>
    <col min="4883" max="4883" width="8.5703125" style="4" customWidth="1"/>
    <col min="4884" max="4884" width="11" style="4" customWidth="1"/>
    <col min="4885" max="4885" width="13.42578125" style="4" bestFit="1" customWidth="1"/>
    <col min="4886" max="4886" width="9.42578125" style="4" customWidth="1"/>
    <col min="4887" max="4887" width="7.5703125" style="4" customWidth="1"/>
    <col min="4888" max="4888" width="11.42578125" style="4" customWidth="1"/>
    <col min="4889" max="4889" width="9.42578125" style="4" customWidth="1"/>
    <col min="4890" max="4890" width="11.42578125" style="4" customWidth="1"/>
    <col min="4891" max="4891" width="13.42578125" style="4" bestFit="1" customWidth="1"/>
    <col min="4892" max="4892" width="5.5703125" style="4" bestFit="1" customWidth="1"/>
    <col min="4893" max="4893" width="19.5703125" style="4" bestFit="1" customWidth="1"/>
    <col min="4894" max="4894" width="1.42578125" style="4" customWidth="1"/>
    <col min="4895" max="4895" width="13.42578125" style="4" bestFit="1" customWidth="1"/>
    <col min="4896" max="4896" width="8.5703125" style="4" bestFit="1" customWidth="1"/>
    <col min="4897" max="4897" width="8.85546875" style="4" bestFit="1" customWidth="1"/>
    <col min="4898" max="5120" width="9.140625" style="4"/>
    <col min="5121" max="5121" width="11" style="4" customWidth="1"/>
    <col min="5122" max="5123" width="12.5703125" style="4" customWidth="1"/>
    <col min="5124" max="5124" width="11" style="4" customWidth="1"/>
    <col min="5125" max="5125" width="8.42578125" style="4" customWidth="1"/>
    <col min="5126" max="5126" width="11.42578125" style="4" customWidth="1"/>
    <col min="5127" max="5127" width="1.85546875" style="4" customWidth="1"/>
    <col min="5128" max="5128" width="8.42578125" style="4" customWidth="1"/>
    <col min="5129" max="5129" width="11.42578125" style="4" customWidth="1"/>
    <col min="5130" max="5131" width="10.42578125" style="4" customWidth="1"/>
    <col min="5132" max="5132" width="10.5703125" style="4" customWidth="1"/>
    <col min="5133" max="5133" width="10" style="4" customWidth="1"/>
    <col min="5134" max="5134" width="11" style="4" bestFit="1" customWidth="1"/>
    <col min="5135" max="5135" width="12" style="4" customWidth="1"/>
    <col min="5136" max="5136" width="11.140625" style="4" customWidth="1"/>
    <col min="5137" max="5137" width="9.5703125" style="4" customWidth="1"/>
    <col min="5138" max="5138" width="10.42578125" style="4" customWidth="1"/>
    <col min="5139" max="5139" width="8.5703125" style="4" customWidth="1"/>
    <col min="5140" max="5140" width="11" style="4" customWidth="1"/>
    <col min="5141" max="5141" width="13.42578125" style="4" bestFit="1" customWidth="1"/>
    <col min="5142" max="5142" width="9.42578125" style="4" customWidth="1"/>
    <col min="5143" max="5143" width="7.5703125" style="4" customWidth="1"/>
    <col min="5144" max="5144" width="11.42578125" style="4" customWidth="1"/>
    <col min="5145" max="5145" width="9.42578125" style="4" customWidth="1"/>
    <col min="5146" max="5146" width="11.42578125" style="4" customWidth="1"/>
    <col min="5147" max="5147" width="13.42578125" style="4" bestFit="1" customWidth="1"/>
    <col min="5148" max="5148" width="5.5703125" style="4" bestFit="1" customWidth="1"/>
    <col min="5149" max="5149" width="19.5703125" style="4" bestFit="1" customWidth="1"/>
    <col min="5150" max="5150" width="1.42578125" style="4" customWidth="1"/>
    <col min="5151" max="5151" width="13.42578125" style="4" bestFit="1" customWidth="1"/>
    <col min="5152" max="5152" width="8.5703125" style="4" bestFit="1" customWidth="1"/>
    <col min="5153" max="5153" width="8.85546875" style="4" bestFit="1" customWidth="1"/>
    <col min="5154" max="5376" width="9.140625" style="4"/>
    <col min="5377" max="5377" width="11" style="4" customWidth="1"/>
    <col min="5378" max="5379" width="12.5703125" style="4" customWidth="1"/>
    <col min="5380" max="5380" width="11" style="4" customWidth="1"/>
    <col min="5381" max="5381" width="8.42578125" style="4" customWidth="1"/>
    <col min="5382" max="5382" width="11.42578125" style="4" customWidth="1"/>
    <col min="5383" max="5383" width="1.85546875" style="4" customWidth="1"/>
    <col min="5384" max="5384" width="8.42578125" style="4" customWidth="1"/>
    <col min="5385" max="5385" width="11.42578125" style="4" customWidth="1"/>
    <col min="5386" max="5387" width="10.42578125" style="4" customWidth="1"/>
    <col min="5388" max="5388" width="10.5703125" style="4" customWidth="1"/>
    <col min="5389" max="5389" width="10" style="4" customWidth="1"/>
    <col min="5390" max="5390" width="11" style="4" bestFit="1" customWidth="1"/>
    <col min="5391" max="5391" width="12" style="4" customWidth="1"/>
    <col min="5392" max="5392" width="11.140625" style="4" customWidth="1"/>
    <col min="5393" max="5393" width="9.5703125" style="4" customWidth="1"/>
    <col min="5394" max="5394" width="10.42578125" style="4" customWidth="1"/>
    <col min="5395" max="5395" width="8.5703125" style="4" customWidth="1"/>
    <col min="5396" max="5396" width="11" style="4" customWidth="1"/>
    <col min="5397" max="5397" width="13.42578125" style="4" bestFit="1" customWidth="1"/>
    <col min="5398" max="5398" width="9.42578125" style="4" customWidth="1"/>
    <col min="5399" max="5399" width="7.5703125" style="4" customWidth="1"/>
    <col min="5400" max="5400" width="11.42578125" style="4" customWidth="1"/>
    <col min="5401" max="5401" width="9.42578125" style="4" customWidth="1"/>
    <col min="5402" max="5402" width="11.42578125" style="4" customWidth="1"/>
    <col min="5403" max="5403" width="13.42578125" style="4" bestFit="1" customWidth="1"/>
    <col min="5404" max="5404" width="5.5703125" style="4" bestFit="1" customWidth="1"/>
    <col min="5405" max="5405" width="19.5703125" style="4" bestFit="1" customWidth="1"/>
    <col min="5406" max="5406" width="1.42578125" style="4" customWidth="1"/>
    <col min="5407" max="5407" width="13.42578125" style="4" bestFit="1" customWidth="1"/>
    <col min="5408" max="5408" width="8.5703125" style="4" bestFit="1" customWidth="1"/>
    <col min="5409" max="5409" width="8.85546875" style="4" bestFit="1" customWidth="1"/>
    <col min="5410" max="5632" width="9.140625" style="4"/>
    <col min="5633" max="5633" width="11" style="4" customWidth="1"/>
    <col min="5634" max="5635" width="12.5703125" style="4" customWidth="1"/>
    <col min="5636" max="5636" width="11" style="4" customWidth="1"/>
    <col min="5637" max="5637" width="8.42578125" style="4" customWidth="1"/>
    <col min="5638" max="5638" width="11.42578125" style="4" customWidth="1"/>
    <col min="5639" max="5639" width="1.85546875" style="4" customWidth="1"/>
    <col min="5640" max="5640" width="8.42578125" style="4" customWidth="1"/>
    <col min="5641" max="5641" width="11.42578125" style="4" customWidth="1"/>
    <col min="5642" max="5643" width="10.42578125" style="4" customWidth="1"/>
    <col min="5644" max="5644" width="10.5703125" style="4" customWidth="1"/>
    <col min="5645" max="5645" width="10" style="4" customWidth="1"/>
    <col min="5646" max="5646" width="11" style="4" bestFit="1" customWidth="1"/>
    <col min="5647" max="5647" width="12" style="4" customWidth="1"/>
    <col min="5648" max="5648" width="11.140625" style="4" customWidth="1"/>
    <col min="5649" max="5649" width="9.5703125" style="4" customWidth="1"/>
    <col min="5650" max="5650" width="10.42578125" style="4" customWidth="1"/>
    <col min="5651" max="5651" width="8.5703125" style="4" customWidth="1"/>
    <col min="5652" max="5652" width="11" style="4" customWidth="1"/>
    <col min="5653" max="5653" width="13.42578125" style="4" bestFit="1" customWidth="1"/>
    <col min="5654" max="5654" width="9.42578125" style="4" customWidth="1"/>
    <col min="5655" max="5655" width="7.5703125" style="4" customWidth="1"/>
    <col min="5656" max="5656" width="11.42578125" style="4" customWidth="1"/>
    <col min="5657" max="5657" width="9.42578125" style="4" customWidth="1"/>
    <col min="5658" max="5658" width="11.42578125" style="4" customWidth="1"/>
    <col min="5659" max="5659" width="13.42578125" style="4" bestFit="1" customWidth="1"/>
    <col min="5660" max="5660" width="5.5703125" style="4" bestFit="1" customWidth="1"/>
    <col min="5661" max="5661" width="19.5703125" style="4" bestFit="1" customWidth="1"/>
    <col min="5662" max="5662" width="1.42578125" style="4" customWidth="1"/>
    <col min="5663" max="5663" width="13.42578125" style="4" bestFit="1" customWidth="1"/>
    <col min="5664" max="5664" width="8.5703125" style="4" bestFit="1" customWidth="1"/>
    <col min="5665" max="5665" width="8.85546875" style="4" bestFit="1" customWidth="1"/>
    <col min="5666" max="5888" width="9.140625" style="4"/>
    <col min="5889" max="5889" width="11" style="4" customWidth="1"/>
    <col min="5890" max="5891" width="12.5703125" style="4" customWidth="1"/>
    <col min="5892" max="5892" width="11" style="4" customWidth="1"/>
    <col min="5893" max="5893" width="8.42578125" style="4" customWidth="1"/>
    <col min="5894" max="5894" width="11.42578125" style="4" customWidth="1"/>
    <col min="5895" max="5895" width="1.85546875" style="4" customWidth="1"/>
    <col min="5896" max="5896" width="8.42578125" style="4" customWidth="1"/>
    <col min="5897" max="5897" width="11.42578125" style="4" customWidth="1"/>
    <col min="5898" max="5899" width="10.42578125" style="4" customWidth="1"/>
    <col min="5900" max="5900" width="10.5703125" style="4" customWidth="1"/>
    <col min="5901" max="5901" width="10" style="4" customWidth="1"/>
    <col min="5902" max="5902" width="11" style="4" bestFit="1" customWidth="1"/>
    <col min="5903" max="5903" width="12" style="4" customWidth="1"/>
    <col min="5904" max="5904" width="11.140625" style="4" customWidth="1"/>
    <col min="5905" max="5905" width="9.5703125" style="4" customWidth="1"/>
    <col min="5906" max="5906" width="10.42578125" style="4" customWidth="1"/>
    <col min="5907" max="5907" width="8.5703125" style="4" customWidth="1"/>
    <col min="5908" max="5908" width="11" style="4" customWidth="1"/>
    <col min="5909" max="5909" width="13.42578125" style="4" bestFit="1" customWidth="1"/>
    <col min="5910" max="5910" width="9.42578125" style="4" customWidth="1"/>
    <col min="5911" max="5911" width="7.5703125" style="4" customWidth="1"/>
    <col min="5912" max="5912" width="11.42578125" style="4" customWidth="1"/>
    <col min="5913" max="5913" width="9.42578125" style="4" customWidth="1"/>
    <col min="5914" max="5914" width="11.42578125" style="4" customWidth="1"/>
    <col min="5915" max="5915" width="13.42578125" style="4" bestFit="1" customWidth="1"/>
    <col min="5916" max="5916" width="5.5703125" style="4" bestFit="1" customWidth="1"/>
    <col min="5917" max="5917" width="19.5703125" style="4" bestFit="1" customWidth="1"/>
    <col min="5918" max="5918" width="1.42578125" style="4" customWidth="1"/>
    <col min="5919" max="5919" width="13.42578125" style="4" bestFit="1" customWidth="1"/>
    <col min="5920" max="5920" width="8.5703125" style="4" bestFit="1" customWidth="1"/>
    <col min="5921" max="5921" width="8.85546875" style="4" bestFit="1" customWidth="1"/>
    <col min="5922" max="6144" width="9.140625" style="4"/>
    <col min="6145" max="6145" width="11" style="4" customWidth="1"/>
    <col min="6146" max="6147" width="12.5703125" style="4" customWidth="1"/>
    <col min="6148" max="6148" width="11" style="4" customWidth="1"/>
    <col min="6149" max="6149" width="8.42578125" style="4" customWidth="1"/>
    <col min="6150" max="6150" width="11.42578125" style="4" customWidth="1"/>
    <col min="6151" max="6151" width="1.85546875" style="4" customWidth="1"/>
    <col min="6152" max="6152" width="8.42578125" style="4" customWidth="1"/>
    <col min="6153" max="6153" width="11.42578125" style="4" customWidth="1"/>
    <col min="6154" max="6155" width="10.42578125" style="4" customWidth="1"/>
    <col min="6156" max="6156" width="10.5703125" style="4" customWidth="1"/>
    <col min="6157" max="6157" width="10" style="4" customWidth="1"/>
    <col min="6158" max="6158" width="11" style="4" bestFit="1" customWidth="1"/>
    <col min="6159" max="6159" width="12" style="4" customWidth="1"/>
    <col min="6160" max="6160" width="11.140625" style="4" customWidth="1"/>
    <col min="6161" max="6161" width="9.5703125" style="4" customWidth="1"/>
    <col min="6162" max="6162" width="10.42578125" style="4" customWidth="1"/>
    <col min="6163" max="6163" width="8.5703125" style="4" customWidth="1"/>
    <col min="6164" max="6164" width="11" style="4" customWidth="1"/>
    <col min="6165" max="6165" width="13.42578125" style="4" bestFit="1" customWidth="1"/>
    <col min="6166" max="6166" width="9.42578125" style="4" customWidth="1"/>
    <col min="6167" max="6167" width="7.5703125" style="4" customWidth="1"/>
    <col min="6168" max="6168" width="11.42578125" style="4" customWidth="1"/>
    <col min="6169" max="6169" width="9.42578125" style="4" customWidth="1"/>
    <col min="6170" max="6170" width="11.42578125" style="4" customWidth="1"/>
    <col min="6171" max="6171" width="13.42578125" style="4" bestFit="1" customWidth="1"/>
    <col min="6172" max="6172" width="5.5703125" style="4" bestFit="1" customWidth="1"/>
    <col min="6173" max="6173" width="19.5703125" style="4" bestFit="1" customWidth="1"/>
    <col min="6174" max="6174" width="1.42578125" style="4" customWidth="1"/>
    <col min="6175" max="6175" width="13.42578125" style="4" bestFit="1" customWidth="1"/>
    <col min="6176" max="6176" width="8.5703125" style="4" bestFit="1" customWidth="1"/>
    <col min="6177" max="6177" width="8.85546875" style="4" bestFit="1" customWidth="1"/>
    <col min="6178" max="6400" width="9.140625" style="4"/>
    <col min="6401" max="6401" width="11" style="4" customWidth="1"/>
    <col min="6402" max="6403" width="12.5703125" style="4" customWidth="1"/>
    <col min="6404" max="6404" width="11" style="4" customWidth="1"/>
    <col min="6405" max="6405" width="8.42578125" style="4" customWidth="1"/>
    <col min="6406" max="6406" width="11.42578125" style="4" customWidth="1"/>
    <col min="6407" max="6407" width="1.85546875" style="4" customWidth="1"/>
    <col min="6408" max="6408" width="8.42578125" style="4" customWidth="1"/>
    <col min="6409" max="6409" width="11.42578125" style="4" customWidth="1"/>
    <col min="6410" max="6411" width="10.42578125" style="4" customWidth="1"/>
    <col min="6412" max="6412" width="10.5703125" style="4" customWidth="1"/>
    <col min="6413" max="6413" width="10" style="4" customWidth="1"/>
    <col min="6414" max="6414" width="11" style="4" bestFit="1" customWidth="1"/>
    <col min="6415" max="6415" width="12" style="4" customWidth="1"/>
    <col min="6416" max="6416" width="11.140625" style="4" customWidth="1"/>
    <col min="6417" max="6417" width="9.5703125" style="4" customWidth="1"/>
    <col min="6418" max="6418" width="10.42578125" style="4" customWidth="1"/>
    <col min="6419" max="6419" width="8.5703125" style="4" customWidth="1"/>
    <col min="6420" max="6420" width="11" style="4" customWidth="1"/>
    <col min="6421" max="6421" width="13.42578125" style="4" bestFit="1" customWidth="1"/>
    <col min="6422" max="6422" width="9.42578125" style="4" customWidth="1"/>
    <col min="6423" max="6423" width="7.5703125" style="4" customWidth="1"/>
    <col min="6424" max="6424" width="11.42578125" style="4" customWidth="1"/>
    <col min="6425" max="6425" width="9.42578125" style="4" customWidth="1"/>
    <col min="6426" max="6426" width="11.42578125" style="4" customWidth="1"/>
    <col min="6427" max="6427" width="13.42578125" style="4" bestFit="1" customWidth="1"/>
    <col min="6428" max="6428" width="5.5703125" style="4" bestFit="1" customWidth="1"/>
    <col min="6429" max="6429" width="19.5703125" style="4" bestFit="1" customWidth="1"/>
    <col min="6430" max="6430" width="1.42578125" style="4" customWidth="1"/>
    <col min="6431" max="6431" width="13.42578125" style="4" bestFit="1" customWidth="1"/>
    <col min="6432" max="6432" width="8.5703125" style="4" bestFit="1" customWidth="1"/>
    <col min="6433" max="6433" width="8.85546875" style="4" bestFit="1" customWidth="1"/>
    <col min="6434" max="6656" width="9.140625" style="4"/>
    <col min="6657" max="6657" width="11" style="4" customWidth="1"/>
    <col min="6658" max="6659" width="12.5703125" style="4" customWidth="1"/>
    <col min="6660" max="6660" width="11" style="4" customWidth="1"/>
    <col min="6661" max="6661" width="8.42578125" style="4" customWidth="1"/>
    <col min="6662" max="6662" width="11.42578125" style="4" customWidth="1"/>
    <col min="6663" max="6663" width="1.85546875" style="4" customWidth="1"/>
    <col min="6664" max="6664" width="8.42578125" style="4" customWidth="1"/>
    <col min="6665" max="6665" width="11.42578125" style="4" customWidth="1"/>
    <col min="6666" max="6667" width="10.42578125" style="4" customWidth="1"/>
    <col min="6668" max="6668" width="10.5703125" style="4" customWidth="1"/>
    <col min="6669" max="6669" width="10" style="4" customWidth="1"/>
    <col min="6670" max="6670" width="11" style="4" bestFit="1" customWidth="1"/>
    <col min="6671" max="6671" width="12" style="4" customWidth="1"/>
    <col min="6672" max="6672" width="11.140625" style="4" customWidth="1"/>
    <col min="6673" max="6673" width="9.5703125" style="4" customWidth="1"/>
    <col min="6674" max="6674" width="10.42578125" style="4" customWidth="1"/>
    <col min="6675" max="6675" width="8.5703125" style="4" customWidth="1"/>
    <col min="6676" max="6676" width="11" style="4" customWidth="1"/>
    <col min="6677" max="6677" width="13.42578125" style="4" bestFit="1" customWidth="1"/>
    <col min="6678" max="6678" width="9.42578125" style="4" customWidth="1"/>
    <col min="6679" max="6679" width="7.5703125" style="4" customWidth="1"/>
    <col min="6680" max="6680" width="11.42578125" style="4" customWidth="1"/>
    <col min="6681" max="6681" width="9.42578125" style="4" customWidth="1"/>
    <col min="6682" max="6682" width="11.42578125" style="4" customWidth="1"/>
    <col min="6683" max="6683" width="13.42578125" style="4" bestFit="1" customWidth="1"/>
    <col min="6684" max="6684" width="5.5703125" style="4" bestFit="1" customWidth="1"/>
    <col min="6685" max="6685" width="19.5703125" style="4" bestFit="1" customWidth="1"/>
    <col min="6686" max="6686" width="1.42578125" style="4" customWidth="1"/>
    <col min="6687" max="6687" width="13.42578125" style="4" bestFit="1" customWidth="1"/>
    <col min="6688" max="6688" width="8.5703125" style="4" bestFit="1" customWidth="1"/>
    <col min="6689" max="6689" width="8.85546875" style="4" bestFit="1" customWidth="1"/>
    <col min="6690" max="6912" width="9.140625" style="4"/>
    <col min="6913" max="6913" width="11" style="4" customWidth="1"/>
    <col min="6914" max="6915" width="12.5703125" style="4" customWidth="1"/>
    <col min="6916" max="6916" width="11" style="4" customWidth="1"/>
    <col min="6917" max="6917" width="8.42578125" style="4" customWidth="1"/>
    <col min="6918" max="6918" width="11.42578125" style="4" customWidth="1"/>
    <col min="6919" max="6919" width="1.85546875" style="4" customWidth="1"/>
    <col min="6920" max="6920" width="8.42578125" style="4" customWidth="1"/>
    <col min="6921" max="6921" width="11.42578125" style="4" customWidth="1"/>
    <col min="6922" max="6923" width="10.42578125" style="4" customWidth="1"/>
    <col min="6924" max="6924" width="10.5703125" style="4" customWidth="1"/>
    <col min="6925" max="6925" width="10" style="4" customWidth="1"/>
    <col min="6926" max="6926" width="11" style="4" bestFit="1" customWidth="1"/>
    <col min="6927" max="6927" width="12" style="4" customWidth="1"/>
    <col min="6928" max="6928" width="11.140625" style="4" customWidth="1"/>
    <col min="6929" max="6929" width="9.5703125" style="4" customWidth="1"/>
    <col min="6930" max="6930" width="10.42578125" style="4" customWidth="1"/>
    <col min="6931" max="6931" width="8.5703125" style="4" customWidth="1"/>
    <col min="6932" max="6932" width="11" style="4" customWidth="1"/>
    <col min="6933" max="6933" width="13.42578125" style="4" bestFit="1" customWidth="1"/>
    <col min="6934" max="6934" width="9.42578125" style="4" customWidth="1"/>
    <col min="6935" max="6935" width="7.5703125" style="4" customWidth="1"/>
    <col min="6936" max="6936" width="11.42578125" style="4" customWidth="1"/>
    <col min="6937" max="6937" width="9.42578125" style="4" customWidth="1"/>
    <col min="6938" max="6938" width="11.42578125" style="4" customWidth="1"/>
    <col min="6939" max="6939" width="13.42578125" style="4" bestFit="1" customWidth="1"/>
    <col min="6940" max="6940" width="5.5703125" style="4" bestFit="1" customWidth="1"/>
    <col min="6941" max="6941" width="19.5703125" style="4" bestFit="1" customWidth="1"/>
    <col min="6942" max="6942" width="1.42578125" style="4" customWidth="1"/>
    <col min="6943" max="6943" width="13.42578125" style="4" bestFit="1" customWidth="1"/>
    <col min="6944" max="6944" width="8.5703125" style="4" bestFit="1" customWidth="1"/>
    <col min="6945" max="6945" width="8.85546875" style="4" bestFit="1" customWidth="1"/>
    <col min="6946" max="7168" width="9.140625" style="4"/>
    <col min="7169" max="7169" width="11" style="4" customWidth="1"/>
    <col min="7170" max="7171" width="12.5703125" style="4" customWidth="1"/>
    <col min="7172" max="7172" width="11" style="4" customWidth="1"/>
    <col min="7173" max="7173" width="8.42578125" style="4" customWidth="1"/>
    <col min="7174" max="7174" width="11.42578125" style="4" customWidth="1"/>
    <col min="7175" max="7175" width="1.85546875" style="4" customWidth="1"/>
    <col min="7176" max="7176" width="8.42578125" style="4" customWidth="1"/>
    <col min="7177" max="7177" width="11.42578125" style="4" customWidth="1"/>
    <col min="7178" max="7179" width="10.42578125" style="4" customWidth="1"/>
    <col min="7180" max="7180" width="10.5703125" style="4" customWidth="1"/>
    <col min="7181" max="7181" width="10" style="4" customWidth="1"/>
    <col min="7182" max="7182" width="11" style="4" bestFit="1" customWidth="1"/>
    <col min="7183" max="7183" width="12" style="4" customWidth="1"/>
    <col min="7184" max="7184" width="11.140625" style="4" customWidth="1"/>
    <col min="7185" max="7185" width="9.5703125" style="4" customWidth="1"/>
    <col min="7186" max="7186" width="10.42578125" style="4" customWidth="1"/>
    <col min="7187" max="7187" width="8.5703125" style="4" customWidth="1"/>
    <col min="7188" max="7188" width="11" style="4" customWidth="1"/>
    <col min="7189" max="7189" width="13.42578125" style="4" bestFit="1" customWidth="1"/>
    <col min="7190" max="7190" width="9.42578125" style="4" customWidth="1"/>
    <col min="7191" max="7191" width="7.5703125" style="4" customWidth="1"/>
    <col min="7192" max="7192" width="11.42578125" style="4" customWidth="1"/>
    <col min="7193" max="7193" width="9.42578125" style="4" customWidth="1"/>
    <col min="7194" max="7194" width="11.42578125" style="4" customWidth="1"/>
    <col min="7195" max="7195" width="13.42578125" style="4" bestFit="1" customWidth="1"/>
    <col min="7196" max="7196" width="5.5703125" style="4" bestFit="1" customWidth="1"/>
    <col min="7197" max="7197" width="19.5703125" style="4" bestFit="1" customWidth="1"/>
    <col min="7198" max="7198" width="1.42578125" style="4" customWidth="1"/>
    <col min="7199" max="7199" width="13.42578125" style="4" bestFit="1" customWidth="1"/>
    <col min="7200" max="7200" width="8.5703125" style="4" bestFit="1" customWidth="1"/>
    <col min="7201" max="7201" width="8.85546875" style="4" bestFit="1" customWidth="1"/>
    <col min="7202" max="7424" width="9.140625" style="4"/>
    <col min="7425" max="7425" width="11" style="4" customWidth="1"/>
    <col min="7426" max="7427" width="12.5703125" style="4" customWidth="1"/>
    <col min="7428" max="7428" width="11" style="4" customWidth="1"/>
    <col min="7429" max="7429" width="8.42578125" style="4" customWidth="1"/>
    <col min="7430" max="7430" width="11.42578125" style="4" customWidth="1"/>
    <col min="7431" max="7431" width="1.85546875" style="4" customWidth="1"/>
    <col min="7432" max="7432" width="8.42578125" style="4" customWidth="1"/>
    <col min="7433" max="7433" width="11.42578125" style="4" customWidth="1"/>
    <col min="7434" max="7435" width="10.42578125" style="4" customWidth="1"/>
    <col min="7436" max="7436" width="10.5703125" style="4" customWidth="1"/>
    <col min="7437" max="7437" width="10" style="4" customWidth="1"/>
    <col min="7438" max="7438" width="11" style="4" bestFit="1" customWidth="1"/>
    <col min="7439" max="7439" width="12" style="4" customWidth="1"/>
    <col min="7440" max="7440" width="11.140625" style="4" customWidth="1"/>
    <col min="7441" max="7441" width="9.5703125" style="4" customWidth="1"/>
    <col min="7442" max="7442" width="10.42578125" style="4" customWidth="1"/>
    <col min="7443" max="7443" width="8.5703125" style="4" customWidth="1"/>
    <col min="7444" max="7444" width="11" style="4" customWidth="1"/>
    <col min="7445" max="7445" width="13.42578125" style="4" bestFit="1" customWidth="1"/>
    <col min="7446" max="7446" width="9.42578125" style="4" customWidth="1"/>
    <col min="7447" max="7447" width="7.5703125" style="4" customWidth="1"/>
    <col min="7448" max="7448" width="11.42578125" style="4" customWidth="1"/>
    <col min="7449" max="7449" width="9.42578125" style="4" customWidth="1"/>
    <col min="7450" max="7450" width="11.42578125" style="4" customWidth="1"/>
    <col min="7451" max="7451" width="13.42578125" style="4" bestFit="1" customWidth="1"/>
    <col min="7452" max="7452" width="5.5703125" style="4" bestFit="1" customWidth="1"/>
    <col min="7453" max="7453" width="19.5703125" style="4" bestFit="1" customWidth="1"/>
    <col min="7454" max="7454" width="1.42578125" style="4" customWidth="1"/>
    <col min="7455" max="7455" width="13.42578125" style="4" bestFit="1" customWidth="1"/>
    <col min="7456" max="7456" width="8.5703125" style="4" bestFit="1" customWidth="1"/>
    <col min="7457" max="7457" width="8.85546875" style="4" bestFit="1" customWidth="1"/>
    <col min="7458" max="7680" width="9.140625" style="4"/>
    <col min="7681" max="7681" width="11" style="4" customWidth="1"/>
    <col min="7682" max="7683" width="12.5703125" style="4" customWidth="1"/>
    <col min="7684" max="7684" width="11" style="4" customWidth="1"/>
    <col min="7685" max="7685" width="8.42578125" style="4" customWidth="1"/>
    <col min="7686" max="7686" width="11.42578125" style="4" customWidth="1"/>
    <col min="7687" max="7687" width="1.85546875" style="4" customWidth="1"/>
    <col min="7688" max="7688" width="8.42578125" style="4" customWidth="1"/>
    <col min="7689" max="7689" width="11.42578125" style="4" customWidth="1"/>
    <col min="7690" max="7691" width="10.42578125" style="4" customWidth="1"/>
    <col min="7692" max="7692" width="10.5703125" style="4" customWidth="1"/>
    <col min="7693" max="7693" width="10" style="4" customWidth="1"/>
    <col min="7694" max="7694" width="11" style="4" bestFit="1" customWidth="1"/>
    <col min="7695" max="7695" width="12" style="4" customWidth="1"/>
    <col min="7696" max="7696" width="11.140625" style="4" customWidth="1"/>
    <col min="7697" max="7697" width="9.5703125" style="4" customWidth="1"/>
    <col min="7698" max="7698" width="10.42578125" style="4" customWidth="1"/>
    <col min="7699" max="7699" width="8.5703125" style="4" customWidth="1"/>
    <col min="7700" max="7700" width="11" style="4" customWidth="1"/>
    <col min="7701" max="7701" width="13.42578125" style="4" bestFit="1" customWidth="1"/>
    <col min="7702" max="7702" width="9.42578125" style="4" customWidth="1"/>
    <col min="7703" max="7703" width="7.5703125" style="4" customWidth="1"/>
    <col min="7704" max="7704" width="11.42578125" style="4" customWidth="1"/>
    <col min="7705" max="7705" width="9.42578125" style="4" customWidth="1"/>
    <col min="7706" max="7706" width="11.42578125" style="4" customWidth="1"/>
    <col min="7707" max="7707" width="13.42578125" style="4" bestFit="1" customWidth="1"/>
    <col min="7708" max="7708" width="5.5703125" style="4" bestFit="1" customWidth="1"/>
    <col min="7709" max="7709" width="19.5703125" style="4" bestFit="1" customWidth="1"/>
    <col min="7710" max="7710" width="1.42578125" style="4" customWidth="1"/>
    <col min="7711" max="7711" width="13.42578125" style="4" bestFit="1" customWidth="1"/>
    <col min="7712" max="7712" width="8.5703125" style="4" bestFit="1" customWidth="1"/>
    <col min="7713" max="7713" width="8.85546875" style="4" bestFit="1" customWidth="1"/>
    <col min="7714" max="7936" width="9.140625" style="4"/>
    <col min="7937" max="7937" width="11" style="4" customWidth="1"/>
    <col min="7938" max="7939" width="12.5703125" style="4" customWidth="1"/>
    <col min="7940" max="7940" width="11" style="4" customWidth="1"/>
    <col min="7941" max="7941" width="8.42578125" style="4" customWidth="1"/>
    <col min="7942" max="7942" width="11.42578125" style="4" customWidth="1"/>
    <col min="7943" max="7943" width="1.85546875" style="4" customWidth="1"/>
    <col min="7944" max="7944" width="8.42578125" style="4" customWidth="1"/>
    <col min="7945" max="7945" width="11.42578125" style="4" customWidth="1"/>
    <col min="7946" max="7947" width="10.42578125" style="4" customWidth="1"/>
    <col min="7948" max="7948" width="10.5703125" style="4" customWidth="1"/>
    <col min="7949" max="7949" width="10" style="4" customWidth="1"/>
    <col min="7950" max="7950" width="11" style="4" bestFit="1" customWidth="1"/>
    <col min="7951" max="7951" width="12" style="4" customWidth="1"/>
    <col min="7952" max="7952" width="11.140625" style="4" customWidth="1"/>
    <col min="7953" max="7953" width="9.5703125" style="4" customWidth="1"/>
    <col min="7954" max="7954" width="10.42578125" style="4" customWidth="1"/>
    <col min="7955" max="7955" width="8.5703125" style="4" customWidth="1"/>
    <col min="7956" max="7956" width="11" style="4" customWidth="1"/>
    <col min="7957" max="7957" width="13.42578125" style="4" bestFit="1" customWidth="1"/>
    <col min="7958" max="7958" width="9.42578125" style="4" customWidth="1"/>
    <col min="7959" max="7959" width="7.5703125" style="4" customWidth="1"/>
    <col min="7960" max="7960" width="11.42578125" style="4" customWidth="1"/>
    <col min="7961" max="7961" width="9.42578125" style="4" customWidth="1"/>
    <col min="7962" max="7962" width="11.42578125" style="4" customWidth="1"/>
    <col min="7963" max="7963" width="13.42578125" style="4" bestFit="1" customWidth="1"/>
    <col min="7964" max="7964" width="5.5703125" style="4" bestFit="1" customWidth="1"/>
    <col min="7965" max="7965" width="19.5703125" style="4" bestFit="1" customWidth="1"/>
    <col min="7966" max="7966" width="1.42578125" style="4" customWidth="1"/>
    <col min="7967" max="7967" width="13.42578125" style="4" bestFit="1" customWidth="1"/>
    <col min="7968" max="7968" width="8.5703125" style="4" bestFit="1" customWidth="1"/>
    <col min="7969" max="7969" width="8.85546875" style="4" bestFit="1" customWidth="1"/>
    <col min="7970" max="8192" width="9.140625" style="4"/>
    <col min="8193" max="8193" width="11" style="4" customWidth="1"/>
    <col min="8194" max="8195" width="12.5703125" style="4" customWidth="1"/>
    <col min="8196" max="8196" width="11" style="4" customWidth="1"/>
    <col min="8197" max="8197" width="8.42578125" style="4" customWidth="1"/>
    <col min="8198" max="8198" width="11.42578125" style="4" customWidth="1"/>
    <col min="8199" max="8199" width="1.85546875" style="4" customWidth="1"/>
    <col min="8200" max="8200" width="8.42578125" style="4" customWidth="1"/>
    <col min="8201" max="8201" width="11.42578125" style="4" customWidth="1"/>
    <col min="8202" max="8203" width="10.42578125" style="4" customWidth="1"/>
    <col min="8204" max="8204" width="10.5703125" style="4" customWidth="1"/>
    <col min="8205" max="8205" width="10" style="4" customWidth="1"/>
    <col min="8206" max="8206" width="11" style="4" bestFit="1" customWidth="1"/>
    <col min="8207" max="8207" width="12" style="4" customWidth="1"/>
    <col min="8208" max="8208" width="11.140625" style="4" customWidth="1"/>
    <col min="8209" max="8209" width="9.5703125" style="4" customWidth="1"/>
    <col min="8210" max="8210" width="10.42578125" style="4" customWidth="1"/>
    <col min="8211" max="8211" width="8.5703125" style="4" customWidth="1"/>
    <col min="8212" max="8212" width="11" style="4" customWidth="1"/>
    <col min="8213" max="8213" width="13.42578125" style="4" bestFit="1" customWidth="1"/>
    <col min="8214" max="8214" width="9.42578125" style="4" customWidth="1"/>
    <col min="8215" max="8215" width="7.5703125" style="4" customWidth="1"/>
    <col min="8216" max="8216" width="11.42578125" style="4" customWidth="1"/>
    <col min="8217" max="8217" width="9.42578125" style="4" customWidth="1"/>
    <col min="8218" max="8218" width="11.42578125" style="4" customWidth="1"/>
    <col min="8219" max="8219" width="13.42578125" style="4" bestFit="1" customWidth="1"/>
    <col min="8220" max="8220" width="5.5703125" style="4" bestFit="1" customWidth="1"/>
    <col min="8221" max="8221" width="19.5703125" style="4" bestFit="1" customWidth="1"/>
    <col min="8222" max="8222" width="1.42578125" style="4" customWidth="1"/>
    <col min="8223" max="8223" width="13.42578125" style="4" bestFit="1" customWidth="1"/>
    <col min="8224" max="8224" width="8.5703125" style="4" bestFit="1" customWidth="1"/>
    <col min="8225" max="8225" width="8.85546875" style="4" bestFit="1" customWidth="1"/>
    <col min="8226" max="8448" width="9.140625" style="4"/>
    <col min="8449" max="8449" width="11" style="4" customWidth="1"/>
    <col min="8450" max="8451" width="12.5703125" style="4" customWidth="1"/>
    <col min="8452" max="8452" width="11" style="4" customWidth="1"/>
    <col min="8453" max="8453" width="8.42578125" style="4" customWidth="1"/>
    <col min="8454" max="8454" width="11.42578125" style="4" customWidth="1"/>
    <col min="8455" max="8455" width="1.85546875" style="4" customWidth="1"/>
    <col min="8456" max="8456" width="8.42578125" style="4" customWidth="1"/>
    <col min="8457" max="8457" width="11.42578125" style="4" customWidth="1"/>
    <col min="8458" max="8459" width="10.42578125" style="4" customWidth="1"/>
    <col min="8460" max="8460" width="10.5703125" style="4" customWidth="1"/>
    <col min="8461" max="8461" width="10" style="4" customWidth="1"/>
    <col min="8462" max="8462" width="11" style="4" bestFit="1" customWidth="1"/>
    <col min="8463" max="8463" width="12" style="4" customWidth="1"/>
    <col min="8464" max="8464" width="11.140625" style="4" customWidth="1"/>
    <col min="8465" max="8465" width="9.5703125" style="4" customWidth="1"/>
    <col min="8466" max="8466" width="10.42578125" style="4" customWidth="1"/>
    <col min="8467" max="8467" width="8.5703125" style="4" customWidth="1"/>
    <col min="8468" max="8468" width="11" style="4" customWidth="1"/>
    <col min="8469" max="8469" width="13.42578125" style="4" bestFit="1" customWidth="1"/>
    <col min="8470" max="8470" width="9.42578125" style="4" customWidth="1"/>
    <col min="8471" max="8471" width="7.5703125" style="4" customWidth="1"/>
    <col min="8472" max="8472" width="11.42578125" style="4" customWidth="1"/>
    <col min="8473" max="8473" width="9.42578125" style="4" customWidth="1"/>
    <col min="8474" max="8474" width="11.42578125" style="4" customWidth="1"/>
    <col min="8475" max="8475" width="13.42578125" style="4" bestFit="1" customWidth="1"/>
    <col min="8476" max="8476" width="5.5703125" style="4" bestFit="1" customWidth="1"/>
    <col min="8477" max="8477" width="19.5703125" style="4" bestFit="1" customWidth="1"/>
    <col min="8478" max="8478" width="1.42578125" style="4" customWidth="1"/>
    <col min="8479" max="8479" width="13.42578125" style="4" bestFit="1" customWidth="1"/>
    <col min="8480" max="8480" width="8.5703125" style="4" bestFit="1" customWidth="1"/>
    <col min="8481" max="8481" width="8.85546875" style="4" bestFit="1" customWidth="1"/>
    <col min="8482" max="8704" width="9.140625" style="4"/>
    <col min="8705" max="8705" width="11" style="4" customWidth="1"/>
    <col min="8706" max="8707" width="12.5703125" style="4" customWidth="1"/>
    <col min="8708" max="8708" width="11" style="4" customWidth="1"/>
    <col min="8709" max="8709" width="8.42578125" style="4" customWidth="1"/>
    <col min="8710" max="8710" width="11.42578125" style="4" customWidth="1"/>
    <col min="8711" max="8711" width="1.85546875" style="4" customWidth="1"/>
    <col min="8712" max="8712" width="8.42578125" style="4" customWidth="1"/>
    <col min="8713" max="8713" width="11.42578125" style="4" customWidth="1"/>
    <col min="8714" max="8715" width="10.42578125" style="4" customWidth="1"/>
    <col min="8716" max="8716" width="10.5703125" style="4" customWidth="1"/>
    <col min="8717" max="8717" width="10" style="4" customWidth="1"/>
    <col min="8718" max="8718" width="11" style="4" bestFit="1" customWidth="1"/>
    <col min="8719" max="8719" width="12" style="4" customWidth="1"/>
    <col min="8720" max="8720" width="11.140625" style="4" customWidth="1"/>
    <col min="8721" max="8721" width="9.5703125" style="4" customWidth="1"/>
    <col min="8722" max="8722" width="10.42578125" style="4" customWidth="1"/>
    <col min="8723" max="8723" width="8.5703125" style="4" customWidth="1"/>
    <col min="8724" max="8724" width="11" style="4" customWidth="1"/>
    <col min="8725" max="8725" width="13.42578125" style="4" bestFit="1" customWidth="1"/>
    <col min="8726" max="8726" width="9.42578125" style="4" customWidth="1"/>
    <col min="8727" max="8727" width="7.5703125" style="4" customWidth="1"/>
    <col min="8728" max="8728" width="11.42578125" style="4" customWidth="1"/>
    <col min="8729" max="8729" width="9.42578125" style="4" customWidth="1"/>
    <col min="8730" max="8730" width="11.42578125" style="4" customWidth="1"/>
    <col min="8731" max="8731" width="13.42578125" style="4" bestFit="1" customWidth="1"/>
    <col min="8732" max="8732" width="5.5703125" style="4" bestFit="1" customWidth="1"/>
    <col min="8733" max="8733" width="19.5703125" style="4" bestFit="1" customWidth="1"/>
    <col min="8734" max="8734" width="1.42578125" style="4" customWidth="1"/>
    <col min="8735" max="8735" width="13.42578125" style="4" bestFit="1" customWidth="1"/>
    <col min="8736" max="8736" width="8.5703125" style="4" bestFit="1" customWidth="1"/>
    <col min="8737" max="8737" width="8.85546875" style="4" bestFit="1" customWidth="1"/>
    <col min="8738" max="8960" width="9.140625" style="4"/>
    <col min="8961" max="8961" width="11" style="4" customWidth="1"/>
    <col min="8962" max="8963" width="12.5703125" style="4" customWidth="1"/>
    <col min="8964" max="8964" width="11" style="4" customWidth="1"/>
    <col min="8965" max="8965" width="8.42578125" style="4" customWidth="1"/>
    <col min="8966" max="8966" width="11.42578125" style="4" customWidth="1"/>
    <col min="8967" max="8967" width="1.85546875" style="4" customWidth="1"/>
    <col min="8968" max="8968" width="8.42578125" style="4" customWidth="1"/>
    <col min="8969" max="8969" width="11.42578125" style="4" customWidth="1"/>
    <col min="8970" max="8971" width="10.42578125" style="4" customWidth="1"/>
    <col min="8972" max="8972" width="10.5703125" style="4" customWidth="1"/>
    <col min="8973" max="8973" width="10" style="4" customWidth="1"/>
    <col min="8974" max="8974" width="11" style="4" bestFit="1" customWidth="1"/>
    <col min="8975" max="8975" width="12" style="4" customWidth="1"/>
    <col min="8976" max="8976" width="11.140625" style="4" customWidth="1"/>
    <col min="8977" max="8977" width="9.5703125" style="4" customWidth="1"/>
    <col min="8978" max="8978" width="10.42578125" style="4" customWidth="1"/>
    <col min="8979" max="8979" width="8.5703125" style="4" customWidth="1"/>
    <col min="8980" max="8980" width="11" style="4" customWidth="1"/>
    <col min="8981" max="8981" width="13.42578125" style="4" bestFit="1" customWidth="1"/>
    <col min="8982" max="8982" width="9.42578125" style="4" customWidth="1"/>
    <col min="8983" max="8983" width="7.5703125" style="4" customWidth="1"/>
    <col min="8984" max="8984" width="11.42578125" style="4" customWidth="1"/>
    <col min="8985" max="8985" width="9.42578125" style="4" customWidth="1"/>
    <col min="8986" max="8986" width="11.42578125" style="4" customWidth="1"/>
    <col min="8987" max="8987" width="13.42578125" style="4" bestFit="1" customWidth="1"/>
    <col min="8988" max="8988" width="5.5703125" style="4" bestFit="1" customWidth="1"/>
    <col min="8989" max="8989" width="19.5703125" style="4" bestFit="1" customWidth="1"/>
    <col min="8990" max="8990" width="1.42578125" style="4" customWidth="1"/>
    <col min="8991" max="8991" width="13.42578125" style="4" bestFit="1" customWidth="1"/>
    <col min="8992" max="8992" width="8.5703125" style="4" bestFit="1" customWidth="1"/>
    <col min="8993" max="8993" width="8.85546875" style="4" bestFit="1" customWidth="1"/>
    <col min="8994" max="9216" width="9.140625" style="4"/>
    <col min="9217" max="9217" width="11" style="4" customWidth="1"/>
    <col min="9218" max="9219" width="12.5703125" style="4" customWidth="1"/>
    <col min="9220" max="9220" width="11" style="4" customWidth="1"/>
    <col min="9221" max="9221" width="8.42578125" style="4" customWidth="1"/>
    <col min="9222" max="9222" width="11.42578125" style="4" customWidth="1"/>
    <col min="9223" max="9223" width="1.85546875" style="4" customWidth="1"/>
    <col min="9224" max="9224" width="8.42578125" style="4" customWidth="1"/>
    <col min="9225" max="9225" width="11.42578125" style="4" customWidth="1"/>
    <col min="9226" max="9227" width="10.42578125" style="4" customWidth="1"/>
    <col min="9228" max="9228" width="10.5703125" style="4" customWidth="1"/>
    <col min="9229" max="9229" width="10" style="4" customWidth="1"/>
    <col min="9230" max="9230" width="11" style="4" bestFit="1" customWidth="1"/>
    <col min="9231" max="9231" width="12" style="4" customWidth="1"/>
    <col min="9232" max="9232" width="11.140625" style="4" customWidth="1"/>
    <col min="9233" max="9233" width="9.5703125" style="4" customWidth="1"/>
    <col min="9234" max="9234" width="10.42578125" style="4" customWidth="1"/>
    <col min="9235" max="9235" width="8.5703125" style="4" customWidth="1"/>
    <col min="9236" max="9236" width="11" style="4" customWidth="1"/>
    <col min="9237" max="9237" width="13.42578125" style="4" bestFit="1" customWidth="1"/>
    <col min="9238" max="9238" width="9.42578125" style="4" customWidth="1"/>
    <col min="9239" max="9239" width="7.5703125" style="4" customWidth="1"/>
    <col min="9240" max="9240" width="11.42578125" style="4" customWidth="1"/>
    <col min="9241" max="9241" width="9.42578125" style="4" customWidth="1"/>
    <col min="9242" max="9242" width="11.42578125" style="4" customWidth="1"/>
    <col min="9243" max="9243" width="13.42578125" style="4" bestFit="1" customWidth="1"/>
    <col min="9244" max="9244" width="5.5703125" style="4" bestFit="1" customWidth="1"/>
    <col min="9245" max="9245" width="19.5703125" style="4" bestFit="1" customWidth="1"/>
    <col min="9246" max="9246" width="1.42578125" style="4" customWidth="1"/>
    <col min="9247" max="9247" width="13.42578125" style="4" bestFit="1" customWidth="1"/>
    <col min="9248" max="9248" width="8.5703125" style="4" bestFit="1" customWidth="1"/>
    <col min="9249" max="9249" width="8.85546875" style="4" bestFit="1" customWidth="1"/>
    <col min="9250" max="9472" width="9.140625" style="4"/>
    <col min="9473" max="9473" width="11" style="4" customWidth="1"/>
    <col min="9474" max="9475" width="12.5703125" style="4" customWidth="1"/>
    <col min="9476" max="9476" width="11" style="4" customWidth="1"/>
    <col min="9477" max="9477" width="8.42578125" style="4" customWidth="1"/>
    <col min="9478" max="9478" width="11.42578125" style="4" customWidth="1"/>
    <col min="9479" max="9479" width="1.85546875" style="4" customWidth="1"/>
    <col min="9480" max="9480" width="8.42578125" style="4" customWidth="1"/>
    <col min="9481" max="9481" width="11.42578125" style="4" customWidth="1"/>
    <col min="9482" max="9483" width="10.42578125" style="4" customWidth="1"/>
    <col min="9484" max="9484" width="10.5703125" style="4" customWidth="1"/>
    <col min="9485" max="9485" width="10" style="4" customWidth="1"/>
    <col min="9486" max="9486" width="11" style="4" bestFit="1" customWidth="1"/>
    <col min="9487" max="9487" width="12" style="4" customWidth="1"/>
    <col min="9488" max="9488" width="11.140625" style="4" customWidth="1"/>
    <col min="9489" max="9489" width="9.5703125" style="4" customWidth="1"/>
    <col min="9490" max="9490" width="10.42578125" style="4" customWidth="1"/>
    <col min="9491" max="9491" width="8.5703125" style="4" customWidth="1"/>
    <col min="9492" max="9492" width="11" style="4" customWidth="1"/>
    <col min="9493" max="9493" width="13.42578125" style="4" bestFit="1" customWidth="1"/>
    <col min="9494" max="9494" width="9.42578125" style="4" customWidth="1"/>
    <col min="9495" max="9495" width="7.5703125" style="4" customWidth="1"/>
    <col min="9496" max="9496" width="11.42578125" style="4" customWidth="1"/>
    <col min="9497" max="9497" width="9.42578125" style="4" customWidth="1"/>
    <col min="9498" max="9498" width="11.42578125" style="4" customWidth="1"/>
    <col min="9499" max="9499" width="13.42578125" style="4" bestFit="1" customWidth="1"/>
    <col min="9500" max="9500" width="5.5703125" style="4" bestFit="1" customWidth="1"/>
    <col min="9501" max="9501" width="19.5703125" style="4" bestFit="1" customWidth="1"/>
    <col min="9502" max="9502" width="1.42578125" style="4" customWidth="1"/>
    <col min="9503" max="9503" width="13.42578125" style="4" bestFit="1" customWidth="1"/>
    <col min="9504" max="9504" width="8.5703125" style="4" bestFit="1" customWidth="1"/>
    <col min="9505" max="9505" width="8.85546875" style="4" bestFit="1" customWidth="1"/>
    <col min="9506" max="9728" width="9.140625" style="4"/>
    <col min="9729" max="9729" width="11" style="4" customWidth="1"/>
    <col min="9730" max="9731" width="12.5703125" style="4" customWidth="1"/>
    <col min="9732" max="9732" width="11" style="4" customWidth="1"/>
    <col min="9733" max="9733" width="8.42578125" style="4" customWidth="1"/>
    <col min="9734" max="9734" width="11.42578125" style="4" customWidth="1"/>
    <col min="9735" max="9735" width="1.85546875" style="4" customWidth="1"/>
    <col min="9736" max="9736" width="8.42578125" style="4" customWidth="1"/>
    <col min="9737" max="9737" width="11.42578125" style="4" customWidth="1"/>
    <col min="9738" max="9739" width="10.42578125" style="4" customWidth="1"/>
    <col min="9740" max="9740" width="10.5703125" style="4" customWidth="1"/>
    <col min="9741" max="9741" width="10" style="4" customWidth="1"/>
    <col min="9742" max="9742" width="11" style="4" bestFit="1" customWidth="1"/>
    <col min="9743" max="9743" width="12" style="4" customWidth="1"/>
    <col min="9744" max="9744" width="11.140625" style="4" customWidth="1"/>
    <col min="9745" max="9745" width="9.5703125" style="4" customWidth="1"/>
    <col min="9746" max="9746" width="10.42578125" style="4" customWidth="1"/>
    <col min="9747" max="9747" width="8.5703125" style="4" customWidth="1"/>
    <col min="9748" max="9748" width="11" style="4" customWidth="1"/>
    <col min="9749" max="9749" width="13.42578125" style="4" bestFit="1" customWidth="1"/>
    <col min="9750" max="9750" width="9.42578125" style="4" customWidth="1"/>
    <col min="9751" max="9751" width="7.5703125" style="4" customWidth="1"/>
    <col min="9752" max="9752" width="11.42578125" style="4" customWidth="1"/>
    <col min="9753" max="9753" width="9.42578125" style="4" customWidth="1"/>
    <col min="9754" max="9754" width="11.42578125" style="4" customWidth="1"/>
    <col min="9755" max="9755" width="13.42578125" style="4" bestFit="1" customWidth="1"/>
    <col min="9756" max="9756" width="5.5703125" style="4" bestFit="1" customWidth="1"/>
    <col min="9757" max="9757" width="19.5703125" style="4" bestFit="1" customWidth="1"/>
    <col min="9758" max="9758" width="1.42578125" style="4" customWidth="1"/>
    <col min="9759" max="9759" width="13.42578125" style="4" bestFit="1" customWidth="1"/>
    <col min="9760" max="9760" width="8.5703125" style="4" bestFit="1" customWidth="1"/>
    <col min="9761" max="9761" width="8.85546875" style="4" bestFit="1" customWidth="1"/>
    <col min="9762" max="9984" width="9.140625" style="4"/>
    <col min="9985" max="9985" width="11" style="4" customWidth="1"/>
    <col min="9986" max="9987" width="12.5703125" style="4" customWidth="1"/>
    <col min="9988" max="9988" width="11" style="4" customWidth="1"/>
    <col min="9989" max="9989" width="8.42578125" style="4" customWidth="1"/>
    <col min="9990" max="9990" width="11.42578125" style="4" customWidth="1"/>
    <col min="9991" max="9991" width="1.85546875" style="4" customWidth="1"/>
    <col min="9992" max="9992" width="8.42578125" style="4" customWidth="1"/>
    <col min="9993" max="9993" width="11.42578125" style="4" customWidth="1"/>
    <col min="9994" max="9995" width="10.42578125" style="4" customWidth="1"/>
    <col min="9996" max="9996" width="10.5703125" style="4" customWidth="1"/>
    <col min="9997" max="9997" width="10" style="4" customWidth="1"/>
    <col min="9998" max="9998" width="11" style="4" bestFit="1" customWidth="1"/>
    <col min="9999" max="9999" width="12" style="4" customWidth="1"/>
    <col min="10000" max="10000" width="11.140625" style="4" customWidth="1"/>
    <col min="10001" max="10001" width="9.5703125" style="4" customWidth="1"/>
    <col min="10002" max="10002" width="10.42578125" style="4" customWidth="1"/>
    <col min="10003" max="10003" width="8.5703125" style="4" customWidth="1"/>
    <col min="10004" max="10004" width="11" style="4" customWidth="1"/>
    <col min="10005" max="10005" width="13.42578125" style="4" bestFit="1" customWidth="1"/>
    <col min="10006" max="10006" width="9.42578125" style="4" customWidth="1"/>
    <col min="10007" max="10007" width="7.5703125" style="4" customWidth="1"/>
    <col min="10008" max="10008" width="11.42578125" style="4" customWidth="1"/>
    <col min="10009" max="10009" width="9.42578125" style="4" customWidth="1"/>
    <col min="10010" max="10010" width="11.42578125" style="4" customWidth="1"/>
    <col min="10011" max="10011" width="13.42578125" style="4" bestFit="1" customWidth="1"/>
    <col min="10012" max="10012" width="5.5703125" style="4" bestFit="1" customWidth="1"/>
    <col min="10013" max="10013" width="19.5703125" style="4" bestFit="1" customWidth="1"/>
    <col min="10014" max="10014" width="1.42578125" style="4" customWidth="1"/>
    <col min="10015" max="10015" width="13.42578125" style="4" bestFit="1" customWidth="1"/>
    <col min="10016" max="10016" width="8.5703125" style="4" bestFit="1" customWidth="1"/>
    <col min="10017" max="10017" width="8.85546875" style="4" bestFit="1" customWidth="1"/>
    <col min="10018" max="10240" width="9.140625" style="4"/>
    <col min="10241" max="10241" width="11" style="4" customWidth="1"/>
    <col min="10242" max="10243" width="12.5703125" style="4" customWidth="1"/>
    <col min="10244" max="10244" width="11" style="4" customWidth="1"/>
    <col min="10245" max="10245" width="8.42578125" style="4" customWidth="1"/>
    <col min="10246" max="10246" width="11.42578125" style="4" customWidth="1"/>
    <col min="10247" max="10247" width="1.85546875" style="4" customWidth="1"/>
    <col min="10248" max="10248" width="8.42578125" style="4" customWidth="1"/>
    <col min="10249" max="10249" width="11.42578125" style="4" customWidth="1"/>
    <col min="10250" max="10251" width="10.42578125" style="4" customWidth="1"/>
    <col min="10252" max="10252" width="10.5703125" style="4" customWidth="1"/>
    <col min="10253" max="10253" width="10" style="4" customWidth="1"/>
    <col min="10254" max="10254" width="11" style="4" bestFit="1" customWidth="1"/>
    <col min="10255" max="10255" width="12" style="4" customWidth="1"/>
    <col min="10256" max="10256" width="11.140625" style="4" customWidth="1"/>
    <col min="10257" max="10257" width="9.5703125" style="4" customWidth="1"/>
    <col min="10258" max="10258" width="10.42578125" style="4" customWidth="1"/>
    <col min="10259" max="10259" width="8.5703125" style="4" customWidth="1"/>
    <col min="10260" max="10260" width="11" style="4" customWidth="1"/>
    <col min="10261" max="10261" width="13.42578125" style="4" bestFit="1" customWidth="1"/>
    <col min="10262" max="10262" width="9.42578125" style="4" customWidth="1"/>
    <col min="10263" max="10263" width="7.5703125" style="4" customWidth="1"/>
    <col min="10264" max="10264" width="11.42578125" style="4" customWidth="1"/>
    <col min="10265" max="10265" width="9.42578125" style="4" customWidth="1"/>
    <col min="10266" max="10266" width="11.42578125" style="4" customWidth="1"/>
    <col min="10267" max="10267" width="13.42578125" style="4" bestFit="1" customWidth="1"/>
    <col min="10268" max="10268" width="5.5703125" style="4" bestFit="1" customWidth="1"/>
    <col min="10269" max="10269" width="19.5703125" style="4" bestFit="1" customWidth="1"/>
    <col min="10270" max="10270" width="1.42578125" style="4" customWidth="1"/>
    <col min="10271" max="10271" width="13.42578125" style="4" bestFit="1" customWidth="1"/>
    <col min="10272" max="10272" width="8.5703125" style="4" bestFit="1" customWidth="1"/>
    <col min="10273" max="10273" width="8.85546875" style="4" bestFit="1" customWidth="1"/>
    <col min="10274" max="10496" width="9.140625" style="4"/>
    <col min="10497" max="10497" width="11" style="4" customWidth="1"/>
    <col min="10498" max="10499" width="12.5703125" style="4" customWidth="1"/>
    <col min="10500" max="10500" width="11" style="4" customWidth="1"/>
    <col min="10501" max="10501" width="8.42578125" style="4" customWidth="1"/>
    <col min="10502" max="10502" width="11.42578125" style="4" customWidth="1"/>
    <col min="10503" max="10503" width="1.85546875" style="4" customWidth="1"/>
    <col min="10504" max="10504" width="8.42578125" style="4" customWidth="1"/>
    <col min="10505" max="10505" width="11.42578125" style="4" customWidth="1"/>
    <col min="10506" max="10507" width="10.42578125" style="4" customWidth="1"/>
    <col min="10508" max="10508" width="10.5703125" style="4" customWidth="1"/>
    <col min="10509" max="10509" width="10" style="4" customWidth="1"/>
    <col min="10510" max="10510" width="11" style="4" bestFit="1" customWidth="1"/>
    <col min="10511" max="10511" width="12" style="4" customWidth="1"/>
    <col min="10512" max="10512" width="11.140625" style="4" customWidth="1"/>
    <col min="10513" max="10513" width="9.5703125" style="4" customWidth="1"/>
    <col min="10514" max="10514" width="10.42578125" style="4" customWidth="1"/>
    <col min="10515" max="10515" width="8.5703125" style="4" customWidth="1"/>
    <col min="10516" max="10516" width="11" style="4" customWidth="1"/>
    <col min="10517" max="10517" width="13.42578125" style="4" bestFit="1" customWidth="1"/>
    <col min="10518" max="10518" width="9.42578125" style="4" customWidth="1"/>
    <col min="10519" max="10519" width="7.5703125" style="4" customWidth="1"/>
    <col min="10520" max="10520" width="11.42578125" style="4" customWidth="1"/>
    <col min="10521" max="10521" width="9.42578125" style="4" customWidth="1"/>
    <col min="10522" max="10522" width="11.42578125" style="4" customWidth="1"/>
    <col min="10523" max="10523" width="13.42578125" style="4" bestFit="1" customWidth="1"/>
    <col min="10524" max="10524" width="5.5703125" style="4" bestFit="1" customWidth="1"/>
    <col min="10525" max="10525" width="19.5703125" style="4" bestFit="1" customWidth="1"/>
    <col min="10526" max="10526" width="1.42578125" style="4" customWidth="1"/>
    <col min="10527" max="10527" width="13.42578125" style="4" bestFit="1" customWidth="1"/>
    <col min="10528" max="10528" width="8.5703125" style="4" bestFit="1" customWidth="1"/>
    <col min="10529" max="10529" width="8.85546875" style="4" bestFit="1" customWidth="1"/>
    <col min="10530" max="10752" width="9.140625" style="4"/>
    <col min="10753" max="10753" width="11" style="4" customWidth="1"/>
    <col min="10754" max="10755" width="12.5703125" style="4" customWidth="1"/>
    <col min="10756" max="10756" width="11" style="4" customWidth="1"/>
    <col min="10757" max="10757" width="8.42578125" style="4" customWidth="1"/>
    <col min="10758" max="10758" width="11.42578125" style="4" customWidth="1"/>
    <col min="10759" max="10759" width="1.85546875" style="4" customWidth="1"/>
    <col min="10760" max="10760" width="8.42578125" style="4" customWidth="1"/>
    <col min="10761" max="10761" width="11.42578125" style="4" customWidth="1"/>
    <col min="10762" max="10763" width="10.42578125" style="4" customWidth="1"/>
    <col min="10764" max="10764" width="10.5703125" style="4" customWidth="1"/>
    <col min="10765" max="10765" width="10" style="4" customWidth="1"/>
    <col min="10766" max="10766" width="11" style="4" bestFit="1" customWidth="1"/>
    <col min="10767" max="10767" width="12" style="4" customWidth="1"/>
    <col min="10768" max="10768" width="11.140625" style="4" customWidth="1"/>
    <col min="10769" max="10769" width="9.5703125" style="4" customWidth="1"/>
    <col min="10770" max="10770" width="10.42578125" style="4" customWidth="1"/>
    <col min="10771" max="10771" width="8.5703125" style="4" customWidth="1"/>
    <col min="10772" max="10772" width="11" style="4" customWidth="1"/>
    <col min="10773" max="10773" width="13.42578125" style="4" bestFit="1" customWidth="1"/>
    <col min="10774" max="10774" width="9.42578125" style="4" customWidth="1"/>
    <col min="10775" max="10775" width="7.5703125" style="4" customWidth="1"/>
    <col min="10776" max="10776" width="11.42578125" style="4" customWidth="1"/>
    <col min="10777" max="10777" width="9.42578125" style="4" customWidth="1"/>
    <col min="10778" max="10778" width="11.42578125" style="4" customWidth="1"/>
    <col min="10779" max="10779" width="13.42578125" style="4" bestFit="1" customWidth="1"/>
    <col min="10780" max="10780" width="5.5703125" style="4" bestFit="1" customWidth="1"/>
    <col min="10781" max="10781" width="19.5703125" style="4" bestFit="1" customWidth="1"/>
    <col min="10782" max="10782" width="1.42578125" style="4" customWidth="1"/>
    <col min="10783" max="10783" width="13.42578125" style="4" bestFit="1" customWidth="1"/>
    <col min="10784" max="10784" width="8.5703125" style="4" bestFit="1" customWidth="1"/>
    <col min="10785" max="10785" width="8.85546875" style="4" bestFit="1" customWidth="1"/>
    <col min="10786" max="11008" width="9.140625" style="4"/>
    <col min="11009" max="11009" width="11" style="4" customWidth="1"/>
    <col min="11010" max="11011" width="12.5703125" style="4" customWidth="1"/>
    <col min="11012" max="11012" width="11" style="4" customWidth="1"/>
    <col min="11013" max="11013" width="8.42578125" style="4" customWidth="1"/>
    <col min="11014" max="11014" width="11.42578125" style="4" customWidth="1"/>
    <col min="11015" max="11015" width="1.85546875" style="4" customWidth="1"/>
    <col min="11016" max="11016" width="8.42578125" style="4" customWidth="1"/>
    <col min="11017" max="11017" width="11.42578125" style="4" customWidth="1"/>
    <col min="11018" max="11019" width="10.42578125" style="4" customWidth="1"/>
    <col min="11020" max="11020" width="10.5703125" style="4" customWidth="1"/>
    <col min="11021" max="11021" width="10" style="4" customWidth="1"/>
    <col min="11022" max="11022" width="11" style="4" bestFit="1" customWidth="1"/>
    <col min="11023" max="11023" width="12" style="4" customWidth="1"/>
    <col min="11024" max="11024" width="11.140625" style="4" customWidth="1"/>
    <col min="11025" max="11025" width="9.5703125" style="4" customWidth="1"/>
    <col min="11026" max="11026" width="10.42578125" style="4" customWidth="1"/>
    <col min="11027" max="11027" width="8.5703125" style="4" customWidth="1"/>
    <col min="11028" max="11028" width="11" style="4" customWidth="1"/>
    <col min="11029" max="11029" width="13.42578125" style="4" bestFit="1" customWidth="1"/>
    <col min="11030" max="11030" width="9.42578125" style="4" customWidth="1"/>
    <col min="11031" max="11031" width="7.5703125" style="4" customWidth="1"/>
    <col min="11032" max="11032" width="11.42578125" style="4" customWidth="1"/>
    <col min="11033" max="11033" width="9.42578125" style="4" customWidth="1"/>
    <col min="11034" max="11034" width="11.42578125" style="4" customWidth="1"/>
    <col min="11035" max="11035" width="13.42578125" style="4" bestFit="1" customWidth="1"/>
    <col min="11036" max="11036" width="5.5703125" style="4" bestFit="1" customWidth="1"/>
    <col min="11037" max="11037" width="19.5703125" style="4" bestFit="1" customWidth="1"/>
    <col min="11038" max="11038" width="1.42578125" style="4" customWidth="1"/>
    <col min="11039" max="11039" width="13.42578125" style="4" bestFit="1" customWidth="1"/>
    <col min="11040" max="11040" width="8.5703125" style="4" bestFit="1" customWidth="1"/>
    <col min="11041" max="11041" width="8.85546875" style="4" bestFit="1" customWidth="1"/>
    <col min="11042" max="11264" width="9.140625" style="4"/>
    <col min="11265" max="11265" width="11" style="4" customWidth="1"/>
    <col min="11266" max="11267" width="12.5703125" style="4" customWidth="1"/>
    <col min="11268" max="11268" width="11" style="4" customWidth="1"/>
    <col min="11269" max="11269" width="8.42578125" style="4" customWidth="1"/>
    <col min="11270" max="11270" width="11.42578125" style="4" customWidth="1"/>
    <col min="11271" max="11271" width="1.85546875" style="4" customWidth="1"/>
    <col min="11272" max="11272" width="8.42578125" style="4" customWidth="1"/>
    <col min="11273" max="11273" width="11.42578125" style="4" customWidth="1"/>
    <col min="11274" max="11275" width="10.42578125" style="4" customWidth="1"/>
    <col min="11276" max="11276" width="10.5703125" style="4" customWidth="1"/>
    <col min="11277" max="11277" width="10" style="4" customWidth="1"/>
    <col min="11278" max="11278" width="11" style="4" bestFit="1" customWidth="1"/>
    <col min="11279" max="11279" width="12" style="4" customWidth="1"/>
    <col min="11280" max="11280" width="11.140625" style="4" customWidth="1"/>
    <col min="11281" max="11281" width="9.5703125" style="4" customWidth="1"/>
    <col min="11282" max="11282" width="10.42578125" style="4" customWidth="1"/>
    <col min="11283" max="11283" width="8.5703125" style="4" customWidth="1"/>
    <col min="11284" max="11284" width="11" style="4" customWidth="1"/>
    <col min="11285" max="11285" width="13.42578125" style="4" bestFit="1" customWidth="1"/>
    <col min="11286" max="11286" width="9.42578125" style="4" customWidth="1"/>
    <col min="11287" max="11287" width="7.5703125" style="4" customWidth="1"/>
    <col min="11288" max="11288" width="11.42578125" style="4" customWidth="1"/>
    <col min="11289" max="11289" width="9.42578125" style="4" customWidth="1"/>
    <col min="11290" max="11290" width="11.42578125" style="4" customWidth="1"/>
    <col min="11291" max="11291" width="13.42578125" style="4" bestFit="1" customWidth="1"/>
    <col min="11292" max="11292" width="5.5703125" style="4" bestFit="1" customWidth="1"/>
    <col min="11293" max="11293" width="19.5703125" style="4" bestFit="1" customWidth="1"/>
    <col min="11294" max="11294" width="1.42578125" style="4" customWidth="1"/>
    <col min="11295" max="11295" width="13.42578125" style="4" bestFit="1" customWidth="1"/>
    <col min="11296" max="11296" width="8.5703125" style="4" bestFit="1" customWidth="1"/>
    <col min="11297" max="11297" width="8.85546875" style="4" bestFit="1" customWidth="1"/>
    <col min="11298" max="11520" width="9.140625" style="4"/>
    <col min="11521" max="11521" width="11" style="4" customWidth="1"/>
    <col min="11522" max="11523" width="12.5703125" style="4" customWidth="1"/>
    <col min="11524" max="11524" width="11" style="4" customWidth="1"/>
    <col min="11525" max="11525" width="8.42578125" style="4" customWidth="1"/>
    <col min="11526" max="11526" width="11.42578125" style="4" customWidth="1"/>
    <col min="11527" max="11527" width="1.85546875" style="4" customWidth="1"/>
    <col min="11528" max="11528" width="8.42578125" style="4" customWidth="1"/>
    <col min="11529" max="11529" width="11.42578125" style="4" customWidth="1"/>
    <col min="11530" max="11531" width="10.42578125" style="4" customWidth="1"/>
    <col min="11532" max="11532" width="10.5703125" style="4" customWidth="1"/>
    <col min="11533" max="11533" width="10" style="4" customWidth="1"/>
    <col min="11534" max="11534" width="11" style="4" bestFit="1" customWidth="1"/>
    <col min="11535" max="11535" width="12" style="4" customWidth="1"/>
    <col min="11536" max="11536" width="11.140625" style="4" customWidth="1"/>
    <col min="11537" max="11537" width="9.5703125" style="4" customWidth="1"/>
    <col min="11538" max="11538" width="10.42578125" style="4" customWidth="1"/>
    <col min="11539" max="11539" width="8.5703125" style="4" customWidth="1"/>
    <col min="11540" max="11540" width="11" style="4" customWidth="1"/>
    <col min="11541" max="11541" width="13.42578125" style="4" bestFit="1" customWidth="1"/>
    <col min="11542" max="11542" width="9.42578125" style="4" customWidth="1"/>
    <col min="11543" max="11543" width="7.5703125" style="4" customWidth="1"/>
    <col min="11544" max="11544" width="11.42578125" style="4" customWidth="1"/>
    <col min="11545" max="11545" width="9.42578125" style="4" customWidth="1"/>
    <col min="11546" max="11546" width="11.42578125" style="4" customWidth="1"/>
    <col min="11547" max="11547" width="13.42578125" style="4" bestFit="1" customWidth="1"/>
    <col min="11548" max="11548" width="5.5703125" style="4" bestFit="1" customWidth="1"/>
    <col min="11549" max="11549" width="19.5703125" style="4" bestFit="1" customWidth="1"/>
    <col min="11550" max="11550" width="1.42578125" style="4" customWidth="1"/>
    <col min="11551" max="11551" width="13.42578125" style="4" bestFit="1" customWidth="1"/>
    <col min="11552" max="11552" width="8.5703125" style="4" bestFit="1" customWidth="1"/>
    <col min="11553" max="11553" width="8.85546875" style="4" bestFit="1" customWidth="1"/>
    <col min="11554" max="11776" width="9.140625" style="4"/>
    <col min="11777" max="11777" width="11" style="4" customWidth="1"/>
    <col min="11778" max="11779" width="12.5703125" style="4" customWidth="1"/>
    <col min="11780" max="11780" width="11" style="4" customWidth="1"/>
    <col min="11781" max="11781" width="8.42578125" style="4" customWidth="1"/>
    <col min="11782" max="11782" width="11.42578125" style="4" customWidth="1"/>
    <col min="11783" max="11783" width="1.85546875" style="4" customWidth="1"/>
    <col min="11784" max="11784" width="8.42578125" style="4" customWidth="1"/>
    <col min="11785" max="11785" width="11.42578125" style="4" customWidth="1"/>
    <col min="11786" max="11787" width="10.42578125" style="4" customWidth="1"/>
    <col min="11788" max="11788" width="10.5703125" style="4" customWidth="1"/>
    <col min="11789" max="11789" width="10" style="4" customWidth="1"/>
    <col min="11790" max="11790" width="11" style="4" bestFit="1" customWidth="1"/>
    <col min="11791" max="11791" width="12" style="4" customWidth="1"/>
    <col min="11792" max="11792" width="11.140625" style="4" customWidth="1"/>
    <col min="11793" max="11793" width="9.5703125" style="4" customWidth="1"/>
    <col min="11794" max="11794" width="10.42578125" style="4" customWidth="1"/>
    <col min="11795" max="11795" width="8.5703125" style="4" customWidth="1"/>
    <col min="11796" max="11796" width="11" style="4" customWidth="1"/>
    <col min="11797" max="11797" width="13.42578125" style="4" bestFit="1" customWidth="1"/>
    <col min="11798" max="11798" width="9.42578125" style="4" customWidth="1"/>
    <col min="11799" max="11799" width="7.5703125" style="4" customWidth="1"/>
    <col min="11800" max="11800" width="11.42578125" style="4" customWidth="1"/>
    <col min="11801" max="11801" width="9.42578125" style="4" customWidth="1"/>
    <col min="11802" max="11802" width="11.42578125" style="4" customWidth="1"/>
    <col min="11803" max="11803" width="13.42578125" style="4" bestFit="1" customWidth="1"/>
    <col min="11804" max="11804" width="5.5703125" style="4" bestFit="1" customWidth="1"/>
    <col min="11805" max="11805" width="19.5703125" style="4" bestFit="1" customWidth="1"/>
    <col min="11806" max="11806" width="1.42578125" style="4" customWidth="1"/>
    <col min="11807" max="11807" width="13.42578125" style="4" bestFit="1" customWidth="1"/>
    <col min="11808" max="11808" width="8.5703125" style="4" bestFit="1" customWidth="1"/>
    <col min="11809" max="11809" width="8.85546875" style="4" bestFit="1" customWidth="1"/>
    <col min="11810" max="12032" width="9.140625" style="4"/>
    <col min="12033" max="12033" width="11" style="4" customWidth="1"/>
    <col min="12034" max="12035" width="12.5703125" style="4" customWidth="1"/>
    <col min="12036" max="12036" width="11" style="4" customWidth="1"/>
    <col min="12037" max="12037" width="8.42578125" style="4" customWidth="1"/>
    <col min="12038" max="12038" width="11.42578125" style="4" customWidth="1"/>
    <col min="12039" max="12039" width="1.85546875" style="4" customWidth="1"/>
    <col min="12040" max="12040" width="8.42578125" style="4" customWidth="1"/>
    <col min="12041" max="12041" width="11.42578125" style="4" customWidth="1"/>
    <col min="12042" max="12043" width="10.42578125" style="4" customWidth="1"/>
    <col min="12044" max="12044" width="10.5703125" style="4" customWidth="1"/>
    <col min="12045" max="12045" width="10" style="4" customWidth="1"/>
    <col min="12046" max="12046" width="11" style="4" bestFit="1" customWidth="1"/>
    <col min="12047" max="12047" width="12" style="4" customWidth="1"/>
    <col min="12048" max="12048" width="11.140625" style="4" customWidth="1"/>
    <col min="12049" max="12049" width="9.5703125" style="4" customWidth="1"/>
    <col min="12050" max="12050" width="10.42578125" style="4" customWidth="1"/>
    <col min="12051" max="12051" width="8.5703125" style="4" customWidth="1"/>
    <col min="12052" max="12052" width="11" style="4" customWidth="1"/>
    <col min="12053" max="12053" width="13.42578125" style="4" bestFit="1" customWidth="1"/>
    <col min="12054" max="12054" width="9.42578125" style="4" customWidth="1"/>
    <col min="12055" max="12055" width="7.5703125" style="4" customWidth="1"/>
    <col min="12056" max="12056" width="11.42578125" style="4" customWidth="1"/>
    <col min="12057" max="12057" width="9.42578125" style="4" customWidth="1"/>
    <col min="12058" max="12058" width="11.42578125" style="4" customWidth="1"/>
    <col min="12059" max="12059" width="13.42578125" style="4" bestFit="1" customWidth="1"/>
    <col min="12060" max="12060" width="5.5703125" style="4" bestFit="1" customWidth="1"/>
    <col min="12061" max="12061" width="19.5703125" style="4" bestFit="1" customWidth="1"/>
    <col min="12062" max="12062" width="1.42578125" style="4" customWidth="1"/>
    <col min="12063" max="12063" width="13.42578125" style="4" bestFit="1" customWidth="1"/>
    <col min="12064" max="12064" width="8.5703125" style="4" bestFit="1" customWidth="1"/>
    <col min="12065" max="12065" width="8.85546875" style="4" bestFit="1" customWidth="1"/>
    <col min="12066" max="12288" width="9.140625" style="4"/>
    <col min="12289" max="12289" width="11" style="4" customWidth="1"/>
    <col min="12290" max="12291" width="12.5703125" style="4" customWidth="1"/>
    <col min="12292" max="12292" width="11" style="4" customWidth="1"/>
    <col min="12293" max="12293" width="8.42578125" style="4" customWidth="1"/>
    <col min="12294" max="12294" width="11.42578125" style="4" customWidth="1"/>
    <col min="12295" max="12295" width="1.85546875" style="4" customWidth="1"/>
    <col min="12296" max="12296" width="8.42578125" style="4" customWidth="1"/>
    <col min="12297" max="12297" width="11.42578125" style="4" customWidth="1"/>
    <col min="12298" max="12299" width="10.42578125" style="4" customWidth="1"/>
    <col min="12300" max="12300" width="10.5703125" style="4" customWidth="1"/>
    <col min="12301" max="12301" width="10" style="4" customWidth="1"/>
    <col min="12302" max="12302" width="11" style="4" bestFit="1" customWidth="1"/>
    <col min="12303" max="12303" width="12" style="4" customWidth="1"/>
    <col min="12304" max="12304" width="11.140625" style="4" customWidth="1"/>
    <col min="12305" max="12305" width="9.5703125" style="4" customWidth="1"/>
    <col min="12306" max="12306" width="10.42578125" style="4" customWidth="1"/>
    <col min="12307" max="12307" width="8.5703125" style="4" customWidth="1"/>
    <col min="12308" max="12308" width="11" style="4" customWidth="1"/>
    <col min="12309" max="12309" width="13.42578125" style="4" bestFit="1" customWidth="1"/>
    <col min="12310" max="12310" width="9.42578125" style="4" customWidth="1"/>
    <col min="12311" max="12311" width="7.5703125" style="4" customWidth="1"/>
    <col min="12312" max="12312" width="11.42578125" style="4" customWidth="1"/>
    <col min="12313" max="12313" width="9.42578125" style="4" customWidth="1"/>
    <col min="12314" max="12314" width="11.42578125" style="4" customWidth="1"/>
    <col min="12315" max="12315" width="13.42578125" style="4" bestFit="1" customWidth="1"/>
    <col min="12316" max="12316" width="5.5703125" style="4" bestFit="1" customWidth="1"/>
    <col min="12317" max="12317" width="19.5703125" style="4" bestFit="1" customWidth="1"/>
    <col min="12318" max="12318" width="1.42578125" style="4" customWidth="1"/>
    <col min="12319" max="12319" width="13.42578125" style="4" bestFit="1" customWidth="1"/>
    <col min="12320" max="12320" width="8.5703125" style="4" bestFit="1" customWidth="1"/>
    <col min="12321" max="12321" width="8.85546875" style="4" bestFit="1" customWidth="1"/>
    <col min="12322" max="12544" width="9.140625" style="4"/>
    <col min="12545" max="12545" width="11" style="4" customWidth="1"/>
    <col min="12546" max="12547" width="12.5703125" style="4" customWidth="1"/>
    <col min="12548" max="12548" width="11" style="4" customWidth="1"/>
    <col min="12549" max="12549" width="8.42578125" style="4" customWidth="1"/>
    <col min="12550" max="12550" width="11.42578125" style="4" customWidth="1"/>
    <col min="12551" max="12551" width="1.85546875" style="4" customWidth="1"/>
    <col min="12552" max="12552" width="8.42578125" style="4" customWidth="1"/>
    <col min="12553" max="12553" width="11.42578125" style="4" customWidth="1"/>
    <col min="12554" max="12555" width="10.42578125" style="4" customWidth="1"/>
    <col min="12556" max="12556" width="10.5703125" style="4" customWidth="1"/>
    <col min="12557" max="12557" width="10" style="4" customWidth="1"/>
    <col min="12558" max="12558" width="11" style="4" bestFit="1" customWidth="1"/>
    <col min="12559" max="12559" width="12" style="4" customWidth="1"/>
    <col min="12560" max="12560" width="11.140625" style="4" customWidth="1"/>
    <col min="12561" max="12561" width="9.5703125" style="4" customWidth="1"/>
    <col min="12562" max="12562" width="10.42578125" style="4" customWidth="1"/>
    <col min="12563" max="12563" width="8.5703125" style="4" customWidth="1"/>
    <col min="12564" max="12564" width="11" style="4" customWidth="1"/>
    <col min="12565" max="12565" width="13.42578125" style="4" bestFit="1" customWidth="1"/>
    <col min="12566" max="12566" width="9.42578125" style="4" customWidth="1"/>
    <col min="12567" max="12567" width="7.5703125" style="4" customWidth="1"/>
    <col min="12568" max="12568" width="11.42578125" style="4" customWidth="1"/>
    <col min="12569" max="12569" width="9.42578125" style="4" customWidth="1"/>
    <col min="12570" max="12570" width="11.42578125" style="4" customWidth="1"/>
    <col min="12571" max="12571" width="13.42578125" style="4" bestFit="1" customWidth="1"/>
    <col min="12572" max="12572" width="5.5703125" style="4" bestFit="1" customWidth="1"/>
    <col min="12573" max="12573" width="19.5703125" style="4" bestFit="1" customWidth="1"/>
    <col min="12574" max="12574" width="1.42578125" style="4" customWidth="1"/>
    <col min="12575" max="12575" width="13.42578125" style="4" bestFit="1" customWidth="1"/>
    <col min="12576" max="12576" width="8.5703125" style="4" bestFit="1" customWidth="1"/>
    <col min="12577" max="12577" width="8.85546875" style="4" bestFit="1" customWidth="1"/>
    <col min="12578" max="12800" width="9.140625" style="4"/>
    <col min="12801" max="12801" width="11" style="4" customWidth="1"/>
    <col min="12802" max="12803" width="12.5703125" style="4" customWidth="1"/>
    <col min="12804" max="12804" width="11" style="4" customWidth="1"/>
    <col min="12805" max="12805" width="8.42578125" style="4" customWidth="1"/>
    <col min="12806" max="12806" width="11.42578125" style="4" customWidth="1"/>
    <col min="12807" max="12807" width="1.85546875" style="4" customWidth="1"/>
    <col min="12808" max="12808" width="8.42578125" style="4" customWidth="1"/>
    <col min="12809" max="12809" width="11.42578125" style="4" customWidth="1"/>
    <col min="12810" max="12811" width="10.42578125" style="4" customWidth="1"/>
    <col min="12812" max="12812" width="10.5703125" style="4" customWidth="1"/>
    <col min="12813" max="12813" width="10" style="4" customWidth="1"/>
    <col min="12814" max="12814" width="11" style="4" bestFit="1" customWidth="1"/>
    <col min="12815" max="12815" width="12" style="4" customWidth="1"/>
    <col min="12816" max="12816" width="11.140625" style="4" customWidth="1"/>
    <col min="12817" max="12817" width="9.5703125" style="4" customWidth="1"/>
    <col min="12818" max="12818" width="10.42578125" style="4" customWidth="1"/>
    <col min="12819" max="12819" width="8.5703125" style="4" customWidth="1"/>
    <col min="12820" max="12820" width="11" style="4" customWidth="1"/>
    <col min="12821" max="12821" width="13.42578125" style="4" bestFit="1" customWidth="1"/>
    <col min="12822" max="12822" width="9.42578125" style="4" customWidth="1"/>
    <col min="12823" max="12823" width="7.5703125" style="4" customWidth="1"/>
    <col min="12824" max="12824" width="11.42578125" style="4" customWidth="1"/>
    <col min="12825" max="12825" width="9.42578125" style="4" customWidth="1"/>
    <col min="12826" max="12826" width="11.42578125" style="4" customWidth="1"/>
    <col min="12827" max="12827" width="13.42578125" style="4" bestFit="1" customWidth="1"/>
    <col min="12828" max="12828" width="5.5703125" style="4" bestFit="1" customWidth="1"/>
    <col min="12829" max="12829" width="19.5703125" style="4" bestFit="1" customWidth="1"/>
    <col min="12830" max="12830" width="1.42578125" style="4" customWidth="1"/>
    <col min="12831" max="12831" width="13.42578125" style="4" bestFit="1" customWidth="1"/>
    <col min="12832" max="12832" width="8.5703125" style="4" bestFit="1" customWidth="1"/>
    <col min="12833" max="12833" width="8.85546875" style="4" bestFit="1" customWidth="1"/>
    <col min="12834" max="13056" width="9.140625" style="4"/>
    <col min="13057" max="13057" width="11" style="4" customWidth="1"/>
    <col min="13058" max="13059" width="12.5703125" style="4" customWidth="1"/>
    <col min="13060" max="13060" width="11" style="4" customWidth="1"/>
    <col min="13061" max="13061" width="8.42578125" style="4" customWidth="1"/>
    <col min="13062" max="13062" width="11.42578125" style="4" customWidth="1"/>
    <col min="13063" max="13063" width="1.85546875" style="4" customWidth="1"/>
    <col min="13064" max="13064" width="8.42578125" style="4" customWidth="1"/>
    <col min="13065" max="13065" width="11.42578125" style="4" customWidth="1"/>
    <col min="13066" max="13067" width="10.42578125" style="4" customWidth="1"/>
    <col min="13068" max="13068" width="10.5703125" style="4" customWidth="1"/>
    <col min="13069" max="13069" width="10" style="4" customWidth="1"/>
    <col min="13070" max="13070" width="11" style="4" bestFit="1" customWidth="1"/>
    <col min="13071" max="13071" width="12" style="4" customWidth="1"/>
    <col min="13072" max="13072" width="11.140625" style="4" customWidth="1"/>
    <col min="13073" max="13073" width="9.5703125" style="4" customWidth="1"/>
    <col min="13074" max="13074" width="10.42578125" style="4" customWidth="1"/>
    <col min="13075" max="13075" width="8.5703125" style="4" customWidth="1"/>
    <col min="13076" max="13076" width="11" style="4" customWidth="1"/>
    <col min="13077" max="13077" width="13.42578125" style="4" bestFit="1" customWidth="1"/>
    <col min="13078" max="13078" width="9.42578125" style="4" customWidth="1"/>
    <col min="13079" max="13079" width="7.5703125" style="4" customWidth="1"/>
    <col min="13080" max="13080" width="11.42578125" style="4" customWidth="1"/>
    <col min="13081" max="13081" width="9.42578125" style="4" customWidth="1"/>
    <col min="13082" max="13082" width="11.42578125" style="4" customWidth="1"/>
    <col min="13083" max="13083" width="13.42578125" style="4" bestFit="1" customWidth="1"/>
    <col min="13084" max="13084" width="5.5703125" style="4" bestFit="1" customWidth="1"/>
    <col min="13085" max="13085" width="19.5703125" style="4" bestFit="1" customWidth="1"/>
    <col min="13086" max="13086" width="1.42578125" style="4" customWidth="1"/>
    <col min="13087" max="13087" width="13.42578125" style="4" bestFit="1" customWidth="1"/>
    <col min="13088" max="13088" width="8.5703125" style="4" bestFit="1" customWidth="1"/>
    <col min="13089" max="13089" width="8.85546875" style="4" bestFit="1" customWidth="1"/>
    <col min="13090" max="13312" width="9.140625" style="4"/>
    <col min="13313" max="13313" width="11" style="4" customWidth="1"/>
    <col min="13314" max="13315" width="12.5703125" style="4" customWidth="1"/>
    <col min="13316" max="13316" width="11" style="4" customWidth="1"/>
    <col min="13317" max="13317" width="8.42578125" style="4" customWidth="1"/>
    <col min="13318" max="13318" width="11.42578125" style="4" customWidth="1"/>
    <col min="13319" max="13319" width="1.85546875" style="4" customWidth="1"/>
    <col min="13320" max="13320" width="8.42578125" style="4" customWidth="1"/>
    <col min="13321" max="13321" width="11.42578125" style="4" customWidth="1"/>
    <col min="13322" max="13323" width="10.42578125" style="4" customWidth="1"/>
    <col min="13324" max="13324" width="10.5703125" style="4" customWidth="1"/>
    <col min="13325" max="13325" width="10" style="4" customWidth="1"/>
    <col min="13326" max="13326" width="11" style="4" bestFit="1" customWidth="1"/>
    <col min="13327" max="13327" width="12" style="4" customWidth="1"/>
    <col min="13328" max="13328" width="11.140625" style="4" customWidth="1"/>
    <col min="13329" max="13329" width="9.5703125" style="4" customWidth="1"/>
    <col min="13330" max="13330" width="10.42578125" style="4" customWidth="1"/>
    <col min="13331" max="13331" width="8.5703125" style="4" customWidth="1"/>
    <col min="13332" max="13332" width="11" style="4" customWidth="1"/>
    <col min="13333" max="13333" width="13.42578125" style="4" bestFit="1" customWidth="1"/>
    <col min="13334" max="13334" width="9.42578125" style="4" customWidth="1"/>
    <col min="13335" max="13335" width="7.5703125" style="4" customWidth="1"/>
    <col min="13336" max="13336" width="11.42578125" style="4" customWidth="1"/>
    <col min="13337" max="13337" width="9.42578125" style="4" customWidth="1"/>
    <col min="13338" max="13338" width="11.42578125" style="4" customWidth="1"/>
    <col min="13339" max="13339" width="13.42578125" style="4" bestFit="1" customWidth="1"/>
    <col min="13340" max="13340" width="5.5703125" style="4" bestFit="1" customWidth="1"/>
    <col min="13341" max="13341" width="19.5703125" style="4" bestFit="1" customWidth="1"/>
    <col min="13342" max="13342" width="1.42578125" style="4" customWidth="1"/>
    <col min="13343" max="13343" width="13.42578125" style="4" bestFit="1" customWidth="1"/>
    <col min="13344" max="13344" width="8.5703125" style="4" bestFit="1" customWidth="1"/>
    <col min="13345" max="13345" width="8.85546875" style="4" bestFit="1" customWidth="1"/>
    <col min="13346" max="13568" width="9.140625" style="4"/>
    <col min="13569" max="13569" width="11" style="4" customWidth="1"/>
    <col min="13570" max="13571" width="12.5703125" style="4" customWidth="1"/>
    <col min="13572" max="13572" width="11" style="4" customWidth="1"/>
    <col min="13573" max="13573" width="8.42578125" style="4" customWidth="1"/>
    <col min="13574" max="13574" width="11.42578125" style="4" customWidth="1"/>
    <col min="13575" max="13575" width="1.85546875" style="4" customWidth="1"/>
    <col min="13576" max="13576" width="8.42578125" style="4" customWidth="1"/>
    <col min="13577" max="13577" width="11.42578125" style="4" customWidth="1"/>
    <col min="13578" max="13579" width="10.42578125" style="4" customWidth="1"/>
    <col min="13580" max="13580" width="10.5703125" style="4" customWidth="1"/>
    <col min="13581" max="13581" width="10" style="4" customWidth="1"/>
    <col min="13582" max="13582" width="11" style="4" bestFit="1" customWidth="1"/>
    <col min="13583" max="13583" width="12" style="4" customWidth="1"/>
    <col min="13584" max="13584" width="11.140625" style="4" customWidth="1"/>
    <col min="13585" max="13585" width="9.5703125" style="4" customWidth="1"/>
    <col min="13586" max="13586" width="10.42578125" style="4" customWidth="1"/>
    <col min="13587" max="13587" width="8.5703125" style="4" customWidth="1"/>
    <col min="13588" max="13588" width="11" style="4" customWidth="1"/>
    <col min="13589" max="13589" width="13.42578125" style="4" bestFit="1" customWidth="1"/>
    <col min="13590" max="13590" width="9.42578125" style="4" customWidth="1"/>
    <col min="13591" max="13591" width="7.5703125" style="4" customWidth="1"/>
    <col min="13592" max="13592" width="11.42578125" style="4" customWidth="1"/>
    <col min="13593" max="13593" width="9.42578125" style="4" customWidth="1"/>
    <col min="13594" max="13594" width="11.42578125" style="4" customWidth="1"/>
    <col min="13595" max="13595" width="13.42578125" style="4" bestFit="1" customWidth="1"/>
    <col min="13596" max="13596" width="5.5703125" style="4" bestFit="1" customWidth="1"/>
    <col min="13597" max="13597" width="19.5703125" style="4" bestFit="1" customWidth="1"/>
    <col min="13598" max="13598" width="1.42578125" style="4" customWidth="1"/>
    <col min="13599" max="13599" width="13.42578125" style="4" bestFit="1" customWidth="1"/>
    <col min="13600" max="13600" width="8.5703125" style="4" bestFit="1" customWidth="1"/>
    <col min="13601" max="13601" width="8.85546875" style="4" bestFit="1" customWidth="1"/>
    <col min="13602" max="13824" width="9.140625" style="4"/>
    <col min="13825" max="13825" width="11" style="4" customWidth="1"/>
    <col min="13826" max="13827" width="12.5703125" style="4" customWidth="1"/>
    <col min="13828" max="13828" width="11" style="4" customWidth="1"/>
    <col min="13829" max="13829" width="8.42578125" style="4" customWidth="1"/>
    <col min="13830" max="13830" width="11.42578125" style="4" customWidth="1"/>
    <col min="13831" max="13831" width="1.85546875" style="4" customWidth="1"/>
    <col min="13832" max="13832" width="8.42578125" style="4" customWidth="1"/>
    <col min="13833" max="13833" width="11.42578125" style="4" customWidth="1"/>
    <col min="13834" max="13835" width="10.42578125" style="4" customWidth="1"/>
    <col min="13836" max="13836" width="10.5703125" style="4" customWidth="1"/>
    <col min="13837" max="13837" width="10" style="4" customWidth="1"/>
    <col min="13838" max="13838" width="11" style="4" bestFit="1" customWidth="1"/>
    <col min="13839" max="13839" width="12" style="4" customWidth="1"/>
    <col min="13840" max="13840" width="11.140625" style="4" customWidth="1"/>
    <col min="13841" max="13841" width="9.5703125" style="4" customWidth="1"/>
    <col min="13842" max="13842" width="10.42578125" style="4" customWidth="1"/>
    <col min="13843" max="13843" width="8.5703125" style="4" customWidth="1"/>
    <col min="13844" max="13844" width="11" style="4" customWidth="1"/>
    <col min="13845" max="13845" width="13.42578125" style="4" bestFit="1" customWidth="1"/>
    <col min="13846" max="13846" width="9.42578125" style="4" customWidth="1"/>
    <col min="13847" max="13847" width="7.5703125" style="4" customWidth="1"/>
    <col min="13848" max="13848" width="11.42578125" style="4" customWidth="1"/>
    <col min="13849" max="13849" width="9.42578125" style="4" customWidth="1"/>
    <col min="13850" max="13850" width="11.42578125" style="4" customWidth="1"/>
    <col min="13851" max="13851" width="13.42578125" style="4" bestFit="1" customWidth="1"/>
    <col min="13852" max="13852" width="5.5703125" style="4" bestFit="1" customWidth="1"/>
    <col min="13853" max="13853" width="19.5703125" style="4" bestFit="1" customWidth="1"/>
    <col min="13854" max="13854" width="1.42578125" style="4" customWidth="1"/>
    <col min="13855" max="13855" width="13.42578125" style="4" bestFit="1" customWidth="1"/>
    <col min="13856" max="13856" width="8.5703125" style="4" bestFit="1" customWidth="1"/>
    <col min="13857" max="13857" width="8.85546875" style="4" bestFit="1" customWidth="1"/>
    <col min="13858" max="14080" width="9.140625" style="4"/>
    <col min="14081" max="14081" width="11" style="4" customWidth="1"/>
    <col min="14082" max="14083" width="12.5703125" style="4" customWidth="1"/>
    <col min="14084" max="14084" width="11" style="4" customWidth="1"/>
    <col min="14085" max="14085" width="8.42578125" style="4" customWidth="1"/>
    <col min="14086" max="14086" width="11.42578125" style="4" customWidth="1"/>
    <col min="14087" max="14087" width="1.85546875" style="4" customWidth="1"/>
    <col min="14088" max="14088" width="8.42578125" style="4" customWidth="1"/>
    <col min="14089" max="14089" width="11.42578125" style="4" customWidth="1"/>
    <col min="14090" max="14091" width="10.42578125" style="4" customWidth="1"/>
    <col min="14092" max="14092" width="10.5703125" style="4" customWidth="1"/>
    <col min="14093" max="14093" width="10" style="4" customWidth="1"/>
    <col min="14094" max="14094" width="11" style="4" bestFit="1" customWidth="1"/>
    <col min="14095" max="14095" width="12" style="4" customWidth="1"/>
    <col min="14096" max="14096" width="11.140625" style="4" customWidth="1"/>
    <col min="14097" max="14097" width="9.5703125" style="4" customWidth="1"/>
    <col min="14098" max="14098" width="10.42578125" style="4" customWidth="1"/>
    <col min="14099" max="14099" width="8.5703125" style="4" customWidth="1"/>
    <col min="14100" max="14100" width="11" style="4" customWidth="1"/>
    <col min="14101" max="14101" width="13.42578125" style="4" bestFit="1" customWidth="1"/>
    <col min="14102" max="14102" width="9.42578125" style="4" customWidth="1"/>
    <col min="14103" max="14103" width="7.5703125" style="4" customWidth="1"/>
    <col min="14104" max="14104" width="11.42578125" style="4" customWidth="1"/>
    <col min="14105" max="14105" width="9.42578125" style="4" customWidth="1"/>
    <col min="14106" max="14106" width="11.42578125" style="4" customWidth="1"/>
    <col min="14107" max="14107" width="13.42578125" style="4" bestFit="1" customWidth="1"/>
    <col min="14108" max="14108" width="5.5703125" style="4" bestFit="1" customWidth="1"/>
    <col min="14109" max="14109" width="19.5703125" style="4" bestFit="1" customWidth="1"/>
    <col min="14110" max="14110" width="1.42578125" style="4" customWidth="1"/>
    <col min="14111" max="14111" width="13.42578125" style="4" bestFit="1" customWidth="1"/>
    <col min="14112" max="14112" width="8.5703125" style="4" bestFit="1" customWidth="1"/>
    <col min="14113" max="14113" width="8.85546875" style="4" bestFit="1" customWidth="1"/>
    <col min="14114" max="14336" width="9.140625" style="4"/>
    <col min="14337" max="14337" width="11" style="4" customWidth="1"/>
    <col min="14338" max="14339" width="12.5703125" style="4" customWidth="1"/>
    <col min="14340" max="14340" width="11" style="4" customWidth="1"/>
    <col min="14341" max="14341" width="8.42578125" style="4" customWidth="1"/>
    <col min="14342" max="14342" width="11.42578125" style="4" customWidth="1"/>
    <col min="14343" max="14343" width="1.85546875" style="4" customWidth="1"/>
    <col min="14344" max="14344" width="8.42578125" style="4" customWidth="1"/>
    <col min="14345" max="14345" width="11.42578125" style="4" customWidth="1"/>
    <col min="14346" max="14347" width="10.42578125" style="4" customWidth="1"/>
    <col min="14348" max="14348" width="10.5703125" style="4" customWidth="1"/>
    <col min="14349" max="14349" width="10" style="4" customWidth="1"/>
    <col min="14350" max="14350" width="11" style="4" bestFit="1" customWidth="1"/>
    <col min="14351" max="14351" width="12" style="4" customWidth="1"/>
    <col min="14352" max="14352" width="11.140625" style="4" customWidth="1"/>
    <col min="14353" max="14353" width="9.5703125" style="4" customWidth="1"/>
    <col min="14354" max="14354" width="10.42578125" style="4" customWidth="1"/>
    <col min="14355" max="14355" width="8.5703125" style="4" customWidth="1"/>
    <col min="14356" max="14356" width="11" style="4" customWidth="1"/>
    <col min="14357" max="14357" width="13.42578125" style="4" bestFit="1" customWidth="1"/>
    <col min="14358" max="14358" width="9.42578125" style="4" customWidth="1"/>
    <col min="14359" max="14359" width="7.5703125" style="4" customWidth="1"/>
    <col min="14360" max="14360" width="11.42578125" style="4" customWidth="1"/>
    <col min="14361" max="14361" width="9.42578125" style="4" customWidth="1"/>
    <col min="14362" max="14362" width="11.42578125" style="4" customWidth="1"/>
    <col min="14363" max="14363" width="13.42578125" style="4" bestFit="1" customWidth="1"/>
    <col min="14364" max="14364" width="5.5703125" style="4" bestFit="1" customWidth="1"/>
    <col min="14365" max="14365" width="19.5703125" style="4" bestFit="1" customWidth="1"/>
    <col min="14366" max="14366" width="1.42578125" style="4" customWidth="1"/>
    <col min="14367" max="14367" width="13.42578125" style="4" bestFit="1" customWidth="1"/>
    <col min="14368" max="14368" width="8.5703125" style="4" bestFit="1" customWidth="1"/>
    <col min="14369" max="14369" width="8.85546875" style="4" bestFit="1" customWidth="1"/>
    <col min="14370" max="14592" width="9.140625" style="4"/>
    <col min="14593" max="14593" width="11" style="4" customWidth="1"/>
    <col min="14594" max="14595" width="12.5703125" style="4" customWidth="1"/>
    <col min="14596" max="14596" width="11" style="4" customWidth="1"/>
    <col min="14597" max="14597" width="8.42578125" style="4" customWidth="1"/>
    <col min="14598" max="14598" width="11.42578125" style="4" customWidth="1"/>
    <col min="14599" max="14599" width="1.85546875" style="4" customWidth="1"/>
    <col min="14600" max="14600" width="8.42578125" style="4" customWidth="1"/>
    <col min="14601" max="14601" width="11.42578125" style="4" customWidth="1"/>
    <col min="14602" max="14603" width="10.42578125" style="4" customWidth="1"/>
    <col min="14604" max="14604" width="10.5703125" style="4" customWidth="1"/>
    <col min="14605" max="14605" width="10" style="4" customWidth="1"/>
    <col min="14606" max="14606" width="11" style="4" bestFit="1" customWidth="1"/>
    <col min="14607" max="14607" width="12" style="4" customWidth="1"/>
    <col min="14608" max="14608" width="11.140625" style="4" customWidth="1"/>
    <col min="14609" max="14609" width="9.5703125" style="4" customWidth="1"/>
    <col min="14610" max="14610" width="10.42578125" style="4" customWidth="1"/>
    <col min="14611" max="14611" width="8.5703125" style="4" customWidth="1"/>
    <col min="14612" max="14612" width="11" style="4" customWidth="1"/>
    <col min="14613" max="14613" width="13.42578125" style="4" bestFit="1" customWidth="1"/>
    <col min="14614" max="14614" width="9.42578125" style="4" customWidth="1"/>
    <col min="14615" max="14615" width="7.5703125" style="4" customWidth="1"/>
    <col min="14616" max="14616" width="11.42578125" style="4" customWidth="1"/>
    <col min="14617" max="14617" width="9.42578125" style="4" customWidth="1"/>
    <col min="14618" max="14618" width="11.42578125" style="4" customWidth="1"/>
    <col min="14619" max="14619" width="13.42578125" style="4" bestFit="1" customWidth="1"/>
    <col min="14620" max="14620" width="5.5703125" style="4" bestFit="1" customWidth="1"/>
    <col min="14621" max="14621" width="19.5703125" style="4" bestFit="1" customWidth="1"/>
    <col min="14622" max="14622" width="1.42578125" style="4" customWidth="1"/>
    <col min="14623" max="14623" width="13.42578125" style="4" bestFit="1" customWidth="1"/>
    <col min="14624" max="14624" width="8.5703125" style="4" bestFit="1" customWidth="1"/>
    <col min="14625" max="14625" width="8.85546875" style="4" bestFit="1" customWidth="1"/>
    <col min="14626" max="14848" width="9.140625" style="4"/>
    <col min="14849" max="14849" width="11" style="4" customWidth="1"/>
    <col min="14850" max="14851" width="12.5703125" style="4" customWidth="1"/>
    <col min="14852" max="14852" width="11" style="4" customWidth="1"/>
    <col min="14853" max="14853" width="8.42578125" style="4" customWidth="1"/>
    <col min="14854" max="14854" width="11.42578125" style="4" customWidth="1"/>
    <col min="14855" max="14855" width="1.85546875" style="4" customWidth="1"/>
    <col min="14856" max="14856" width="8.42578125" style="4" customWidth="1"/>
    <col min="14857" max="14857" width="11.42578125" style="4" customWidth="1"/>
    <col min="14858" max="14859" width="10.42578125" style="4" customWidth="1"/>
    <col min="14860" max="14860" width="10.5703125" style="4" customWidth="1"/>
    <col min="14861" max="14861" width="10" style="4" customWidth="1"/>
    <col min="14862" max="14862" width="11" style="4" bestFit="1" customWidth="1"/>
    <col min="14863" max="14863" width="12" style="4" customWidth="1"/>
    <col min="14864" max="14864" width="11.140625" style="4" customWidth="1"/>
    <col min="14865" max="14865" width="9.5703125" style="4" customWidth="1"/>
    <col min="14866" max="14866" width="10.42578125" style="4" customWidth="1"/>
    <col min="14867" max="14867" width="8.5703125" style="4" customWidth="1"/>
    <col min="14868" max="14868" width="11" style="4" customWidth="1"/>
    <col min="14869" max="14869" width="13.42578125" style="4" bestFit="1" customWidth="1"/>
    <col min="14870" max="14870" width="9.42578125" style="4" customWidth="1"/>
    <col min="14871" max="14871" width="7.5703125" style="4" customWidth="1"/>
    <col min="14872" max="14872" width="11.42578125" style="4" customWidth="1"/>
    <col min="14873" max="14873" width="9.42578125" style="4" customWidth="1"/>
    <col min="14874" max="14874" width="11.42578125" style="4" customWidth="1"/>
    <col min="14875" max="14875" width="13.42578125" style="4" bestFit="1" customWidth="1"/>
    <col min="14876" max="14876" width="5.5703125" style="4" bestFit="1" customWidth="1"/>
    <col min="14877" max="14877" width="19.5703125" style="4" bestFit="1" customWidth="1"/>
    <col min="14878" max="14878" width="1.42578125" style="4" customWidth="1"/>
    <col min="14879" max="14879" width="13.42578125" style="4" bestFit="1" customWidth="1"/>
    <col min="14880" max="14880" width="8.5703125" style="4" bestFit="1" customWidth="1"/>
    <col min="14881" max="14881" width="8.85546875" style="4" bestFit="1" customWidth="1"/>
    <col min="14882" max="15104" width="9.140625" style="4"/>
    <col min="15105" max="15105" width="11" style="4" customWidth="1"/>
    <col min="15106" max="15107" width="12.5703125" style="4" customWidth="1"/>
    <col min="15108" max="15108" width="11" style="4" customWidth="1"/>
    <col min="15109" max="15109" width="8.42578125" style="4" customWidth="1"/>
    <col min="15110" max="15110" width="11.42578125" style="4" customWidth="1"/>
    <col min="15111" max="15111" width="1.85546875" style="4" customWidth="1"/>
    <col min="15112" max="15112" width="8.42578125" style="4" customWidth="1"/>
    <col min="15113" max="15113" width="11.42578125" style="4" customWidth="1"/>
    <col min="15114" max="15115" width="10.42578125" style="4" customWidth="1"/>
    <col min="15116" max="15116" width="10.5703125" style="4" customWidth="1"/>
    <col min="15117" max="15117" width="10" style="4" customWidth="1"/>
    <col min="15118" max="15118" width="11" style="4" bestFit="1" customWidth="1"/>
    <col min="15119" max="15119" width="12" style="4" customWidth="1"/>
    <col min="15120" max="15120" width="11.140625" style="4" customWidth="1"/>
    <col min="15121" max="15121" width="9.5703125" style="4" customWidth="1"/>
    <col min="15122" max="15122" width="10.42578125" style="4" customWidth="1"/>
    <col min="15123" max="15123" width="8.5703125" style="4" customWidth="1"/>
    <col min="15124" max="15124" width="11" style="4" customWidth="1"/>
    <col min="15125" max="15125" width="13.42578125" style="4" bestFit="1" customWidth="1"/>
    <col min="15126" max="15126" width="9.42578125" style="4" customWidth="1"/>
    <col min="15127" max="15127" width="7.5703125" style="4" customWidth="1"/>
    <col min="15128" max="15128" width="11.42578125" style="4" customWidth="1"/>
    <col min="15129" max="15129" width="9.42578125" style="4" customWidth="1"/>
    <col min="15130" max="15130" width="11.42578125" style="4" customWidth="1"/>
    <col min="15131" max="15131" width="13.42578125" style="4" bestFit="1" customWidth="1"/>
    <col min="15132" max="15132" width="5.5703125" style="4" bestFit="1" customWidth="1"/>
    <col min="15133" max="15133" width="19.5703125" style="4" bestFit="1" customWidth="1"/>
    <col min="15134" max="15134" width="1.42578125" style="4" customWidth="1"/>
    <col min="15135" max="15135" width="13.42578125" style="4" bestFit="1" customWidth="1"/>
    <col min="15136" max="15136" width="8.5703125" style="4" bestFit="1" customWidth="1"/>
    <col min="15137" max="15137" width="8.85546875" style="4" bestFit="1" customWidth="1"/>
    <col min="15138" max="15360" width="9.140625" style="4"/>
    <col min="15361" max="15361" width="11" style="4" customWidth="1"/>
    <col min="15362" max="15363" width="12.5703125" style="4" customWidth="1"/>
    <col min="15364" max="15364" width="11" style="4" customWidth="1"/>
    <col min="15365" max="15365" width="8.42578125" style="4" customWidth="1"/>
    <col min="15366" max="15366" width="11.42578125" style="4" customWidth="1"/>
    <col min="15367" max="15367" width="1.85546875" style="4" customWidth="1"/>
    <col min="15368" max="15368" width="8.42578125" style="4" customWidth="1"/>
    <col min="15369" max="15369" width="11.42578125" style="4" customWidth="1"/>
    <col min="15370" max="15371" width="10.42578125" style="4" customWidth="1"/>
    <col min="15372" max="15372" width="10.5703125" style="4" customWidth="1"/>
    <col min="15373" max="15373" width="10" style="4" customWidth="1"/>
    <col min="15374" max="15374" width="11" style="4" bestFit="1" customWidth="1"/>
    <col min="15375" max="15375" width="12" style="4" customWidth="1"/>
    <col min="15376" max="15376" width="11.140625" style="4" customWidth="1"/>
    <col min="15377" max="15377" width="9.5703125" style="4" customWidth="1"/>
    <col min="15378" max="15378" width="10.42578125" style="4" customWidth="1"/>
    <col min="15379" max="15379" width="8.5703125" style="4" customWidth="1"/>
    <col min="15380" max="15380" width="11" style="4" customWidth="1"/>
    <col min="15381" max="15381" width="13.42578125" style="4" bestFit="1" customWidth="1"/>
    <col min="15382" max="15382" width="9.42578125" style="4" customWidth="1"/>
    <col min="15383" max="15383" width="7.5703125" style="4" customWidth="1"/>
    <col min="15384" max="15384" width="11.42578125" style="4" customWidth="1"/>
    <col min="15385" max="15385" width="9.42578125" style="4" customWidth="1"/>
    <col min="15386" max="15386" width="11.42578125" style="4" customWidth="1"/>
    <col min="15387" max="15387" width="13.42578125" style="4" bestFit="1" customWidth="1"/>
    <col min="15388" max="15388" width="5.5703125" style="4" bestFit="1" customWidth="1"/>
    <col min="15389" max="15389" width="19.5703125" style="4" bestFit="1" customWidth="1"/>
    <col min="15390" max="15390" width="1.42578125" style="4" customWidth="1"/>
    <col min="15391" max="15391" width="13.42578125" style="4" bestFit="1" customWidth="1"/>
    <col min="15392" max="15392" width="8.5703125" style="4" bestFit="1" customWidth="1"/>
    <col min="15393" max="15393" width="8.85546875" style="4" bestFit="1" customWidth="1"/>
    <col min="15394" max="15616" width="9.140625" style="4"/>
    <col min="15617" max="15617" width="11" style="4" customWidth="1"/>
    <col min="15618" max="15619" width="12.5703125" style="4" customWidth="1"/>
    <col min="15620" max="15620" width="11" style="4" customWidth="1"/>
    <col min="15621" max="15621" width="8.42578125" style="4" customWidth="1"/>
    <col min="15622" max="15622" width="11.42578125" style="4" customWidth="1"/>
    <col min="15623" max="15623" width="1.85546875" style="4" customWidth="1"/>
    <col min="15624" max="15624" width="8.42578125" style="4" customWidth="1"/>
    <col min="15625" max="15625" width="11.42578125" style="4" customWidth="1"/>
    <col min="15626" max="15627" width="10.42578125" style="4" customWidth="1"/>
    <col min="15628" max="15628" width="10.5703125" style="4" customWidth="1"/>
    <col min="15629" max="15629" width="10" style="4" customWidth="1"/>
    <col min="15630" max="15630" width="11" style="4" bestFit="1" customWidth="1"/>
    <col min="15631" max="15631" width="12" style="4" customWidth="1"/>
    <col min="15632" max="15632" width="11.140625" style="4" customWidth="1"/>
    <col min="15633" max="15633" width="9.5703125" style="4" customWidth="1"/>
    <col min="15634" max="15634" width="10.42578125" style="4" customWidth="1"/>
    <col min="15635" max="15635" width="8.5703125" style="4" customWidth="1"/>
    <col min="15636" max="15636" width="11" style="4" customWidth="1"/>
    <col min="15637" max="15637" width="13.42578125" style="4" bestFit="1" customWidth="1"/>
    <col min="15638" max="15638" width="9.42578125" style="4" customWidth="1"/>
    <col min="15639" max="15639" width="7.5703125" style="4" customWidth="1"/>
    <col min="15640" max="15640" width="11.42578125" style="4" customWidth="1"/>
    <col min="15641" max="15641" width="9.42578125" style="4" customWidth="1"/>
    <col min="15642" max="15642" width="11.42578125" style="4" customWidth="1"/>
    <col min="15643" max="15643" width="13.42578125" style="4" bestFit="1" customWidth="1"/>
    <col min="15644" max="15644" width="5.5703125" style="4" bestFit="1" customWidth="1"/>
    <col min="15645" max="15645" width="19.5703125" style="4" bestFit="1" customWidth="1"/>
    <col min="15646" max="15646" width="1.42578125" style="4" customWidth="1"/>
    <col min="15647" max="15647" width="13.42578125" style="4" bestFit="1" customWidth="1"/>
    <col min="15648" max="15648" width="8.5703125" style="4" bestFit="1" customWidth="1"/>
    <col min="15649" max="15649" width="8.85546875" style="4" bestFit="1" customWidth="1"/>
    <col min="15650" max="15872" width="9.140625" style="4"/>
    <col min="15873" max="15873" width="11" style="4" customWidth="1"/>
    <col min="15874" max="15875" width="12.5703125" style="4" customWidth="1"/>
    <col min="15876" max="15876" width="11" style="4" customWidth="1"/>
    <col min="15877" max="15877" width="8.42578125" style="4" customWidth="1"/>
    <col min="15878" max="15878" width="11.42578125" style="4" customWidth="1"/>
    <col min="15879" max="15879" width="1.85546875" style="4" customWidth="1"/>
    <col min="15880" max="15880" width="8.42578125" style="4" customWidth="1"/>
    <col min="15881" max="15881" width="11.42578125" style="4" customWidth="1"/>
    <col min="15882" max="15883" width="10.42578125" style="4" customWidth="1"/>
    <col min="15884" max="15884" width="10.5703125" style="4" customWidth="1"/>
    <col min="15885" max="15885" width="10" style="4" customWidth="1"/>
    <col min="15886" max="15886" width="11" style="4" bestFit="1" customWidth="1"/>
    <col min="15887" max="15887" width="12" style="4" customWidth="1"/>
    <col min="15888" max="15888" width="11.140625" style="4" customWidth="1"/>
    <col min="15889" max="15889" width="9.5703125" style="4" customWidth="1"/>
    <col min="15890" max="15890" width="10.42578125" style="4" customWidth="1"/>
    <col min="15891" max="15891" width="8.5703125" style="4" customWidth="1"/>
    <col min="15892" max="15892" width="11" style="4" customWidth="1"/>
    <col min="15893" max="15893" width="13.42578125" style="4" bestFit="1" customWidth="1"/>
    <col min="15894" max="15894" width="9.42578125" style="4" customWidth="1"/>
    <col min="15895" max="15895" width="7.5703125" style="4" customWidth="1"/>
    <col min="15896" max="15896" width="11.42578125" style="4" customWidth="1"/>
    <col min="15897" max="15897" width="9.42578125" style="4" customWidth="1"/>
    <col min="15898" max="15898" width="11.42578125" style="4" customWidth="1"/>
    <col min="15899" max="15899" width="13.42578125" style="4" bestFit="1" customWidth="1"/>
    <col min="15900" max="15900" width="5.5703125" style="4" bestFit="1" customWidth="1"/>
    <col min="15901" max="15901" width="19.5703125" style="4" bestFit="1" customWidth="1"/>
    <col min="15902" max="15902" width="1.42578125" style="4" customWidth="1"/>
    <col min="15903" max="15903" width="13.42578125" style="4" bestFit="1" customWidth="1"/>
    <col min="15904" max="15904" width="8.5703125" style="4" bestFit="1" customWidth="1"/>
    <col min="15905" max="15905" width="8.85546875" style="4" bestFit="1" customWidth="1"/>
    <col min="15906" max="16128" width="9.140625" style="4"/>
    <col min="16129" max="16129" width="11" style="4" customWidth="1"/>
    <col min="16130" max="16131" width="12.5703125" style="4" customWidth="1"/>
    <col min="16132" max="16132" width="11" style="4" customWidth="1"/>
    <col min="16133" max="16133" width="8.42578125" style="4" customWidth="1"/>
    <col min="16134" max="16134" width="11.42578125" style="4" customWidth="1"/>
    <col min="16135" max="16135" width="1.85546875" style="4" customWidth="1"/>
    <col min="16136" max="16136" width="8.42578125" style="4" customWidth="1"/>
    <col min="16137" max="16137" width="11.42578125" style="4" customWidth="1"/>
    <col min="16138" max="16139" width="10.42578125" style="4" customWidth="1"/>
    <col min="16140" max="16140" width="10.5703125" style="4" customWidth="1"/>
    <col min="16141" max="16141" width="10" style="4" customWidth="1"/>
    <col min="16142" max="16142" width="11" style="4" bestFit="1" customWidth="1"/>
    <col min="16143" max="16143" width="12" style="4" customWidth="1"/>
    <col min="16144" max="16144" width="11.140625" style="4" customWidth="1"/>
    <col min="16145" max="16145" width="9.5703125" style="4" customWidth="1"/>
    <col min="16146" max="16146" width="10.42578125" style="4" customWidth="1"/>
    <col min="16147" max="16147" width="8.5703125" style="4" customWidth="1"/>
    <col min="16148" max="16148" width="11" style="4" customWidth="1"/>
    <col min="16149" max="16149" width="13.42578125" style="4" bestFit="1" customWidth="1"/>
    <col min="16150" max="16150" width="9.42578125" style="4" customWidth="1"/>
    <col min="16151" max="16151" width="7.5703125" style="4" customWidth="1"/>
    <col min="16152" max="16152" width="11.42578125" style="4" customWidth="1"/>
    <col min="16153" max="16153" width="9.42578125" style="4" customWidth="1"/>
    <col min="16154" max="16154" width="11.42578125" style="4" customWidth="1"/>
    <col min="16155" max="16155" width="13.42578125" style="4" bestFit="1" customWidth="1"/>
    <col min="16156" max="16156" width="5.5703125" style="4" bestFit="1" customWidth="1"/>
    <col min="16157" max="16157" width="19.5703125" style="4" bestFit="1" customWidth="1"/>
    <col min="16158" max="16158" width="1.42578125" style="4" customWidth="1"/>
    <col min="16159" max="16159" width="13.42578125" style="4" bestFit="1" customWidth="1"/>
    <col min="16160" max="16160" width="8.5703125" style="4" bestFit="1" customWidth="1"/>
    <col min="16161" max="16161" width="8.85546875" style="4" bestFit="1" customWidth="1"/>
    <col min="16162" max="16384" width="9.140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5">
      <c r="A4"/>
      <c r="B4"/>
      <c r="C4"/>
      <c r="D4"/>
      <c r="E4"/>
      <c r="F4"/>
      <c r="G4"/>
      <c r="H4"/>
      <c r="I4"/>
      <c r="J4"/>
      <c r="K4"/>
      <c r="L4"/>
      <c r="M4"/>
    </row>
    <row r="5" spans="1:14" ht="4.5" customHeight="1">
      <c r="A5"/>
      <c r="B5"/>
      <c r="C5"/>
      <c r="D5"/>
      <c r="E5"/>
      <c r="F5"/>
      <c r="G5"/>
      <c r="H5"/>
      <c r="I5"/>
      <c r="J5"/>
      <c r="K5"/>
      <c r="L5"/>
      <c r="M5"/>
    </row>
    <row r="6" spans="1:14" ht="15">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75">
      <c r="A9" s="1"/>
      <c r="B9"/>
      <c r="C9"/>
      <c r="D9"/>
      <c r="E9"/>
      <c r="F9"/>
      <c r="G9"/>
      <c r="H9"/>
      <c r="I9"/>
      <c r="J9"/>
      <c r="K9"/>
      <c r="L9"/>
      <c r="M9"/>
    </row>
    <row r="10" spans="1:14" ht="15">
      <c r="A10" s="2" t="str">
        <f ca="1">MID(CELL("filename",A1),FIND("]",CELL("filename",A1))+1,256)</f>
        <v>508-450dia_trial 4B40</v>
      </c>
      <c r="B10"/>
      <c r="C10" s="135">
        <f>C46</f>
        <v>0</v>
      </c>
      <c r="D10" s="135" t="s">
        <v>4</v>
      </c>
      <c r="E10"/>
      <c r="F10"/>
      <c r="G10"/>
      <c r="H10"/>
      <c r="I10"/>
      <c r="J10"/>
      <c r="K10"/>
      <c r="L10"/>
      <c r="M10"/>
    </row>
    <row r="11" spans="1:14" ht="13.5" thickBot="1">
      <c r="H11" s="85"/>
    </row>
    <row r="12" spans="1:14">
      <c r="A12" s="7" t="s">
        <v>5</v>
      </c>
      <c r="B12" s="8" t="s">
        <v>6</v>
      </c>
      <c r="C12" s="9" t="s">
        <v>7</v>
      </c>
      <c r="D12" s="10" t="s">
        <v>8</v>
      </c>
      <c r="N12" s="11"/>
    </row>
    <row r="13" spans="1:14" ht="13.5"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482.6</v>
      </c>
      <c r="D20" s="37" t="s">
        <v>20</v>
      </c>
      <c r="E20" s="38">
        <f>C20/1000</f>
        <v>0.48260000000000003</v>
      </c>
      <c r="F20" s="39" t="s">
        <v>4</v>
      </c>
      <c r="G20" s="26"/>
      <c r="H20" s="27"/>
      <c r="L20" s="29"/>
      <c r="P20" s="4"/>
      <c r="Q20" s="4"/>
      <c r="R20" s="4"/>
    </row>
    <row r="21" spans="1:18" s="28" customFormat="1">
      <c r="A21" s="34"/>
      <c r="B21" s="35" t="s">
        <v>21</v>
      </c>
      <c r="C21" s="40">
        <v>91</v>
      </c>
      <c r="D21" s="37" t="s">
        <v>20</v>
      </c>
      <c r="E21" s="38">
        <f>C21/1000</f>
        <v>9.0999999999999998E-2</v>
      </c>
      <c r="F21" s="39" t="s">
        <v>4</v>
      </c>
      <c r="G21" s="26"/>
      <c r="H21" s="27"/>
      <c r="L21" s="29"/>
      <c r="P21" s="4"/>
      <c r="Q21" s="4"/>
      <c r="R21" s="4"/>
    </row>
    <row r="22" spans="1:18" s="28" customFormat="1" ht="15.75">
      <c r="A22" s="34"/>
      <c r="B22" s="35" t="s">
        <v>22</v>
      </c>
      <c r="C22" s="41">
        <f>(PI()*C20^2/4)</f>
        <v>182921.39995419668</v>
      </c>
      <c r="D22" s="37" t="s">
        <v>23</v>
      </c>
      <c r="E22" s="38">
        <f>PI()*E20^2/4</f>
        <v>0.18292139995419671</v>
      </c>
      <c r="F22" s="39" t="s">
        <v>24</v>
      </c>
      <c r="G22" s="26"/>
      <c r="H22" s="27"/>
      <c r="L22" s="29"/>
      <c r="P22" s="4"/>
      <c r="Q22" s="4"/>
      <c r="R22" s="4"/>
    </row>
    <row r="23" spans="1:18" s="28" customFormat="1" ht="15.75">
      <c r="A23" s="34"/>
      <c r="B23" s="35" t="s">
        <v>25</v>
      </c>
      <c r="C23" s="42">
        <f>C20-2*C21-2*C48-C40</f>
        <v>240.60000000000002</v>
      </c>
      <c r="D23" s="37" t="s">
        <v>20</v>
      </c>
      <c r="E23" s="38">
        <f>E20-2*E21-2*E48-E40</f>
        <v>0.24060000000000001</v>
      </c>
      <c r="F23" s="39" t="s">
        <v>4</v>
      </c>
      <c r="G23" s="26"/>
      <c r="H23" s="27"/>
      <c r="L23" s="29"/>
      <c r="P23" s="4"/>
      <c r="Q23" s="4"/>
      <c r="R23" s="4"/>
    </row>
    <row r="24" spans="1:18" s="28" customFormat="1" ht="15.75">
      <c r="A24" s="34"/>
      <c r="B24" s="35" t="s">
        <v>26</v>
      </c>
      <c r="C24" s="42">
        <f>C20-2*C21-C48</f>
        <v>290.60000000000002</v>
      </c>
      <c r="D24" s="37" t="s">
        <v>20</v>
      </c>
      <c r="E24" s="38">
        <f>E20-2*E21-E48</f>
        <v>0.29060000000000002</v>
      </c>
      <c r="F24" s="39" t="s">
        <v>4</v>
      </c>
      <c r="G24" s="26"/>
      <c r="H24" s="27"/>
      <c r="L24" s="29"/>
      <c r="P24" s="4"/>
      <c r="Q24" s="4"/>
      <c r="R24" s="4"/>
    </row>
    <row r="25" spans="1:18" s="28" customFormat="1">
      <c r="A25" s="27"/>
      <c r="F25" s="29"/>
      <c r="G25" s="26"/>
      <c r="H25" s="27"/>
      <c r="L25" s="29"/>
      <c r="O25" s="4"/>
      <c r="P25" s="4"/>
      <c r="Q25" s="4"/>
      <c r="R25" s="4"/>
    </row>
    <row r="26" spans="1:18" s="28" customFormat="1" ht="15.75">
      <c r="A26" s="34"/>
      <c r="B26" s="35" t="s">
        <v>27</v>
      </c>
      <c r="C26" s="40">
        <v>40</v>
      </c>
      <c r="D26" s="37" t="s">
        <v>28</v>
      </c>
      <c r="F26" s="29"/>
      <c r="G26" s="26"/>
      <c r="H26" s="27"/>
      <c r="L26" s="29"/>
      <c r="O26" s="4"/>
      <c r="P26" s="4"/>
      <c r="Q26" s="4"/>
      <c r="R26" s="4"/>
    </row>
    <row r="27" spans="1:18" s="28" customFormat="1" ht="15.75">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75">
      <c r="A28" s="34"/>
      <c r="B28" s="35" t="s">
        <v>31</v>
      </c>
      <c r="C28" s="46">
        <f>1.75+MAX(0,0.55*(C26-50)/40)</f>
        <v>1.75</v>
      </c>
      <c r="D28" s="37" t="s">
        <v>32</v>
      </c>
      <c r="F28" s="45" t="s">
        <v>33</v>
      </c>
      <c r="G28" s="26"/>
      <c r="H28" s="27"/>
      <c r="L28" s="29"/>
      <c r="O28" s="4"/>
      <c r="P28" s="4"/>
      <c r="Q28" s="4"/>
      <c r="R28" s="4"/>
    </row>
    <row r="29" spans="1:18" s="28" customFormat="1" ht="15.75">
      <c r="A29" s="34"/>
      <c r="B29" s="35" t="s">
        <v>34</v>
      </c>
      <c r="C29" s="46">
        <f>(0.85*C26/C27)/C28</f>
        <v>11.774891774891774</v>
      </c>
      <c r="D29" s="37" t="s">
        <v>35</v>
      </c>
      <c r="F29" s="45" t="s">
        <v>36</v>
      </c>
      <c r="G29" s="26"/>
      <c r="H29" s="47"/>
      <c r="I29" s="48"/>
      <c r="J29" s="48"/>
      <c r="K29" s="48"/>
      <c r="L29" s="49"/>
    </row>
    <row r="30" spans="1:18" s="28" customFormat="1" ht="13.5">
      <c r="A30" s="34"/>
      <c r="B30" s="35" t="s">
        <v>37</v>
      </c>
      <c r="C30" s="43">
        <v>1</v>
      </c>
      <c r="D30" s="37"/>
      <c r="F30" s="45" t="s">
        <v>38</v>
      </c>
      <c r="G30" s="26"/>
    </row>
    <row r="31" spans="1:18" s="28" customFormat="1" ht="13.5">
      <c r="A31" s="34"/>
      <c r="B31" s="50" t="s">
        <v>39</v>
      </c>
      <c r="C31" s="46">
        <f>C30*C26/C27</f>
        <v>24.242424242424242</v>
      </c>
      <c r="D31" s="37" t="s">
        <v>28</v>
      </c>
      <c r="F31" s="45" t="s">
        <v>38</v>
      </c>
      <c r="G31" s="26"/>
      <c r="H31" s="22" t="s">
        <v>40</v>
      </c>
      <c r="I31" s="24"/>
      <c r="J31" s="24"/>
      <c r="K31" s="24"/>
      <c r="L31" s="25" t="s">
        <v>17</v>
      </c>
    </row>
    <row r="32" spans="1:18" s="28" customFormat="1" ht="13.5">
      <c r="A32" s="34"/>
      <c r="B32" s="35" t="s">
        <v>41</v>
      </c>
      <c r="C32" s="46">
        <f>0.6*(1-C26/250)*C31</f>
        <v>12.218181818181819</v>
      </c>
      <c r="D32" s="37" t="s">
        <v>28</v>
      </c>
      <c r="F32" s="45" t="s">
        <v>42</v>
      </c>
      <c r="G32" s="26"/>
      <c r="H32" s="30" t="s">
        <v>43</v>
      </c>
      <c r="L32" s="29"/>
    </row>
    <row r="33" spans="1:14" s="28" customFormat="1" ht="15.75">
      <c r="A33" s="34"/>
      <c r="F33" s="29"/>
      <c r="G33" s="26"/>
      <c r="H33" s="27"/>
      <c r="I33" s="35" t="s">
        <v>44</v>
      </c>
      <c r="J33" s="52">
        <f>MIN(1,2.5*(1-C56)+18*E43*(C56-0.6))</f>
        <v>0.37833437869091796</v>
      </c>
      <c r="L33" s="29"/>
    </row>
    <row r="34" spans="1:14" s="28" customFormat="1" ht="15.75">
      <c r="A34" s="34"/>
      <c r="B34" s="35" t="s">
        <v>45</v>
      </c>
      <c r="C34" s="53">
        <v>500</v>
      </c>
      <c r="D34" s="37" t="s">
        <v>28</v>
      </c>
      <c r="F34" s="45" t="s">
        <v>46</v>
      </c>
      <c r="G34" s="26"/>
      <c r="H34" s="27"/>
      <c r="I34" s="35" t="s">
        <v>47</v>
      </c>
      <c r="J34" s="52">
        <f>MIN(1,2.5*(1-C56)+MIN(2.25,1.5+37.5*E43)*(C56-0.6))</f>
        <v>0.9225000000000001</v>
      </c>
      <c r="L34" s="29"/>
      <c r="N34" s="51"/>
    </row>
    <row r="35" spans="1:14" s="28" customFormat="1" ht="15.75">
      <c r="A35" s="34"/>
      <c r="B35" s="35" t="s">
        <v>48</v>
      </c>
      <c r="C35" s="53">
        <v>200</v>
      </c>
      <c r="D35" s="37" t="s">
        <v>35</v>
      </c>
      <c r="E35" s="33"/>
      <c r="F35" s="45" t="s">
        <v>49</v>
      </c>
      <c r="G35" s="26"/>
      <c r="H35" s="27"/>
      <c r="I35" s="35" t="s">
        <v>50</v>
      </c>
      <c r="J35" s="52">
        <f>MIN(1,2.5*(1-C56)+MIN(2,100*E43)*(C56-0.6))</f>
        <v>0.84499999999999997</v>
      </c>
      <c r="L35" s="29"/>
    </row>
    <row r="36" spans="1:14" s="28" customFormat="1" ht="15.75" customHeight="1">
      <c r="A36" s="34"/>
      <c r="B36" s="35" t="s">
        <v>51</v>
      </c>
      <c r="C36" s="53">
        <v>1.1499999999999999</v>
      </c>
      <c r="F36" s="45" t="s">
        <v>30</v>
      </c>
      <c r="G36" s="26"/>
      <c r="H36" s="27"/>
      <c r="L36" s="29"/>
    </row>
    <row r="37" spans="1:14" s="28" customFormat="1" ht="15.75">
      <c r="A37" s="34"/>
      <c r="B37" s="35" t="s">
        <v>52</v>
      </c>
      <c r="C37" s="54">
        <f>C34/C36</f>
        <v>434.78260869565219</v>
      </c>
      <c r="D37" s="37" t="s">
        <v>28</v>
      </c>
      <c r="F37" s="45" t="s">
        <v>53</v>
      </c>
      <c r="G37" s="26"/>
      <c r="H37" s="30" t="s">
        <v>54</v>
      </c>
      <c r="L37" s="29"/>
    </row>
    <row r="38" spans="1:14" s="28" customFormat="1" ht="15.75">
      <c r="A38" s="27"/>
      <c r="F38" s="29"/>
      <c r="G38" s="26"/>
      <c r="H38" s="27"/>
      <c r="I38" s="35" t="s">
        <v>55</v>
      </c>
      <c r="J38" s="52">
        <f>MIN(0.65,0.4+(E23/E20)/(1.3-LOG(E43*C35/C29)))*E24</f>
        <v>0.18889000000000003</v>
      </c>
      <c r="K38" s="37" t="s">
        <v>4</v>
      </c>
      <c r="L38" s="29"/>
    </row>
    <row r="39" spans="1:14" s="28" customFormat="1" ht="15.75">
      <c r="A39" s="30" t="s">
        <v>56</v>
      </c>
      <c r="B39" s="31"/>
      <c r="D39" s="37"/>
      <c r="E39" s="33"/>
      <c r="F39" s="45"/>
      <c r="G39" s="26"/>
      <c r="H39" s="27"/>
      <c r="I39" s="35" t="s">
        <v>57</v>
      </c>
      <c r="J39" s="52">
        <f>MAX(0.4,(1.3+0.2*LOG(C35*E43/C29))*(E23/E20-0.3)+0.6*(1-E23/E20))*E22</f>
        <v>9.9846512346503005E-2</v>
      </c>
      <c r="K39" s="37" t="s">
        <v>58</v>
      </c>
      <c r="L39" s="29"/>
      <c r="M39" s="140"/>
    </row>
    <row r="40" spans="1:14" s="28" customFormat="1" ht="15.75" customHeight="1">
      <c r="A40" s="27"/>
      <c r="B40" s="35" t="s">
        <v>59</v>
      </c>
      <c r="C40" s="136">
        <v>40</v>
      </c>
      <c r="D40" s="37" t="s">
        <v>20</v>
      </c>
      <c r="E40" s="38">
        <f>C40/1000</f>
        <v>0.04</v>
      </c>
      <c r="F40" s="39" t="s">
        <v>4</v>
      </c>
      <c r="G40" s="26"/>
      <c r="H40" s="27"/>
      <c r="I40" s="35" t="s">
        <v>60</v>
      </c>
      <c r="J40" s="52">
        <f>0.9*(1-(1-E23/E20)^(2.5+0.6*LOG(E43*C35/C29)))</f>
        <v>0.7162051928362565</v>
      </c>
      <c r="L40" s="29"/>
    </row>
    <row r="41" spans="1:14" s="28" customFormat="1" ht="15.75">
      <c r="A41" s="27"/>
      <c r="B41" s="35" t="s">
        <v>61</v>
      </c>
      <c r="C41" s="40">
        <v>4</v>
      </c>
      <c r="D41" s="37"/>
      <c r="E41" s="58"/>
      <c r="F41" s="39"/>
      <c r="G41" s="26"/>
      <c r="H41" s="27"/>
      <c r="L41" s="29"/>
    </row>
    <row r="42" spans="1:14" s="28" customFormat="1" ht="15.75">
      <c r="A42" s="27"/>
      <c r="B42" s="35" t="s">
        <v>62</v>
      </c>
      <c r="C42" s="42">
        <f>PI()*C40^2/4*C41</f>
        <v>5026.5482457436692</v>
      </c>
      <c r="D42" s="37" t="s">
        <v>63</v>
      </c>
      <c r="E42" s="38">
        <f>PI()*E40^2/4*C41</f>
        <v>5.0265482457436689E-3</v>
      </c>
      <c r="F42" s="39" t="s">
        <v>64</v>
      </c>
      <c r="G42" s="26"/>
      <c r="H42" s="30" t="s">
        <v>65</v>
      </c>
      <c r="L42" s="29"/>
    </row>
    <row r="43" spans="1:14" s="28" customFormat="1" ht="15.75">
      <c r="A43" s="55"/>
      <c r="B43" s="35" t="s">
        <v>66</v>
      </c>
      <c r="C43" s="56">
        <f>E43*100</f>
        <v>2.747927933528997</v>
      </c>
      <c r="D43" s="37" t="s">
        <v>67</v>
      </c>
      <c r="E43" s="38">
        <f>(E42)/(E22)</f>
        <v>2.7479279335289968E-2</v>
      </c>
      <c r="F43" s="39"/>
      <c r="G43" s="26"/>
      <c r="H43" s="92" t="s">
        <v>68</v>
      </c>
      <c r="L43" s="29"/>
    </row>
    <row r="44" spans="1:14" s="28" customFormat="1" ht="15.75">
      <c r="A44" s="27"/>
      <c r="E44" s="58"/>
      <c r="F44" s="39"/>
      <c r="G44" s="26"/>
      <c r="H44" s="27"/>
      <c r="I44" s="35" t="s">
        <v>69</v>
      </c>
      <c r="J44" s="57">
        <f>2*E50*J38*C37*IF(E47=1,J35*(1-E49/(J40*PI()*E24))/SQRT(1+(E49/(PI()*E24))^2),J34)*1000</f>
        <v>79.337063771085738</v>
      </c>
      <c r="K44" s="37" t="s">
        <v>70</v>
      </c>
      <c r="L44" s="45" t="s">
        <v>71</v>
      </c>
    </row>
    <row r="45" spans="1:14" s="28" customFormat="1" ht="16.5" thickBot="1">
      <c r="A45" s="30" t="s">
        <v>72</v>
      </c>
      <c r="B45" s="31"/>
      <c r="D45" s="59"/>
      <c r="E45" s="58"/>
      <c r="F45" s="39"/>
      <c r="G45" s="26"/>
      <c r="H45" s="27"/>
      <c r="I45" s="35" t="s">
        <v>73</v>
      </c>
      <c r="J45" s="57">
        <f>C59*J33*J39*C32/2*1000</f>
        <v>234.09969268585934</v>
      </c>
      <c r="K45" s="37" t="s">
        <v>70</v>
      </c>
      <c r="L45" s="45" t="s">
        <v>74</v>
      </c>
    </row>
    <row r="46" spans="1:14" s="28" customFormat="1" ht="15.75">
      <c r="A46" s="59"/>
      <c r="B46" s="35" t="s">
        <v>75</v>
      </c>
      <c r="C46" s="61">
        <v>0</v>
      </c>
      <c r="D46" s="59" t="s">
        <v>76</v>
      </c>
      <c r="E46" s="58"/>
      <c r="F46" s="39"/>
      <c r="G46" s="26"/>
      <c r="H46" s="27"/>
      <c r="I46" s="35" t="s">
        <v>77</v>
      </c>
      <c r="J46" s="60">
        <f>IF(J45&lt;J44,1,IF(J44&lt;0,1,MIN(IF(C57&lt;0,1.25,2.5),SQRT(2*J45/J44-1))))</f>
        <v>2.2139095346292157</v>
      </c>
      <c r="L46" s="29"/>
    </row>
    <row r="47" spans="1:14" s="28" customFormat="1" ht="15.75">
      <c r="A47" s="27"/>
      <c r="B47" s="35" t="s">
        <v>78</v>
      </c>
      <c r="C47" s="126" t="s">
        <v>227</v>
      </c>
      <c r="E47" s="62">
        <f>IF(C47="Spiral",1,0)</f>
        <v>0</v>
      </c>
      <c r="F47" s="39"/>
      <c r="G47" s="26"/>
      <c r="H47" s="27"/>
      <c r="I47" s="35" t="s">
        <v>79</v>
      </c>
      <c r="J47" s="90">
        <f>MIN(2*J45/(J46+1/J46),2*E50*J38*C37*J46*IF(E47=1,J35*(1-E49/(J40*PI()*E24*J46))/SQRT(1+(E49/(PI()*E24))^2),J34)*1000)</f>
        <v>175.64508193229284</v>
      </c>
      <c r="K47" s="37" t="s">
        <v>70</v>
      </c>
      <c r="L47" s="29"/>
    </row>
    <row r="48" spans="1:14" s="28" customFormat="1" ht="15.75" customHeight="1">
      <c r="A48" s="27"/>
      <c r="B48" s="35" t="s">
        <v>80</v>
      </c>
      <c r="C48" s="63">
        <v>10</v>
      </c>
      <c r="D48" s="37" t="s">
        <v>20</v>
      </c>
      <c r="E48" s="38">
        <f>C48/1000</f>
        <v>0.01</v>
      </c>
      <c r="F48" s="39" t="s">
        <v>4</v>
      </c>
      <c r="G48" s="26"/>
      <c r="H48" s="27"/>
      <c r="I48" s="35" t="s">
        <v>81</v>
      </c>
      <c r="J48" s="139">
        <f>C55/J47</f>
        <v>0.87790673273414255</v>
      </c>
      <c r="K48" s="66" t="str">
        <f>IF(J48&gt;1,"FAIL","Pass")</f>
        <v>Pass</v>
      </c>
      <c r="L48" s="29"/>
    </row>
    <row r="49" spans="1:13" s="28" customFormat="1" ht="13.5" thickBot="1">
      <c r="A49" s="27"/>
      <c r="B49" s="35" t="str">
        <f>IF(E47=1,"Spiral pitch, p =", "Link spacing, s =")</f>
        <v>Link spacing, s =</v>
      </c>
      <c r="C49" s="64">
        <v>150</v>
      </c>
      <c r="D49" s="37" t="s">
        <v>20</v>
      </c>
      <c r="E49" s="38">
        <f>C49/1000</f>
        <v>0.15</v>
      </c>
      <c r="F49" s="39" t="s">
        <v>4</v>
      </c>
      <c r="G49" s="26"/>
      <c r="H49" s="27"/>
      <c r="I49" s="28" t="s">
        <v>82</v>
      </c>
      <c r="J49" s="28">
        <f>J47*0.75</f>
        <v>131.73381144921962</v>
      </c>
      <c r="K49" s="28" t="s">
        <v>70</v>
      </c>
      <c r="L49" s="29"/>
    </row>
    <row r="50" spans="1:13" s="28" customFormat="1" ht="15.75">
      <c r="A50" s="27"/>
      <c r="B50" s="35" t="str">
        <f>IF(E47=1,"Asw / p =","Asw / s =")</f>
        <v>Asw / s =</v>
      </c>
      <c r="C50" s="42">
        <f>(C48^2*PI()/4)/E49</f>
        <v>523.59877559829886</v>
      </c>
      <c r="D50" s="37" t="s">
        <v>83</v>
      </c>
      <c r="E50" s="67">
        <f>(E48^2*PI()/4)/E49</f>
        <v>5.2359877559829892E-4</v>
      </c>
      <c r="F50" s="39" t="s">
        <v>84</v>
      </c>
      <c r="G50" s="26"/>
      <c r="H50" s="92" t="s">
        <v>85</v>
      </c>
      <c r="L50" s="29"/>
    </row>
    <row r="51" spans="1:13" s="28" customFormat="1" ht="15.75">
      <c r="A51" s="27"/>
      <c r="E51" s="38"/>
      <c r="F51" s="68" t="str">
        <f>IF(E47=1,IF(C49&gt;0.4*C24*J46,"Spiral pitch, P exceeds limit of 0.4Dw.cotθ = "&amp;ROUND(0.4*C24*J46,0)&amp;"mm. Result not valid",""),"")</f>
        <v/>
      </c>
      <c r="G51" s="26"/>
      <c r="H51" s="27"/>
      <c r="I51" s="35" t="s">
        <v>69</v>
      </c>
      <c r="J51" s="57">
        <f>2*E50*J38*C37*IF(E47=1,J35*(1-E49/(J40*PI()*E24))/SQRT(1+(E49/(PI()*E24))^2),J34)*1000</f>
        <v>79.337063771085738</v>
      </c>
      <c r="K51" s="37" t="s">
        <v>70</v>
      </c>
      <c r="L51" s="45" t="s">
        <v>71</v>
      </c>
    </row>
    <row r="52" spans="1:13" s="28" customFormat="1" ht="15.75">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288.46644817252911</v>
      </c>
      <c r="K52" s="37" t="s">
        <v>70</v>
      </c>
      <c r="L52" s="45" t="s">
        <v>74</v>
      </c>
    </row>
    <row r="53" spans="1:13" s="28" customFormat="1" ht="15">
      <c r="A53" s="27"/>
      <c r="F53" s="69" t="str">
        <f>IF(C26&gt;50,"",IF(C49&gt;0.6*MIN(20*C40,C20,400),"Link spacing or pitch exceeds limit set by EN1992-1-1 cl 9.5.3(4) = "&amp;ROUND(0.6*MIN(20*C40,C20,400),0)&amp;"mm",""))</f>
        <v/>
      </c>
      <c r="H53" s="27"/>
      <c r="I53" s="35" t="s">
        <v>77</v>
      </c>
      <c r="J53" s="60">
        <f>IF(J52&lt;J51,1,IF(J51&lt;0,1,MIN(IF(C61&lt;0,1.25,2.5),SQRT(2*J52/J51-1))))</f>
        <v>2.5</v>
      </c>
      <c r="L53" s="29"/>
    </row>
    <row r="54" spans="1:13" s="28" customFormat="1" ht="15.75">
      <c r="A54" s="30" t="s">
        <v>86</v>
      </c>
      <c r="D54" s="37"/>
      <c r="E54" s="38"/>
      <c r="F54" s="39"/>
      <c r="H54" s="27"/>
      <c r="I54" s="35" t="s">
        <v>79</v>
      </c>
      <c r="J54" s="90">
        <f>MIN(2*J52/(J53+1/J53),2*E50*J38*C37*J53*IF(E47=1,J35*(1-E49/(J40*PI()*E24*J53))/SQRT(1+(E49/(PI()*E24))^2),J34)*1000)</f>
        <v>198.34265942771435</v>
      </c>
      <c r="K54" s="37" t="s">
        <v>70</v>
      </c>
      <c r="L54" s="29"/>
    </row>
    <row r="55" spans="1:13" s="28" customFormat="1" ht="15.75">
      <c r="A55" s="27"/>
      <c r="B55" s="35" t="s">
        <v>87</v>
      </c>
      <c r="C55" s="95">
        <v>154.19999999999999</v>
      </c>
      <c r="D55" s="37" t="s">
        <v>70</v>
      </c>
      <c r="E55" s="38">
        <f>C55/1000</f>
        <v>0.15419999999999998</v>
      </c>
      <c r="F55" s="39" t="s">
        <v>88</v>
      </c>
      <c r="G55" s="26"/>
      <c r="H55" s="27"/>
      <c r="I55" s="35" t="s">
        <v>81</v>
      </c>
      <c r="J55" s="139">
        <f>C55/J54</f>
        <v>0.77744243444612038</v>
      </c>
      <c r="K55" s="66" t="str">
        <f>IF(J55&gt;1,"FAIL","Pass")</f>
        <v>Pass</v>
      </c>
      <c r="L55" s="29"/>
    </row>
    <row r="56" spans="1:13" s="28" customFormat="1" ht="15.75">
      <c r="A56" s="27"/>
      <c r="B56" s="35" t="s">
        <v>89</v>
      </c>
      <c r="C56" s="94">
        <v>0.91</v>
      </c>
      <c r="D56" s="37"/>
      <c r="F56" s="71"/>
      <c r="G56" s="26"/>
      <c r="H56" s="47"/>
      <c r="I56" s="48"/>
      <c r="J56" s="48"/>
      <c r="K56" s="48"/>
      <c r="L56" s="49"/>
    </row>
    <row r="57" spans="1:13" s="28" customFormat="1" ht="15.75">
      <c r="A57" s="92" t="s">
        <v>68</v>
      </c>
      <c r="B57" s="35" t="s">
        <v>90</v>
      </c>
      <c r="C57" s="40">
        <v>92</v>
      </c>
      <c r="D57" s="37" t="s">
        <v>91</v>
      </c>
      <c r="E57" s="72"/>
      <c r="F57" s="45"/>
      <c r="G57" s="26"/>
    </row>
    <row r="58" spans="1:13" s="28" customFormat="1" ht="13.5">
      <c r="A58" s="34"/>
      <c r="B58" s="35" t="s">
        <v>92</v>
      </c>
      <c r="C58" s="73">
        <f>E58/((E22-E42)+(E42*C35/C29))</f>
        <v>0.34944814457468648</v>
      </c>
      <c r="D58" s="37" t="s">
        <v>28</v>
      </c>
      <c r="E58" s="38">
        <f>C57/1000</f>
        <v>9.1999999999999998E-2</v>
      </c>
      <c r="F58" s="39" t="s">
        <v>88</v>
      </c>
      <c r="G58" s="26"/>
      <c r="H58" s="22" t="s">
        <v>93</v>
      </c>
      <c r="I58" s="24"/>
      <c r="J58" s="24"/>
      <c r="K58" s="24"/>
      <c r="L58" s="25" t="s">
        <v>17</v>
      </c>
      <c r="M58" s="4"/>
    </row>
    <row r="59" spans="1:13" s="28" customFormat="1" ht="13.5">
      <c r="A59" s="34"/>
      <c r="B59" s="35" t="s">
        <v>94</v>
      </c>
      <c r="C59" s="46">
        <f>IF(C58&lt;0.5*C31,MIN((1+C58/C31),1.25),IF(C58&lt;C31,2.5*(1-C58/C31),"Error: N.Ed too large!"))</f>
        <v>1.0144147359637059</v>
      </c>
      <c r="D59" s="37"/>
      <c r="F59" s="45" t="s">
        <v>42</v>
      </c>
      <c r="G59" s="26"/>
      <c r="H59" s="30" t="s">
        <v>95</v>
      </c>
      <c r="L59" s="45" t="s">
        <v>96</v>
      </c>
      <c r="M59" s="4"/>
    </row>
    <row r="60" spans="1:13" s="28" customFormat="1" ht="15.75">
      <c r="A60" s="34"/>
      <c r="B60" s="35"/>
      <c r="C60" s="73"/>
      <c r="D60" s="37"/>
      <c r="E60" s="38"/>
      <c r="F60" s="39"/>
      <c r="G60" s="26"/>
      <c r="H60" s="27"/>
      <c r="I60" s="35" t="s">
        <v>97</v>
      </c>
      <c r="J60" s="60">
        <f>0.08*SQRT(C26)/C34</f>
        <v>1.0119288512538814E-3</v>
      </c>
      <c r="L60" s="70" t="s">
        <v>98</v>
      </c>
      <c r="M60" s="4"/>
    </row>
    <row r="61" spans="1:13" s="28" customFormat="1" ht="16.5" thickBot="1">
      <c r="A61" s="92" t="s">
        <v>85</v>
      </c>
      <c r="B61" s="35" t="s">
        <v>90</v>
      </c>
      <c r="C61" s="40">
        <v>2424</v>
      </c>
      <c r="D61" s="37" t="s">
        <v>91</v>
      </c>
      <c r="E61" s="72"/>
      <c r="F61" s="45"/>
      <c r="G61" s="26"/>
      <c r="H61" s="27"/>
      <c r="I61" s="35" t="s">
        <v>99</v>
      </c>
      <c r="J61" s="60">
        <f>MIN((IF(J46=1,J44,J47/J46)/(C37*1000))/(J39*J33),(IF(J53=1,J51,J54/J53)/(C37*1000))/(J39*J33))</f>
        <v>4.8305352219006449E-3</v>
      </c>
      <c r="L61" s="70" t="s">
        <v>100</v>
      </c>
      <c r="M61" s="4"/>
    </row>
    <row r="62" spans="1:13" s="28" customFormat="1" ht="16.5" thickBot="1">
      <c r="A62" s="27"/>
      <c r="B62" s="35" t="s">
        <v>92</v>
      </c>
      <c r="C62" s="73">
        <f>E62/((E22-E42)+(E42*C35/C29))</f>
        <v>9.2071989396634795</v>
      </c>
      <c r="D62" s="37" t="s">
        <v>28</v>
      </c>
      <c r="E62" s="38">
        <f>C61/1000</f>
        <v>2.4239999999999999</v>
      </c>
      <c r="F62" s="39" t="s">
        <v>88</v>
      </c>
      <c r="G62" s="26"/>
      <c r="H62" s="27"/>
      <c r="I62" s="35" t="s">
        <v>101</v>
      </c>
      <c r="J62" s="65">
        <f>J61/J60</f>
        <v>4.7735917558977858</v>
      </c>
      <c r="K62" s="66" t="str">
        <f>IF(J62&lt;1,"FAIL","Pass")</f>
        <v>Pass</v>
      </c>
      <c r="L62" s="29"/>
      <c r="M62" s="4"/>
    </row>
    <row r="63" spans="1:13" s="28" customFormat="1" ht="13.5">
      <c r="A63" s="93"/>
      <c r="B63" s="35" t="s">
        <v>94</v>
      </c>
      <c r="C63" s="46">
        <f>IF(C62&lt;0.5*C31,MIN((1+C62/C31),1.25),IF(C62&lt;C31,2.5*(1-C62/C31),"Error: N.Ed too large!"))</f>
        <v>1.25</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170.69242511991251</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A15:F15"/>
    <mergeCell ref="A16:F16"/>
    <mergeCell ref="E75:E77"/>
    <mergeCell ref="E78:E80"/>
    <mergeCell ref="E81:E82"/>
    <mergeCell ref="E83:E84"/>
  </mergeCells>
  <conditionalFormatting sqref="H6 J6 B6 B8 B4 H4 H2">
    <cfRule type="cellIs" dxfId="13" priority="14" stopIfTrue="1" operator="equal">
      <formula>0</formula>
    </cfRule>
  </conditionalFormatting>
  <conditionalFormatting sqref="B6">
    <cfRule type="cellIs" dxfId="12" priority="13" stopIfTrue="1" operator="equal">
      <formula>0</formula>
    </cfRule>
  </conditionalFormatting>
  <conditionalFormatting sqref="H6 J6 H4">
    <cfRule type="cellIs" dxfId="11" priority="12" stopIfTrue="1" operator="equal">
      <formula>0</formula>
    </cfRule>
  </conditionalFormatting>
  <conditionalFormatting sqref="J48">
    <cfRule type="cellIs" dxfId="10" priority="10" stopIfTrue="1" operator="greaterThan">
      <formula>1</formula>
    </cfRule>
    <cfRule type="cellIs" dxfId="9" priority="11" stopIfTrue="1" operator="lessThanOrEqual">
      <formula>1</formula>
    </cfRule>
  </conditionalFormatting>
  <conditionalFormatting sqref="J62">
    <cfRule type="cellIs" dxfId="8" priority="8" stopIfTrue="1" operator="lessThan">
      <formula>1</formula>
    </cfRule>
    <cfRule type="cellIs" dxfId="7" priority="9" stopIfTrue="1" operator="greaterThanOrEqual">
      <formula>1</formula>
    </cfRule>
  </conditionalFormatting>
  <conditionalFormatting sqref="K48 K62">
    <cfRule type="cellIs" dxfId="6" priority="6" stopIfTrue="1" operator="equal">
      <formula>"FAIL"</formula>
    </cfRule>
    <cfRule type="cellIs" dxfId="5" priority="7" stopIfTrue="1" operator="equal">
      <formula>"Pass"</formula>
    </cfRule>
  </conditionalFormatting>
  <conditionalFormatting sqref="F52">
    <cfRule type="cellIs" dxfId="4" priority="5" stopIfTrue="1" operator="equal">
      <formula>"Link spacing satisfies limit set by EN1992-1-1 cl 9.5.3(3)"</formula>
    </cfRule>
  </conditionalFormatting>
  <conditionalFormatting sqref="K55">
    <cfRule type="cellIs" dxfId="3" priority="3" stopIfTrue="1" operator="equal">
      <formula>"FAIL"</formula>
    </cfRule>
    <cfRule type="cellIs" dxfId="2" priority="4" stopIfTrue="1" operator="equal">
      <formula>"Pass"</formula>
    </cfRule>
  </conditionalFormatting>
  <conditionalFormatting sqref="J55">
    <cfRule type="cellIs" dxfId="1" priority="1" stopIfTrue="1" operator="greaterThan">
      <formula>1</formula>
    </cfRule>
    <cfRule type="cellIs" dxfId="0" priority="2" stopIfTrue="1" operator="lessThanOrEqual">
      <formula>1</formula>
    </cfRule>
  </conditionalFormatting>
  <dataValidations count="10">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FD8959F6-95B5-4600-BA0B-F8E26AB5F034}"/>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316CC3A7-12AE-4DDD-A5BF-E0B2AF365493}"/>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7C66D586-6343-48F7-8100-373A09B2B0F0}"/>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07A0160E-B21A-4FC7-A993-78AB6DE2D394}"/>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CB0AD1D0-C50C-4534-B8ED-7AE561F213C0}"/>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3DB948E0-6197-416B-B50A-C4C52D9FDA33}">
      <formula1>Type</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AB96D2DC-D79F-48FF-807E-B4585EDCD28D}">
      <formula1>Bar</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B753F893-51E9-4058-89EF-34D6B24A53FE}">
      <formula1>Link</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16DF7F25-0995-43C7-BEDF-17E4C8BE388A}">
      <formula1>GammaC</formula1>
    </dataValidation>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5BDFC867-1827-41F1-9D76-F4CAC9EDB389}">
      <formula1>alphacc</formula1>
    </dataValidation>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5EABB-B1A2-451B-9C65-0F47357D4207}">
  <sheetPr>
    <tabColor theme="5" tint="0.39997558519241921"/>
    <pageSetUpPr fitToPage="1"/>
  </sheetPr>
  <dimension ref="A1:R116"/>
  <sheetViews>
    <sheetView showGridLines="0" view="pageBreakPreview" topLeftCell="A32" zoomScale="115" zoomScaleNormal="100" zoomScaleSheetLayoutView="115" workbookViewId="0">
      <selection activeCell="J62" sqref="J62"/>
    </sheetView>
  </sheetViews>
  <sheetFormatPr defaultColWidth="9.140625" defaultRowHeight="12.75"/>
  <cols>
    <col min="1" max="1" width="11" style="4" customWidth="1"/>
    <col min="2" max="3" width="12.5703125" style="4" customWidth="1"/>
    <col min="4" max="4" width="11" style="4" customWidth="1"/>
    <col min="5" max="5" width="8.42578125" style="4" customWidth="1"/>
    <col min="6" max="6" width="11.42578125" style="4" customWidth="1"/>
    <col min="7" max="7" width="1.85546875" style="4" customWidth="1"/>
    <col min="8" max="8" width="8.42578125" style="4" customWidth="1"/>
    <col min="9" max="9" width="11.42578125" style="4" customWidth="1"/>
    <col min="10" max="11" width="10.42578125" style="4" customWidth="1"/>
    <col min="12" max="12" width="10.5703125" style="4" customWidth="1"/>
    <col min="13" max="13" width="10" style="4" customWidth="1"/>
    <col min="14" max="14" width="11" style="4" bestFit="1" customWidth="1"/>
    <col min="15" max="15" width="12" style="4" customWidth="1"/>
    <col min="16" max="16" width="11.140625" style="4" customWidth="1"/>
    <col min="17" max="17" width="9.5703125" style="4" customWidth="1"/>
    <col min="18" max="18" width="10.42578125" style="4" customWidth="1"/>
    <col min="19" max="19" width="8.5703125" style="4" customWidth="1"/>
    <col min="20" max="20" width="11" style="4" customWidth="1"/>
    <col min="21" max="21" width="13.42578125" style="4" bestFit="1" customWidth="1"/>
    <col min="22" max="22" width="9.42578125" style="4" customWidth="1"/>
    <col min="23" max="23" width="7.5703125" style="4" customWidth="1"/>
    <col min="24" max="24" width="11.42578125" style="4" customWidth="1"/>
    <col min="25" max="25" width="9.42578125" style="4" customWidth="1"/>
    <col min="26" max="26" width="11.42578125" style="4" customWidth="1"/>
    <col min="27" max="27" width="13.42578125" style="4" bestFit="1" customWidth="1"/>
    <col min="28" max="28" width="5.5703125" style="4" bestFit="1" customWidth="1"/>
    <col min="29" max="29" width="19.5703125" style="4" bestFit="1" customWidth="1"/>
    <col min="30" max="30" width="1.42578125" style="4" customWidth="1"/>
    <col min="31" max="31" width="13.42578125" style="4" bestFit="1" customWidth="1"/>
    <col min="32" max="32" width="8.5703125" style="4" bestFit="1" customWidth="1"/>
    <col min="33" max="33" width="8.85546875" style="4" bestFit="1" customWidth="1"/>
    <col min="34" max="256" width="9.140625" style="4"/>
    <col min="257" max="257" width="11" style="4" customWidth="1"/>
    <col min="258" max="259" width="12.5703125" style="4" customWidth="1"/>
    <col min="260" max="260" width="11" style="4" customWidth="1"/>
    <col min="261" max="261" width="8.42578125" style="4" customWidth="1"/>
    <col min="262" max="262" width="11.42578125" style="4" customWidth="1"/>
    <col min="263" max="263" width="1.85546875" style="4" customWidth="1"/>
    <col min="264" max="264" width="8.42578125" style="4" customWidth="1"/>
    <col min="265" max="265" width="11.42578125" style="4" customWidth="1"/>
    <col min="266" max="267" width="10.42578125" style="4" customWidth="1"/>
    <col min="268" max="268" width="10.5703125" style="4" customWidth="1"/>
    <col min="269" max="269" width="10" style="4" customWidth="1"/>
    <col min="270" max="270" width="11" style="4" bestFit="1" customWidth="1"/>
    <col min="271" max="271" width="12" style="4" customWidth="1"/>
    <col min="272" max="272" width="11.140625" style="4" customWidth="1"/>
    <col min="273" max="273" width="9.5703125" style="4" customWidth="1"/>
    <col min="274" max="274" width="10.42578125" style="4" customWidth="1"/>
    <col min="275" max="275" width="8.5703125" style="4" customWidth="1"/>
    <col min="276" max="276" width="11" style="4" customWidth="1"/>
    <col min="277" max="277" width="13.42578125" style="4" bestFit="1" customWidth="1"/>
    <col min="278" max="278" width="9.42578125" style="4" customWidth="1"/>
    <col min="279" max="279" width="7.5703125" style="4" customWidth="1"/>
    <col min="280" max="280" width="11.42578125" style="4" customWidth="1"/>
    <col min="281" max="281" width="9.42578125" style="4" customWidth="1"/>
    <col min="282" max="282" width="11.42578125" style="4" customWidth="1"/>
    <col min="283" max="283" width="13.42578125" style="4" bestFit="1" customWidth="1"/>
    <col min="284" max="284" width="5.5703125" style="4" bestFit="1" customWidth="1"/>
    <col min="285" max="285" width="19.5703125" style="4" bestFit="1" customWidth="1"/>
    <col min="286" max="286" width="1.42578125" style="4" customWidth="1"/>
    <col min="287" max="287" width="13.42578125" style="4" bestFit="1" customWidth="1"/>
    <col min="288" max="288" width="8.5703125" style="4" bestFit="1" customWidth="1"/>
    <col min="289" max="289" width="8.85546875" style="4" bestFit="1" customWidth="1"/>
    <col min="290" max="512" width="9.140625" style="4"/>
    <col min="513" max="513" width="11" style="4" customWidth="1"/>
    <col min="514" max="515" width="12.5703125" style="4" customWidth="1"/>
    <col min="516" max="516" width="11" style="4" customWidth="1"/>
    <col min="517" max="517" width="8.42578125" style="4" customWidth="1"/>
    <col min="518" max="518" width="11.42578125" style="4" customWidth="1"/>
    <col min="519" max="519" width="1.85546875" style="4" customWidth="1"/>
    <col min="520" max="520" width="8.42578125" style="4" customWidth="1"/>
    <col min="521" max="521" width="11.42578125" style="4" customWidth="1"/>
    <col min="522" max="523" width="10.42578125" style="4" customWidth="1"/>
    <col min="524" max="524" width="10.5703125" style="4" customWidth="1"/>
    <col min="525" max="525" width="10" style="4" customWidth="1"/>
    <col min="526" max="526" width="11" style="4" bestFit="1" customWidth="1"/>
    <col min="527" max="527" width="12" style="4" customWidth="1"/>
    <col min="528" max="528" width="11.140625" style="4" customWidth="1"/>
    <col min="529" max="529" width="9.5703125" style="4" customWidth="1"/>
    <col min="530" max="530" width="10.42578125" style="4" customWidth="1"/>
    <col min="531" max="531" width="8.5703125" style="4" customWidth="1"/>
    <col min="532" max="532" width="11" style="4" customWidth="1"/>
    <col min="533" max="533" width="13.42578125" style="4" bestFit="1" customWidth="1"/>
    <col min="534" max="534" width="9.42578125" style="4" customWidth="1"/>
    <col min="535" max="535" width="7.5703125" style="4" customWidth="1"/>
    <col min="536" max="536" width="11.42578125" style="4" customWidth="1"/>
    <col min="537" max="537" width="9.42578125" style="4" customWidth="1"/>
    <col min="538" max="538" width="11.42578125" style="4" customWidth="1"/>
    <col min="539" max="539" width="13.42578125" style="4" bestFit="1" customWidth="1"/>
    <col min="540" max="540" width="5.5703125" style="4" bestFit="1" customWidth="1"/>
    <col min="541" max="541" width="19.5703125" style="4" bestFit="1" customWidth="1"/>
    <col min="542" max="542" width="1.42578125" style="4" customWidth="1"/>
    <col min="543" max="543" width="13.42578125" style="4" bestFit="1" customWidth="1"/>
    <col min="544" max="544" width="8.5703125" style="4" bestFit="1" customWidth="1"/>
    <col min="545" max="545" width="8.85546875" style="4" bestFit="1" customWidth="1"/>
    <col min="546" max="768" width="9.140625" style="4"/>
    <col min="769" max="769" width="11" style="4" customWidth="1"/>
    <col min="770" max="771" width="12.5703125" style="4" customWidth="1"/>
    <col min="772" max="772" width="11" style="4" customWidth="1"/>
    <col min="773" max="773" width="8.42578125" style="4" customWidth="1"/>
    <col min="774" max="774" width="11.42578125" style="4" customWidth="1"/>
    <col min="775" max="775" width="1.85546875" style="4" customWidth="1"/>
    <col min="776" max="776" width="8.42578125" style="4" customWidth="1"/>
    <col min="777" max="777" width="11.42578125" style="4" customWidth="1"/>
    <col min="778" max="779" width="10.42578125" style="4" customWidth="1"/>
    <col min="780" max="780" width="10.5703125" style="4" customWidth="1"/>
    <col min="781" max="781" width="10" style="4" customWidth="1"/>
    <col min="782" max="782" width="11" style="4" bestFit="1" customWidth="1"/>
    <col min="783" max="783" width="12" style="4" customWidth="1"/>
    <col min="784" max="784" width="11.140625" style="4" customWidth="1"/>
    <col min="785" max="785" width="9.5703125" style="4" customWidth="1"/>
    <col min="786" max="786" width="10.42578125" style="4" customWidth="1"/>
    <col min="787" max="787" width="8.5703125" style="4" customWidth="1"/>
    <col min="788" max="788" width="11" style="4" customWidth="1"/>
    <col min="789" max="789" width="13.42578125" style="4" bestFit="1" customWidth="1"/>
    <col min="790" max="790" width="9.42578125" style="4" customWidth="1"/>
    <col min="791" max="791" width="7.5703125" style="4" customWidth="1"/>
    <col min="792" max="792" width="11.42578125" style="4" customWidth="1"/>
    <col min="793" max="793" width="9.42578125" style="4" customWidth="1"/>
    <col min="794" max="794" width="11.42578125" style="4" customWidth="1"/>
    <col min="795" max="795" width="13.42578125" style="4" bestFit="1" customWidth="1"/>
    <col min="796" max="796" width="5.5703125" style="4" bestFit="1" customWidth="1"/>
    <col min="797" max="797" width="19.5703125" style="4" bestFit="1" customWidth="1"/>
    <col min="798" max="798" width="1.42578125" style="4" customWidth="1"/>
    <col min="799" max="799" width="13.42578125" style="4" bestFit="1" customWidth="1"/>
    <col min="800" max="800" width="8.5703125" style="4" bestFit="1" customWidth="1"/>
    <col min="801" max="801" width="8.85546875" style="4" bestFit="1" customWidth="1"/>
    <col min="802" max="1024" width="9.140625" style="4"/>
    <col min="1025" max="1025" width="11" style="4" customWidth="1"/>
    <col min="1026" max="1027" width="12.5703125" style="4" customWidth="1"/>
    <col min="1028" max="1028" width="11" style="4" customWidth="1"/>
    <col min="1029" max="1029" width="8.42578125" style="4" customWidth="1"/>
    <col min="1030" max="1030" width="11.42578125" style="4" customWidth="1"/>
    <col min="1031" max="1031" width="1.85546875" style="4" customWidth="1"/>
    <col min="1032" max="1032" width="8.42578125" style="4" customWidth="1"/>
    <col min="1033" max="1033" width="11.42578125" style="4" customWidth="1"/>
    <col min="1034" max="1035" width="10.42578125" style="4" customWidth="1"/>
    <col min="1036" max="1036" width="10.5703125" style="4" customWidth="1"/>
    <col min="1037" max="1037" width="10" style="4" customWidth="1"/>
    <col min="1038" max="1038" width="11" style="4" bestFit="1" customWidth="1"/>
    <col min="1039" max="1039" width="12" style="4" customWidth="1"/>
    <col min="1040" max="1040" width="11.140625" style="4" customWidth="1"/>
    <col min="1041" max="1041" width="9.5703125" style="4" customWidth="1"/>
    <col min="1042" max="1042" width="10.42578125" style="4" customWidth="1"/>
    <col min="1043" max="1043" width="8.5703125" style="4" customWidth="1"/>
    <col min="1044" max="1044" width="11" style="4" customWidth="1"/>
    <col min="1045" max="1045" width="13.42578125" style="4" bestFit="1" customWidth="1"/>
    <col min="1046" max="1046" width="9.42578125" style="4" customWidth="1"/>
    <col min="1047" max="1047" width="7.5703125" style="4" customWidth="1"/>
    <col min="1048" max="1048" width="11.42578125" style="4" customWidth="1"/>
    <col min="1049" max="1049" width="9.42578125" style="4" customWidth="1"/>
    <col min="1050" max="1050" width="11.42578125" style="4" customWidth="1"/>
    <col min="1051" max="1051" width="13.42578125" style="4" bestFit="1" customWidth="1"/>
    <col min="1052" max="1052" width="5.5703125" style="4" bestFit="1" customWidth="1"/>
    <col min="1053" max="1053" width="19.5703125" style="4" bestFit="1" customWidth="1"/>
    <col min="1054" max="1054" width="1.42578125" style="4" customWidth="1"/>
    <col min="1055" max="1055" width="13.42578125" style="4" bestFit="1" customWidth="1"/>
    <col min="1056" max="1056" width="8.5703125" style="4" bestFit="1" customWidth="1"/>
    <col min="1057" max="1057" width="8.85546875" style="4" bestFit="1" customWidth="1"/>
    <col min="1058" max="1280" width="9.140625" style="4"/>
    <col min="1281" max="1281" width="11" style="4" customWidth="1"/>
    <col min="1282" max="1283" width="12.5703125" style="4" customWidth="1"/>
    <col min="1284" max="1284" width="11" style="4" customWidth="1"/>
    <col min="1285" max="1285" width="8.42578125" style="4" customWidth="1"/>
    <col min="1286" max="1286" width="11.42578125" style="4" customWidth="1"/>
    <col min="1287" max="1287" width="1.85546875" style="4" customWidth="1"/>
    <col min="1288" max="1288" width="8.42578125" style="4" customWidth="1"/>
    <col min="1289" max="1289" width="11.42578125" style="4" customWidth="1"/>
    <col min="1290" max="1291" width="10.42578125" style="4" customWidth="1"/>
    <col min="1292" max="1292" width="10.5703125" style="4" customWidth="1"/>
    <col min="1293" max="1293" width="10" style="4" customWidth="1"/>
    <col min="1294" max="1294" width="11" style="4" bestFit="1" customWidth="1"/>
    <col min="1295" max="1295" width="12" style="4" customWidth="1"/>
    <col min="1296" max="1296" width="11.140625" style="4" customWidth="1"/>
    <col min="1297" max="1297" width="9.5703125" style="4" customWidth="1"/>
    <col min="1298" max="1298" width="10.42578125" style="4" customWidth="1"/>
    <col min="1299" max="1299" width="8.5703125" style="4" customWidth="1"/>
    <col min="1300" max="1300" width="11" style="4" customWidth="1"/>
    <col min="1301" max="1301" width="13.42578125" style="4" bestFit="1" customWidth="1"/>
    <col min="1302" max="1302" width="9.42578125" style="4" customWidth="1"/>
    <col min="1303" max="1303" width="7.5703125" style="4" customWidth="1"/>
    <col min="1304" max="1304" width="11.42578125" style="4" customWidth="1"/>
    <col min="1305" max="1305" width="9.42578125" style="4" customWidth="1"/>
    <col min="1306" max="1306" width="11.42578125" style="4" customWidth="1"/>
    <col min="1307" max="1307" width="13.42578125" style="4" bestFit="1" customWidth="1"/>
    <col min="1308" max="1308" width="5.5703125" style="4" bestFit="1" customWidth="1"/>
    <col min="1309" max="1309" width="19.5703125" style="4" bestFit="1" customWidth="1"/>
    <col min="1310" max="1310" width="1.42578125" style="4" customWidth="1"/>
    <col min="1311" max="1311" width="13.42578125" style="4" bestFit="1" customWidth="1"/>
    <col min="1312" max="1312" width="8.5703125" style="4" bestFit="1" customWidth="1"/>
    <col min="1313" max="1313" width="8.85546875" style="4" bestFit="1" customWidth="1"/>
    <col min="1314" max="1536" width="9.140625" style="4"/>
    <col min="1537" max="1537" width="11" style="4" customWidth="1"/>
    <col min="1538" max="1539" width="12.5703125" style="4" customWidth="1"/>
    <col min="1540" max="1540" width="11" style="4" customWidth="1"/>
    <col min="1541" max="1541" width="8.42578125" style="4" customWidth="1"/>
    <col min="1542" max="1542" width="11.42578125" style="4" customWidth="1"/>
    <col min="1543" max="1543" width="1.85546875" style="4" customWidth="1"/>
    <col min="1544" max="1544" width="8.42578125" style="4" customWidth="1"/>
    <col min="1545" max="1545" width="11.42578125" style="4" customWidth="1"/>
    <col min="1546" max="1547" width="10.42578125" style="4" customWidth="1"/>
    <col min="1548" max="1548" width="10.5703125" style="4" customWidth="1"/>
    <col min="1549" max="1549" width="10" style="4" customWidth="1"/>
    <col min="1550" max="1550" width="11" style="4" bestFit="1" customWidth="1"/>
    <col min="1551" max="1551" width="12" style="4" customWidth="1"/>
    <col min="1552" max="1552" width="11.140625" style="4" customWidth="1"/>
    <col min="1553" max="1553" width="9.5703125" style="4" customWidth="1"/>
    <col min="1554" max="1554" width="10.42578125" style="4" customWidth="1"/>
    <col min="1555" max="1555" width="8.5703125" style="4" customWidth="1"/>
    <col min="1556" max="1556" width="11" style="4" customWidth="1"/>
    <col min="1557" max="1557" width="13.42578125" style="4" bestFit="1" customWidth="1"/>
    <col min="1558" max="1558" width="9.42578125" style="4" customWidth="1"/>
    <col min="1559" max="1559" width="7.5703125" style="4" customWidth="1"/>
    <col min="1560" max="1560" width="11.42578125" style="4" customWidth="1"/>
    <col min="1561" max="1561" width="9.42578125" style="4" customWidth="1"/>
    <col min="1562" max="1562" width="11.42578125" style="4" customWidth="1"/>
    <col min="1563" max="1563" width="13.42578125" style="4" bestFit="1" customWidth="1"/>
    <col min="1564" max="1564" width="5.5703125" style="4" bestFit="1" customWidth="1"/>
    <col min="1565" max="1565" width="19.5703125" style="4" bestFit="1" customWidth="1"/>
    <col min="1566" max="1566" width="1.42578125" style="4" customWidth="1"/>
    <col min="1567" max="1567" width="13.42578125" style="4" bestFit="1" customWidth="1"/>
    <col min="1568" max="1568" width="8.5703125" style="4" bestFit="1" customWidth="1"/>
    <col min="1569" max="1569" width="8.85546875" style="4" bestFit="1" customWidth="1"/>
    <col min="1570" max="1792" width="9.140625" style="4"/>
    <col min="1793" max="1793" width="11" style="4" customWidth="1"/>
    <col min="1794" max="1795" width="12.5703125" style="4" customWidth="1"/>
    <col min="1796" max="1796" width="11" style="4" customWidth="1"/>
    <col min="1797" max="1797" width="8.42578125" style="4" customWidth="1"/>
    <col min="1798" max="1798" width="11.42578125" style="4" customWidth="1"/>
    <col min="1799" max="1799" width="1.85546875" style="4" customWidth="1"/>
    <col min="1800" max="1800" width="8.42578125" style="4" customWidth="1"/>
    <col min="1801" max="1801" width="11.42578125" style="4" customWidth="1"/>
    <col min="1802" max="1803" width="10.42578125" style="4" customWidth="1"/>
    <col min="1804" max="1804" width="10.5703125" style="4" customWidth="1"/>
    <col min="1805" max="1805" width="10" style="4" customWidth="1"/>
    <col min="1806" max="1806" width="11" style="4" bestFit="1" customWidth="1"/>
    <col min="1807" max="1807" width="12" style="4" customWidth="1"/>
    <col min="1808" max="1808" width="11.140625" style="4" customWidth="1"/>
    <col min="1809" max="1809" width="9.5703125" style="4" customWidth="1"/>
    <col min="1810" max="1810" width="10.42578125" style="4" customWidth="1"/>
    <col min="1811" max="1811" width="8.5703125" style="4" customWidth="1"/>
    <col min="1812" max="1812" width="11" style="4" customWidth="1"/>
    <col min="1813" max="1813" width="13.42578125" style="4" bestFit="1" customWidth="1"/>
    <col min="1814" max="1814" width="9.42578125" style="4" customWidth="1"/>
    <col min="1815" max="1815" width="7.5703125" style="4" customWidth="1"/>
    <col min="1816" max="1816" width="11.42578125" style="4" customWidth="1"/>
    <col min="1817" max="1817" width="9.42578125" style="4" customWidth="1"/>
    <col min="1818" max="1818" width="11.42578125" style="4" customWidth="1"/>
    <col min="1819" max="1819" width="13.42578125" style="4" bestFit="1" customWidth="1"/>
    <col min="1820" max="1820" width="5.5703125" style="4" bestFit="1" customWidth="1"/>
    <col min="1821" max="1821" width="19.5703125" style="4" bestFit="1" customWidth="1"/>
    <col min="1822" max="1822" width="1.42578125" style="4" customWidth="1"/>
    <col min="1823" max="1823" width="13.42578125" style="4" bestFit="1" customWidth="1"/>
    <col min="1824" max="1824" width="8.5703125" style="4" bestFit="1" customWidth="1"/>
    <col min="1825" max="1825" width="8.85546875" style="4" bestFit="1" customWidth="1"/>
    <col min="1826" max="2048" width="9.140625" style="4"/>
    <col min="2049" max="2049" width="11" style="4" customWidth="1"/>
    <col min="2050" max="2051" width="12.5703125" style="4" customWidth="1"/>
    <col min="2052" max="2052" width="11" style="4" customWidth="1"/>
    <col min="2053" max="2053" width="8.42578125" style="4" customWidth="1"/>
    <col min="2054" max="2054" width="11.42578125" style="4" customWidth="1"/>
    <col min="2055" max="2055" width="1.85546875" style="4" customWidth="1"/>
    <col min="2056" max="2056" width="8.42578125" style="4" customWidth="1"/>
    <col min="2057" max="2057" width="11.42578125" style="4" customWidth="1"/>
    <col min="2058" max="2059" width="10.42578125" style="4" customWidth="1"/>
    <col min="2060" max="2060" width="10.5703125" style="4" customWidth="1"/>
    <col min="2061" max="2061" width="10" style="4" customWidth="1"/>
    <col min="2062" max="2062" width="11" style="4" bestFit="1" customWidth="1"/>
    <col min="2063" max="2063" width="12" style="4" customWidth="1"/>
    <col min="2064" max="2064" width="11.140625" style="4" customWidth="1"/>
    <col min="2065" max="2065" width="9.5703125" style="4" customWidth="1"/>
    <col min="2066" max="2066" width="10.42578125" style="4" customWidth="1"/>
    <col min="2067" max="2067" width="8.5703125" style="4" customWidth="1"/>
    <col min="2068" max="2068" width="11" style="4" customWidth="1"/>
    <col min="2069" max="2069" width="13.42578125" style="4" bestFit="1" customWidth="1"/>
    <col min="2070" max="2070" width="9.42578125" style="4" customWidth="1"/>
    <col min="2071" max="2071" width="7.5703125" style="4" customWidth="1"/>
    <col min="2072" max="2072" width="11.42578125" style="4" customWidth="1"/>
    <col min="2073" max="2073" width="9.42578125" style="4" customWidth="1"/>
    <col min="2074" max="2074" width="11.42578125" style="4" customWidth="1"/>
    <col min="2075" max="2075" width="13.42578125" style="4" bestFit="1" customWidth="1"/>
    <col min="2076" max="2076" width="5.5703125" style="4" bestFit="1" customWidth="1"/>
    <col min="2077" max="2077" width="19.5703125" style="4" bestFit="1" customWidth="1"/>
    <col min="2078" max="2078" width="1.42578125" style="4" customWidth="1"/>
    <col min="2079" max="2079" width="13.42578125" style="4" bestFit="1" customWidth="1"/>
    <col min="2080" max="2080" width="8.5703125" style="4" bestFit="1" customWidth="1"/>
    <col min="2081" max="2081" width="8.85546875" style="4" bestFit="1" customWidth="1"/>
    <col min="2082" max="2304" width="9.140625" style="4"/>
    <col min="2305" max="2305" width="11" style="4" customWidth="1"/>
    <col min="2306" max="2307" width="12.5703125" style="4" customWidth="1"/>
    <col min="2308" max="2308" width="11" style="4" customWidth="1"/>
    <col min="2309" max="2309" width="8.42578125" style="4" customWidth="1"/>
    <col min="2310" max="2310" width="11.42578125" style="4" customWidth="1"/>
    <col min="2311" max="2311" width="1.85546875" style="4" customWidth="1"/>
    <col min="2312" max="2312" width="8.42578125" style="4" customWidth="1"/>
    <col min="2313" max="2313" width="11.42578125" style="4" customWidth="1"/>
    <col min="2314" max="2315" width="10.42578125" style="4" customWidth="1"/>
    <col min="2316" max="2316" width="10.5703125" style="4" customWidth="1"/>
    <col min="2317" max="2317" width="10" style="4" customWidth="1"/>
    <col min="2318" max="2318" width="11" style="4" bestFit="1" customWidth="1"/>
    <col min="2319" max="2319" width="12" style="4" customWidth="1"/>
    <col min="2320" max="2320" width="11.140625" style="4" customWidth="1"/>
    <col min="2321" max="2321" width="9.5703125" style="4" customWidth="1"/>
    <col min="2322" max="2322" width="10.42578125" style="4" customWidth="1"/>
    <col min="2323" max="2323" width="8.5703125" style="4" customWidth="1"/>
    <col min="2324" max="2324" width="11" style="4" customWidth="1"/>
    <col min="2325" max="2325" width="13.42578125" style="4" bestFit="1" customWidth="1"/>
    <col min="2326" max="2326" width="9.42578125" style="4" customWidth="1"/>
    <col min="2327" max="2327" width="7.5703125" style="4" customWidth="1"/>
    <col min="2328" max="2328" width="11.42578125" style="4" customWidth="1"/>
    <col min="2329" max="2329" width="9.42578125" style="4" customWidth="1"/>
    <col min="2330" max="2330" width="11.42578125" style="4" customWidth="1"/>
    <col min="2331" max="2331" width="13.42578125" style="4" bestFit="1" customWidth="1"/>
    <col min="2332" max="2332" width="5.5703125" style="4" bestFit="1" customWidth="1"/>
    <col min="2333" max="2333" width="19.5703125" style="4" bestFit="1" customWidth="1"/>
    <col min="2334" max="2334" width="1.42578125" style="4" customWidth="1"/>
    <col min="2335" max="2335" width="13.42578125" style="4" bestFit="1" customWidth="1"/>
    <col min="2336" max="2336" width="8.5703125" style="4" bestFit="1" customWidth="1"/>
    <col min="2337" max="2337" width="8.85546875" style="4" bestFit="1" customWidth="1"/>
    <col min="2338" max="2560" width="9.140625" style="4"/>
    <col min="2561" max="2561" width="11" style="4" customWidth="1"/>
    <col min="2562" max="2563" width="12.5703125" style="4" customWidth="1"/>
    <col min="2564" max="2564" width="11" style="4" customWidth="1"/>
    <col min="2565" max="2565" width="8.42578125" style="4" customWidth="1"/>
    <col min="2566" max="2566" width="11.42578125" style="4" customWidth="1"/>
    <col min="2567" max="2567" width="1.85546875" style="4" customWidth="1"/>
    <col min="2568" max="2568" width="8.42578125" style="4" customWidth="1"/>
    <col min="2569" max="2569" width="11.42578125" style="4" customWidth="1"/>
    <col min="2570" max="2571" width="10.42578125" style="4" customWidth="1"/>
    <col min="2572" max="2572" width="10.5703125" style="4" customWidth="1"/>
    <col min="2573" max="2573" width="10" style="4" customWidth="1"/>
    <col min="2574" max="2574" width="11" style="4" bestFit="1" customWidth="1"/>
    <col min="2575" max="2575" width="12" style="4" customWidth="1"/>
    <col min="2576" max="2576" width="11.140625" style="4" customWidth="1"/>
    <col min="2577" max="2577" width="9.5703125" style="4" customWidth="1"/>
    <col min="2578" max="2578" width="10.42578125" style="4" customWidth="1"/>
    <col min="2579" max="2579" width="8.5703125" style="4" customWidth="1"/>
    <col min="2580" max="2580" width="11" style="4" customWidth="1"/>
    <col min="2581" max="2581" width="13.42578125" style="4" bestFit="1" customWidth="1"/>
    <col min="2582" max="2582" width="9.42578125" style="4" customWidth="1"/>
    <col min="2583" max="2583" width="7.5703125" style="4" customWidth="1"/>
    <col min="2584" max="2584" width="11.42578125" style="4" customWidth="1"/>
    <col min="2585" max="2585" width="9.42578125" style="4" customWidth="1"/>
    <col min="2586" max="2586" width="11.42578125" style="4" customWidth="1"/>
    <col min="2587" max="2587" width="13.42578125" style="4" bestFit="1" customWidth="1"/>
    <col min="2588" max="2588" width="5.5703125" style="4" bestFit="1" customWidth="1"/>
    <col min="2589" max="2589" width="19.5703125" style="4" bestFit="1" customWidth="1"/>
    <col min="2590" max="2590" width="1.42578125" style="4" customWidth="1"/>
    <col min="2591" max="2591" width="13.42578125" style="4" bestFit="1" customWidth="1"/>
    <col min="2592" max="2592" width="8.5703125" style="4" bestFit="1" customWidth="1"/>
    <col min="2593" max="2593" width="8.85546875" style="4" bestFit="1" customWidth="1"/>
    <col min="2594" max="2816" width="9.140625" style="4"/>
    <col min="2817" max="2817" width="11" style="4" customWidth="1"/>
    <col min="2818" max="2819" width="12.5703125" style="4" customWidth="1"/>
    <col min="2820" max="2820" width="11" style="4" customWidth="1"/>
    <col min="2821" max="2821" width="8.42578125" style="4" customWidth="1"/>
    <col min="2822" max="2822" width="11.42578125" style="4" customWidth="1"/>
    <col min="2823" max="2823" width="1.85546875" style="4" customWidth="1"/>
    <col min="2824" max="2824" width="8.42578125" style="4" customWidth="1"/>
    <col min="2825" max="2825" width="11.42578125" style="4" customWidth="1"/>
    <col min="2826" max="2827" width="10.42578125" style="4" customWidth="1"/>
    <col min="2828" max="2828" width="10.5703125" style="4" customWidth="1"/>
    <col min="2829" max="2829" width="10" style="4" customWidth="1"/>
    <col min="2830" max="2830" width="11" style="4" bestFit="1" customWidth="1"/>
    <col min="2831" max="2831" width="12" style="4" customWidth="1"/>
    <col min="2832" max="2832" width="11.140625" style="4" customWidth="1"/>
    <col min="2833" max="2833" width="9.5703125" style="4" customWidth="1"/>
    <col min="2834" max="2834" width="10.42578125" style="4" customWidth="1"/>
    <col min="2835" max="2835" width="8.5703125" style="4" customWidth="1"/>
    <col min="2836" max="2836" width="11" style="4" customWidth="1"/>
    <col min="2837" max="2837" width="13.42578125" style="4" bestFit="1" customWidth="1"/>
    <col min="2838" max="2838" width="9.42578125" style="4" customWidth="1"/>
    <col min="2839" max="2839" width="7.5703125" style="4" customWidth="1"/>
    <col min="2840" max="2840" width="11.42578125" style="4" customWidth="1"/>
    <col min="2841" max="2841" width="9.42578125" style="4" customWidth="1"/>
    <col min="2842" max="2842" width="11.42578125" style="4" customWidth="1"/>
    <col min="2843" max="2843" width="13.42578125" style="4" bestFit="1" customWidth="1"/>
    <col min="2844" max="2844" width="5.5703125" style="4" bestFit="1" customWidth="1"/>
    <col min="2845" max="2845" width="19.5703125" style="4" bestFit="1" customWidth="1"/>
    <col min="2846" max="2846" width="1.42578125" style="4" customWidth="1"/>
    <col min="2847" max="2847" width="13.42578125" style="4" bestFit="1" customWidth="1"/>
    <col min="2848" max="2848" width="8.5703125" style="4" bestFit="1" customWidth="1"/>
    <col min="2849" max="2849" width="8.85546875" style="4" bestFit="1" customWidth="1"/>
    <col min="2850" max="3072" width="9.140625" style="4"/>
    <col min="3073" max="3073" width="11" style="4" customWidth="1"/>
    <col min="3074" max="3075" width="12.5703125" style="4" customWidth="1"/>
    <col min="3076" max="3076" width="11" style="4" customWidth="1"/>
    <col min="3077" max="3077" width="8.42578125" style="4" customWidth="1"/>
    <col min="3078" max="3078" width="11.42578125" style="4" customWidth="1"/>
    <col min="3079" max="3079" width="1.85546875" style="4" customWidth="1"/>
    <col min="3080" max="3080" width="8.42578125" style="4" customWidth="1"/>
    <col min="3081" max="3081" width="11.42578125" style="4" customWidth="1"/>
    <col min="3082" max="3083" width="10.42578125" style="4" customWidth="1"/>
    <col min="3084" max="3084" width="10.5703125" style="4" customWidth="1"/>
    <col min="3085" max="3085" width="10" style="4" customWidth="1"/>
    <col min="3086" max="3086" width="11" style="4" bestFit="1" customWidth="1"/>
    <col min="3087" max="3087" width="12" style="4" customWidth="1"/>
    <col min="3088" max="3088" width="11.140625" style="4" customWidth="1"/>
    <col min="3089" max="3089" width="9.5703125" style="4" customWidth="1"/>
    <col min="3090" max="3090" width="10.42578125" style="4" customWidth="1"/>
    <col min="3091" max="3091" width="8.5703125" style="4" customWidth="1"/>
    <col min="3092" max="3092" width="11" style="4" customWidth="1"/>
    <col min="3093" max="3093" width="13.42578125" style="4" bestFit="1" customWidth="1"/>
    <col min="3094" max="3094" width="9.42578125" style="4" customWidth="1"/>
    <col min="3095" max="3095" width="7.5703125" style="4" customWidth="1"/>
    <col min="3096" max="3096" width="11.42578125" style="4" customWidth="1"/>
    <col min="3097" max="3097" width="9.42578125" style="4" customWidth="1"/>
    <col min="3098" max="3098" width="11.42578125" style="4" customWidth="1"/>
    <col min="3099" max="3099" width="13.42578125" style="4" bestFit="1" customWidth="1"/>
    <col min="3100" max="3100" width="5.5703125" style="4" bestFit="1" customWidth="1"/>
    <col min="3101" max="3101" width="19.5703125" style="4" bestFit="1" customWidth="1"/>
    <col min="3102" max="3102" width="1.42578125" style="4" customWidth="1"/>
    <col min="3103" max="3103" width="13.42578125" style="4" bestFit="1" customWidth="1"/>
    <col min="3104" max="3104" width="8.5703125" style="4" bestFit="1" customWidth="1"/>
    <col min="3105" max="3105" width="8.85546875" style="4" bestFit="1" customWidth="1"/>
    <col min="3106" max="3328" width="9.140625" style="4"/>
    <col min="3329" max="3329" width="11" style="4" customWidth="1"/>
    <col min="3330" max="3331" width="12.5703125" style="4" customWidth="1"/>
    <col min="3332" max="3332" width="11" style="4" customWidth="1"/>
    <col min="3333" max="3333" width="8.42578125" style="4" customWidth="1"/>
    <col min="3334" max="3334" width="11.42578125" style="4" customWidth="1"/>
    <col min="3335" max="3335" width="1.85546875" style="4" customWidth="1"/>
    <col min="3336" max="3336" width="8.42578125" style="4" customWidth="1"/>
    <col min="3337" max="3337" width="11.42578125" style="4" customWidth="1"/>
    <col min="3338" max="3339" width="10.42578125" style="4" customWidth="1"/>
    <col min="3340" max="3340" width="10.5703125" style="4" customWidth="1"/>
    <col min="3341" max="3341" width="10" style="4" customWidth="1"/>
    <col min="3342" max="3342" width="11" style="4" bestFit="1" customWidth="1"/>
    <col min="3343" max="3343" width="12" style="4" customWidth="1"/>
    <col min="3344" max="3344" width="11.140625" style="4" customWidth="1"/>
    <col min="3345" max="3345" width="9.5703125" style="4" customWidth="1"/>
    <col min="3346" max="3346" width="10.42578125" style="4" customWidth="1"/>
    <col min="3347" max="3347" width="8.5703125" style="4" customWidth="1"/>
    <col min="3348" max="3348" width="11" style="4" customWidth="1"/>
    <col min="3349" max="3349" width="13.42578125" style="4" bestFit="1" customWidth="1"/>
    <col min="3350" max="3350" width="9.42578125" style="4" customWidth="1"/>
    <col min="3351" max="3351" width="7.5703125" style="4" customWidth="1"/>
    <col min="3352" max="3352" width="11.42578125" style="4" customWidth="1"/>
    <col min="3353" max="3353" width="9.42578125" style="4" customWidth="1"/>
    <col min="3354" max="3354" width="11.42578125" style="4" customWidth="1"/>
    <col min="3355" max="3355" width="13.42578125" style="4" bestFit="1" customWidth="1"/>
    <col min="3356" max="3356" width="5.5703125" style="4" bestFit="1" customWidth="1"/>
    <col min="3357" max="3357" width="19.5703125" style="4" bestFit="1" customWidth="1"/>
    <col min="3358" max="3358" width="1.42578125" style="4" customWidth="1"/>
    <col min="3359" max="3359" width="13.42578125" style="4" bestFit="1" customWidth="1"/>
    <col min="3360" max="3360" width="8.5703125" style="4" bestFit="1" customWidth="1"/>
    <col min="3361" max="3361" width="8.85546875" style="4" bestFit="1" customWidth="1"/>
    <col min="3362" max="3584" width="9.140625" style="4"/>
    <col min="3585" max="3585" width="11" style="4" customWidth="1"/>
    <col min="3586" max="3587" width="12.5703125" style="4" customWidth="1"/>
    <col min="3588" max="3588" width="11" style="4" customWidth="1"/>
    <col min="3589" max="3589" width="8.42578125" style="4" customWidth="1"/>
    <col min="3590" max="3590" width="11.42578125" style="4" customWidth="1"/>
    <col min="3591" max="3591" width="1.85546875" style="4" customWidth="1"/>
    <col min="3592" max="3592" width="8.42578125" style="4" customWidth="1"/>
    <col min="3593" max="3593" width="11.42578125" style="4" customWidth="1"/>
    <col min="3594" max="3595" width="10.42578125" style="4" customWidth="1"/>
    <col min="3596" max="3596" width="10.5703125" style="4" customWidth="1"/>
    <col min="3597" max="3597" width="10" style="4" customWidth="1"/>
    <col min="3598" max="3598" width="11" style="4" bestFit="1" customWidth="1"/>
    <col min="3599" max="3599" width="12" style="4" customWidth="1"/>
    <col min="3600" max="3600" width="11.140625" style="4" customWidth="1"/>
    <col min="3601" max="3601" width="9.5703125" style="4" customWidth="1"/>
    <col min="3602" max="3602" width="10.42578125" style="4" customWidth="1"/>
    <col min="3603" max="3603" width="8.5703125" style="4" customWidth="1"/>
    <col min="3604" max="3604" width="11" style="4" customWidth="1"/>
    <col min="3605" max="3605" width="13.42578125" style="4" bestFit="1" customWidth="1"/>
    <col min="3606" max="3606" width="9.42578125" style="4" customWidth="1"/>
    <col min="3607" max="3607" width="7.5703125" style="4" customWidth="1"/>
    <col min="3608" max="3608" width="11.42578125" style="4" customWidth="1"/>
    <col min="3609" max="3609" width="9.42578125" style="4" customWidth="1"/>
    <col min="3610" max="3610" width="11.42578125" style="4" customWidth="1"/>
    <col min="3611" max="3611" width="13.42578125" style="4" bestFit="1" customWidth="1"/>
    <col min="3612" max="3612" width="5.5703125" style="4" bestFit="1" customWidth="1"/>
    <col min="3613" max="3613" width="19.5703125" style="4" bestFit="1" customWidth="1"/>
    <col min="3614" max="3614" width="1.42578125" style="4" customWidth="1"/>
    <col min="3615" max="3615" width="13.42578125" style="4" bestFit="1" customWidth="1"/>
    <col min="3616" max="3616" width="8.5703125" style="4" bestFit="1" customWidth="1"/>
    <col min="3617" max="3617" width="8.85546875" style="4" bestFit="1" customWidth="1"/>
    <col min="3618" max="3840" width="9.140625" style="4"/>
    <col min="3841" max="3841" width="11" style="4" customWidth="1"/>
    <col min="3842" max="3843" width="12.5703125" style="4" customWidth="1"/>
    <col min="3844" max="3844" width="11" style="4" customWidth="1"/>
    <col min="3845" max="3845" width="8.42578125" style="4" customWidth="1"/>
    <col min="3846" max="3846" width="11.42578125" style="4" customWidth="1"/>
    <col min="3847" max="3847" width="1.85546875" style="4" customWidth="1"/>
    <col min="3848" max="3848" width="8.42578125" style="4" customWidth="1"/>
    <col min="3849" max="3849" width="11.42578125" style="4" customWidth="1"/>
    <col min="3850" max="3851" width="10.42578125" style="4" customWidth="1"/>
    <col min="3852" max="3852" width="10.5703125" style="4" customWidth="1"/>
    <col min="3853" max="3853" width="10" style="4" customWidth="1"/>
    <col min="3854" max="3854" width="11" style="4" bestFit="1" customWidth="1"/>
    <col min="3855" max="3855" width="12" style="4" customWidth="1"/>
    <col min="3856" max="3856" width="11.140625" style="4" customWidth="1"/>
    <col min="3857" max="3857" width="9.5703125" style="4" customWidth="1"/>
    <col min="3858" max="3858" width="10.42578125" style="4" customWidth="1"/>
    <col min="3859" max="3859" width="8.5703125" style="4" customWidth="1"/>
    <col min="3860" max="3860" width="11" style="4" customWidth="1"/>
    <col min="3861" max="3861" width="13.42578125" style="4" bestFit="1" customWidth="1"/>
    <col min="3862" max="3862" width="9.42578125" style="4" customWidth="1"/>
    <col min="3863" max="3863" width="7.5703125" style="4" customWidth="1"/>
    <col min="3864" max="3864" width="11.42578125" style="4" customWidth="1"/>
    <col min="3865" max="3865" width="9.42578125" style="4" customWidth="1"/>
    <col min="3866" max="3866" width="11.42578125" style="4" customWidth="1"/>
    <col min="3867" max="3867" width="13.42578125" style="4" bestFit="1" customWidth="1"/>
    <col min="3868" max="3868" width="5.5703125" style="4" bestFit="1" customWidth="1"/>
    <col min="3869" max="3869" width="19.5703125" style="4" bestFit="1" customWidth="1"/>
    <col min="3870" max="3870" width="1.42578125" style="4" customWidth="1"/>
    <col min="3871" max="3871" width="13.42578125" style="4" bestFit="1" customWidth="1"/>
    <col min="3872" max="3872" width="8.5703125" style="4" bestFit="1" customWidth="1"/>
    <col min="3873" max="3873" width="8.85546875" style="4" bestFit="1" customWidth="1"/>
    <col min="3874" max="4096" width="9.140625" style="4"/>
    <col min="4097" max="4097" width="11" style="4" customWidth="1"/>
    <col min="4098" max="4099" width="12.5703125" style="4" customWidth="1"/>
    <col min="4100" max="4100" width="11" style="4" customWidth="1"/>
    <col min="4101" max="4101" width="8.42578125" style="4" customWidth="1"/>
    <col min="4102" max="4102" width="11.42578125" style="4" customWidth="1"/>
    <col min="4103" max="4103" width="1.85546875" style="4" customWidth="1"/>
    <col min="4104" max="4104" width="8.42578125" style="4" customWidth="1"/>
    <col min="4105" max="4105" width="11.42578125" style="4" customWidth="1"/>
    <col min="4106" max="4107" width="10.42578125" style="4" customWidth="1"/>
    <col min="4108" max="4108" width="10.5703125" style="4" customWidth="1"/>
    <col min="4109" max="4109" width="10" style="4" customWidth="1"/>
    <col min="4110" max="4110" width="11" style="4" bestFit="1" customWidth="1"/>
    <col min="4111" max="4111" width="12" style="4" customWidth="1"/>
    <col min="4112" max="4112" width="11.140625" style="4" customWidth="1"/>
    <col min="4113" max="4113" width="9.5703125" style="4" customWidth="1"/>
    <col min="4114" max="4114" width="10.42578125" style="4" customWidth="1"/>
    <col min="4115" max="4115" width="8.5703125" style="4" customWidth="1"/>
    <col min="4116" max="4116" width="11" style="4" customWidth="1"/>
    <col min="4117" max="4117" width="13.42578125" style="4" bestFit="1" customWidth="1"/>
    <col min="4118" max="4118" width="9.42578125" style="4" customWidth="1"/>
    <col min="4119" max="4119" width="7.5703125" style="4" customWidth="1"/>
    <col min="4120" max="4120" width="11.42578125" style="4" customWidth="1"/>
    <col min="4121" max="4121" width="9.42578125" style="4" customWidth="1"/>
    <col min="4122" max="4122" width="11.42578125" style="4" customWidth="1"/>
    <col min="4123" max="4123" width="13.42578125" style="4" bestFit="1" customWidth="1"/>
    <col min="4124" max="4124" width="5.5703125" style="4" bestFit="1" customWidth="1"/>
    <col min="4125" max="4125" width="19.5703125" style="4" bestFit="1" customWidth="1"/>
    <col min="4126" max="4126" width="1.42578125" style="4" customWidth="1"/>
    <col min="4127" max="4127" width="13.42578125" style="4" bestFit="1" customWidth="1"/>
    <col min="4128" max="4128" width="8.5703125" style="4" bestFit="1" customWidth="1"/>
    <col min="4129" max="4129" width="8.85546875" style="4" bestFit="1" customWidth="1"/>
    <col min="4130" max="4352" width="9.140625" style="4"/>
    <col min="4353" max="4353" width="11" style="4" customWidth="1"/>
    <col min="4354" max="4355" width="12.5703125" style="4" customWidth="1"/>
    <col min="4356" max="4356" width="11" style="4" customWidth="1"/>
    <col min="4357" max="4357" width="8.42578125" style="4" customWidth="1"/>
    <col min="4358" max="4358" width="11.42578125" style="4" customWidth="1"/>
    <col min="4359" max="4359" width="1.85546875" style="4" customWidth="1"/>
    <col min="4360" max="4360" width="8.42578125" style="4" customWidth="1"/>
    <col min="4361" max="4361" width="11.42578125" style="4" customWidth="1"/>
    <col min="4362" max="4363" width="10.42578125" style="4" customWidth="1"/>
    <col min="4364" max="4364" width="10.5703125" style="4" customWidth="1"/>
    <col min="4365" max="4365" width="10" style="4" customWidth="1"/>
    <col min="4366" max="4366" width="11" style="4" bestFit="1" customWidth="1"/>
    <col min="4367" max="4367" width="12" style="4" customWidth="1"/>
    <col min="4368" max="4368" width="11.140625" style="4" customWidth="1"/>
    <col min="4369" max="4369" width="9.5703125" style="4" customWidth="1"/>
    <col min="4370" max="4370" width="10.42578125" style="4" customWidth="1"/>
    <col min="4371" max="4371" width="8.5703125" style="4" customWidth="1"/>
    <col min="4372" max="4372" width="11" style="4" customWidth="1"/>
    <col min="4373" max="4373" width="13.42578125" style="4" bestFit="1" customWidth="1"/>
    <col min="4374" max="4374" width="9.42578125" style="4" customWidth="1"/>
    <col min="4375" max="4375" width="7.5703125" style="4" customWidth="1"/>
    <col min="4376" max="4376" width="11.42578125" style="4" customWidth="1"/>
    <col min="4377" max="4377" width="9.42578125" style="4" customWidth="1"/>
    <col min="4378" max="4378" width="11.42578125" style="4" customWidth="1"/>
    <col min="4379" max="4379" width="13.42578125" style="4" bestFit="1" customWidth="1"/>
    <col min="4380" max="4380" width="5.5703125" style="4" bestFit="1" customWidth="1"/>
    <col min="4381" max="4381" width="19.5703125" style="4" bestFit="1" customWidth="1"/>
    <col min="4382" max="4382" width="1.42578125" style="4" customWidth="1"/>
    <col min="4383" max="4383" width="13.42578125" style="4" bestFit="1" customWidth="1"/>
    <col min="4384" max="4384" width="8.5703125" style="4" bestFit="1" customWidth="1"/>
    <col min="4385" max="4385" width="8.85546875" style="4" bestFit="1" customWidth="1"/>
    <col min="4386" max="4608" width="9.140625" style="4"/>
    <col min="4609" max="4609" width="11" style="4" customWidth="1"/>
    <col min="4610" max="4611" width="12.5703125" style="4" customWidth="1"/>
    <col min="4612" max="4612" width="11" style="4" customWidth="1"/>
    <col min="4613" max="4613" width="8.42578125" style="4" customWidth="1"/>
    <col min="4614" max="4614" width="11.42578125" style="4" customWidth="1"/>
    <col min="4615" max="4615" width="1.85546875" style="4" customWidth="1"/>
    <col min="4616" max="4616" width="8.42578125" style="4" customWidth="1"/>
    <col min="4617" max="4617" width="11.42578125" style="4" customWidth="1"/>
    <col min="4618" max="4619" width="10.42578125" style="4" customWidth="1"/>
    <col min="4620" max="4620" width="10.5703125" style="4" customWidth="1"/>
    <col min="4621" max="4621" width="10" style="4" customWidth="1"/>
    <col min="4622" max="4622" width="11" style="4" bestFit="1" customWidth="1"/>
    <col min="4623" max="4623" width="12" style="4" customWidth="1"/>
    <col min="4624" max="4624" width="11.140625" style="4" customWidth="1"/>
    <col min="4625" max="4625" width="9.5703125" style="4" customWidth="1"/>
    <col min="4626" max="4626" width="10.42578125" style="4" customWidth="1"/>
    <col min="4627" max="4627" width="8.5703125" style="4" customWidth="1"/>
    <col min="4628" max="4628" width="11" style="4" customWidth="1"/>
    <col min="4629" max="4629" width="13.42578125" style="4" bestFit="1" customWidth="1"/>
    <col min="4630" max="4630" width="9.42578125" style="4" customWidth="1"/>
    <col min="4631" max="4631" width="7.5703125" style="4" customWidth="1"/>
    <col min="4632" max="4632" width="11.42578125" style="4" customWidth="1"/>
    <col min="4633" max="4633" width="9.42578125" style="4" customWidth="1"/>
    <col min="4634" max="4634" width="11.42578125" style="4" customWidth="1"/>
    <col min="4635" max="4635" width="13.42578125" style="4" bestFit="1" customWidth="1"/>
    <col min="4636" max="4636" width="5.5703125" style="4" bestFit="1" customWidth="1"/>
    <col min="4637" max="4637" width="19.5703125" style="4" bestFit="1" customWidth="1"/>
    <col min="4638" max="4638" width="1.42578125" style="4" customWidth="1"/>
    <col min="4639" max="4639" width="13.42578125" style="4" bestFit="1" customWidth="1"/>
    <col min="4640" max="4640" width="8.5703125" style="4" bestFit="1" customWidth="1"/>
    <col min="4641" max="4641" width="8.85546875" style="4" bestFit="1" customWidth="1"/>
    <col min="4642" max="4864" width="9.140625" style="4"/>
    <col min="4865" max="4865" width="11" style="4" customWidth="1"/>
    <col min="4866" max="4867" width="12.5703125" style="4" customWidth="1"/>
    <col min="4868" max="4868" width="11" style="4" customWidth="1"/>
    <col min="4869" max="4869" width="8.42578125" style="4" customWidth="1"/>
    <col min="4870" max="4870" width="11.42578125" style="4" customWidth="1"/>
    <col min="4871" max="4871" width="1.85546875" style="4" customWidth="1"/>
    <col min="4872" max="4872" width="8.42578125" style="4" customWidth="1"/>
    <col min="4873" max="4873" width="11.42578125" style="4" customWidth="1"/>
    <col min="4874" max="4875" width="10.42578125" style="4" customWidth="1"/>
    <col min="4876" max="4876" width="10.5703125" style="4" customWidth="1"/>
    <col min="4877" max="4877" width="10" style="4" customWidth="1"/>
    <col min="4878" max="4878" width="11" style="4" bestFit="1" customWidth="1"/>
    <col min="4879" max="4879" width="12" style="4" customWidth="1"/>
    <col min="4880" max="4880" width="11.140625" style="4" customWidth="1"/>
    <col min="4881" max="4881" width="9.5703125" style="4" customWidth="1"/>
    <col min="4882" max="4882" width="10.42578125" style="4" customWidth="1"/>
    <col min="4883" max="4883" width="8.5703125" style="4" customWidth="1"/>
    <col min="4884" max="4884" width="11" style="4" customWidth="1"/>
    <col min="4885" max="4885" width="13.42578125" style="4" bestFit="1" customWidth="1"/>
    <col min="4886" max="4886" width="9.42578125" style="4" customWidth="1"/>
    <col min="4887" max="4887" width="7.5703125" style="4" customWidth="1"/>
    <col min="4888" max="4888" width="11.42578125" style="4" customWidth="1"/>
    <col min="4889" max="4889" width="9.42578125" style="4" customWidth="1"/>
    <col min="4890" max="4890" width="11.42578125" style="4" customWidth="1"/>
    <col min="4891" max="4891" width="13.42578125" style="4" bestFit="1" customWidth="1"/>
    <col min="4892" max="4892" width="5.5703125" style="4" bestFit="1" customWidth="1"/>
    <col min="4893" max="4893" width="19.5703125" style="4" bestFit="1" customWidth="1"/>
    <col min="4894" max="4894" width="1.42578125" style="4" customWidth="1"/>
    <col min="4895" max="4895" width="13.42578125" style="4" bestFit="1" customWidth="1"/>
    <col min="4896" max="4896" width="8.5703125" style="4" bestFit="1" customWidth="1"/>
    <col min="4897" max="4897" width="8.85546875" style="4" bestFit="1" customWidth="1"/>
    <col min="4898" max="5120" width="9.140625" style="4"/>
    <col min="5121" max="5121" width="11" style="4" customWidth="1"/>
    <col min="5122" max="5123" width="12.5703125" style="4" customWidth="1"/>
    <col min="5124" max="5124" width="11" style="4" customWidth="1"/>
    <col min="5125" max="5125" width="8.42578125" style="4" customWidth="1"/>
    <col min="5126" max="5126" width="11.42578125" style="4" customWidth="1"/>
    <col min="5127" max="5127" width="1.85546875" style="4" customWidth="1"/>
    <col min="5128" max="5128" width="8.42578125" style="4" customWidth="1"/>
    <col min="5129" max="5129" width="11.42578125" style="4" customWidth="1"/>
    <col min="5130" max="5131" width="10.42578125" style="4" customWidth="1"/>
    <col min="5132" max="5132" width="10.5703125" style="4" customWidth="1"/>
    <col min="5133" max="5133" width="10" style="4" customWidth="1"/>
    <col min="5134" max="5134" width="11" style="4" bestFit="1" customWidth="1"/>
    <col min="5135" max="5135" width="12" style="4" customWidth="1"/>
    <col min="5136" max="5136" width="11.140625" style="4" customWidth="1"/>
    <col min="5137" max="5137" width="9.5703125" style="4" customWidth="1"/>
    <col min="5138" max="5138" width="10.42578125" style="4" customWidth="1"/>
    <col min="5139" max="5139" width="8.5703125" style="4" customWidth="1"/>
    <col min="5140" max="5140" width="11" style="4" customWidth="1"/>
    <col min="5141" max="5141" width="13.42578125" style="4" bestFit="1" customWidth="1"/>
    <col min="5142" max="5142" width="9.42578125" style="4" customWidth="1"/>
    <col min="5143" max="5143" width="7.5703125" style="4" customWidth="1"/>
    <col min="5144" max="5144" width="11.42578125" style="4" customWidth="1"/>
    <col min="5145" max="5145" width="9.42578125" style="4" customWidth="1"/>
    <col min="5146" max="5146" width="11.42578125" style="4" customWidth="1"/>
    <col min="5147" max="5147" width="13.42578125" style="4" bestFit="1" customWidth="1"/>
    <col min="5148" max="5148" width="5.5703125" style="4" bestFit="1" customWidth="1"/>
    <col min="5149" max="5149" width="19.5703125" style="4" bestFit="1" customWidth="1"/>
    <col min="5150" max="5150" width="1.42578125" style="4" customWidth="1"/>
    <col min="5151" max="5151" width="13.42578125" style="4" bestFit="1" customWidth="1"/>
    <col min="5152" max="5152" width="8.5703125" style="4" bestFit="1" customWidth="1"/>
    <col min="5153" max="5153" width="8.85546875" style="4" bestFit="1" customWidth="1"/>
    <col min="5154" max="5376" width="9.140625" style="4"/>
    <col min="5377" max="5377" width="11" style="4" customWidth="1"/>
    <col min="5378" max="5379" width="12.5703125" style="4" customWidth="1"/>
    <col min="5380" max="5380" width="11" style="4" customWidth="1"/>
    <col min="5381" max="5381" width="8.42578125" style="4" customWidth="1"/>
    <col min="5382" max="5382" width="11.42578125" style="4" customWidth="1"/>
    <col min="5383" max="5383" width="1.85546875" style="4" customWidth="1"/>
    <col min="5384" max="5384" width="8.42578125" style="4" customWidth="1"/>
    <col min="5385" max="5385" width="11.42578125" style="4" customWidth="1"/>
    <col min="5386" max="5387" width="10.42578125" style="4" customWidth="1"/>
    <col min="5388" max="5388" width="10.5703125" style="4" customWidth="1"/>
    <col min="5389" max="5389" width="10" style="4" customWidth="1"/>
    <col min="5390" max="5390" width="11" style="4" bestFit="1" customWidth="1"/>
    <col min="5391" max="5391" width="12" style="4" customWidth="1"/>
    <col min="5392" max="5392" width="11.140625" style="4" customWidth="1"/>
    <col min="5393" max="5393" width="9.5703125" style="4" customWidth="1"/>
    <col min="5394" max="5394" width="10.42578125" style="4" customWidth="1"/>
    <col min="5395" max="5395" width="8.5703125" style="4" customWidth="1"/>
    <col min="5396" max="5396" width="11" style="4" customWidth="1"/>
    <col min="5397" max="5397" width="13.42578125" style="4" bestFit="1" customWidth="1"/>
    <col min="5398" max="5398" width="9.42578125" style="4" customWidth="1"/>
    <col min="5399" max="5399" width="7.5703125" style="4" customWidth="1"/>
    <col min="5400" max="5400" width="11.42578125" style="4" customWidth="1"/>
    <col min="5401" max="5401" width="9.42578125" style="4" customWidth="1"/>
    <col min="5402" max="5402" width="11.42578125" style="4" customWidth="1"/>
    <col min="5403" max="5403" width="13.42578125" style="4" bestFit="1" customWidth="1"/>
    <col min="5404" max="5404" width="5.5703125" style="4" bestFit="1" customWidth="1"/>
    <col min="5405" max="5405" width="19.5703125" style="4" bestFit="1" customWidth="1"/>
    <col min="5406" max="5406" width="1.42578125" style="4" customWidth="1"/>
    <col min="5407" max="5407" width="13.42578125" style="4" bestFit="1" customWidth="1"/>
    <col min="5408" max="5408" width="8.5703125" style="4" bestFit="1" customWidth="1"/>
    <col min="5409" max="5409" width="8.85546875" style="4" bestFit="1" customWidth="1"/>
    <col min="5410" max="5632" width="9.140625" style="4"/>
    <col min="5633" max="5633" width="11" style="4" customWidth="1"/>
    <col min="5634" max="5635" width="12.5703125" style="4" customWidth="1"/>
    <col min="5636" max="5636" width="11" style="4" customWidth="1"/>
    <col min="5637" max="5637" width="8.42578125" style="4" customWidth="1"/>
    <col min="5638" max="5638" width="11.42578125" style="4" customWidth="1"/>
    <col min="5639" max="5639" width="1.85546875" style="4" customWidth="1"/>
    <col min="5640" max="5640" width="8.42578125" style="4" customWidth="1"/>
    <col min="5641" max="5641" width="11.42578125" style="4" customWidth="1"/>
    <col min="5642" max="5643" width="10.42578125" style="4" customWidth="1"/>
    <col min="5644" max="5644" width="10.5703125" style="4" customWidth="1"/>
    <col min="5645" max="5645" width="10" style="4" customWidth="1"/>
    <col min="5646" max="5646" width="11" style="4" bestFit="1" customWidth="1"/>
    <col min="5647" max="5647" width="12" style="4" customWidth="1"/>
    <col min="5648" max="5648" width="11.140625" style="4" customWidth="1"/>
    <col min="5649" max="5649" width="9.5703125" style="4" customWidth="1"/>
    <col min="5650" max="5650" width="10.42578125" style="4" customWidth="1"/>
    <col min="5651" max="5651" width="8.5703125" style="4" customWidth="1"/>
    <col min="5652" max="5652" width="11" style="4" customWidth="1"/>
    <col min="5653" max="5653" width="13.42578125" style="4" bestFit="1" customWidth="1"/>
    <col min="5654" max="5654" width="9.42578125" style="4" customWidth="1"/>
    <col min="5655" max="5655" width="7.5703125" style="4" customWidth="1"/>
    <col min="5656" max="5656" width="11.42578125" style="4" customWidth="1"/>
    <col min="5657" max="5657" width="9.42578125" style="4" customWidth="1"/>
    <col min="5658" max="5658" width="11.42578125" style="4" customWidth="1"/>
    <col min="5659" max="5659" width="13.42578125" style="4" bestFit="1" customWidth="1"/>
    <col min="5660" max="5660" width="5.5703125" style="4" bestFit="1" customWidth="1"/>
    <col min="5661" max="5661" width="19.5703125" style="4" bestFit="1" customWidth="1"/>
    <col min="5662" max="5662" width="1.42578125" style="4" customWidth="1"/>
    <col min="5663" max="5663" width="13.42578125" style="4" bestFit="1" customWidth="1"/>
    <col min="5664" max="5664" width="8.5703125" style="4" bestFit="1" customWidth="1"/>
    <col min="5665" max="5665" width="8.85546875" style="4" bestFit="1" customWidth="1"/>
    <col min="5666" max="5888" width="9.140625" style="4"/>
    <col min="5889" max="5889" width="11" style="4" customWidth="1"/>
    <col min="5890" max="5891" width="12.5703125" style="4" customWidth="1"/>
    <col min="5892" max="5892" width="11" style="4" customWidth="1"/>
    <col min="5893" max="5893" width="8.42578125" style="4" customWidth="1"/>
    <col min="5894" max="5894" width="11.42578125" style="4" customWidth="1"/>
    <col min="5895" max="5895" width="1.85546875" style="4" customWidth="1"/>
    <col min="5896" max="5896" width="8.42578125" style="4" customWidth="1"/>
    <col min="5897" max="5897" width="11.42578125" style="4" customWidth="1"/>
    <col min="5898" max="5899" width="10.42578125" style="4" customWidth="1"/>
    <col min="5900" max="5900" width="10.5703125" style="4" customWidth="1"/>
    <col min="5901" max="5901" width="10" style="4" customWidth="1"/>
    <col min="5902" max="5902" width="11" style="4" bestFit="1" customWidth="1"/>
    <col min="5903" max="5903" width="12" style="4" customWidth="1"/>
    <col min="5904" max="5904" width="11.140625" style="4" customWidth="1"/>
    <col min="5905" max="5905" width="9.5703125" style="4" customWidth="1"/>
    <col min="5906" max="5906" width="10.42578125" style="4" customWidth="1"/>
    <col min="5907" max="5907" width="8.5703125" style="4" customWidth="1"/>
    <col min="5908" max="5908" width="11" style="4" customWidth="1"/>
    <col min="5909" max="5909" width="13.42578125" style="4" bestFit="1" customWidth="1"/>
    <col min="5910" max="5910" width="9.42578125" style="4" customWidth="1"/>
    <col min="5911" max="5911" width="7.5703125" style="4" customWidth="1"/>
    <col min="5912" max="5912" width="11.42578125" style="4" customWidth="1"/>
    <col min="5913" max="5913" width="9.42578125" style="4" customWidth="1"/>
    <col min="5914" max="5914" width="11.42578125" style="4" customWidth="1"/>
    <col min="5915" max="5915" width="13.42578125" style="4" bestFit="1" customWidth="1"/>
    <col min="5916" max="5916" width="5.5703125" style="4" bestFit="1" customWidth="1"/>
    <col min="5917" max="5917" width="19.5703125" style="4" bestFit="1" customWidth="1"/>
    <col min="5918" max="5918" width="1.42578125" style="4" customWidth="1"/>
    <col min="5919" max="5919" width="13.42578125" style="4" bestFit="1" customWidth="1"/>
    <col min="5920" max="5920" width="8.5703125" style="4" bestFit="1" customWidth="1"/>
    <col min="5921" max="5921" width="8.85546875" style="4" bestFit="1" customWidth="1"/>
    <col min="5922" max="6144" width="9.140625" style="4"/>
    <col min="6145" max="6145" width="11" style="4" customWidth="1"/>
    <col min="6146" max="6147" width="12.5703125" style="4" customWidth="1"/>
    <col min="6148" max="6148" width="11" style="4" customWidth="1"/>
    <col min="6149" max="6149" width="8.42578125" style="4" customWidth="1"/>
    <col min="6150" max="6150" width="11.42578125" style="4" customWidth="1"/>
    <col min="6151" max="6151" width="1.85546875" style="4" customWidth="1"/>
    <col min="6152" max="6152" width="8.42578125" style="4" customWidth="1"/>
    <col min="6153" max="6153" width="11.42578125" style="4" customWidth="1"/>
    <col min="6154" max="6155" width="10.42578125" style="4" customWidth="1"/>
    <col min="6156" max="6156" width="10.5703125" style="4" customWidth="1"/>
    <col min="6157" max="6157" width="10" style="4" customWidth="1"/>
    <col min="6158" max="6158" width="11" style="4" bestFit="1" customWidth="1"/>
    <col min="6159" max="6159" width="12" style="4" customWidth="1"/>
    <col min="6160" max="6160" width="11.140625" style="4" customWidth="1"/>
    <col min="6161" max="6161" width="9.5703125" style="4" customWidth="1"/>
    <col min="6162" max="6162" width="10.42578125" style="4" customWidth="1"/>
    <col min="6163" max="6163" width="8.5703125" style="4" customWidth="1"/>
    <col min="6164" max="6164" width="11" style="4" customWidth="1"/>
    <col min="6165" max="6165" width="13.42578125" style="4" bestFit="1" customWidth="1"/>
    <col min="6166" max="6166" width="9.42578125" style="4" customWidth="1"/>
    <col min="6167" max="6167" width="7.5703125" style="4" customWidth="1"/>
    <col min="6168" max="6168" width="11.42578125" style="4" customWidth="1"/>
    <col min="6169" max="6169" width="9.42578125" style="4" customWidth="1"/>
    <col min="6170" max="6170" width="11.42578125" style="4" customWidth="1"/>
    <col min="6171" max="6171" width="13.42578125" style="4" bestFit="1" customWidth="1"/>
    <col min="6172" max="6172" width="5.5703125" style="4" bestFit="1" customWidth="1"/>
    <col min="6173" max="6173" width="19.5703125" style="4" bestFit="1" customWidth="1"/>
    <col min="6174" max="6174" width="1.42578125" style="4" customWidth="1"/>
    <col min="6175" max="6175" width="13.42578125" style="4" bestFit="1" customWidth="1"/>
    <col min="6176" max="6176" width="8.5703125" style="4" bestFit="1" customWidth="1"/>
    <col min="6177" max="6177" width="8.85546875" style="4" bestFit="1" customWidth="1"/>
    <col min="6178" max="6400" width="9.140625" style="4"/>
    <col min="6401" max="6401" width="11" style="4" customWidth="1"/>
    <col min="6402" max="6403" width="12.5703125" style="4" customWidth="1"/>
    <col min="6404" max="6404" width="11" style="4" customWidth="1"/>
    <col min="6405" max="6405" width="8.42578125" style="4" customWidth="1"/>
    <col min="6406" max="6406" width="11.42578125" style="4" customWidth="1"/>
    <col min="6407" max="6407" width="1.85546875" style="4" customWidth="1"/>
    <col min="6408" max="6408" width="8.42578125" style="4" customWidth="1"/>
    <col min="6409" max="6409" width="11.42578125" style="4" customWidth="1"/>
    <col min="6410" max="6411" width="10.42578125" style="4" customWidth="1"/>
    <col min="6412" max="6412" width="10.5703125" style="4" customWidth="1"/>
    <col min="6413" max="6413" width="10" style="4" customWidth="1"/>
    <col min="6414" max="6414" width="11" style="4" bestFit="1" customWidth="1"/>
    <col min="6415" max="6415" width="12" style="4" customWidth="1"/>
    <col min="6416" max="6416" width="11.140625" style="4" customWidth="1"/>
    <col min="6417" max="6417" width="9.5703125" style="4" customWidth="1"/>
    <col min="6418" max="6418" width="10.42578125" style="4" customWidth="1"/>
    <col min="6419" max="6419" width="8.5703125" style="4" customWidth="1"/>
    <col min="6420" max="6420" width="11" style="4" customWidth="1"/>
    <col min="6421" max="6421" width="13.42578125" style="4" bestFit="1" customWidth="1"/>
    <col min="6422" max="6422" width="9.42578125" style="4" customWidth="1"/>
    <col min="6423" max="6423" width="7.5703125" style="4" customWidth="1"/>
    <col min="6424" max="6424" width="11.42578125" style="4" customWidth="1"/>
    <col min="6425" max="6425" width="9.42578125" style="4" customWidth="1"/>
    <col min="6426" max="6426" width="11.42578125" style="4" customWidth="1"/>
    <col min="6427" max="6427" width="13.42578125" style="4" bestFit="1" customWidth="1"/>
    <col min="6428" max="6428" width="5.5703125" style="4" bestFit="1" customWidth="1"/>
    <col min="6429" max="6429" width="19.5703125" style="4" bestFit="1" customWidth="1"/>
    <col min="6430" max="6430" width="1.42578125" style="4" customWidth="1"/>
    <col min="6431" max="6431" width="13.42578125" style="4" bestFit="1" customWidth="1"/>
    <col min="6432" max="6432" width="8.5703125" style="4" bestFit="1" customWidth="1"/>
    <col min="6433" max="6433" width="8.85546875" style="4" bestFit="1" customWidth="1"/>
    <col min="6434" max="6656" width="9.140625" style="4"/>
    <col min="6657" max="6657" width="11" style="4" customWidth="1"/>
    <col min="6658" max="6659" width="12.5703125" style="4" customWidth="1"/>
    <col min="6660" max="6660" width="11" style="4" customWidth="1"/>
    <col min="6661" max="6661" width="8.42578125" style="4" customWidth="1"/>
    <col min="6662" max="6662" width="11.42578125" style="4" customWidth="1"/>
    <col min="6663" max="6663" width="1.85546875" style="4" customWidth="1"/>
    <col min="6664" max="6664" width="8.42578125" style="4" customWidth="1"/>
    <col min="6665" max="6665" width="11.42578125" style="4" customWidth="1"/>
    <col min="6666" max="6667" width="10.42578125" style="4" customWidth="1"/>
    <col min="6668" max="6668" width="10.5703125" style="4" customWidth="1"/>
    <col min="6669" max="6669" width="10" style="4" customWidth="1"/>
    <col min="6670" max="6670" width="11" style="4" bestFit="1" customWidth="1"/>
    <col min="6671" max="6671" width="12" style="4" customWidth="1"/>
    <col min="6672" max="6672" width="11.140625" style="4" customWidth="1"/>
    <col min="6673" max="6673" width="9.5703125" style="4" customWidth="1"/>
    <col min="6674" max="6674" width="10.42578125" style="4" customWidth="1"/>
    <col min="6675" max="6675" width="8.5703125" style="4" customWidth="1"/>
    <col min="6676" max="6676" width="11" style="4" customWidth="1"/>
    <col min="6677" max="6677" width="13.42578125" style="4" bestFit="1" customWidth="1"/>
    <col min="6678" max="6678" width="9.42578125" style="4" customWidth="1"/>
    <col min="6679" max="6679" width="7.5703125" style="4" customWidth="1"/>
    <col min="6680" max="6680" width="11.42578125" style="4" customWidth="1"/>
    <col min="6681" max="6681" width="9.42578125" style="4" customWidth="1"/>
    <col min="6682" max="6682" width="11.42578125" style="4" customWidth="1"/>
    <col min="6683" max="6683" width="13.42578125" style="4" bestFit="1" customWidth="1"/>
    <col min="6684" max="6684" width="5.5703125" style="4" bestFit="1" customWidth="1"/>
    <col min="6685" max="6685" width="19.5703125" style="4" bestFit="1" customWidth="1"/>
    <col min="6686" max="6686" width="1.42578125" style="4" customWidth="1"/>
    <col min="6687" max="6687" width="13.42578125" style="4" bestFit="1" customWidth="1"/>
    <col min="6688" max="6688" width="8.5703125" style="4" bestFit="1" customWidth="1"/>
    <col min="6689" max="6689" width="8.85546875" style="4" bestFit="1" customWidth="1"/>
    <col min="6690" max="6912" width="9.140625" style="4"/>
    <col min="6913" max="6913" width="11" style="4" customWidth="1"/>
    <col min="6914" max="6915" width="12.5703125" style="4" customWidth="1"/>
    <col min="6916" max="6916" width="11" style="4" customWidth="1"/>
    <col min="6917" max="6917" width="8.42578125" style="4" customWidth="1"/>
    <col min="6918" max="6918" width="11.42578125" style="4" customWidth="1"/>
    <col min="6919" max="6919" width="1.85546875" style="4" customWidth="1"/>
    <col min="6920" max="6920" width="8.42578125" style="4" customWidth="1"/>
    <col min="6921" max="6921" width="11.42578125" style="4" customWidth="1"/>
    <col min="6922" max="6923" width="10.42578125" style="4" customWidth="1"/>
    <col min="6924" max="6924" width="10.5703125" style="4" customWidth="1"/>
    <col min="6925" max="6925" width="10" style="4" customWidth="1"/>
    <col min="6926" max="6926" width="11" style="4" bestFit="1" customWidth="1"/>
    <col min="6927" max="6927" width="12" style="4" customWidth="1"/>
    <col min="6928" max="6928" width="11.140625" style="4" customWidth="1"/>
    <col min="6929" max="6929" width="9.5703125" style="4" customWidth="1"/>
    <col min="6930" max="6930" width="10.42578125" style="4" customWidth="1"/>
    <col min="6931" max="6931" width="8.5703125" style="4" customWidth="1"/>
    <col min="6932" max="6932" width="11" style="4" customWidth="1"/>
    <col min="6933" max="6933" width="13.42578125" style="4" bestFit="1" customWidth="1"/>
    <col min="6934" max="6934" width="9.42578125" style="4" customWidth="1"/>
    <col min="6935" max="6935" width="7.5703125" style="4" customWidth="1"/>
    <col min="6936" max="6936" width="11.42578125" style="4" customWidth="1"/>
    <col min="6937" max="6937" width="9.42578125" style="4" customWidth="1"/>
    <col min="6938" max="6938" width="11.42578125" style="4" customWidth="1"/>
    <col min="6939" max="6939" width="13.42578125" style="4" bestFit="1" customWidth="1"/>
    <col min="6940" max="6940" width="5.5703125" style="4" bestFit="1" customWidth="1"/>
    <col min="6941" max="6941" width="19.5703125" style="4" bestFit="1" customWidth="1"/>
    <col min="6942" max="6942" width="1.42578125" style="4" customWidth="1"/>
    <col min="6943" max="6943" width="13.42578125" style="4" bestFit="1" customWidth="1"/>
    <col min="6944" max="6944" width="8.5703125" style="4" bestFit="1" customWidth="1"/>
    <col min="6945" max="6945" width="8.85546875" style="4" bestFit="1" customWidth="1"/>
    <col min="6946" max="7168" width="9.140625" style="4"/>
    <col min="7169" max="7169" width="11" style="4" customWidth="1"/>
    <col min="7170" max="7171" width="12.5703125" style="4" customWidth="1"/>
    <col min="7172" max="7172" width="11" style="4" customWidth="1"/>
    <col min="7173" max="7173" width="8.42578125" style="4" customWidth="1"/>
    <col min="7174" max="7174" width="11.42578125" style="4" customWidth="1"/>
    <col min="7175" max="7175" width="1.85546875" style="4" customWidth="1"/>
    <col min="7176" max="7176" width="8.42578125" style="4" customWidth="1"/>
    <col min="7177" max="7177" width="11.42578125" style="4" customWidth="1"/>
    <col min="7178" max="7179" width="10.42578125" style="4" customWidth="1"/>
    <col min="7180" max="7180" width="10.5703125" style="4" customWidth="1"/>
    <col min="7181" max="7181" width="10" style="4" customWidth="1"/>
    <col min="7182" max="7182" width="11" style="4" bestFit="1" customWidth="1"/>
    <col min="7183" max="7183" width="12" style="4" customWidth="1"/>
    <col min="7184" max="7184" width="11.140625" style="4" customWidth="1"/>
    <col min="7185" max="7185" width="9.5703125" style="4" customWidth="1"/>
    <col min="7186" max="7186" width="10.42578125" style="4" customWidth="1"/>
    <col min="7187" max="7187" width="8.5703125" style="4" customWidth="1"/>
    <col min="7188" max="7188" width="11" style="4" customWidth="1"/>
    <col min="7189" max="7189" width="13.42578125" style="4" bestFit="1" customWidth="1"/>
    <col min="7190" max="7190" width="9.42578125" style="4" customWidth="1"/>
    <col min="7191" max="7191" width="7.5703125" style="4" customWidth="1"/>
    <col min="7192" max="7192" width="11.42578125" style="4" customWidth="1"/>
    <col min="7193" max="7193" width="9.42578125" style="4" customWidth="1"/>
    <col min="7194" max="7194" width="11.42578125" style="4" customWidth="1"/>
    <col min="7195" max="7195" width="13.42578125" style="4" bestFit="1" customWidth="1"/>
    <col min="7196" max="7196" width="5.5703125" style="4" bestFit="1" customWidth="1"/>
    <col min="7197" max="7197" width="19.5703125" style="4" bestFit="1" customWidth="1"/>
    <col min="7198" max="7198" width="1.42578125" style="4" customWidth="1"/>
    <col min="7199" max="7199" width="13.42578125" style="4" bestFit="1" customWidth="1"/>
    <col min="7200" max="7200" width="8.5703125" style="4" bestFit="1" customWidth="1"/>
    <col min="7201" max="7201" width="8.85546875" style="4" bestFit="1" customWidth="1"/>
    <col min="7202" max="7424" width="9.140625" style="4"/>
    <col min="7425" max="7425" width="11" style="4" customWidth="1"/>
    <col min="7426" max="7427" width="12.5703125" style="4" customWidth="1"/>
    <col min="7428" max="7428" width="11" style="4" customWidth="1"/>
    <col min="7429" max="7429" width="8.42578125" style="4" customWidth="1"/>
    <col min="7430" max="7430" width="11.42578125" style="4" customWidth="1"/>
    <col min="7431" max="7431" width="1.85546875" style="4" customWidth="1"/>
    <col min="7432" max="7432" width="8.42578125" style="4" customWidth="1"/>
    <col min="7433" max="7433" width="11.42578125" style="4" customWidth="1"/>
    <col min="7434" max="7435" width="10.42578125" style="4" customWidth="1"/>
    <col min="7436" max="7436" width="10.5703125" style="4" customWidth="1"/>
    <col min="7437" max="7437" width="10" style="4" customWidth="1"/>
    <col min="7438" max="7438" width="11" style="4" bestFit="1" customWidth="1"/>
    <col min="7439" max="7439" width="12" style="4" customWidth="1"/>
    <col min="7440" max="7440" width="11.140625" style="4" customWidth="1"/>
    <col min="7441" max="7441" width="9.5703125" style="4" customWidth="1"/>
    <col min="7442" max="7442" width="10.42578125" style="4" customWidth="1"/>
    <col min="7443" max="7443" width="8.5703125" style="4" customWidth="1"/>
    <col min="7444" max="7444" width="11" style="4" customWidth="1"/>
    <col min="7445" max="7445" width="13.42578125" style="4" bestFit="1" customWidth="1"/>
    <col min="7446" max="7446" width="9.42578125" style="4" customWidth="1"/>
    <col min="7447" max="7447" width="7.5703125" style="4" customWidth="1"/>
    <col min="7448" max="7448" width="11.42578125" style="4" customWidth="1"/>
    <col min="7449" max="7449" width="9.42578125" style="4" customWidth="1"/>
    <col min="7450" max="7450" width="11.42578125" style="4" customWidth="1"/>
    <col min="7451" max="7451" width="13.42578125" style="4" bestFit="1" customWidth="1"/>
    <col min="7452" max="7452" width="5.5703125" style="4" bestFit="1" customWidth="1"/>
    <col min="7453" max="7453" width="19.5703125" style="4" bestFit="1" customWidth="1"/>
    <col min="7454" max="7454" width="1.42578125" style="4" customWidth="1"/>
    <col min="7455" max="7455" width="13.42578125" style="4" bestFit="1" customWidth="1"/>
    <col min="7456" max="7456" width="8.5703125" style="4" bestFit="1" customWidth="1"/>
    <col min="7457" max="7457" width="8.85546875" style="4" bestFit="1" customWidth="1"/>
    <col min="7458" max="7680" width="9.140625" style="4"/>
    <col min="7681" max="7681" width="11" style="4" customWidth="1"/>
    <col min="7682" max="7683" width="12.5703125" style="4" customWidth="1"/>
    <col min="7684" max="7684" width="11" style="4" customWidth="1"/>
    <col min="7685" max="7685" width="8.42578125" style="4" customWidth="1"/>
    <col min="7686" max="7686" width="11.42578125" style="4" customWidth="1"/>
    <col min="7687" max="7687" width="1.85546875" style="4" customWidth="1"/>
    <col min="7688" max="7688" width="8.42578125" style="4" customWidth="1"/>
    <col min="7689" max="7689" width="11.42578125" style="4" customWidth="1"/>
    <col min="7690" max="7691" width="10.42578125" style="4" customWidth="1"/>
    <col min="7692" max="7692" width="10.5703125" style="4" customWidth="1"/>
    <col min="7693" max="7693" width="10" style="4" customWidth="1"/>
    <col min="7694" max="7694" width="11" style="4" bestFit="1" customWidth="1"/>
    <col min="7695" max="7695" width="12" style="4" customWidth="1"/>
    <col min="7696" max="7696" width="11.140625" style="4" customWidth="1"/>
    <col min="7697" max="7697" width="9.5703125" style="4" customWidth="1"/>
    <col min="7698" max="7698" width="10.42578125" style="4" customWidth="1"/>
    <col min="7699" max="7699" width="8.5703125" style="4" customWidth="1"/>
    <col min="7700" max="7700" width="11" style="4" customWidth="1"/>
    <col min="7701" max="7701" width="13.42578125" style="4" bestFit="1" customWidth="1"/>
    <col min="7702" max="7702" width="9.42578125" style="4" customWidth="1"/>
    <col min="7703" max="7703" width="7.5703125" style="4" customWidth="1"/>
    <col min="7704" max="7704" width="11.42578125" style="4" customWidth="1"/>
    <col min="7705" max="7705" width="9.42578125" style="4" customWidth="1"/>
    <col min="7706" max="7706" width="11.42578125" style="4" customWidth="1"/>
    <col min="7707" max="7707" width="13.42578125" style="4" bestFit="1" customWidth="1"/>
    <col min="7708" max="7708" width="5.5703125" style="4" bestFit="1" customWidth="1"/>
    <col min="7709" max="7709" width="19.5703125" style="4" bestFit="1" customWidth="1"/>
    <col min="7710" max="7710" width="1.42578125" style="4" customWidth="1"/>
    <col min="7711" max="7711" width="13.42578125" style="4" bestFit="1" customWidth="1"/>
    <col min="7712" max="7712" width="8.5703125" style="4" bestFit="1" customWidth="1"/>
    <col min="7713" max="7713" width="8.85546875" style="4" bestFit="1" customWidth="1"/>
    <col min="7714" max="7936" width="9.140625" style="4"/>
    <col min="7937" max="7937" width="11" style="4" customWidth="1"/>
    <col min="7938" max="7939" width="12.5703125" style="4" customWidth="1"/>
    <col min="7940" max="7940" width="11" style="4" customWidth="1"/>
    <col min="7941" max="7941" width="8.42578125" style="4" customWidth="1"/>
    <col min="7942" max="7942" width="11.42578125" style="4" customWidth="1"/>
    <col min="7943" max="7943" width="1.85546875" style="4" customWidth="1"/>
    <col min="7944" max="7944" width="8.42578125" style="4" customWidth="1"/>
    <col min="7945" max="7945" width="11.42578125" style="4" customWidth="1"/>
    <col min="7946" max="7947" width="10.42578125" style="4" customWidth="1"/>
    <col min="7948" max="7948" width="10.5703125" style="4" customWidth="1"/>
    <col min="7949" max="7949" width="10" style="4" customWidth="1"/>
    <col min="7950" max="7950" width="11" style="4" bestFit="1" customWidth="1"/>
    <col min="7951" max="7951" width="12" style="4" customWidth="1"/>
    <col min="7952" max="7952" width="11.140625" style="4" customWidth="1"/>
    <col min="7953" max="7953" width="9.5703125" style="4" customWidth="1"/>
    <col min="7954" max="7954" width="10.42578125" style="4" customWidth="1"/>
    <col min="7955" max="7955" width="8.5703125" style="4" customWidth="1"/>
    <col min="7956" max="7956" width="11" style="4" customWidth="1"/>
    <col min="7957" max="7957" width="13.42578125" style="4" bestFit="1" customWidth="1"/>
    <col min="7958" max="7958" width="9.42578125" style="4" customWidth="1"/>
    <col min="7959" max="7959" width="7.5703125" style="4" customWidth="1"/>
    <col min="7960" max="7960" width="11.42578125" style="4" customWidth="1"/>
    <col min="7961" max="7961" width="9.42578125" style="4" customWidth="1"/>
    <col min="7962" max="7962" width="11.42578125" style="4" customWidth="1"/>
    <col min="7963" max="7963" width="13.42578125" style="4" bestFit="1" customWidth="1"/>
    <col min="7964" max="7964" width="5.5703125" style="4" bestFit="1" customWidth="1"/>
    <col min="7965" max="7965" width="19.5703125" style="4" bestFit="1" customWidth="1"/>
    <col min="7966" max="7966" width="1.42578125" style="4" customWidth="1"/>
    <col min="7967" max="7967" width="13.42578125" style="4" bestFit="1" customWidth="1"/>
    <col min="7968" max="7968" width="8.5703125" style="4" bestFit="1" customWidth="1"/>
    <col min="7969" max="7969" width="8.85546875" style="4" bestFit="1" customWidth="1"/>
    <col min="7970" max="8192" width="9.140625" style="4"/>
    <col min="8193" max="8193" width="11" style="4" customWidth="1"/>
    <col min="8194" max="8195" width="12.5703125" style="4" customWidth="1"/>
    <col min="8196" max="8196" width="11" style="4" customWidth="1"/>
    <col min="8197" max="8197" width="8.42578125" style="4" customWidth="1"/>
    <col min="8198" max="8198" width="11.42578125" style="4" customWidth="1"/>
    <col min="8199" max="8199" width="1.85546875" style="4" customWidth="1"/>
    <col min="8200" max="8200" width="8.42578125" style="4" customWidth="1"/>
    <col min="8201" max="8201" width="11.42578125" style="4" customWidth="1"/>
    <col min="8202" max="8203" width="10.42578125" style="4" customWidth="1"/>
    <col min="8204" max="8204" width="10.5703125" style="4" customWidth="1"/>
    <col min="8205" max="8205" width="10" style="4" customWidth="1"/>
    <col min="8206" max="8206" width="11" style="4" bestFit="1" customWidth="1"/>
    <col min="8207" max="8207" width="12" style="4" customWidth="1"/>
    <col min="8208" max="8208" width="11.140625" style="4" customWidth="1"/>
    <col min="8209" max="8209" width="9.5703125" style="4" customWidth="1"/>
    <col min="8210" max="8210" width="10.42578125" style="4" customWidth="1"/>
    <col min="8211" max="8211" width="8.5703125" style="4" customWidth="1"/>
    <col min="8212" max="8212" width="11" style="4" customWidth="1"/>
    <col min="8213" max="8213" width="13.42578125" style="4" bestFit="1" customWidth="1"/>
    <col min="8214" max="8214" width="9.42578125" style="4" customWidth="1"/>
    <col min="8215" max="8215" width="7.5703125" style="4" customWidth="1"/>
    <col min="8216" max="8216" width="11.42578125" style="4" customWidth="1"/>
    <col min="8217" max="8217" width="9.42578125" style="4" customWidth="1"/>
    <col min="8218" max="8218" width="11.42578125" style="4" customWidth="1"/>
    <col min="8219" max="8219" width="13.42578125" style="4" bestFit="1" customWidth="1"/>
    <col min="8220" max="8220" width="5.5703125" style="4" bestFit="1" customWidth="1"/>
    <col min="8221" max="8221" width="19.5703125" style="4" bestFit="1" customWidth="1"/>
    <col min="8222" max="8222" width="1.42578125" style="4" customWidth="1"/>
    <col min="8223" max="8223" width="13.42578125" style="4" bestFit="1" customWidth="1"/>
    <col min="8224" max="8224" width="8.5703125" style="4" bestFit="1" customWidth="1"/>
    <col min="8225" max="8225" width="8.85546875" style="4" bestFit="1" customWidth="1"/>
    <col min="8226" max="8448" width="9.140625" style="4"/>
    <col min="8449" max="8449" width="11" style="4" customWidth="1"/>
    <col min="8450" max="8451" width="12.5703125" style="4" customWidth="1"/>
    <col min="8452" max="8452" width="11" style="4" customWidth="1"/>
    <col min="8453" max="8453" width="8.42578125" style="4" customWidth="1"/>
    <col min="8454" max="8454" width="11.42578125" style="4" customWidth="1"/>
    <col min="8455" max="8455" width="1.85546875" style="4" customWidth="1"/>
    <col min="8456" max="8456" width="8.42578125" style="4" customWidth="1"/>
    <col min="8457" max="8457" width="11.42578125" style="4" customWidth="1"/>
    <col min="8458" max="8459" width="10.42578125" style="4" customWidth="1"/>
    <col min="8460" max="8460" width="10.5703125" style="4" customWidth="1"/>
    <col min="8461" max="8461" width="10" style="4" customWidth="1"/>
    <col min="8462" max="8462" width="11" style="4" bestFit="1" customWidth="1"/>
    <col min="8463" max="8463" width="12" style="4" customWidth="1"/>
    <col min="8464" max="8464" width="11.140625" style="4" customWidth="1"/>
    <col min="8465" max="8465" width="9.5703125" style="4" customWidth="1"/>
    <col min="8466" max="8466" width="10.42578125" style="4" customWidth="1"/>
    <col min="8467" max="8467" width="8.5703125" style="4" customWidth="1"/>
    <col min="8468" max="8468" width="11" style="4" customWidth="1"/>
    <col min="8469" max="8469" width="13.42578125" style="4" bestFit="1" customWidth="1"/>
    <col min="8470" max="8470" width="9.42578125" style="4" customWidth="1"/>
    <col min="8471" max="8471" width="7.5703125" style="4" customWidth="1"/>
    <col min="8472" max="8472" width="11.42578125" style="4" customWidth="1"/>
    <col min="8473" max="8473" width="9.42578125" style="4" customWidth="1"/>
    <col min="8474" max="8474" width="11.42578125" style="4" customWidth="1"/>
    <col min="8475" max="8475" width="13.42578125" style="4" bestFit="1" customWidth="1"/>
    <col min="8476" max="8476" width="5.5703125" style="4" bestFit="1" customWidth="1"/>
    <col min="8477" max="8477" width="19.5703125" style="4" bestFit="1" customWidth="1"/>
    <col min="8478" max="8478" width="1.42578125" style="4" customWidth="1"/>
    <col min="8479" max="8479" width="13.42578125" style="4" bestFit="1" customWidth="1"/>
    <col min="8480" max="8480" width="8.5703125" style="4" bestFit="1" customWidth="1"/>
    <col min="8481" max="8481" width="8.85546875" style="4" bestFit="1" customWidth="1"/>
    <col min="8482" max="8704" width="9.140625" style="4"/>
    <col min="8705" max="8705" width="11" style="4" customWidth="1"/>
    <col min="8706" max="8707" width="12.5703125" style="4" customWidth="1"/>
    <col min="8708" max="8708" width="11" style="4" customWidth="1"/>
    <col min="8709" max="8709" width="8.42578125" style="4" customWidth="1"/>
    <col min="8710" max="8710" width="11.42578125" style="4" customWidth="1"/>
    <col min="8711" max="8711" width="1.85546875" style="4" customWidth="1"/>
    <col min="8712" max="8712" width="8.42578125" style="4" customWidth="1"/>
    <col min="8713" max="8713" width="11.42578125" style="4" customWidth="1"/>
    <col min="8714" max="8715" width="10.42578125" style="4" customWidth="1"/>
    <col min="8716" max="8716" width="10.5703125" style="4" customWidth="1"/>
    <col min="8717" max="8717" width="10" style="4" customWidth="1"/>
    <col min="8718" max="8718" width="11" style="4" bestFit="1" customWidth="1"/>
    <col min="8719" max="8719" width="12" style="4" customWidth="1"/>
    <col min="8720" max="8720" width="11.140625" style="4" customWidth="1"/>
    <col min="8721" max="8721" width="9.5703125" style="4" customWidth="1"/>
    <col min="8722" max="8722" width="10.42578125" style="4" customWidth="1"/>
    <col min="8723" max="8723" width="8.5703125" style="4" customWidth="1"/>
    <col min="8724" max="8724" width="11" style="4" customWidth="1"/>
    <col min="8725" max="8725" width="13.42578125" style="4" bestFit="1" customWidth="1"/>
    <col min="8726" max="8726" width="9.42578125" style="4" customWidth="1"/>
    <col min="8727" max="8727" width="7.5703125" style="4" customWidth="1"/>
    <col min="8728" max="8728" width="11.42578125" style="4" customWidth="1"/>
    <col min="8729" max="8729" width="9.42578125" style="4" customWidth="1"/>
    <col min="8730" max="8730" width="11.42578125" style="4" customWidth="1"/>
    <col min="8731" max="8731" width="13.42578125" style="4" bestFit="1" customWidth="1"/>
    <col min="8732" max="8732" width="5.5703125" style="4" bestFit="1" customWidth="1"/>
    <col min="8733" max="8733" width="19.5703125" style="4" bestFit="1" customWidth="1"/>
    <col min="8734" max="8734" width="1.42578125" style="4" customWidth="1"/>
    <col min="8735" max="8735" width="13.42578125" style="4" bestFit="1" customWidth="1"/>
    <col min="8736" max="8736" width="8.5703125" style="4" bestFit="1" customWidth="1"/>
    <col min="8737" max="8737" width="8.85546875" style="4" bestFit="1" customWidth="1"/>
    <col min="8738" max="8960" width="9.140625" style="4"/>
    <col min="8961" max="8961" width="11" style="4" customWidth="1"/>
    <col min="8962" max="8963" width="12.5703125" style="4" customWidth="1"/>
    <col min="8964" max="8964" width="11" style="4" customWidth="1"/>
    <col min="8965" max="8965" width="8.42578125" style="4" customWidth="1"/>
    <col min="8966" max="8966" width="11.42578125" style="4" customWidth="1"/>
    <col min="8967" max="8967" width="1.85546875" style="4" customWidth="1"/>
    <col min="8968" max="8968" width="8.42578125" style="4" customWidth="1"/>
    <col min="8969" max="8969" width="11.42578125" style="4" customWidth="1"/>
    <col min="8970" max="8971" width="10.42578125" style="4" customWidth="1"/>
    <col min="8972" max="8972" width="10.5703125" style="4" customWidth="1"/>
    <col min="8973" max="8973" width="10" style="4" customWidth="1"/>
    <col min="8974" max="8974" width="11" style="4" bestFit="1" customWidth="1"/>
    <col min="8975" max="8975" width="12" style="4" customWidth="1"/>
    <col min="8976" max="8976" width="11.140625" style="4" customWidth="1"/>
    <col min="8977" max="8977" width="9.5703125" style="4" customWidth="1"/>
    <col min="8978" max="8978" width="10.42578125" style="4" customWidth="1"/>
    <col min="8979" max="8979" width="8.5703125" style="4" customWidth="1"/>
    <col min="8980" max="8980" width="11" style="4" customWidth="1"/>
    <col min="8981" max="8981" width="13.42578125" style="4" bestFit="1" customWidth="1"/>
    <col min="8982" max="8982" width="9.42578125" style="4" customWidth="1"/>
    <col min="8983" max="8983" width="7.5703125" style="4" customWidth="1"/>
    <col min="8984" max="8984" width="11.42578125" style="4" customWidth="1"/>
    <col min="8985" max="8985" width="9.42578125" style="4" customWidth="1"/>
    <col min="8986" max="8986" width="11.42578125" style="4" customWidth="1"/>
    <col min="8987" max="8987" width="13.42578125" style="4" bestFit="1" customWidth="1"/>
    <col min="8988" max="8988" width="5.5703125" style="4" bestFit="1" customWidth="1"/>
    <col min="8989" max="8989" width="19.5703125" style="4" bestFit="1" customWidth="1"/>
    <col min="8990" max="8990" width="1.42578125" style="4" customWidth="1"/>
    <col min="8991" max="8991" width="13.42578125" style="4" bestFit="1" customWidth="1"/>
    <col min="8992" max="8992" width="8.5703125" style="4" bestFit="1" customWidth="1"/>
    <col min="8993" max="8993" width="8.85546875" style="4" bestFit="1" customWidth="1"/>
    <col min="8994" max="9216" width="9.140625" style="4"/>
    <col min="9217" max="9217" width="11" style="4" customWidth="1"/>
    <col min="9218" max="9219" width="12.5703125" style="4" customWidth="1"/>
    <col min="9220" max="9220" width="11" style="4" customWidth="1"/>
    <col min="9221" max="9221" width="8.42578125" style="4" customWidth="1"/>
    <col min="9222" max="9222" width="11.42578125" style="4" customWidth="1"/>
    <col min="9223" max="9223" width="1.85546875" style="4" customWidth="1"/>
    <col min="9224" max="9224" width="8.42578125" style="4" customWidth="1"/>
    <col min="9225" max="9225" width="11.42578125" style="4" customWidth="1"/>
    <col min="9226" max="9227" width="10.42578125" style="4" customWidth="1"/>
    <col min="9228" max="9228" width="10.5703125" style="4" customWidth="1"/>
    <col min="9229" max="9229" width="10" style="4" customWidth="1"/>
    <col min="9230" max="9230" width="11" style="4" bestFit="1" customWidth="1"/>
    <col min="9231" max="9231" width="12" style="4" customWidth="1"/>
    <col min="9232" max="9232" width="11.140625" style="4" customWidth="1"/>
    <col min="9233" max="9233" width="9.5703125" style="4" customWidth="1"/>
    <col min="9234" max="9234" width="10.42578125" style="4" customWidth="1"/>
    <col min="9235" max="9235" width="8.5703125" style="4" customWidth="1"/>
    <col min="9236" max="9236" width="11" style="4" customWidth="1"/>
    <col min="9237" max="9237" width="13.42578125" style="4" bestFit="1" customWidth="1"/>
    <col min="9238" max="9238" width="9.42578125" style="4" customWidth="1"/>
    <col min="9239" max="9239" width="7.5703125" style="4" customWidth="1"/>
    <col min="9240" max="9240" width="11.42578125" style="4" customWidth="1"/>
    <col min="9241" max="9241" width="9.42578125" style="4" customWidth="1"/>
    <col min="9242" max="9242" width="11.42578125" style="4" customWidth="1"/>
    <col min="9243" max="9243" width="13.42578125" style="4" bestFit="1" customWidth="1"/>
    <col min="9244" max="9244" width="5.5703125" style="4" bestFit="1" customWidth="1"/>
    <col min="9245" max="9245" width="19.5703125" style="4" bestFit="1" customWidth="1"/>
    <col min="9246" max="9246" width="1.42578125" style="4" customWidth="1"/>
    <col min="9247" max="9247" width="13.42578125" style="4" bestFit="1" customWidth="1"/>
    <col min="9248" max="9248" width="8.5703125" style="4" bestFit="1" customWidth="1"/>
    <col min="9249" max="9249" width="8.85546875" style="4" bestFit="1" customWidth="1"/>
    <col min="9250" max="9472" width="9.140625" style="4"/>
    <col min="9473" max="9473" width="11" style="4" customWidth="1"/>
    <col min="9474" max="9475" width="12.5703125" style="4" customWidth="1"/>
    <col min="9476" max="9476" width="11" style="4" customWidth="1"/>
    <col min="9477" max="9477" width="8.42578125" style="4" customWidth="1"/>
    <col min="9478" max="9478" width="11.42578125" style="4" customWidth="1"/>
    <col min="9479" max="9479" width="1.85546875" style="4" customWidth="1"/>
    <col min="9480" max="9480" width="8.42578125" style="4" customWidth="1"/>
    <col min="9481" max="9481" width="11.42578125" style="4" customWidth="1"/>
    <col min="9482" max="9483" width="10.42578125" style="4" customWidth="1"/>
    <col min="9484" max="9484" width="10.5703125" style="4" customWidth="1"/>
    <col min="9485" max="9485" width="10" style="4" customWidth="1"/>
    <col min="9486" max="9486" width="11" style="4" bestFit="1" customWidth="1"/>
    <col min="9487" max="9487" width="12" style="4" customWidth="1"/>
    <col min="9488" max="9488" width="11.140625" style="4" customWidth="1"/>
    <col min="9489" max="9489" width="9.5703125" style="4" customWidth="1"/>
    <col min="9490" max="9490" width="10.42578125" style="4" customWidth="1"/>
    <col min="9491" max="9491" width="8.5703125" style="4" customWidth="1"/>
    <col min="9492" max="9492" width="11" style="4" customWidth="1"/>
    <col min="9493" max="9493" width="13.42578125" style="4" bestFit="1" customWidth="1"/>
    <col min="9494" max="9494" width="9.42578125" style="4" customWidth="1"/>
    <col min="9495" max="9495" width="7.5703125" style="4" customWidth="1"/>
    <col min="9496" max="9496" width="11.42578125" style="4" customWidth="1"/>
    <col min="9497" max="9497" width="9.42578125" style="4" customWidth="1"/>
    <col min="9498" max="9498" width="11.42578125" style="4" customWidth="1"/>
    <col min="9499" max="9499" width="13.42578125" style="4" bestFit="1" customWidth="1"/>
    <col min="9500" max="9500" width="5.5703125" style="4" bestFit="1" customWidth="1"/>
    <col min="9501" max="9501" width="19.5703125" style="4" bestFit="1" customWidth="1"/>
    <col min="9502" max="9502" width="1.42578125" style="4" customWidth="1"/>
    <col min="9503" max="9503" width="13.42578125" style="4" bestFit="1" customWidth="1"/>
    <col min="9504" max="9504" width="8.5703125" style="4" bestFit="1" customWidth="1"/>
    <col min="9505" max="9505" width="8.85546875" style="4" bestFit="1" customWidth="1"/>
    <col min="9506" max="9728" width="9.140625" style="4"/>
    <col min="9729" max="9729" width="11" style="4" customWidth="1"/>
    <col min="9730" max="9731" width="12.5703125" style="4" customWidth="1"/>
    <col min="9732" max="9732" width="11" style="4" customWidth="1"/>
    <col min="9733" max="9733" width="8.42578125" style="4" customWidth="1"/>
    <col min="9734" max="9734" width="11.42578125" style="4" customWidth="1"/>
    <col min="9735" max="9735" width="1.85546875" style="4" customWidth="1"/>
    <col min="9736" max="9736" width="8.42578125" style="4" customWidth="1"/>
    <col min="9737" max="9737" width="11.42578125" style="4" customWidth="1"/>
    <col min="9738" max="9739" width="10.42578125" style="4" customWidth="1"/>
    <col min="9740" max="9740" width="10.5703125" style="4" customWidth="1"/>
    <col min="9741" max="9741" width="10" style="4" customWidth="1"/>
    <col min="9742" max="9742" width="11" style="4" bestFit="1" customWidth="1"/>
    <col min="9743" max="9743" width="12" style="4" customWidth="1"/>
    <col min="9744" max="9744" width="11.140625" style="4" customWidth="1"/>
    <col min="9745" max="9745" width="9.5703125" style="4" customWidth="1"/>
    <col min="9746" max="9746" width="10.42578125" style="4" customWidth="1"/>
    <col min="9747" max="9747" width="8.5703125" style="4" customWidth="1"/>
    <col min="9748" max="9748" width="11" style="4" customWidth="1"/>
    <col min="9749" max="9749" width="13.42578125" style="4" bestFit="1" customWidth="1"/>
    <col min="9750" max="9750" width="9.42578125" style="4" customWidth="1"/>
    <col min="9751" max="9751" width="7.5703125" style="4" customWidth="1"/>
    <col min="9752" max="9752" width="11.42578125" style="4" customWidth="1"/>
    <col min="9753" max="9753" width="9.42578125" style="4" customWidth="1"/>
    <col min="9754" max="9754" width="11.42578125" style="4" customWidth="1"/>
    <col min="9755" max="9755" width="13.42578125" style="4" bestFit="1" customWidth="1"/>
    <col min="9756" max="9756" width="5.5703125" style="4" bestFit="1" customWidth="1"/>
    <col min="9757" max="9757" width="19.5703125" style="4" bestFit="1" customWidth="1"/>
    <col min="9758" max="9758" width="1.42578125" style="4" customWidth="1"/>
    <col min="9759" max="9759" width="13.42578125" style="4" bestFit="1" customWidth="1"/>
    <col min="9760" max="9760" width="8.5703125" style="4" bestFit="1" customWidth="1"/>
    <col min="9761" max="9761" width="8.85546875" style="4" bestFit="1" customWidth="1"/>
    <col min="9762" max="9984" width="9.140625" style="4"/>
    <col min="9985" max="9985" width="11" style="4" customWidth="1"/>
    <col min="9986" max="9987" width="12.5703125" style="4" customWidth="1"/>
    <col min="9988" max="9988" width="11" style="4" customWidth="1"/>
    <col min="9989" max="9989" width="8.42578125" style="4" customWidth="1"/>
    <col min="9990" max="9990" width="11.42578125" style="4" customWidth="1"/>
    <col min="9991" max="9991" width="1.85546875" style="4" customWidth="1"/>
    <col min="9992" max="9992" width="8.42578125" style="4" customWidth="1"/>
    <col min="9993" max="9993" width="11.42578125" style="4" customWidth="1"/>
    <col min="9994" max="9995" width="10.42578125" style="4" customWidth="1"/>
    <col min="9996" max="9996" width="10.5703125" style="4" customWidth="1"/>
    <col min="9997" max="9997" width="10" style="4" customWidth="1"/>
    <col min="9998" max="9998" width="11" style="4" bestFit="1" customWidth="1"/>
    <col min="9999" max="9999" width="12" style="4" customWidth="1"/>
    <col min="10000" max="10000" width="11.140625" style="4" customWidth="1"/>
    <col min="10001" max="10001" width="9.5703125" style="4" customWidth="1"/>
    <col min="10002" max="10002" width="10.42578125" style="4" customWidth="1"/>
    <col min="10003" max="10003" width="8.5703125" style="4" customWidth="1"/>
    <col min="10004" max="10004" width="11" style="4" customWidth="1"/>
    <col min="10005" max="10005" width="13.42578125" style="4" bestFit="1" customWidth="1"/>
    <col min="10006" max="10006" width="9.42578125" style="4" customWidth="1"/>
    <col min="10007" max="10007" width="7.5703125" style="4" customWidth="1"/>
    <col min="10008" max="10008" width="11.42578125" style="4" customWidth="1"/>
    <col min="10009" max="10009" width="9.42578125" style="4" customWidth="1"/>
    <col min="10010" max="10010" width="11.42578125" style="4" customWidth="1"/>
    <col min="10011" max="10011" width="13.42578125" style="4" bestFit="1" customWidth="1"/>
    <col min="10012" max="10012" width="5.5703125" style="4" bestFit="1" customWidth="1"/>
    <col min="10013" max="10013" width="19.5703125" style="4" bestFit="1" customWidth="1"/>
    <col min="10014" max="10014" width="1.42578125" style="4" customWidth="1"/>
    <col min="10015" max="10015" width="13.42578125" style="4" bestFit="1" customWidth="1"/>
    <col min="10016" max="10016" width="8.5703125" style="4" bestFit="1" customWidth="1"/>
    <col min="10017" max="10017" width="8.85546875" style="4" bestFit="1" customWidth="1"/>
    <col min="10018" max="10240" width="9.140625" style="4"/>
    <col min="10241" max="10241" width="11" style="4" customWidth="1"/>
    <col min="10242" max="10243" width="12.5703125" style="4" customWidth="1"/>
    <col min="10244" max="10244" width="11" style="4" customWidth="1"/>
    <col min="10245" max="10245" width="8.42578125" style="4" customWidth="1"/>
    <col min="10246" max="10246" width="11.42578125" style="4" customWidth="1"/>
    <col min="10247" max="10247" width="1.85546875" style="4" customWidth="1"/>
    <col min="10248" max="10248" width="8.42578125" style="4" customWidth="1"/>
    <col min="10249" max="10249" width="11.42578125" style="4" customWidth="1"/>
    <col min="10250" max="10251" width="10.42578125" style="4" customWidth="1"/>
    <col min="10252" max="10252" width="10.5703125" style="4" customWidth="1"/>
    <col min="10253" max="10253" width="10" style="4" customWidth="1"/>
    <col min="10254" max="10254" width="11" style="4" bestFit="1" customWidth="1"/>
    <col min="10255" max="10255" width="12" style="4" customWidth="1"/>
    <col min="10256" max="10256" width="11.140625" style="4" customWidth="1"/>
    <col min="10257" max="10257" width="9.5703125" style="4" customWidth="1"/>
    <col min="10258" max="10258" width="10.42578125" style="4" customWidth="1"/>
    <col min="10259" max="10259" width="8.5703125" style="4" customWidth="1"/>
    <col min="10260" max="10260" width="11" style="4" customWidth="1"/>
    <col min="10261" max="10261" width="13.42578125" style="4" bestFit="1" customWidth="1"/>
    <col min="10262" max="10262" width="9.42578125" style="4" customWidth="1"/>
    <col min="10263" max="10263" width="7.5703125" style="4" customWidth="1"/>
    <col min="10264" max="10264" width="11.42578125" style="4" customWidth="1"/>
    <col min="10265" max="10265" width="9.42578125" style="4" customWidth="1"/>
    <col min="10266" max="10266" width="11.42578125" style="4" customWidth="1"/>
    <col min="10267" max="10267" width="13.42578125" style="4" bestFit="1" customWidth="1"/>
    <col min="10268" max="10268" width="5.5703125" style="4" bestFit="1" customWidth="1"/>
    <col min="10269" max="10269" width="19.5703125" style="4" bestFit="1" customWidth="1"/>
    <col min="10270" max="10270" width="1.42578125" style="4" customWidth="1"/>
    <col min="10271" max="10271" width="13.42578125" style="4" bestFit="1" customWidth="1"/>
    <col min="10272" max="10272" width="8.5703125" style="4" bestFit="1" customWidth="1"/>
    <col min="10273" max="10273" width="8.85546875" style="4" bestFit="1" customWidth="1"/>
    <col min="10274" max="10496" width="9.140625" style="4"/>
    <col min="10497" max="10497" width="11" style="4" customWidth="1"/>
    <col min="10498" max="10499" width="12.5703125" style="4" customWidth="1"/>
    <col min="10500" max="10500" width="11" style="4" customWidth="1"/>
    <col min="10501" max="10501" width="8.42578125" style="4" customWidth="1"/>
    <col min="10502" max="10502" width="11.42578125" style="4" customWidth="1"/>
    <col min="10503" max="10503" width="1.85546875" style="4" customWidth="1"/>
    <col min="10504" max="10504" width="8.42578125" style="4" customWidth="1"/>
    <col min="10505" max="10505" width="11.42578125" style="4" customWidth="1"/>
    <col min="10506" max="10507" width="10.42578125" style="4" customWidth="1"/>
    <col min="10508" max="10508" width="10.5703125" style="4" customWidth="1"/>
    <col min="10509" max="10509" width="10" style="4" customWidth="1"/>
    <col min="10510" max="10510" width="11" style="4" bestFit="1" customWidth="1"/>
    <col min="10511" max="10511" width="12" style="4" customWidth="1"/>
    <col min="10512" max="10512" width="11.140625" style="4" customWidth="1"/>
    <col min="10513" max="10513" width="9.5703125" style="4" customWidth="1"/>
    <col min="10514" max="10514" width="10.42578125" style="4" customWidth="1"/>
    <col min="10515" max="10515" width="8.5703125" style="4" customWidth="1"/>
    <col min="10516" max="10516" width="11" style="4" customWidth="1"/>
    <col min="10517" max="10517" width="13.42578125" style="4" bestFit="1" customWidth="1"/>
    <col min="10518" max="10518" width="9.42578125" style="4" customWidth="1"/>
    <col min="10519" max="10519" width="7.5703125" style="4" customWidth="1"/>
    <col min="10520" max="10520" width="11.42578125" style="4" customWidth="1"/>
    <col min="10521" max="10521" width="9.42578125" style="4" customWidth="1"/>
    <col min="10522" max="10522" width="11.42578125" style="4" customWidth="1"/>
    <col min="10523" max="10523" width="13.42578125" style="4" bestFit="1" customWidth="1"/>
    <col min="10524" max="10524" width="5.5703125" style="4" bestFit="1" customWidth="1"/>
    <col min="10525" max="10525" width="19.5703125" style="4" bestFit="1" customWidth="1"/>
    <col min="10526" max="10526" width="1.42578125" style="4" customWidth="1"/>
    <col min="10527" max="10527" width="13.42578125" style="4" bestFit="1" customWidth="1"/>
    <col min="10528" max="10528" width="8.5703125" style="4" bestFit="1" customWidth="1"/>
    <col min="10529" max="10529" width="8.85546875" style="4" bestFit="1" customWidth="1"/>
    <col min="10530" max="10752" width="9.140625" style="4"/>
    <col min="10753" max="10753" width="11" style="4" customWidth="1"/>
    <col min="10754" max="10755" width="12.5703125" style="4" customWidth="1"/>
    <col min="10756" max="10756" width="11" style="4" customWidth="1"/>
    <col min="10757" max="10757" width="8.42578125" style="4" customWidth="1"/>
    <col min="10758" max="10758" width="11.42578125" style="4" customWidth="1"/>
    <col min="10759" max="10759" width="1.85546875" style="4" customWidth="1"/>
    <col min="10760" max="10760" width="8.42578125" style="4" customWidth="1"/>
    <col min="10761" max="10761" width="11.42578125" style="4" customWidth="1"/>
    <col min="10762" max="10763" width="10.42578125" style="4" customWidth="1"/>
    <col min="10764" max="10764" width="10.5703125" style="4" customWidth="1"/>
    <col min="10765" max="10765" width="10" style="4" customWidth="1"/>
    <col min="10766" max="10766" width="11" style="4" bestFit="1" customWidth="1"/>
    <col min="10767" max="10767" width="12" style="4" customWidth="1"/>
    <col min="10768" max="10768" width="11.140625" style="4" customWidth="1"/>
    <col min="10769" max="10769" width="9.5703125" style="4" customWidth="1"/>
    <col min="10770" max="10770" width="10.42578125" style="4" customWidth="1"/>
    <col min="10771" max="10771" width="8.5703125" style="4" customWidth="1"/>
    <col min="10772" max="10772" width="11" style="4" customWidth="1"/>
    <col min="10773" max="10773" width="13.42578125" style="4" bestFit="1" customWidth="1"/>
    <col min="10774" max="10774" width="9.42578125" style="4" customWidth="1"/>
    <col min="10775" max="10775" width="7.5703125" style="4" customWidth="1"/>
    <col min="10776" max="10776" width="11.42578125" style="4" customWidth="1"/>
    <col min="10777" max="10777" width="9.42578125" style="4" customWidth="1"/>
    <col min="10778" max="10778" width="11.42578125" style="4" customWidth="1"/>
    <col min="10779" max="10779" width="13.42578125" style="4" bestFit="1" customWidth="1"/>
    <col min="10780" max="10780" width="5.5703125" style="4" bestFit="1" customWidth="1"/>
    <col min="10781" max="10781" width="19.5703125" style="4" bestFit="1" customWidth="1"/>
    <col min="10782" max="10782" width="1.42578125" style="4" customWidth="1"/>
    <col min="10783" max="10783" width="13.42578125" style="4" bestFit="1" customWidth="1"/>
    <col min="10784" max="10784" width="8.5703125" style="4" bestFit="1" customWidth="1"/>
    <col min="10785" max="10785" width="8.85546875" style="4" bestFit="1" customWidth="1"/>
    <col min="10786" max="11008" width="9.140625" style="4"/>
    <col min="11009" max="11009" width="11" style="4" customWidth="1"/>
    <col min="11010" max="11011" width="12.5703125" style="4" customWidth="1"/>
    <col min="11012" max="11012" width="11" style="4" customWidth="1"/>
    <col min="11013" max="11013" width="8.42578125" style="4" customWidth="1"/>
    <col min="11014" max="11014" width="11.42578125" style="4" customWidth="1"/>
    <col min="11015" max="11015" width="1.85546875" style="4" customWidth="1"/>
    <col min="11016" max="11016" width="8.42578125" style="4" customWidth="1"/>
    <col min="11017" max="11017" width="11.42578125" style="4" customWidth="1"/>
    <col min="11018" max="11019" width="10.42578125" style="4" customWidth="1"/>
    <col min="11020" max="11020" width="10.5703125" style="4" customWidth="1"/>
    <col min="11021" max="11021" width="10" style="4" customWidth="1"/>
    <col min="11022" max="11022" width="11" style="4" bestFit="1" customWidth="1"/>
    <col min="11023" max="11023" width="12" style="4" customWidth="1"/>
    <col min="11024" max="11024" width="11.140625" style="4" customWidth="1"/>
    <col min="11025" max="11025" width="9.5703125" style="4" customWidth="1"/>
    <col min="11026" max="11026" width="10.42578125" style="4" customWidth="1"/>
    <col min="11027" max="11027" width="8.5703125" style="4" customWidth="1"/>
    <col min="11028" max="11028" width="11" style="4" customWidth="1"/>
    <col min="11029" max="11029" width="13.42578125" style="4" bestFit="1" customWidth="1"/>
    <col min="11030" max="11030" width="9.42578125" style="4" customWidth="1"/>
    <col min="11031" max="11031" width="7.5703125" style="4" customWidth="1"/>
    <col min="11032" max="11032" width="11.42578125" style="4" customWidth="1"/>
    <col min="11033" max="11033" width="9.42578125" style="4" customWidth="1"/>
    <col min="11034" max="11034" width="11.42578125" style="4" customWidth="1"/>
    <col min="11035" max="11035" width="13.42578125" style="4" bestFit="1" customWidth="1"/>
    <col min="11036" max="11036" width="5.5703125" style="4" bestFit="1" customWidth="1"/>
    <col min="11037" max="11037" width="19.5703125" style="4" bestFit="1" customWidth="1"/>
    <col min="11038" max="11038" width="1.42578125" style="4" customWidth="1"/>
    <col min="11039" max="11039" width="13.42578125" style="4" bestFit="1" customWidth="1"/>
    <col min="11040" max="11040" width="8.5703125" style="4" bestFit="1" customWidth="1"/>
    <col min="11041" max="11041" width="8.85546875" style="4" bestFit="1" customWidth="1"/>
    <col min="11042" max="11264" width="9.140625" style="4"/>
    <col min="11265" max="11265" width="11" style="4" customWidth="1"/>
    <col min="11266" max="11267" width="12.5703125" style="4" customWidth="1"/>
    <col min="11268" max="11268" width="11" style="4" customWidth="1"/>
    <col min="11269" max="11269" width="8.42578125" style="4" customWidth="1"/>
    <col min="11270" max="11270" width="11.42578125" style="4" customWidth="1"/>
    <col min="11271" max="11271" width="1.85546875" style="4" customWidth="1"/>
    <col min="11272" max="11272" width="8.42578125" style="4" customWidth="1"/>
    <col min="11273" max="11273" width="11.42578125" style="4" customWidth="1"/>
    <col min="11274" max="11275" width="10.42578125" style="4" customWidth="1"/>
    <col min="11276" max="11276" width="10.5703125" style="4" customWidth="1"/>
    <col min="11277" max="11277" width="10" style="4" customWidth="1"/>
    <col min="11278" max="11278" width="11" style="4" bestFit="1" customWidth="1"/>
    <col min="11279" max="11279" width="12" style="4" customWidth="1"/>
    <col min="11280" max="11280" width="11.140625" style="4" customWidth="1"/>
    <col min="11281" max="11281" width="9.5703125" style="4" customWidth="1"/>
    <col min="11282" max="11282" width="10.42578125" style="4" customWidth="1"/>
    <col min="11283" max="11283" width="8.5703125" style="4" customWidth="1"/>
    <col min="11284" max="11284" width="11" style="4" customWidth="1"/>
    <col min="11285" max="11285" width="13.42578125" style="4" bestFit="1" customWidth="1"/>
    <col min="11286" max="11286" width="9.42578125" style="4" customWidth="1"/>
    <col min="11287" max="11287" width="7.5703125" style="4" customWidth="1"/>
    <col min="11288" max="11288" width="11.42578125" style="4" customWidth="1"/>
    <col min="11289" max="11289" width="9.42578125" style="4" customWidth="1"/>
    <col min="11290" max="11290" width="11.42578125" style="4" customWidth="1"/>
    <col min="11291" max="11291" width="13.42578125" style="4" bestFit="1" customWidth="1"/>
    <col min="11292" max="11292" width="5.5703125" style="4" bestFit="1" customWidth="1"/>
    <col min="11293" max="11293" width="19.5703125" style="4" bestFit="1" customWidth="1"/>
    <col min="11294" max="11294" width="1.42578125" style="4" customWidth="1"/>
    <col min="11295" max="11295" width="13.42578125" style="4" bestFit="1" customWidth="1"/>
    <col min="11296" max="11296" width="8.5703125" style="4" bestFit="1" customWidth="1"/>
    <col min="11297" max="11297" width="8.85546875" style="4" bestFit="1" customWidth="1"/>
    <col min="11298" max="11520" width="9.140625" style="4"/>
    <col min="11521" max="11521" width="11" style="4" customWidth="1"/>
    <col min="11522" max="11523" width="12.5703125" style="4" customWidth="1"/>
    <col min="11524" max="11524" width="11" style="4" customWidth="1"/>
    <col min="11525" max="11525" width="8.42578125" style="4" customWidth="1"/>
    <col min="11526" max="11526" width="11.42578125" style="4" customWidth="1"/>
    <col min="11527" max="11527" width="1.85546875" style="4" customWidth="1"/>
    <col min="11528" max="11528" width="8.42578125" style="4" customWidth="1"/>
    <col min="11529" max="11529" width="11.42578125" style="4" customWidth="1"/>
    <col min="11530" max="11531" width="10.42578125" style="4" customWidth="1"/>
    <col min="11532" max="11532" width="10.5703125" style="4" customWidth="1"/>
    <col min="11533" max="11533" width="10" style="4" customWidth="1"/>
    <col min="11534" max="11534" width="11" style="4" bestFit="1" customWidth="1"/>
    <col min="11535" max="11535" width="12" style="4" customWidth="1"/>
    <col min="11536" max="11536" width="11.140625" style="4" customWidth="1"/>
    <col min="11537" max="11537" width="9.5703125" style="4" customWidth="1"/>
    <col min="11538" max="11538" width="10.42578125" style="4" customWidth="1"/>
    <col min="11539" max="11539" width="8.5703125" style="4" customWidth="1"/>
    <col min="11540" max="11540" width="11" style="4" customWidth="1"/>
    <col min="11541" max="11541" width="13.42578125" style="4" bestFit="1" customWidth="1"/>
    <col min="11542" max="11542" width="9.42578125" style="4" customWidth="1"/>
    <col min="11543" max="11543" width="7.5703125" style="4" customWidth="1"/>
    <col min="11544" max="11544" width="11.42578125" style="4" customWidth="1"/>
    <col min="11545" max="11545" width="9.42578125" style="4" customWidth="1"/>
    <col min="11546" max="11546" width="11.42578125" style="4" customWidth="1"/>
    <col min="11547" max="11547" width="13.42578125" style="4" bestFit="1" customWidth="1"/>
    <col min="11548" max="11548" width="5.5703125" style="4" bestFit="1" customWidth="1"/>
    <col min="11549" max="11549" width="19.5703125" style="4" bestFit="1" customWidth="1"/>
    <col min="11550" max="11550" width="1.42578125" style="4" customWidth="1"/>
    <col min="11551" max="11551" width="13.42578125" style="4" bestFit="1" customWidth="1"/>
    <col min="11552" max="11552" width="8.5703125" style="4" bestFit="1" customWidth="1"/>
    <col min="11553" max="11553" width="8.85546875" style="4" bestFit="1" customWidth="1"/>
    <col min="11554" max="11776" width="9.140625" style="4"/>
    <col min="11777" max="11777" width="11" style="4" customWidth="1"/>
    <col min="11778" max="11779" width="12.5703125" style="4" customWidth="1"/>
    <col min="11780" max="11780" width="11" style="4" customWidth="1"/>
    <col min="11781" max="11781" width="8.42578125" style="4" customWidth="1"/>
    <col min="11782" max="11782" width="11.42578125" style="4" customWidth="1"/>
    <col min="11783" max="11783" width="1.85546875" style="4" customWidth="1"/>
    <col min="11784" max="11784" width="8.42578125" style="4" customWidth="1"/>
    <col min="11785" max="11785" width="11.42578125" style="4" customWidth="1"/>
    <col min="11786" max="11787" width="10.42578125" style="4" customWidth="1"/>
    <col min="11788" max="11788" width="10.5703125" style="4" customWidth="1"/>
    <col min="11789" max="11789" width="10" style="4" customWidth="1"/>
    <col min="11790" max="11790" width="11" style="4" bestFit="1" customWidth="1"/>
    <col min="11791" max="11791" width="12" style="4" customWidth="1"/>
    <col min="11792" max="11792" width="11.140625" style="4" customWidth="1"/>
    <col min="11793" max="11793" width="9.5703125" style="4" customWidth="1"/>
    <col min="11794" max="11794" width="10.42578125" style="4" customWidth="1"/>
    <col min="11795" max="11795" width="8.5703125" style="4" customWidth="1"/>
    <col min="11796" max="11796" width="11" style="4" customWidth="1"/>
    <col min="11797" max="11797" width="13.42578125" style="4" bestFit="1" customWidth="1"/>
    <col min="11798" max="11798" width="9.42578125" style="4" customWidth="1"/>
    <col min="11799" max="11799" width="7.5703125" style="4" customWidth="1"/>
    <col min="11800" max="11800" width="11.42578125" style="4" customWidth="1"/>
    <col min="11801" max="11801" width="9.42578125" style="4" customWidth="1"/>
    <col min="11802" max="11802" width="11.42578125" style="4" customWidth="1"/>
    <col min="11803" max="11803" width="13.42578125" style="4" bestFit="1" customWidth="1"/>
    <col min="11804" max="11804" width="5.5703125" style="4" bestFit="1" customWidth="1"/>
    <col min="11805" max="11805" width="19.5703125" style="4" bestFit="1" customWidth="1"/>
    <col min="11806" max="11806" width="1.42578125" style="4" customWidth="1"/>
    <col min="11807" max="11807" width="13.42578125" style="4" bestFit="1" customWidth="1"/>
    <col min="11808" max="11808" width="8.5703125" style="4" bestFit="1" customWidth="1"/>
    <col min="11809" max="11809" width="8.85546875" style="4" bestFit="1" customWidth="1"/>
    <col min="11810" max="12032" width="9.140625" style="4"/>
    <col min="12033" max="12033" width="11" style="4" customWidth="1"/>
    <col min="12034" max="12035" width="12.5703125" style="4" customWidth="1"/>
    <col min="12036" max="12036" width="11" style="4" customWidth="1"/>
    <col min="12037" max="12037" width="8.42578125" style="4" customWidth="1"/>
    <col min="12038" max="12038" width="11.42578125" style="4" customWidth="1"/>
    <col min="12039" max="12039" width="1.85546875" style="4" customWidth="1"/>
    <col min="12040" max="12040" width="8.42578125" style="4" customWidth="1"/>
    <col min="12041" max="12041" width="11.42578125" style="4" customWidth="1"/>
    <col min="12042" max="12043" width="10.42578125" style="4" customWidth="1"/>
    <col min="12044" max="12044" width="10.5703125" style="4" customWidth="1"/>
    <col min="12045" max="12045" width="10" style="4" customWidth="1"/>
    <col min="12046" max="12046" width="11" style="4" bestFit="1" customWidth="1"/>
    <col min="12047" max="12047" width="12" style="4" customWidth="1"/>
    <col min="12048" max="12048" width="11.140625" style="4" customWidth="1"/>
    <col min="12049" max="12049" width="9.5703125" style="4" customWidth="1"/>
    <col min="12050" max="12050" width="10.42578125" style="4" customWidth="1"/>
    <col min="12051" max="12051" width="8.5703125" style="4" customWidth="1"/>
    <col min="12052" max="12052" width="11" style="4" customWidth="1"/>
    <col min="12053" max="12053" width="13.42578125" style="4" bestFit="1" customWidth="1"/>
    <col min="12054" max="12054" width="9.42578125" style="4" customWidth="1"/>
    <col min="12055" max="12055" width="7.5703125" style="4" customWidth="1"/>
    <col min="12056" max="12056" width="11.42578125" style="4" customWidth="1"/>
    <col min="12057" max="12057" width="9.42578125" style="4" customWidth="1"/>
    <col min="12058" max="12058" width="11.42578125" style="4" customWidth="1"/>
    <col min="12059" max="12059" width="13.42578125" style="4" bestFit="1" customWidth="1"/>
    <col min="12060" max="12060" width="5.5703125" style="4" bestFit="1" customWidth="1"/>
    <col min="12061" max="12061" width="19.5703125" style="4" bestFit="1" customWidth="1"/>
    <col min="12062" max="12062" width="1.42578125" style="4" customWidth="1"/>
    <col min="12063" max="12063" width="13.42578125" style="4" bestFit="1" customWidth="1"/>
    <col min="12064" max="12064" width="8.5703125" style="4" bestFit="1" customWidth="1"/>
    <col min="12065" max="12065" width="8.85546875" style="4" bestFit="1" customWidth="1"/>
    <col min="12066" max="12288" width="9.140625" style="4"/>
    <col min="12289" max="12289" width="11" style="4" customWidth="1"/>
    <col min="12290" max="12291" width="12.5703125" style="4" customWidth="1"/>
    <col min="12292" max="12292" width="11" style="4" customWidth="1"/>
    <col min="12293" max="12293" width="8.42578125" style="4" customWidth="1"/>
    <col min="12294" max="12294" width="11.42578125" style="4" customWidth="1"/>
    <col min="12295" max="12295" width="1.85546875" style="4" customWidth="1"/>
    <col min="12296" max="12296" width="8.42578125" style="4" customWidth="1"/>
    <col min="12297" max="12297" width="11.42578125" style="4" customWidth="1"/>
    <col min="12298" max="12299" width="10.42578125" style="4" customWidth="1"/>
    <col min="12300" max="12300" width="10.5703125" style="4" customWidth="1"/>
    <col min="12301" max="12301" width="10" style="4" customWidth="1"/>
    <col min="12302" max="12302" width="11" style="4" bestFit="1" customWidth="1"/>
    <col min="12303" max="12303" width="12" style="4" customWidth="1"/>
    <col min="12304" max="12304" width="11.140625" style="4" customWidth="1"/>
    <col min="12305" max="12305" width="9.5703125" style="4" customWidth="1"/>
    <col min="12306" max="12306" width="10.42578125" style="4" customWidth="1"/>
    <col min="12307" max="12307" width="8.5703125" style="4" customWidth="1"/>
    <col min="12308" max="12308" width="11" style="4" customWidth="1"/>
    <col min="12309" max="12309" width="13.42578125" style="4" bestFit="1" customWidth="1"/>
    <col min="12310" max="12310" width="9.42578125" style="4" customWidth="1"/>
    <col min="12311" max="12311" width="7.5703125" style="4" customWidth="1"/>
    <col min="12312" max="12312" width="11.42578125" style="4" customWidth="1"/>
    <col min="12313" max="12313" width="9.42578125" style="4" customWidth="1"/>
    <col min="12314" max="12314" width="11.42578125" style="4" customWidth="1"/>
    <col min="12315" max="12315" width="13.42578125" style="4" bestFit="1" customWidth="1"/>
    <col min="12316" max="12316" width="5.5703125" style="4" bestFit="1" customWidth="1"/>
    <col min="12317" max="12317" width="19.5703125" style="4" bestFit="1" customWidth="1"/>
    <col min="12318" max="12318" width="1.42578125" style="4" customWidth="1"/>
    <col min="12319" max="12319" width="13.42578125" style="4" bestFit="1" customWidth="1"/>
    <col min="12320" max="12320" width="8.5703125" style="4" bestFit="1" customWidth="1"/>
    <col min="12321" max="12321" width="8.85546875" style="4" bestFit="1" customWidth="1"/>
    <col min="12322" max="12544" width="9.140625" style="4"/>
    <col min="12545" max="12545" width="11" style="4" customWidth="1"/>
    <col min="12546" max="12547" width="12.5703125" style="4" customWidth="1"/>
    <col min="12548" max="12548" width="11" style="4" customWidth="1"/>
    <col min="12549" max="12549" width="8.42578125" style="4" customWidth="1"/>
    <col min="12550" max="12550" width="11.42578125" style="4" customWidth="1"/>
    <col min="12551" max="12551" width="1.85546875" style="4" customWidth="1"/>
    <col min="12552" max="12552" width="8.42578125" style="4" customWidth="1"/>
    <col min="12553" max="12553" width="11.42578125" style="4" customWidth="1"/>
    <col min="12554" max="12555" width="10.42578125" style="4" customWidth="1"/>
    <col min="12556" max="12556" width="10.5703125" style="4" customWidth="1"/>
    <col min="12557" max="12557" width="10" style="4" customWidth="1"/>
    <col min="12558" max="12558" width="11" style="4" bestFit="1" customWidth="1"/>
    <col min="12559" max="12559" width="12" style="4" customWidth="1"/>
    <col min="12560" max="12560" width="11.140625" style="4" customWidth="1"/>
    <col min="12561" max="12561" width="9.5703125" style="4" customWidth="1"/>
    <col min="12562" max="12562" width="10.42578125" style="4" customWidth="1"/>
    <col min="12563" max="12563" width="8.5703125" style="4" customWidth="1"/>
    <col min="12564" max="12564" width="11" style="4" customWidth="1"/>
    <col min="12565" max="12565" width="13.42578125" style="4" bestFit="1" customWidth="1"/>
    <col min="12566" max="12566" width="9.42578125" style="4" customWidth="1"/>
    <col min="12567" max="12567" width="7.5703125" style="4" customWidth="1"/>
    <col min="12568" max="12568" width="11.42578125" style="4" customWidth="1"/>
    <col min="12569" max="12569" width="9.42578125" style="4" customWidth="1"/>
    <col min="12570" max="12570" width="11.42578125" style="4" customWidth="1"/>
    <col min="12571" max="12571" width="13.42578125" style="4" bestFit="1" customWidth="1"/>
    <col min="12572" max="12572" width="5.5703125" style="4" bestFit="1" customWidth="1"/>
    <col min="12573" max="12573" width="19.5703125" style="4" bestFit="1" customWidth="1"/>
    <col min="12574" max="12574" width="1.42578125" style="4" customWidth="1"/>
    <col min="12575" max="12575" width="13.42578125" style="4" bestFit="1" customWidth="1"/>
    <col min="12576" max="12576" width="8.5703125" style="4" bestFit="1" customWidth="1"/>
    <col min="12577" max="12577" width="8.85546875" style="4" bestFit="1" customWidth="1"/>
    <col min="12578" max="12800" width="9.140625" style="4"/>
    <col min="12801" max="12801" width="11" style="4" customWidth="1"/>
    <col min="12802" max="12803" width="12.5703125" style="4" customWidth="1"/>
    <col min="12804" max="12804" width="11" style="4" customWidth="1"/>
    <col min="12805" max="12805" width="8.42578125" style="4" customWidth="1"/>
    <col min="12806" max="12806" width="11.42578125" style="4" customWidth="1"/>
    <col min="12807" max="12807" width="1.85546875" style="4" customWidth="1"/>
    <col min="12808" max="12808" width="8.42578125" style="4" customWidth="1"/>
    <col min="12809" max="12809" width="11.42578125" style="4" customWidth="1"/>
    <col min="12810" max="12811" width="10.42578125" style="4" customWidth="1"/>
    <col min="12812" max="12812" width="10.5703125" style="4" customWidth="1"/>
    <col min="12813" max="12813" width="10" style="4" customWidth="1"/>
    <col min="12814" max="12814" width="11" style="4" bestFit="1" customWidth="1"/>
    <col min="12815" max="12815" width="12" style="4" customWidth="1"/>
    <col min="12816" max="12816" width="11.140625" style="4" customWidth="1"/>
    <col min="12817" max="12817" width="9.5703125" style="4" customWidth="1"/>
    <col min="12818" max="12818" width="10.42578125" style="4" customWidth="1"/>
    <col min="12819" max="12819" width="8.5703125" style="4" customWidth="1"/>
    <col min="12820" max="12820" width="11" style="4" customWidth="1"/>
    <col min="12821" max="12821" width="13.42578125" style="4" bestFit="1" customWidth="1"/>
    <col min="12822" max="12822" width="9.42578125" style="4" customWidth="1"/>
    <col min="12823" max="12823" width="7.5703125" style="4" customWidth="1"/>
    <col min="12824" max="12824" width="11.42578125" style="4" customWidth="1"/>
    <col min="12825" max="12825" width="9.42578125" style="4" customWidth="1"/>
    <col min="12826" max="12826" width="11.42578125" style="4" customWidth="1"/>
    <col min="12827" max="12827" width="13.42578125" style="4" bestFit="1" customWidth="1"/>
    <col min="12828" max="12828" width="5.5703125" style="4" bestFit="1" customWidth="1"/>
    <col min="12829" max="12829" width="19.5703125" style="4" bestFit="1" customWidth="1"/>
    <col min="12830" max="12830" width="1.42578125" style="4" customWidth="1"/>
    <col min="12831" max="12831" width="13.42578125" style="4" bestFit="1" customWidth="1"/>
    <col min="12832" max="12832" width="8.5703125" style="4" bestFit="1" customWidth="1"/>
    <col min="12833" max="12833" width="8.85546875" style="4" bestFit="1" customWidth="1"/>
    <col min="12834" max="13056" width="9.140625" style="4"/>
    <col min="13057" max="13057" width="11" style="4" customWidth="1"/>
    <col min="13058" max="13059" width="12.5703125" style="4" customWidth="1"/>
    <col min="13060" max="13060" width="11" style="4" customWidth="1"/>
    <col min="13061" max="13061" width="8.42578125" style="4" customWidth="1"/>
    <col min="13062" max="13062" width="11.42578125" style="4" customWidth="1"/>
    <col min="13063" max="13063" width="1.85546875" style="4" customWidth="1"/>
    <col min="13064" max="13064" width="8.42578125" style="4" customWidth="1"/>
    <col min="13065" max="13065" width="11.42578125" style="4" customWidth="1"/>
    <col min="13066" max="13067" width="10.42578125" style="4" customWidth="1"/>
    <col min="13068" max="13068" width="10.5703125" style="4" customWidth="1"/>
    <col min="13069" max="13069" width="10" style="4" customWidth="1"/>
    <col min="13070" max="13070" width="11" style="4" bestFit="1" customWidth="1"/>
    <col min="13071" max="13071" width="12" style="4" customWidth="1"/>
    <col min="13072" max="13072" width="11.140625" style="4" customWidth="1"/>
    <col min="13073" max="13073" width="9.5703125" style="4" customWidth="1"/>
    <col min="13074" max="13074" width="10.42578125" style="4" customWidth="1"/>
    <col min="13075" max="13075" width="8.5703125" style="4" customWidth="1"/>
    <col min="13076" max="13076" width="11" style="4" customWidth="1"/>
    <col min="13077" max="13077" width="13.42578125" style="4" bestFit="1" customWidth="1"/>
    <col min="13078" max="13078" width="9.42578125" style="4" customWidth="1"/>
    <col min="13079" max="13079" width="7.5703125" style="4" customWidth="1"/>
    <col min="13080" max="13080" width="11.42578125" style="4" customWidth="1"/>
    <col min="13081" max="13081" width="9.42578125" style="4" customWidth="1"/>
    <col min="13082" max="13082" width="11.42578125" style="4" customWidth="1"/>
    <col min="13083" max="13083" width="13.42578125" style="4" bestFit="1" customWidth="1"/>
    <col min="13084" max="13084" width="5.5703125" style="4" bestFit="1" customWidth="1"/>
    <col min="13085" max="13085" width="19.5703125" style="4" bestFit="1" customWidth="1"/>
    <col min="13086" max="13086" width="1.42578125" style="4" customWidth="1"/>
    <col min="13087" max="13087" width="13.42578125" style="4" bestFit="1" customWidth="1"/>
    <col min="13088" max="13088" width="8.5703125" style="4" bestFit="1" customWidth="1"/>
    <col min="13089" max="13089" width="8.85546875" style="4" bestFit="1" customWidth="1"/>
    <col min="13090" max="13312" width="9.140625" style="4"/>
    <col min="13313" max="13313" width="11" style="4" customWidth="1"/>
    <col min="13314" max="13315" width="12.5703125" style="4" customWidth="1"/>
    <col min="13316" max="13316" width="11" style="4" customWidth="1"/>
    <col min="13317" max="13317" width="8.42578125" style="4" customWidth="1"/>
    <col min="13318" max="13318" width="11.42578125" style="4" customWidth="1"/>
    <col min="13319" max="13319" width="1.85546875" style="4" customWidth="1"/>
    <col min="13320" max="13320" width="8.42578125" style="4" customWidth="1"/>
    <col min="13321" max="13321" width="11.42578125" style="4" customWidth="1"/>
    <col min="13322" max="13323" width="10.42578125" style="4" customWidth="1"/>
    <col min="13324" max="13324" width="10.5703125" style="4" customWidth="1"/>
    <col min="13325" max="13325" width="10" style="4" customWidth="1"/>
    <col min="13326" max="13326" width="11" style="4" bestFit="1" customWidth="1"/>
    <col min="13327" max="13327" width="12" style="4" customWidth="1"/>
    <col min="13328" max="13328" width="11.140625" style="4" customWidth="1"/>
    <col min="13329" max="13329" width="9.5703125" style="4" customWidth="1"/>
    <col min="13330" max="13330" width="10.42578125" style="4" customWidth="1"/>
    <col min="13331" max="13331" width="8.5703125" style="4" customWidth="1"/>
    <col min="13332" max="13332" width="11" style="4" customWidth="1"/>
    <col min="13333" max="13333" width="13.42578125" style="4" bestFit="1" customWidth="1"/>
    <col min="13334" max="13334" width="9.42578125" style="4" customWidth="1"/>
    <col min="13335" max="13335" width="7.5703125" style="4" customWidth="1"/>
    <col min="13336" max="13336" width="11.42578125" style="4" customWidth="1"/>
    <col min="13337" max="13337" width="9.42578125" style="4" customWidth="1"/>
    <col min="13338" max="13338" width="11.42578125" style="4" customWidth="1"/>
    <col min="13339" max="13339" width="13.42578125" style="4" bestFit="1" customWidth="1"/>
    <col min="13340" max="13340" width="5.5703125" style="4" bestFit="1" customWidth="1"/>
    <col min="13341" max="13341" width="19.5703125" style="4" bestFit="1" customWidth="1"/>
    <col min="13342" max="13342" width="1.42578125" style="4" customWidth="1"/>
    <col min="13343" max="13343" width="13.42578125" style="4" bestFit="1" customWidth="1"/>
    <col min="13344" max="13344" width="8.5703125" style="4" bestFit="1" customWidth="1"/>
    <col min="13345" max="13345" width="8.85546875" style="4" bestFit="1" customWidth="1"/>
    <col min="13346" max="13568" width="9.140625" style="4"/>
    <col min="13569" max="13569" width="11" style="4" customWidth="1"/>
    <col min="13570" max="13571" width="12.5703125" style="4" customWidth="1"/>
    <col min="13572" max="13572" width="11" style="4" customWidth="1"/>
    <col min="13573" max="13573" width="8.42578125" style="4" customWidth="1"/>
    <col min="13574" max="13574" width="11.42578125" style="4" customWidth="1"/>
    <col min="13575" max="13575" width="1.85546875" style="4" customWidth="1"/>
    <col min="13576" max="13576" width="8.42578125" style="4" customWidth="1"/>
    <col min="13577" max="13577" width="11.42578125" style="4" customWidth="1"/>
    <col min="13578" max="13579" width="10.42578125" style="4" customWidth="1"/>
    <col min="13580" max="13580" width="10.5703125" style="4" customWidth="1"/>
    <col min="13581" max="13581" width="10" style="4" customWidth="1"/>
    <col min="13582" max="13582" width="11" style="4" bestFit="1" customWidth="1"/>
    <col min="13583" max="13583" width="12" style="4" customWidth="1"/>
    <col min="13584" max="13584" width="11.140625" style="4" customWidth="1"/>
    <col min="13585" max="13585" width="9.5703125" style="4" customWidth="1"/>
    <col min="13586" max="13586" width="10.42578125" style="4" customWidth="1"/>
    <col min="13587" max="13587" width="8.5703125" style="4" customWidth="1"/>
    <col min="13588" max="13588" width="11" style="4" customWidth="1"/>
    <col min="13589" max="13589" width="13.42578125" style="4" bestFit="1" customWidth="1"/>
    <col min="13590" max="13590" width="9.42578125" style="4" customWidth="1"/>
    <col min="13591" max="13591" width="7.5703125" style="4" customWidth="1"/>
    <col min="13592" max="13592" width="11.42578125" style="4" customWidth="1"/>
    <col min="13593" max="13593" width="9.42578125" style="4" customWidth="1"/>
    <col min="13594" max="13594" width="11.42578125" style="4" customWidth="1"/>
    <col min="13595" max="13595" width="13.42578125" style="4" bestFit="1" customWidth="1"/>
    <col min="13596" max="13596" width="5.5703125" style="4" bestFit="1" customWidth="1"/>
    <col min="13597" max="13597" width="19.5703125" style="4" bestFit="1" customWidth="1"/>
    <col min="13598" max="13598" width="1.42578125" style="4" customWidth="1"/>
    <col min="13599" max="13599" width="13.42578125" style="4" bestFit="1" customWidth="1"/>
    <col min="13600" max="13600" width="8.5703125" style="4" bestFit="1" customWidth="1"/>
    <col min="13601" max="13601" width="8.85546875" style="4" bestFit="1" customWidth="1"/>
    <col min="13602" max="13824" width="9.140625" style="4"/>
    <col min="13825" max="13825" width="11" style="4" customWidth="1"/>
    <col min="13826" max="13827" width="12.5703125" style="4" customWidth="1"/>
    <col min="13828" max="13828" width="11" style="4" customWidth="1"/>
    <col min="13829" max="13829" width="8.42578125" style="4" customWidth="1"/>
    <col min="13830" max="13830" width="11.42578125" style="4" customWidth="1"/>
    <col min="13831" max="13831" width="1.85546875" style="4" customWidth="1"/>
    <col min="13832" max="13832" width="8.42578125" style="4" customWidth="1"/>
    <col min="13833" max="13833" width="11.42578125" style="4" customWidth="1"/>
    <col min="13834" max="13835" width="10.42578125" style="4" customWidth="1"/>
    <col min="13836" max="13836" width="10.5703125" style="4" customWidth="1"/>
    <col min="13837" max="13837" width="10" style="4" customWidth="1"/>
    <col min="13838" max="13838" width="11" style="4" bestFit="1" customWidth="1"/>
    <col min="13839" max="13839" width="12" style="4" customWidth="1"/>
    <col min="13840" max="13840" width="11.140625" style="4" customWidth="1"/>
    <col min="13841" max="13841" width="9.5703125" style="4" customWidth="1"/>
    <col min="13842" max="13842" width="10.42578125" style="4" customWidth="1"/>
    <col min="13843" max="13843" width="8.5703125" style="4" customWidth="1"/>
    <col min="13844" max="13844" width="11" style="4" customWidth="1"/>
    <col min="13845" max="13845" width="13.42578125" style="4" bestFit="1" customWidth="1"/>
    <col min="13846" max="13846" width="9.42578125" style="4" customWidth="1"/>
    <col min="13847" max="13847" width="7.5703125" style="4" customWidth="1"/>
    <col min="13848" max="13848" width="11.42578125" style="4" customWidth="1"/>
    <col min="13849" max="13849" width="9.42578125" style="4" customWidth="1"/>
    <col min="13850" max="13850" width="11.42578125" style="4" customWidth="1"/>
    <col min="13851" max="13851" width="13.42578125" style="4" bestFit="1" customWidth="1"/>
    <col min="13852" max="13852" width="5.5703125" style="4" bestFit="1" customWidth="1"/>
    <col min="13853" max="13853" width="19.5703125" style="4" bestFit="1" customWidth="1"/>
    <col min="13854" max="13854" width="1.42578125" style="4" customWidth="1"/>
    <col min="13855" max="13855" width="13.42578125" style="4" bestFit="1" customWidth="1"/>
    <col min="13856" max="13856" width="8.5703125" style="4" bestFit="1" customWidth="1"/>
    <col min="13857" max="13857" width="8.85546875" style="4" bestFit="1" customWidth="1"/>
    <col min="13858" max="14080" width="9.140625" style="4"/>
    <col min="14081" max="14081" width="11" style="4" customWidth="1"/>
    <col min="14082" max="14083" width="12.5703125" style="4" customWidth="1"/>
    <col min="14084" max="14084" width="11" style="4" customWidth="1"/>
    <col min="14085" max="14085" width="8.42578125" style="4" customWidth="1"/>
    <col min="14086" max="14086" width="11.42578125" style="4" customWidth="1"/>
    <col min="14087" max="14087" width="1.85546875" style="4" customWidth="1"/>
    <col min="14088" max="14088" width="8.42578125" style="4" customWidth="1"/>
    <col min="14089" max="14089" width="11.42578125" style="4" customWidth="1"/>
    <col min="14090" max="14091" width="10.42578125" style="4" customWidth="1"/>
    <col min="14092" max="14092" width="10.5703125" style="4" customWidth="1"/>
    <col min="14093" max="14093" width="10" style="4" customWidth="1"/>
    <col min="14094" max="14094" width="11" style="4" bestFit="1" customWidth="1"/>
    <col min="14095" max="14095" width="12" style="4" customWidth="1"/>
    <col min="14096" max="14096" width="11.140625" style="4" customWidth="1"/>
    <col min="14097" max="14097" width="9.5703125" style="4" customWidth="1"/>
    <col min="14098" max="14098" width="10.42578125" style="4" customWidth="1"/>
    <col min="14099" max="14099" width="8.5703125" style="4" customWidth="1"/>
    <col min="14100" max="14100" width="11" style="4" customWidth="1"/>
    <col min="14101" max="14101" width="13.42578125" style="4" bestFit="1" customWidth="1"/>
    <col min="14102" max="14102" width="9.42578125" style="4" customWidth="1"/>
    <col min="14103" max="14103" width="7.5703125" style="4" customWidth="1"/>
    <col min="14104" max="14104" width="11.42578125" style="4" customWidth="1"/>
    <col min="14105" max="14105" width="9.42578125" style="4" customWidth="1"/>
    <col min="14106" max="14106" width="11.42578125" style="4" customWidth="1"/>
    <col min="14107" max="14107" width="13.42578125" style="4" bestFit="1" customWidth="1"/>
    <col min="14108" max="14108" width="5.5703125" style="4" bestFit="1" customWidth="1"/>
    <col min="14109" max="14109" width="19.5703125" style="4" bestFit="1" customWidth="1"/>
    <col min="14110" max="14110" width="1.42578125" style="4" customWidth="1"/>
    <col min="14111" max="14111" width="13.42578125" style="4" bestFit="1" customWidth="1"/>
    <col min="14112" max="14112" width="8.5703125" style="4" bestFit="1" customWidth="1"/>
    <col min="14113" max="14113" width="8.85546875" style="4" bestFit="1" customWidth="1"/>
    <col min="14114" max="14336" width="9.140625" style="4"/>
    <col min="14337" max="14337" width="11" style="4" customWidth="1"/>
    <col min="14338" max="14339" width="12.5703125" style="4" customWidth="1"/>
    <col min="14340" max="14340" width="11" style="4" customWidth="1"/>
    <col min="14341" max="14341" width="8.42578125" style="4" customWidth="1"/>
    <col min="14342" max="14342" width="11.42578125" style="4" customWidth="1"/>
    <col min="14343" max="14343" width="1.85546875" style="4" customWidth="1"/>
    <col min="14344" max="14344" width="8.42578125" style="4" customWidth="1"/>
    <col min="14345" max="14345" width="11.42578125" style="4" customWidth="1"/>
    <col min="14346" max="14347" width="10.42578125" style="4" customWidth="1"/>
    <col min="14348" max="14348" width="10.5703125" style="4" customWidth="1"/>
    <col min="14349" max="14349" width="10" style="4" customWidth="1"/>
    <col min="14350" max="14350" width="11" style="4" bestFit="1" customWidth="1"/>
    <col min="14351" max="14351" width="12" style="4" customWidth="1"/>
    <col min="14352" max="14352" width="11.140625" style="4" customWidth="1"/>
    <col min="14353" max="14353" width="9.5703125" style="4" customWidth="1"/>
    <col min="14354" max="14354" width="10.42578125" style="4" customWidth="1"/>
    <col min="14355" max="14355" width="8.5703125" style="4" customWidth="1"/>
    <col min="14356" max="14356" width="11" style="4" customWidth="1"/>
    <col min="14357" max="14357" width="13.42578125" style="4" bestFit="1" customWidth="1"/>
    <col min="14358" max="14358" width="9.42578125" style="4" customWidth="1"/>
    <col min="14359" max="14359" width="7.5703125" style="4" customWidth="1"/>
    <col min="14360" max="14360" width="11.42578125" style="4" customWidth="1"/>
    <col min="14361" max="14361" width="9.42578125" style="4" customWidth="1"/>
    <col min="14362" max="14362" width="11.42578125" style="4" customWidth="1"/>
    <col min="14363" max="14363" width="13.42578125" style="4" bestFit="1" customWidth="1"/>
    <col min="14364" max="14364" width="5.5703125" style="4" bestFit="1" customWidth="1"/>
    <col min="14365" max="14365" width="19.5703125" style="4" bestFit="1" customWidth="1"/>
    <col min="14366" max="14366" width="1.42578125" style="4" customWidth="1"/>
    <col min="14367" max="14367" width="13.42578125" style="4" bestFit="1" customWidth="1"/>
    <col min="14368" max="14368" width="8.5703125" style="4" bestFit="1" customWidth="1"/>
    <col min="14369" max="14369" width="8.85546875" style="4" bestFit="1" customWidth="1"/>
    <col min="14370" max="14592" width="9.140625" style="4"/>
    <col min="14593" max="14593" width="11" style="4" customWidth="1"/>
    <col min="14594" max="14595" width="12.5703125" style="4" customWidth="1"/>
    <col min="14596" max="14596" width="11" style="4" customWidth="1"/>
    <col min="14597" max="14597" width="8.42578125" style="4" customWidth="1"/>
    <col min="14598" max="14598" width="11.42578125" style="4" customWidth="1"/>
    <col min="14599" max="14599" width="1.85546875" style="4" customWidth="1"/>
    <col min="14600" max="14600" width="8.42578125" style="4" customWidth="1"/>
    <col min="14601" max="14601" width="11.42578125" style="4" customWidth="1"/>
    <col min="14602" max="14603" width="10.42578125" style="4" customWidth="1"/>
    <col min="14604" max="14604" width="10.5703125" style="4" customWidth="1"/>
    <col min="14605" max="14605" width="10" style="4" customWidth="1"/>
    <col min="14606" max="14606" width="11" style="4" bestFit="1" customWidth="1"/>
    <col min="14607" max="14607" width="12" style="4" customWidth="1"/>
    <col min="14608" max="14608" width="11.140625" style="4" customWidth="1"/>
    <col min="14609" max="14609" width="9.5703125" style="4" customWidth="1"/>
    <col min="14610" max="14610" width="10.42578125" style="4" customWidth="1"/>
    <col min="14611" max="14611" width="8.5703125" style="4" customWidth="1"/>
    <col min="14612" max="14612" width="11" style="4" customWidth="1"/>
    <col min="14613" max="14613" width="13.42578125" style="4" bestFit="1" customWidth="1"/>
    <col min="14614" max="14614" width="9.42578125" style="4" customWidth="1"/>
    <col min="14615" max="14615" width="7.5703125" style="4" customWidth="1"/>
    <col min="14616" max="14616" width="11.42578125" style="4" customWidth="1"/>
    <col min="14617" max="14617" width="9.42578125" style="4" customWidth="1"/>
    <col min="14618" max="14618" width="11.42578125" style="4" customWidth="1"/>
    <col min="14619" max="14619" width="13.42578125" style="4" bestFit="1" customWidth="1"/>
    <col min="14620" max="14620" width="5.5703125" style="4" bestFit="1" customWidth="1"/>
    <col min="14621" max="14621" width="19.5703125" style="4" bestFit="1" customWidth="1"/>
    <col min="14622" max="14622" width="1.42578125" style="4" customWidth="1"/>
    <col min="14623" max="14623" width="13.42578125" style="4" bestFit="1" customWidth="1"/>
    <col min="14624" max="14624" width="8.5703125" style="4" bestFit="1" customWidth="1"/>
    <col min="14625" max="14625" width="8.85546875" style="4" bestFit="1" customWidth="1"/>
    <col min="14626" max="14848" width="9.140625" style="4"/>
    <col min="14849" max="14849" width="11" style="4" customWidth="1"/>
    <col min="14850" max="14851" width="12.5703125" style="4" customWidth="1"/>
    <col min="14852" max="14852" width="11" style="4" customWidth="1"/>
    <col min="14853" max="14853" width="8.42578125" style="4" customWidth="1"/>
    <col min="14854" max="14854" width="11.42578125" style="4" customWidth="1"/>
    <col min="14855" max="14855" width="1.85546875" style="4" customWidth="1"/>
    <col min="14856" max="14856" width="8.42578125" style="4" customWidth="1"/>
    <col min="14857" max="14857" width="11.42578125" style="4" customWidth="1"/>
    <col min="14858" max="14859" width="10.42578125" style="4" customWidth="1"/>
    <col min="14860" max="14860" width="10.5703125" style="4" customWidth="1"/>
    <col min="14861" max="14861" width="10" style="4" customWidth="1"/>
    <col min="14862" max="14862" width="11" style="4" bestFit="1" customWidth="1"/>
    <col min="14863" max="14863" width="12" style="4" customWidth="1"/>
    <col min="14864" max="14864" width="11.140625" style="4" customWidth="1"/>
    <col min="14865" max="14865" width="9.5703125" style="4" customWidth="1"/>
    <col min="14866" max="14866" width="10.42578125" style="4" customWidth="1"/>
    <col min="14867" max="14867" width="8.5703125" style="4" customWidth="1"/>
    <col min="14868" max="14868" width="11" style="4" customWidth="1"/>
    <col min="14869" max="14869" width="13.42578125" style="4" bestFit="1" customWidth="1"/>
    <col min="14870" max="14870" width="9.42578125" style="4" customWidth="1"/>
    <col min="14871" max="14871" width="7.5703125" style="4" customWidth="1"/>
    <col min="14872" max="14872" width="11.42578125" style="4" customWidth="1"/>
    <col min="14873" max="14873" width="9.42578125" style="4" customWidth="1"/>
    <col min="14874" max="14874" width="11.42578125" style="4" customWidth="1"/>
    <col min="14875" max="14875" width="13.42578125" style="4" bestFit="1" customWidth="1"/>
    <col min="14876" max="14876" width="5.5703125" style="4" bestFit="1" customWidth="1"/>
    <col min="14877" max="14877" width="19.5703125" style="4" bestFit="1" customWidth="1"/>
    <col min="14878" max="14878" width="1.42578125" style="4" customWidth="1"/>
    <col min="14879" max="14879" width="13.42578125" style="4" bestFit="1" customWidth="1"/>
    <col min="14880" max="14880" width="8.5703125" style="4" bestFit="1" customWidth="1"/>
    <col min="14881" max="14881" width="8.85546875" style="4" bestFit="1" customWidth="1"/>
    <col min="14882" max="15104" width="9.140625" style="4"/>
    <col min="15105" max="15105" width="11" style="4" customWidth="1"/>
    <col min="15106" max="15107" width="12.5703125" style="4" customWidth="1"/>
    <col min="15108" max="15108" width="11" style="4" customWidth="1"/>
    <col min="15109" max="15109" width="8.42578125" style="4" customWidth="1"/>
    <col min="15110" max="15110" width="11.42578125" style="4" customWidth="1"/>
    <col min="15111" max="15111" width="1.85546875" style="4" customWidth="1"/>
    <col min="15112" max="15112" width="8.42578125" style="4" customWidth="1"/>
    <col min="15113" max="15113" width="11.42578125" style="4" customWidth="1"/>
    <col min="15114" max="15115" width="10.42578125" style="4" customWidth="1"/>
    <col min="15116" max="15116" width="10.5703125" style="4" customWidth="1"/>
    <col min="15117" max="15117" width="10" style="4" customWidth="1"/>
    <col min="15118" max="15118" width="11" style="4" bestFit="1" customWidth="1"/>
    <col min="15119" max="15119" width="12" style="4" customWidth="1"/>
    <col min="15120" max="15120" width="11.140625" style="4" customWidth="1"/>
    <col min="15121" max="15121" width="9.5703125" style="4" customWidth="1"/>
    <col min="15122" max="15122" width="10.42578125" style="4" customWidth="1"/>
    <col min="15123" max="15123" width="8.5703125" style="4" customWidth="1"/>
    <col min="15124" max="15124" width="11" style="4" customWidth="1"/>
    <col min="15125" max="15125" width="13.42578125" style="4" bestFit="1" customWidth="1"/>
    <col min="15126" max="15126" width="9.42578125" style="4" customWidth="1"/>
    <col min="15127" max="15127" width="7.5703125" style="4" customWidth="1"/>
    <col min="15128" max="15128" width="11.42578125" style="4" customWidth="1"/>
    <col min="15129" max="15129" width="9.42578125" style="4" customWidth="1"/>
    <col min="15130" max="15130" width="11.42578125" style="4" customWidth="1"/>
    <col min="15131" max="15131" width="13.42578125" style="4" bestFit="1" customWidth="1"/>
    <col min="15132" max="15132" width="5.5703125" style="4" bestFit="1" customWidth="1"/>
    <col min="15133" max="15133" width="19.5703125" style="4" bestFit="1" customWidth="1"/>
    <col min="15134" max="15134" width="1.42578125" style="4" customWidth="1"/>
    <col min="15135" max="15135" width="13.42578125" style="4" bestFit="1" customWidth="1"/>
    <col min="15136" max="15136" width="8.5703125" style="4" bestFit="1" customWidth="1"/>
    <col min="15137" max="15137" width="8.85546875" style="4" bestFit="1" customWidth="1"/>
    <col min="15138" max="15360" width="9.140625" style="4"/>
    <col min="15361" max="15361" width="11" style="4" customWidth="1"/>
    <col min="15362" max="15363" width="12.5703125" style="4" customWidth="1"/>
    <col min="15364" max="15364" width="11" style="4" customWidth="1"/>
    <col min="15365" max="15365" width="8.42578125" style="4" customWidth="1"/>
    <col min="15366" max="15366" width="11.42578125" style="4" customWidth="1"/>
    <col min="15367" max="15367" width="1.85546875" style="4" customWidth="1"/>
    <col min="15368" max="15368" width="8.42578125" style="4" customWidth="1"/>
    <col min="15369" max="15369" width="11.42578125" style="4" customWidth="1"/>
    <col min="15370" max="15371" width="10.42578125" style="4" customWidth="1"/>
    <col min="15372" max="15372" width="10.5703125" style="4" customWidth="1"/>
    <col min="15373" max="15373" width="10" style="4" customWidth="1"/>
    <col min="15374" max="15374" width="11" style="4" bestFit="1" customWidth="1"/>
    <col min="15375" max="15375" width="12" style="4" customWidth="1"/>
    <col min="15376" max="15376" width="11.140625" style="4" customWidth="1"/>
    <col min="15377" max="15377" width="9.5703125" style="4" customWidth="1"/>
    <col min="15378" max="15378" width="10.42578125" style="4" customWidth="1"/>
    <col min="15379" max="15379" width="8.5703125" style="4" customWidth="1"/>
    <col min="15380" max="15380" width="11" style="4" customWidth="1"/>
    <col min="15381" max="15381" width="13.42578125" style="4" bestFit="1" customWidth="1"/>
    <col min="15382" max="15382" width="9.42578125" style="4" customWidth="1"/>
    <col min="15383" max="15383" width="7.5703125" style="4" customWidth="1"/>
    <col min="15384" max="15384" width="11.42578125" style="4" customWidth="1"/>
    <col min="15385" max="15385" width="9.42578125" style="4" customWidth="1"/>
    <col min="15386" max="15386" width="11.42578125" style="4" customWidth="1"/>
    <col min="15387" max="15387" width="13.42578125" style="4" bestFit="1" customWidth="1"/>
    <col min="15388" max="15388" width="5.5703125" style="4" bestFit="1" customWidth="1"/>
    <col min="15389" max="15389" width="19.5703125" style="4" bestFit="1" customWidth="1"/>
    <col min="15390" max="15390" width="1.42578125" style="4" customWidth="1"/>
    <col min="15391" max="15391" width="13.42578125" style="4" bestFit="1" customWidth="1"/>
    <col min="15392" max="15392" width="8.5703125" style="4" bestFit="1" customWidth="1"/>
    <col min="15393" max="15393" width="8.85546875" style="4" bestFit="1" customWidth="1"/>
    <col min="15394" max="15616" width="9.140625" style="4"/>
    <col min="15617" max="15617" width="11" style="4" customWidth="1"/>
    <col min="15618" max="15619" width="12.5703125" style="4" customWidth="1"/>
    <col min="15620" max="15620" width="11" style="4" customWidth="1"/>
    <col min="15621" max="15621" width="8.42578125" style="4" customWidth="1"/>
    <col min="15622" max="15622" width="11.42578125" style="4" customWidth="1"/>
    <col min="15623" max="15623" width="1.85546875" style="4" customWidth="1"/>
    <col min="15624" max="15624" width="8.42578125" style="4" customWidth="1"/>
    <col min="15625" max="15625" width="11.42578125" style="4" customWidth="1"/>
    <col min="15626" max="15627" width="10.42578125" style="4" customWidth="1"/>
    <col min="15628" max="15628" width="10.5703125" style="4" customWidth="1"/>
    <col min="15629" max="15629" width="10" style="4" customWidth="1"/>
    <col min="15630" max="15630" width="11" style="4" bestFit="1" customWidth="1"/>
    <col min="15631" max="15631" width="12" style="4" customWidth="1"/>
    <col min="15632" max="15632" width="11.140625" style="4" customWidth="1"/>
    <col min="15633" max="15633" width="9.5703125" style="4" customWidth="1"/>
    <col min="15634" max="15634" width="10.42578125" style="4" customWidth="1"/>
    <col min="15635" max="15635" width="8.5703125" style="4" customWidth="1"/>
    <col min="15636" max="15636" width="11" style="4" customWidth="1"/>
    <col min="15637" max="15637" width="13.42578125" style="4" bestFit="1" customWidth="1"/>
    <col min="15638" max="15638" width="9.42578125" style="4" customWidth="1"/>
    <col min="15639" max="15639" width="7.5703125" style="4" customWidth="1"/>
    <col min="15640" max="15640" width="11.42578125" style="4" customWidth="1"/>
    <col min="15641" max="15641" width="9.42578125" style="4" customWidth="1"/>
    <col min="15642" max="15642" width="11.42578125" style="4" customWidth="1"/>
    <col min="15643" max="15643" width="13.42578125" style="4" bestFit="1" customWidth="1"/>
    <col min="15644" max="15644" width="5.5703125" style="4" bestFit="1" customWidth="1"/>
    <col min="15645" max="15645" width="19.5703125" style="4" bestFit="1" customWidth="1"/>
    <col min="15646" max="15646" width="1.42578125" style="4" customWidth="1"/>
    <col min="15647" max="15647" width="13.42578125" style="4" bestFit="1" customWidth="1"/>
    <col min="15648" max="15648" width="8.5703125" style="4" bestFit="1" customWidth="1"/>
    <col min="15649" max="15649" width="8.85546875" style="4" bestFit="1" customWidth="1"/>
    <col min="15650" max="15872" width="9.140625" style="4"/>
    <col min="15873" max="15873" width="11" style="4" customWidth="1"/>
    <col min="15874" max="15875" width="12.5703125" style="4" customWidth="1"/>
    <col min="15876" max="15876" width="11" style="4" customWidth="1"/>
    <col min="15877" max="15877" width="8.42578125" style="4" customWidth="1"/>
    <col min="15878" max="15878" width="11.42578125" style="4" customWidth="1"/>
    <col min="15879" max="15879" width="1.85546875" style="4" customWidth="1"/>
    <col min="15880" max="15880" width="8.42578125" style="4" customWidth="1"/>
    <col min="15881" max="15881" width="11.42578125" style="4" customWidth="1"/>
    <col min="15882" max="15883" width="10.42578125" style="4" customWidth="1"/>
    <col min="15884" max="15884" width="10.5703125" style="4" customWidth="1"/>
    <col min="15885" max="15885" width="10" style="4" customWidth="1"/>
    <col min="15886" max="15886" width="11" style="4" bestFit="1" customWidth="1"/>
    <col min="15887" max="15887" width="12" style="4" customWidth="1"/>
    <col min="15888" max="15888" width="11.140625" style="4" customWidth="1"/>
    <col min="15889" max="15889" width="9.5703125" style="4" customWidth="1"/>
    <col min="15890" max="15890" width="10.42578125" style="4" customWidth="1"/>
    <col min="15891" max="15891" width="8.5703125" style="4" customWidth="1"/>
    <col min="15892" max="15892" width="11" style="4" customWidth="1"/>
    <col min="15893" max="15893" width="13.42578125" style="4" bestFit="1" customWidth="1"/>
    <col min="15894" max="15894" width="9.42578125" style="4" customWidth="1"/>
    <col min="15895" max="15895" width="7.5703125" style="4" customWidth="1"/>
    <col min="15896" max="15896" width="11.42578125" style="4" customWidth="1"/>
    <col min="15897" max="15897" width="9.42578125" style="4" customWidth="1"/>
    <col min="15898" max="15898" width="11.42578125" style="4" customWidth="1"/>
    <col min="15899" max="15899" width="13.42578125" style="4" bestFit="1" customWidth="1"/>
    <col min="15900" max="15900" width="5.5703125" style="4" bestFit="1" customWidth="1"/>
    <col min="15901" max="15901" width="19.5703125" style="4" bestFit="1" customWidth="1"/>
    <col min="15902" max="15902" width="1.42578125" style="4" customWidth="1"/>
    <col min="15903" max="15903" width="13.42578125" style="4" bestFit="1" customWidth="1"/>
    <col min="15904" max="15904" width="8.5703125" style="4" bestFit="1" customWidth="1"/>
    <col min="15905" max="15905" width="8.85546875" style="4" bestFit="1" customWidth="1"/>
    <col min="15906" max="16128" width="9.140625" style="4"/>
    <col min="16129" max="16129" width="11" style="4" customWidth="1"/>
    <col min="16130" max="16131" width="12.5703125" style="4" customWidth="1"/>
    <col min="16132" max="16132" width="11" style="4" customWidth="1"/>
    <col min="16133" max="16133" width="8.42578125" style="4" customWidth="1"/>
    <col min="16134" max="16134" width="11.42578125" style="4" customWidth="1"/>
    <col min="16135" max="16135" width="1.85546875" style="4" customWidth="1"/>
    <col min="16136" max="16136" width="8.42578125" style="4" customWidth="1"/>
    <col min="16137" max="16137" width="11.42578125" style="4" customWidth="1"/>
    <col min="16138" max="16139" width="10.42578125" style="4" customWidth="1"/>
    <col min="16140" max="16140" width="10.5703125" style="4" customWidth="1"/>
    <col min="16141" max="16141" width="10" style="4" customWidth="1"/>
    <col min="16142" max="16142" width="11" style="4" bestFit="1" customWidth="1"/>
    <col min="16143" max="16143" width="12" style="4" customWidth="1"/>
    <col min="16144" max="16144" width="11.140625" style="4" customWidth="1"/>
    <col min="16145" max="16145" width="9.5703125" style="4" customWidth="1"/>
    <col min="16146" max="16146" width="10.42578125" style="4" customWidth="1"/>
    <col min="16147" max="16147" width="8.5703125" style="4" customWidth="1"/>
    <col min="16148" max="16148" width="11" style="4" customWidth="1"/>
    <col min="16149" max="16149" width="13.42578125" style="4" bestFit="1" customWidth="1"/>
    <col min="16150" max="16150" width="9.42578125" style="4" customWidth="1"/>
    <col min="16151" max="16151" width="7.5703125" style="4" customWidth="1"/>
    <col min="16152" max="16152" width="11.42578125" style="4" customWidth="1"/>
    <col min="16153" max="16153" width="9.42578125" style="4" customWidth="1"/>
    <col min="16154" max="16154" width="11.42578125" style="4" customWidth="1"/>
    <col min="16155" max="16155" width="13.42578125" style="4" bestFit="1" customWidth="1"/>
    <col min="16156" max="16156" width="5.5703125" style="4" bestFit="1" customWidth="1"/>
    <col min="16157" max="16157" width="19.5703125" style="4" bestFit="1" customWidth="1"/>
    <col min="16158" max="16158" width="1.42578125" style="4" customWidth="1"/>
    <col min="16159" max="16159" width="13.42578125" style="4" bestFit="1" customWidth="1"/>
    <col min="16160" max="16160" width="8.5703125" style="4" bestFit="1" customWidth="1"/>
    <col min="16161" max="16161" width="8.85546875" style="4" bestFit="1" customWidth="1"/>
    <col min="16162" max="16384" width="9.140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5">
      <c r="A4"/>
      <c r="B4"/>
      <c r="C4"/>
      <c r="D4"/>
      <c r="E4"/>
      <c r="F4"/>
      <c r="G4"/>
      <c r="H4"/>
      <c r="I4"/>
      <c r="J4"/>
      <c r="K4"/>
      <c r="L4"/>
      <c r="M4"/>
    </row>
    <row r="5" spans="1:14" ht="4.5" customHeight="1">
      <c r="A5"/>
      <c r="B5"/>
      <c r="C5"/>
      <c r="D5"/>
      <c r="E5"/>
      <c r="F5"/>
      <c r="G5"/>
      <c r="H5"/>
      <c r="I5"/>
      <c r="J5"/>
      <c r="K5"/>
      <c r="L5"/>
      <c r="M5"/>
    </row>
    <row r="6" spans="1:14" ht="15">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75">
      <c r="A9" s="1"/>
      <c r="B9"/>
      <c r="C9"/>
      <c r="D9"/>
      <c r="E9"/>
      <c r="F9"/>
      <c r="G9"/>
      <c r="H9"/>
      <c r="I9"/>
      <c r="J9"/>
      <c r="K9"/>
      <c r="L9"/>
      <c r="M9"/>
    </row>
    <row r="10" spans="1:14" ht="15">
      <c r="A10" s="2" t="str">
        <f ca="1">MID(CELL("filename",A1),FIND("]",CELL("filename",A1))+1,256)</f>
        <v>508-450dia lower half</v>
      </c>
      <c r="B10"/>
      <c r="C10" s="135">
        <f>C46</f>
        <v>0</v>
      </c>
      <c r="D10" s="135" t="s">
        <v>4</v>
      </c>
      <c r="E10"/>
      <c r="F10"/>
      <c r="G10"/>
      <c r="H10"/>
      <c r="I10"/>
      <c r="J10"/>
      <c r="K10"/>
      <c r="L10"/>
      <c r="M10"/>
    </row>
    <row r="11" spans="1:14" ht="13.5" thickBot="1">
      <c r="H11" s="85"/>
    </row>
    <row r="12" spans="1:14">
      <c r="A12" s="7" t="s">
        <v>5</v>
      </c>
      <c r="B12" s="8" t="s">
        <v>6</v>
      </c>
      <c r="C12" s="9" t="s">
        <v>7</v>
      </c>
      <c r="D12" s="10" t="s">
        <v>8</v>
      </c>
      <c r="N12" s="11"/>
    </row>
    <row r="13" spans="1:14" ht="13.5"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482.6</v>
      </c>
      <c r="D20" s="37" t="s">
        <v>20</v>
      </c>
      <c r="E20" s="38">
        <f>C20/1000</f>
        <v>0.48260000000000003</v>
      </c>
      <c r="F20" s="39" t="s">
        <v>4</v>
      </c>
      <c r="G20" s="26"/>
      <c r="H20" s="27"/>
      <c r="L20" s="29"/>
      <c r="P20" s="4"/>
      <c r="Q20" s="4"/>
      <c r="R20" s="4"/>
    </row>
    <row r="21" spans="1:18" s="28" customFormat="1">
      <c r="A21" s="34"/>
      <c r="B21" s="35" t="s">
        <v>21</v>
      </c>
      <c r="C21" s="40">
        <v>91</v>
      </c>
      <c r="D21" s="37" t="s">
        <v>20</v>
      </c>
      <c r="E21" s="38">
        <f>C21/1000</f>
        <v>9.0999999999999998E-2</v>
      </c>
      <c r="F21" s="39" t="s">
        <v>4</v>
      </c>
      <c r="G21" s="26"/>
      <c r="H21" s="27"/>
      <c r="L21" s="29"/>
      <c r="P21" s="4"/>
      <c r="Q21" s="4"/>
      <c r="R21" s="4"/>
    </row>
    <row r="22" spans="1:18" s="28" customFormat="1" ht="15.75">
      <c r="A22" s="34"/>
      <c r="B22" s="35" t="s">
        <v>22</v>
      </c>
      <c r="C22" s="41">
        <f>(PI()*C20^2/4)</f>
        <v>182921.39995419668</v>
      </c>
      <c r="D22" s="37" t="s">
        <v>23</v>
      </c>
      <c r="E22" s="38">
        <f>PI()*E20^2/4</f>
        <v>0.18292139995419671</v>
      </c>
      <c r="F22" s="39" t="s">
        <v>24</v>
      </c>
      <c r="G22" s="26"/>
      <c r="H22" s="27"/>
      <c r="L22" s="29"/>
      <c r="P22" s="4"/>
      <c r="Q22" s="4"/>
      <c r="R22" s="4"/>
    </row>
    <row r="23" spans="1:18" s="28" customFormat="1" ht="15.75">
      <c r="A23" s="34"/>
      <c r="B23" s="35" t="s">
        <v>25</v>
      </c>
      <c r="C23" s="42">
        <f>C20-2*C21-2*C48-C40</f>
        <v>248.60000000000002</v>
      </c>
      <c r="D23" s="37" t="s">
        <v>20</v>
      </c>
      <c r="E23" s="38">
        <f>E20-2*E21-2*E48-E40</f>
        <v>0.24860000000000002</v>
      </c>
      <c r="F23" s="39" t="s">
        <v>4</v>
      </c>
      <c r="G23" s="26"/>
      <c r="H23" s="27"/>
      <c r="L23" s="29"/>
      <c r="P23" s="4"/>
      <c r="Q23" s="4"/>
      <c r="R23" s="4"/>
    </row>
    <row r="24" spans="1:18" s="28" customFormat="1" ht="15.75">
      <c r="A24" s="34"/>
      <c r="B24" s="35" t="s">
        <v>26</v>
      </c>
      <c r="C24" s="42">
        <f>C20-2*C21-C48</f>
        <v>290.60000000000002</v>
      </c>
      <c r="D24" s="37" t="s">
        <v>20</v>
      </c>
      <c r="E24" s="38">
        <f>E20-2*E21-E48</f>
        <v>0.29060000000000002</v>
      </c>
      <c r="F24" s="39" t="s">
        <v>4</v>
      </c>
      <c r="G24" s="26"/>
      <c r="H24" s="27"/>
      <c r="L24" s="29"/>
      <c r="P24" s="4"/>
      <c r="Q24" s="4"/>
      <c r="R24" s="4"/>
    </row>
    <row r="25" spans="1:18" s="28" customFormat="1">
      <c r="A25" s="27"/>
      <c r="F25" s="29"/>
      <c r="G25" s="26"/>
      <c r="H25" s="27"/>
      <c r="L25" s="29"/>
      <c r="O25" s="4"/>
      <c r="P25" s="4"/>
      <c r="Q25" s="4"/>
      <c r="R25" s="4"/>
    </row>
    <row r="26" spans="1:18" s="28" customFormat="1" ht="15.75">
      <c r="A26" s="34"/>
      <c r="B26" s="35" t="s">
        <v>27</v>
      </c>
      <c r="C26" s="40">
        <v>40</v>
      </c>
      <c r="D26" s="37" t="s">
        <v>28</v>
      </c>
      <c r="F26" s="29"/>
      <c r="G26" s="26"/>
      <c r="H26" s="27"/>
      <c r="L26" s="29"/>
      <c r="O26" s="4"/>
      <c r="P26" s="4"/>
      <c r="Q26" s="4"/>
      <c r="R26" s="4"/>
    </row>
    <row r="27" spans="1:18" s="28" customFormat="1" ht="15.75">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75">
      <c r="A28" s="34"/>
      <c r="B28" s="35" t="s">
        <v>31</v>
      </c>
      <c r="C28" s="46">
        <f>1.75+MAX(0,0.55*(C26-50)/40)</f>
        <v>1.75</v>
      </c>
      <c r="D28" s="37" t="s">
        <v>32</v>
      </c>
      <c r="F28" s="45" t="s">
        <v>33</v>
      </c>
      <c r="G28" s="26"/>
      <c r="H28" s="27"/>
      <c r="L28" s="29"/>
      <c r="O28" s="4"/>
      <c r="P28" s="4"/>
      <c r="Q28" s="4"/>
      <c r="R28" s="4"/>
    </row>
    <row r="29" spans="1:18" s="28" customFormat="1" ht="15.75">
      <c r="A29" s="34"/>
      <c r="B29" s="35" t="s">
        <v>34</v>
      </c>
      <c r="C29" s="46">
        <f>(0.85*C26/C27)/C28</f>
        <v>11.774891774891774</v>
      </c>
      <c r="D29" s="37" t="s">
        <v>35</v>
      </c>
      <c r="F29" s="45" t="s">
        <v>36</v>
      </c>
      <c r="G29" s="26"/>
      <c r="H29" s="47"/>
      <c r="I29" s="48"/>
      <c r="J29" s="48"/>
      <c r="K29" s="48"/>
      <c r="L29" s="49"/>
    </row>
    <row r="30" spans="1:18" s="28" customFormat="1" ht="13.5">
      <c r="A30" s="34"/>
      <c r="B30" s="35" t="s">
        <v>37</v>
      </c>
      <c r="C30" s="43">
        <v>1</v>
      </c>
      <c r="D30" s="37"/>
      <c r="F30" s="45" t="s">
        <v>38</v>
      </c>
      <c r="G30" s="26"/>
    </row>
    <row r="31" spans="1:18" s="28" customFormat="1" ht="13.5">
      <c r="A31" s="34"/>
      <c r="B31" s="50" t="s">
        <v>39</v>
      </c>
      <c r="C31" s="46">
        <f>C30*C26/C27</f>
        <v>24.242424242424242</v>
      </c>
      <c r="D31" s="37" t="s">
        <v>28</v>
      </c>
      <c r="F31" s="45" t="s">
        <v>38</v>
      </c>
      <c r="G31" s="26"/>
      <c r="H31" s="22" t="s">
        <v>40</v>
      </c>
      <c r="I31" s="24"/>
      <c r="J31" s="24"/>
      <c r="K31" s="24"/>
      <c r="L31" s="25" t="s">
        <v>17</v>
      </c>
    </row>
    <row r="32" spans="1:18" s="28" customFormat="1" ht="13.5">
      <c r="A32" s="34"/>
      <c r="B32" s="35" t="s">
        <v>41</v>
      </c>
      <c r="C32" s="46">
        <f>0.6*(1-C26/250)*C31</f>
        <v>12.218181818181819</v>
      </c>
      <c r="D32" s="37" t="s">
        <v>28</v>
      </c>
      <c r="F32" s="45" t="s">
        <v>42</v>
      </c>
      <c r="G32" s="26"/>
      <c r="H32" s="30" t="s">
        <v>43</v>
      </c>
      <c r="L32" s="29"/>
    </row>
    <row r="33" spans="1:14" s="28" customFormat="1" ht="15.75">
      <c r="A33" s="34"/>
      <c r="F33" s="29"/>
      <c r="G33" s="26"/>
      <c r="H33" s="27"/>
      <c r="I33" s="35" t="s">
        <v>44</v>
      </c>
      <c r="J33" s="52">
        <f>MIN(1,2.5*(1-C56)+18*E43*(C56-0.6))</f>
        <v>1</v>
      </c>
      <c r="L33" s="29"/>
    </row>
    <row r="34" spans="1:14" s="28" customFormat="1" ht="15.75">
      <c r="A34" s="34"/>
      <c r="B34" s="35" t="s">
        <v>45</v>
      </c>
      <c r="C34" s="53">
        <v>500</v>
      </c>
      <c r="D34" s="37" t="s">
        <v>28</v>
      </c>
      <c r="F34" s="45" t="s">
        <v>46</v>
      </c>
      <c r="G34" s="26"/>
      <c r="H34" s="27"/>
      <c r="I34" s="35" t="s">
        <v>47</v>
      </c>
      <c r="J34" s="52">
        <f>MIN(1,2.5*(1-C56)+MIN(2.25,1.5+37.5*E43)*(C56-0.6))</f>
        <v>1</v>
      </c>
      <c r="L34" s="29"/>
      <c r="N34" s="51"/>
    </row>
    <row r="35" spans="1:14" s="28" customFormat="1" ht="15.75">
      <c r="A35" s="34"/>
      <c r="B35" s="35" t="s">
        <v>48</v>
      </c>
      <c r="C35" s="53">
        <v>200</v>
      </c>
      <c r="D35" s="37" t="s">
        <v>35</v>
      </c>
      <c r="E35" s="33"/>
      <c r="F35" s="45" t="s">
        <v>49</v>
      </c>
      <c r="G35" s="26"/>
      <c r="H35" s="27"/>
      <c r="I35" s="35" t="s">
        <v>50</v>
      </c>
      <c r="J35" s="52">
        <f>MIN(1,2.5*(1-C56)+MIN(2,100*E43)*(C56-0.6))</f>
        <v>1</v>
      </c>
      <c r="L35" s="29"/>
    </row>
    <row r="36" spans="1:14" s="28" customFormat="1" ht="15.75" customHeight="1">
      <c r="A36" s="34"/>
      <c r="B36" s="35" t="s">
        <v>51</v>
      </c>
      <c r="C36" s="53">
        <v>1.1499999999999999</v>
      </c>
      <c r="F36" s="45" t="s">
        <v>30</v>
      </c>
      <c r="G36" s="26"/>
      <c r="H36" s="27"/>
      <c r="L36" s="29"/>
    </row>
    <row r="37" spans="1:14" s="28" customFormat="1" ht="15.75">
      <c r="A37" s="34"/>
      <c r="B37" s="35" t="s">
        <v>52</v>
      </c>
      <c r="C37" s="54">
        <f>C34/C36</f>
        <v>434.78260869565219</v>
      </c>
      <c r="D37" s="37" t="s">
        <v>28</v>
      </c>
      <c r="F37" s="45" t="s">
        <v>53</v>
      </c>
      <c r="G37" s="26"/>
      <c r="H37" s="30" t="s">
        <v>54</v>
      </c>
      <c r="L37" s="29"/>
    </row>
    <row r="38" spans="1:14" s="28" customFormat="1" ht="15.75">
      <c r="A38" s="27"/>
      <c r="F38" s="29"/>
      <c r="G38" s="26"/>
      <c r="H38" s="27"/>
      <c r="I38" s="35" t="s">
        <v>55</v>
      </c>
      <c r="J38" s="52">
        <f>MIN(0.65,0.4+(E23/E20)/(1.3-LOG(E43*C35/C29)))*E24</f>
        <v>0.18889000000000003</v>
      </c>
      <c r="K38" s="37" t="s">
        <v>4</v>
      </c>
      <c r="L38" s="29"/>
    </row>
    <row r="39" spans="1:14" s="28" customFormat="1" ht="15.75">
      <c r="A39" s="30" t="s">
        <v>56</v>
      </c>
      <c r="B39" s="31"/>
      <c r="D39" s="37"/>
      <c r="E39" s="33"/>
      <c r="F39" s="45"/>
      <c r="G39" s="26"/>
      <c r="H39" s="27"/>
      <c r="I39" s="35" t="s">
        <v>57</v>
      </c>
      <c r="J39" s="52">
        <f>MAX(0.4,(1.3+0.2*LOG(C35*E43/C29))*(E23/E20-0.3)+0.6*(1-E23/E20))*E22</f>
        <v>0.10024299862615353</v>
      </c>
      <c r="K39" s="37" t="s">
        <v>58</v>
      </c>
      <c r="L39" s="29"/>
      <c r="M39" s="138"/>
    </row>
    <row r="40" spans="1:14" s="28" customFormat="1" ht="15.75" customHeight="1">
      <c r="A40" s="27"/>
      <c r="B40" s="35" t="s">
        <v>59</v>
      </c>
      <c r="C40" s="136">
        <v>32</v>
      </c>
      <c r="D40" s="37" t="s">
        <v>20</v>
      </c>
      <c r="E40" s="38">
        <f>C40/1000</f>
        <v>3.2000000000000001E-2</v>
      </c>
      <c r="F40" s="39" t="s">
        <v>4</v>
      </c>
      <c r="G40" s="26"/>
      <c r="H40" s="27"/>
      <c r="I40" s="35" t="s">
        <v>60</v>
      </c>
      <c r="J40" s="52">
        <f>0.9*(1-(1-E23/E20)^(2.5+0.6*LOG(E43*C35/C29)))</f>
        <v>0.71494870366827756</v>
      </c>
      <c r="L40" s="29"/>
    </row>
    <row r="41" spans="1:14" s="28" customFormat="1" ht="15.75">
      <c r="A41" s="27"/>
      <c r="B41" s="35" t="s">
        <v>61</v>
      </c>
      <c r="C41" s="40">
        <v>4</v>
      </c>
      <c r="D41" s="37"/>
      <c r="E41" s="58"/>
      <c r="F41" s="39"/>
      <c r="G41" s="26"/>
      <c r="H41" s="27"/>
      <c r="L41" s="29"/>
    </row>
    <row r="42" spans="1:14" s="28" customFormat="1" ht="15.75">
      <c r="A42" s="27"/>
      <c r="B42" s="35" t="s">
        <v>62</v>
      </c>
      <c r="C42" s="42">
        <f>PI()*C40^2/4*C41</f>
        <v>3216.9908772759482</v>
      </c>
      <c r="D42" s="37" t="s">
        <v>63</v>
      </c>
      <c r="E42" s="38">
        <f>PI()*E40^2/4*C41</f>
        <v>3.2169908772759479E-3</v>
      </c>
      <c r="F42" s="39" t="s">
        <v>64</v>
      </c>
      <c r="G42" s="26"/>
      <c r="H42" s="30" t="s">
        <v>65</v>
      </c>
      <c r="L42" s="29"/>
    </row>
    <row r="43" spans="1:14" s="28" customFormat="1" ht="15.75">
      <c r="A43" s="55"/>
      <c r="B43" s="35" t="s">
        <v>66</v>
      </c>
      <c r="C43" s="56">
        <f>E43*100</f>
        <v>1.7586738774585577</v>
      </c>
      <c r="D43" s="37" t="s">
        <v>67</v>
      </c>
      <c r="E43" s="38">
        <f>(E42)/(E22)</f>
        <v>1.7586738774585577E-2</v>
      </c>
      <c r="F43" s="39"/>
      <c r="G43" s="26"/>
      <c r="H43" s="92" t="s">
        <v>68</v>
      </c>
      <c r="L43" s="29"/>
    </row>
    <row r="44" spans="1:14" s="28" customFormat="1" ht="15.75">
      <c r="A44" s="27"/>
      <c r="E44" s="58"/>
      <c r="F44" s="39"/>
      <c r="G44" s="26"/>
      <c r="H44" s="27"/>
      <c r="I44" s="35" t="s">
        <v>69</v>
      </c>
      <c r="J44" s="57">
        <f>2*E50*J38*C37*IF(E47=1,J35*(1-E49/(J40*PI()*E24))/SQRT(1+(E49/(PI()*E24))^2),J34)*1000</f>
        <v>46.910311172851863</v>
      </c>
      <c r="K44" s="37" t="s">
        <v>70</v>
      </c>
      <c r="L44" s="45" t="s">
        <v>71</v>
      </c>
    </row>
    <row r="45" spans="1:14" s="28" customFormat="1" ht="16.5" thickBot="1">
      <c r="A45" s="30" t="s">
        <v>72</v>
      </c>
      <c r="B45" s="31"/>
      <c r="D45" s="59"/>
      <c r="E45" s="58"/>
      <c r="F45" s="39"/>
      <c r="G45" s="26"/>
      <c r="H45" s="27"/>
      <c r="I45" s="35" t="s">
        <v>73</v>
      </c>
      <c r="J45" s="57">
        <f>C59*J33*J39*C32/2*1000</f>
        <v>637.83312548347567</v>
      </c>
      <c r="K45" s="37" t="s">
        <v>70</v>
      </c>
      <c r="L45" s="45" t="s">
        <v>74</v>
      </c>
    </row>
    <row r="46" spans="1:14" s="28" customFormat="1" ht="15.75">
      <c r="A46" s="59"/>
      <c r="B46" s="35" t="s">
        <v>75</v>
      </c>
      <c r="C46" s="61">
        <v>0</v>
      </c>
      <c r="D46" s="59" t="s">
        <v>76</v>
      </c>
      <c r="E46" s="58"/>
      <c r="F46" s="39"/>
      <c r="G46" s="26"/>
      <c r="H46" s="27"/>
      <c r="I46" s="35" t="s">
        <v>77</v>
      </c>
      <c r="J46" s="60">
        <f>IF(J45&lt;J44,1,IF(J44&lt;0,1,MIN(IF(C57&lt;0,1.25,2.5),SQRT(2*J45/J44-1))))</f>
        <v>2.5</v>
      </c>
      <c r="L46" s="29"/>
    </row>
    <row r="47" spans="1:14" s="28" customFormat="1" ht="15.75">
      <c r="A47" s="27"/>
      <c r="B47" s="35" t="s">
        <v>78</v>
      </c>
      <c r="C47" s="126" t="s">
        <v>227</v>
      </c>
      <c r="E47" s="62">
        <f>IF(C47="Spiral",1,0)</f>
        <v>0</v>
      </c>
      <c r="F47" s="39"/>
      <c r="G47" s="26"/>
      <c r="H47" s="27"/>
      <c r="I47" s="35" t="s">
        <v>79</v>
      </c>
      <c r="J47" s="90">
        <f>MIN(2*J45/(J46+1/J46),2*E50*J38*C37*J46*IF(E47=1,J35*(1-E49/(J40*PI()*E24*J46))/SQRT(1+(E49/(PI()*E24))^2),J34)*1000)</f>
        <v>117.27577793212964</v>
      </c>
      <c r="K47" s="37" t="s">
        <v>70</v>
      </c>
      <c r="L47" s="29"/>
    </row>
    <row r="48" spans="1:14" s="28" customFormat="1" ht="15.75" customHeight="1">
      <c r="A48" s="27"/>
      <c r="B48" s="35" t="s">
        <v>80</v>
      </c>
      <c r="C48" s="63">
        <v>10</v>
      </c>
      <c r="D48" s="37" t="s">
        <v>20</v>
      </c>
      <c r="E48" s="38">
        <f>C48/1000</f>
        <v>0.01</v>
      </c>
      <c r="F48" s="39" t="s">
        <v>4</v>
      </c>
      <c r="G48" s="26"/>
      <c r="H48" s="27"/>
      <c r="I48" s="35" t="s">
        <v>81</v>
      </c>
      <c r="J48" s="91">
        <f>C55/J47</f>
        <v>0.21317274923103141</v>
      </c>
      <c r="K48" s="66" t="str">
        <f>IF(J48&gt;1,"FAIL","Pass")</f>
        <v>Pass</v>
      </c>
      <c r="L48" s="29"/>
    </row>
    <row r="49" spans="1:13" s="28" customFormat="1" ht="13.5" thickBot="1">
      <c r="A49" s="27"/>
      <c r="B49" s="35" t="str">
        <f>IF(E47=1,"Spiral pitch, p =", "Link spacing, s =")</f>
        <v>Link spacing, s =</v>
      </c>
      <c r="C49" s="64">
        <v>275</v>
      </c>
      <c r="D49" s="37" t="s">
        <v>20</v>
      </c>
      <c r="E49" s="38">
        <f>C49/1000</f>
        <v>0.27500000000000002</v>
      </c>
      <c r="F49" s="39" t="s">
        <v>4</v>
      </c>
      <c r="G49" s="26"/>
      <c r="H49" s="27"/>
      <c r="I49" s="28" t="s">
        <v>82</v>
      </c>
      <c r="J49" s="28">
        <f>J47*0.75</f>
        <v>87.956833449097232</v>
      </c>
      <c r="K49" s="28" t="s">
        <v>70</v>
      </c>
      <c r="L49" s="29"/>
    </row>
    <row r="50" spans="1:13" s="28" customFormat="1" ht="15.75">
      <c r="A50" s="27"/>
      <c r="B50" s="35" t="str">
        <f>IF(E47=1,"Asw / p =","Asw / s =")</f>
        <v>Asw / s =</v>
      </c>
      <c r="C50" s="42">
        <f>(C48^2*PI()/4)/E49</f>
        <v>285.59933214452661</v>
      </c>
      <c r="D50" s="37" t="s">
        <v>83</v>
      </c>
      <c r="E50" s="67">
        <f>(E48^2*PI()/4)/E49</f>
        <v>2.8559933214452661E-4</v>
      </c>
      <c r="F50" s="39" t="s">
        <v>84</v>
      </c>
      <c r="G50" s="26"/>
      <c r="H50" s="92" t="s">
        <v>85</v>
      </c>
      <c r="L50" s="29"/>
    </row>
    <row r="51" spans="1:13" s="28" customFormat="1" ht="15.75">
      <c r="A51" s="27"/>
      <c r="E51" s="38"/>
      <c r="F51" s="68" t="str">
        <f>IF(E47=1,IF(C49&gt;0.4*C24*J46,"Spiral pitch, P exceeds limit of 0.4Dw.cotθ = "&amp;ROUND(0.4*C24*J46,0)&amp;"mm. Result not valid",""),"")</f>
        <v/>
      </c>
      <c r="G51" s="26"/>
      <c r="H51" s="27"/>
      <c r="I51" s="35" t="s">
        <v>69</v>
      </c>
      <c r="J51" s="57">
        <f>2*E50*J38*C37*IF(E47=1,J35*(1-E49/(J40*PI()*E24))/SQRT(1+(E49/(PI()*E24))^2),J34)*1000</f>
        <v>46.910311172851863</v>
      </c>
      <c r="K51" s="37" t="s">
        <v>70</v>
      </c>
      <c r="L51" s="45" t="s">
        <v>71</v>
      </c>
    </row>
    <row r="52" spans="1:13" s="28" customFormat="1" ht="15.75">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765.49198950880884</v>
      </c>
      <c r="K52" s="37" t="s">
        <v>70</v>
      </c>
      <c r="L52" s="45" t="s">
        <v>74</v>
      </c>
    </row>
    <row r="53" spans="1:13" s="28" customFormat="1" ht="15">
      <c r="A53" s="27"/>
      <c r="F53" s="69" t="str">
        <f>IF(C26&gt;50,"",IF(C49&gt;0.6*MIN(20*C40,C20,400),"Link spacing or pitch exceeds limit set by EN1992-1-1 cl 9.5.3(4) = "&amp;ROUND(0.6*MIN(20*C40,C20,400),0)&amp;"mm",""))</f>
        <v>Link spacing or pitch exceeds limit set by EN1992-1-1 cl 9.5.3(4) = 240mm</v>
      </c>
      <c r="H53" s="27"/>
      <c r="I53" s="35" t="s">
        <v>77</v>
      </c>
      <c r="J53" s="60">
        <f>IF(J52&lt;J51,1,IF(J51&lt;0,1,MIN(IF(C61&lt;0,1.25,2.5),SQRT(2*J52/J51-1))))</f>
        <v>2.5</v>
      </c>
      <c r="L53" s="29"/>
    </row>
    <row r="54" spans="1:13" s="28" customFormat="1" ht="15.75">
      <c r="A54" s="30" t="s">
        <v>86</v>
      </c>
      <c r="D54" s="37"/>
      <c r="E54" s="38"/>
      <c r="F54" s="39"/>
      <c r="H54" s="27"/>
      <c r="I54" s="35" t="s">
        <v>79</v>
      </c>
      <c r="J54" s="90">
        <f>MIN(2*J52/(J53+1/J53),2*E50*J38*C37*J53*IF(E47=1,J35*(1-E49/(J40*PI()*E24*J53))/SQRT(1+(E49/(PI()*E24))^2),J34)*1000)</f>
        <v>117.27577793212964</v>
      </c>
      <c r="K54" s="37" t="s">
        <v>70</v>
      </c>
      <c r="L54" s="29"/>
    </row>
    <row r="55" spans="1:13" s="28" customFormat="1" ht="15.75">
      <c r="A55" s="27"/>
      <c r="B55" s="35" t="s">
        <v>87</v>
      </c>
      <c r="C55" s="95">
        <v>25</v>
      </c>
      <c r="D55" s="37" t="s">
        <v>70</v>
      </c>
      <c r="E55" s="38">
        <f>C55/1000</f>
        <v>2.5000000000000001E-2</v>
      </c>
      <c r="F55" s="39" t="s">
        <v>88</v>
      </c>
      <c r="G55" s="26"/>
      <c r="H55" s="27"/>
      <c r="I55" s="35" t="s">
        <v>81</v>
      </c>
      <c r="J55" s="91">
        <f>C55/J54</f>
        <v>0.21317274923103141</v>
      </c>
      <c r="K55" s="66" t="str">
        <f>IF(J55&gt;1,"FAIL","Pass")</f>
        <v>Pass</v>
      </c>
      <c r="L55" s="29"/>
    </row>
    <row r="56" spans="1:13" s="28" customFormat="1" ht="15.75">
      <c r="A56" s="27"/>
      <c r="B56" s="35" t="s">
        <v>89</v>
      </c>
      <c r="C56" s="94">
        <v>0.54</v>
      </c>
      <c r="D56" s="37"/>
      <c r="F56" s="71"/>
      <c r="G56" s="26"/>
      <c r="H56" s="47"/>
      <c r="I56" s="48"/>
      <c r="J56" s="48"/>
      <c r="K56" s="48"/>
      <c r="L56" s="49"/>
    </row>
    <row r="57" spans="1:13" s="28" customFormat="1" ht="15.75">
      <c r="A57" s="92" t="s">
        <v>68</v>
      </c>
      <c r="B57" s="35" t="s">
        <v>90</v>
      </c>
      <c r="C57" s="40">
        <v>236</v>
      </c>
      <c r="D57" s="37" t="s">
        <v>91</v>
      </c>
      <c r="E57" s="72"/>
      <c r="F57" s="45"/>
      <c r="G57" s="26"/>
    </row>
    <row r="58" spans="1:13" s="28" customFormat="1" ht="13.5">
      <c r="A58" s="34"/>
      <c r="B58" s="35" t="s">
        <v>92</v>
      </c>
      <c r="C58" s="73">
        <f>E58/((E22-E42)+(E42*C35/C29))</f>
        <v>1.0070581750268117</v>
      </c>
      <c r="D58" s="37" t="s">
        <v>28</v>
      </c>
      <c r="E58" s="38">
        <f>C57/1000</f>
        <v>0.23599999999999999</v>
      </c>
      <c r="F58" s="39" t="s">
        <v>88</v>
      </c>
      <c r="G58" s="26"/>
      <c r="H58" s="22" t="s">
        <v>93</v>
      </c>
      <c r="I58" s="24"/>
      <c r="J58" s="24"/>
      <c r="K58" s="24"/>
      <c r="L58" s="25" t="s">
        <v>17</v>
      </c>
      <c r="M58" s="4"/>
    </row>
    <row r="59" spans="1:13" s="28" customFormat="1" ht="13.5">
      <c r="A59" s="34"/>
      <c r="B59" s="35" t="s">
        <v>94</v>
      </c>
      <c r="C59" s="46">
        <f>IF(C58&lt;0.5*C31,MIN((1+C58/C31),1.25),IF(C58&lt;C31,2.5*(1-C58/C31),"Error: N.Ed too large!"))</f>
        <v>1.0415411497198559</v>
      </c>
      <c r="D59" s="37"/>
      <c r="F59" s="45" t="s">
        <v>42</v>
      </c>
      <c r="G59" s="26"/>
      <c r="H59" s="30" t="s">
        <v>95</v>
      </c>
      <c r="L59" s="45" t="s">
        <v>96</v>
      </c>
      <c r="M59" s="4"/>
    </row>
    <row r="60" spans="1:13" s="28" customFormat="1" ht="15.75">
      <c r="A60" s="34"/>
      <c r="B60" s="35"/>
      <c r="C60" s="73"/>
      <c r="D60" s="37"/>
      <c r="E60" s="38"/>
      <c r="F60" s="39"/>
      <c r="G60" s="26"/>
      <c r="H60" s="27"/>
      <c r="I60" s="35" t="s">
        <v>97</v>
      </c>
      <c r="J60" s="60">
        <f>0.08*SQRT(C26)/C34</f>
        <v>1.0119288512538814E-3</v>
      </c>
      <c r="L60" s="70" t="s">
        <v>98</v>
      </c>
      <c r="M60" s="4"/>
    </row>
    <row r="61" spans="1:13" s="28" customFormat="1" ht="16.5" thickBot="1">
      <c r="A61" s="92" t="s">
        <v>85</v>
      </c>
      <c r="B61" s="35" t="s">
        <v>90</v>
      </c>
      <c r="C61" s="40">
        <v>2417</v>
      </c>
      <c r="D61" s="37" t="s">
        <v>91</v>
      </c>
      <c r="E61" s="72"/>
      <c r="F61" s="45"/>
      <c r="G61" s="26"/>
      <c r="H61" s="27"/>
      <c r="I61" s="35" t="s">
        <v>99</v>
      </c>
      <c r="J61" s="60">
        <f>MIN((IF(J46=1,J44,J47/J46)/(C37*1000))/(J39*J33),(IF(J53=1,J51,J54/J53)/(C37*1000))/(J39*J33))</f>
        <v>1.0763217100072829E-3</v>
      </c>
      <c r="L61" s="70" t="s">
        <v>100</v>
      </c>
      <c r="M61" s="4"/>
    </row>
    <row r="62" spans="1:13" s="28" customFormat="1" ht="16.5" thickBot="1">
      <c r="A62" s="27"/>
      <c r="B62" s="35" t="s">
        <v>92</v>
      </c>
      <c r="C62" s="73">
        <f>E62/((E22-E42)+(E42*C35/C29))</f>
        <v>10.313811902711034</v>
      </c>
      <c r="D62" s="37" t="s">
        <v>28</v>
      </c>
      <c r="E62" s="38">
        <f>C61/1000</f>
        <v>2.4169999999999998</v>
      </c>
      <c r="F62" s="39" t="s">
        <v>88</v>
      </c>
      <c r="G62" s="26"/>
      <c r="H62" s="27"/>
      <c r="I62" s="35" t="s">
        <v>101</v>
      </c>
      <c r="J62" s="65">
        <f>J61/J60</f>
        <v>1.063633780846956</v>
      </c>
      <c r="K62" s="66" t="str">
        <f>IF(J62&lt;1,"FAIL","Pass")</f>
        <v>Pass</v>
      </c>
      <c r="L62" s="29"/>
      <c r="M62" s="4"/>
    </row>
    <row r="63" spans="1:13" s="28" customFormat="1" ht="13.5">
      <c r="A63" s="93"/>
      <c r="B63" s="35" t="s">
        <v>94</v>
      </c>
      <c r="C63" s="46">
        <f>IF(C62&lt;0.5*C31,MIN((1+C62/C31),1.25),IF(C62&lt;C31,2.5*(1-C62/C31),"Error: N.Ed too large!"))</f>
        <v>1.25</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31.25</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E83:E84"/>
    <mergeCell ref="A15:F15"/>
    <mergeCell ref="A16:F16"/>
    <mergeCell ref="E75:E77"/>
    <mergeCell ref="E78:E80"/>
    <mergeCell ref="E81:E82"/>
  </mergeCells>
  <conditionalFormatting sqref="H6 J6 B6 B8 B4 H4 H2">
    <cfRule type="cellIs" dxfId="171" priority="14" stopIfTrue="1" operator="equal">
      <formula>0</formula>
    </cfRule>
  </conditionalFormatting>
  <conditionalFormatting sqref="B6">
    <cfRule type="cellIs" dxfId="170" priority="13" stopIfTrue="1" operator="equal">
      <formula>0</formula>
    </cfRule>
  </conditionalFormatting>
  <conditionalFormatting sqref="H6 J6 H4">
    <cfRule type="cellIs" dxfId="169" priority="12" stopIfTrue="1" operator="equal">
      <formula>0</formula>
    </cfRule>
  </conditionalFormatting>
  <conditionalFormatting sqref="J48">
    <cfRule type="cellIs" dxfId="168" priority="10" stopIfTrue="1" operator="greaterThan">
      <formula>1</formula>
    </cfRule>
    <cfRule type="cellIs" dxfId="167" priority="11" stopIfTrue="1" operator="lessThanOrEqual">
      <formula>1</formula>
    </cfRule>
  </conditionalFormatting>
  <conditionalFormatting sqref="J62">
    <cfRule type="cellIs" dxfId="166" priority="8" stopIfTrue="1" operator="lessThan">
      <formula>1</formula>
    </cfRule>
    <cfRule type="cellIs" dxfId="165" priority="9" stopIfTrue="1" operator="greaterThanOrEqual">
      <formula>1</formula>
    </cfRule>
  </conditionalFormatting>
  <conditionalFormatting sqref="K48 K62">
    <cfRule type="cellIs" dxfId="164" priority="6" stopIfTrue="1" operator="equal">
      <formula>"FAIL"</formula>
    </cfRule>
    <cfRule type="cellIs" dxfId="163" priority="7" stopIfTrue="1" operator="equal">
      <formula>"Pass"</formula>
    </cfRule>
  </conditionalFormatting>
  <conditionalFormatting sqref="F52">
    <cfRule type="cellIs" dxfId="162" priority="5" stopIfTrue="1" operator="equal">
      <formula>"Link spacing satisfies limit set by EN1992-1-1 cl 9.5.3(3)"</formula>
    </cfRule>
  </conditionalFormatting>
  <conditionalFormatting sqref="K55">
    <cfRule type="cellIs" dxfId="161" priority="3" stopIfTrue="1" operator="equal">
      <formula>"FAIL"</formula>
    </cfRule>
    <cfRule type="cellIs" dxfId="160" priority="4" stopIfTrue="1" operator="equal">
      <formula>"Pass"</formula>
    </cfRule>
  </conditionalFormatting>
  <conditionalFormatting sqref="J55">
    <cfRule type="cellIs" dxfId="159" priority="1" stopIfTrue="1" operator="greaterThan">
      <formula>1</formula>
    </cfRule>
    <cfRule type="cellIs" dxfId="158" priority="2" stopIfTrue="1" operator="lessThanOrEqual">
      <formula>1</formula>
    </cfRule>
  </conditionalFormatting>
  <dataValidations count="10">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6409FBE8-7E4B-4062-B2C8-C515A3E542B3}"/>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F527EA6D-88AD-41C8-A764-550AD1959CC1}"/>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2AED591A-F48A-4594-BB27-55C3389557A5}"/>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8A229BBF-034D-4E77-BDA2-362FD5981909}"/>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CD9B3B4E-F144-4EAF-89E2-4E0EF5109B3A}"/>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8902CD15-DB0A-485E-B3CF-7446235507BB}">
      <formula1>Type</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CA590F8E-262F-4F3E-ADA6-C9EAFF599643}">
      <formula1>Bar</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DAAB52C6-2A4B-4AB9-969B-73950F2CE278}">
      <formula1>Link</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983DA815-CCD7-4C0C-A15F-D52032ACC408}">
      <formula1>GammaC</formula1>
    </dataValidation>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53972438-B996-4155-93B3-87C0F9E864BB}">
      <formula1>alphacc</formula1>
    </dataValidation>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7">
    <tabColor rgb="FFFF0000"/>
  </sheetPr>
  <dimension ref="A1:AL93"/>
  <sheetViews>
    <sheetView topLeftCell="D64" zoomScaleNormal="100" workbookViewId="0">
      <selection activeCell="AK25" sqref="AK25"/>
    </sheetView>
  </sheetViews>
  <sheetFormatPr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bestFit="1" customWidth="1"/>
    <col min="9" max="9" width="14.42578125" customWidth="1"/>
    <col min="10" max="10" width="13.85546875" customWidth="1"/>
    <col min="11" max="11" width="12" customWidth="1"/>
    <col min="12" max="12" width="11" customWidth="1"/>
    <col min="14" max="14" width="13.42578125" customWidth="1"/>
    <col min="15" max="15" width="12.42578125" customWidth="1"/>
    <col min="16" max="16" width="11.42578125" customWidth="1"/>
    <col min="17" max="17" width="10" customWidth="1"/>
    <col min="21" max="21" width="9.5703125" customWidth="1"/>
  </cols>
  <sheetData>
    <row r="1" spans="1:36" ht="18.75">
      <c r="A1" s="1" t="s">
        <v>104</v>
      </c>
    </row>
    <row r="2" spans="1:36" ht="18.75">
      <c r="A2" s="1" t="s">
        <v>105</v>
      </c>
      <c r="F2" s="1" t="s">
        <v>106</v>
      </c>
    </row>
    <row r="4" spans="1:36">
      <c r="A4" s="144" t="s">
        <v>107</v>
      </c>
      <c r="B4" s="145" t="s">
        <v>108</v>
      </c>
      <c r="C4" s="145" t="s">
        <v>109</v>
      </c>
      <c r="D4" s="145" t="s">
        <v>110</v>
      </c>
      <c r="F4" s="144" t="s">
        <v>107</v>
      </c>
      <c r="G4" s="145" t="s">
        <v>108</v>
      </c>
      <c r="H4" s="145" t="s">
        <v>109</v>
      </c>
      <c r="I4" s="145" t="s">
        <v>110</v>
      </c>
    </row>
    <row r="5" spans="1:36">
      <c r="A5" s="144"/>
      <c r="B5" s="145"/>
      <c r="C5" s="145"/>
      <c r="D5" s="145"/>
      <c r="F5" s="144"/>
      <c r="G5" s="145"/>
      <c r="H5" s="145"/>
      <c r="I5" s="145"/>
    </row>
    <row r="6" spans="1:36">
      <c r="A6" s="100">
        <v>0</v>
      </c>
      <c r="B6" s="101">
        <v>360</v>
      </c>
      <c r="C6" s="97">
        <f>B6*(PI()*1.2^2/4)</f>
        <v>407.15040790523722</v>
      </c>
      <c r="D6" s="97">
        <f>C6*(A7-A6)</f>
        <v>2035.7520395261861</v>
      </c>
      <c r="F6" s="100">
        <v>0</v>
      </c>
      <c r="G6" s="101">
        <v>180</v>
      </c>
      <c r="H6" s="97">
        <f>G6*(PI()*1.2^2/4)</f>
        <v>203.57520395261861</v>
      </c>
      <c r="I6" s="97">
        <f>H6*(F7-F6)</f>
        <v>5089.3800988154653</v>
      </c>
    </row>
    <row r="7" spans="1:36">
      <c r="A7" s="100">
        <v>5</v>
      </c>
      <c r="B7" s="101">
        <v>180</v>
      </c>
      <c r="C7" s="97">
        <f>B7*(PI()*1.2^2/4)</f>
        <v>203.57520395261861</v>
      </c>
      <c r="D7" s="97">
        <f>C7*(A8-A7)</f>
        <v>3053.628059289279</v>
      </c>
      <c r="F7" s="100">
        <v>25</v>
      </c>
      <c r="G7" s="101">
        <v>0</v>
      </c>
      <c r="H7" s="97">
        <f>G7*(PI()*1.2^2/4)</f>
        <v>0</v>
      </c>
      <c r="I7" s="97">
        <f>H7*(F8-F7)</f>
        <v>0</v>
      </c>
    </row>
    <row r="8" spans="1:36" ht="15.75" thickBot="1">
      <c r="A8" s="100">
        <v>20</v>
      </c>
      <c r="B8" s="100">
        <v>0</v>
      </c>
      <c r="C8" s="97">
        <f>B8*(PI()*1.2^2/4)</f>
        <v>0</v>
      </c>
      <c r="D8" s="97">
        <f>C8*($C$13-A8)</f>
        <v>0</v>
      </c>
      <c r="I8" s="99">
        <f>SUM(I6:I7)</f>
        <v>5089.3800988154653</v>
      </c>
      <c r="J8" t="s">
        <v>111</v>
      </c>
      <c r="P8" s="96"/>
    </row>
    <row r="9" spans="1:36" ht="16.5" thickTop="1" thickBot="1">
      <c r="D9" s="99">
        <f>SUM(D6:D8)</f>
        <v>5089.3800988154653</v>
      </c>
      <c r="E9" t="s">
        <v>111</v>
      </c>
    </row>
    <row r="10" spans="1:36" ht="15.75" thickTop="1">
      <c r="G10" s="146" t="s">
        <v>112</v>
      </c>
      <c r="H10" s="146"/>
      <c r="I10" s="147" t="s">
        <v>113</v>
      </c>
      <c r="J10" s="147"/>
      <c r="K10" s="146" t="s">
        <v>114</v>
      </c>
      <c r="L10" s="146"/>
    </row>
    <row r="11" spans="1:36">
      <c r="A11" t="s">
        <v>115</v>
      </c>
      <c r="C11" s="5">
        <v>7850</v>
      </c>
      <c r="D11" t="s">
        <v>116</v>
      </c>
      <c r="F11" s="3" t="s">
        <v>117</v>
      </c>
      <c r="G11" s="105">
        <f>25*I8</f>
        <v>127234.50247038664</v>
      </c>
      <c r="H11" s="106" t="s">
        <v>118</v>
      </c>
      <c r="I11" s="105">
        <f>25*D9</f>
        <v>127234.50247038664</v>
      </c>
      <c r="J11" s="123" t="s">
        <v>118</v>
      </c>
      <c r="K11" s="105">
        <f>25*D9+25*I8</f>
        <v>254469.00494077327</v>
      </c>
      <c r="L11" s="123" t="s">
        <v>118</v>
      </c>
    </row>
    <row r="12" spans="1:36">
      <c r="A12" t="s">
        <v>119</v>
      </c>
      <c r="C12" s="5">
        <v>1.2</v>
      </c>
      <c r="D12" t="s">
        <v>4</v>
      </c>
      <c r="F12" s="3" t="s">
        <v>120</v>
      </c>
      <c r="G12" s="105" t="e">
        <f>Q40+O65+O90</f>
        <v>#REF!</v>
      </c>
      <c r="H12" s="107" t="e">
        <f>G12/G11</f>
        <v>#REF!</v>
      </c>
      <c r="I12" s="105" t="e">
        <f>Q26+O55+O80</f>
        <v>#REF!</v>
      </c>
      <c r="J12" s="107" t="e">
        <f>I12/I11</f>
        <v>#REF!</v>
      </c>
      <c r="K12" s="105" t="e">
        <f>Q26+Q40+O55+O65+O80+O90</f>
        <v>#REF!</v>
      </c>
      <c r="L12" s="107" t="e">
        <f>K12/K11</f>
        <v>#REF!</v>
      </c>
      <c r="M12" t="s">
        <v>121</v>
      </c>
      <c r="P12" s="96"/>
      <c r="Q12" s="96"/>
      <c r="R12" s="96"/>
    </row>
    <row r="13" spans="1:36">
      <c r="A13" t="s">
        <v>122</v>
      </c>
      <c r="C13">
        <f>AJ14</f>
        <v>37.595000000000006</v>
      </c>
      <c r="D13" t="s">
        <v>4</v>
      </c>
      <c r="R13" s="117"/>
    </row>
    <row r="14" spans="1:36">
      <c r="A14" t="s">
        <v>123</v>
      </c>
      <c r="C14" s="121">
        <f>PI()*(C12-2*(0.085+0.016/2))+0.47</f>
        <v>3.6555749507400499</v>
      </c>
      <c r="D14" t="s">
        <v>4</v>
      </c>
      <c r="G14" s="119"/>
      <c r="H14" s="120"/>
      <c r="I14" s="119"/>
      <c r="J14" s="120"/>
      <c r="K14" s="119"/>
      <c r="L14" s="120"/>
      <c r="R14" s="117"/>
      <c r="AH14" t="s">
        <v>124</v>
      </c>
      <c r="AJ14" s="104">
        <f>AVERAGE(AJ18:AJ25,AJ30:AJ37,AK45:AK50,AK58:AK63,AK69:AK79,AK83:AK93)</f>
        <v>37.595000000000006</v>
      </c>
    </row>
    <row r="15" spans="1:36" ht="14.1" customHeight="1"/>
    <row r="16" spans="1:36" ht="18" customHeight="1">
      <c r="A16" s="1" t="s">
        <v>125</v>
      </c>
      <c r="P16" s="146" t="s">
        <v>126</v>
      </c>
      <c r="Q16" s="146"/>
      <c r="AF16" s="146" t="s">
        <v>127</v>
      </c>
      <c r="AG16" s="146"/>
      <c r="AH16" s="146"/>
      <c r="AI16" s="146"/>
      <c r="AJ16" s="146"/>
    </row>
    <row r="17" spans="1:37">
      <c r="P17" s="3" t="s">
        <v>17</v>
      </c>
      <c r="Q17" s="3" t="s">
        <v>110</v>
      </c>
      <c r="AF17" s="3" t="s">
        <v>17</v>
      </c>
      <c r="AG17" s="3" t="s">
        <v>128</v>
      </c>
      <c r="AH17" s="3" t="s">
        <v>129</v>
      </c>
      <c r="AI17" s="3" t="s">
        <v>130</v>
      </c>
      <c r="AJ17" s="3" t="s">
        <v>131</v>
      </c>
    </row>
    <row r="18" spans="1:37">
      <c r="A18" s="144" t="s">
        <v>107</v>
      </c>
      <c r="B18" s="145" t="s">
        <v>132</v>
      </c>
      <c r="C18" s="146" t="s">
        <v>133</v>
      </c>
      <c r="D18" s="146"/>
      <c r="E18" s="146"/>
      <c r="F18" s="146"/>
      <c r="G18" s="146"/>
      <c r="H18" s="146"/>
      <c r="I18" s="146"/>
      <c r="J18" s="146" t="s">
        <v>72</v>
      </c>
      <c r="K18" s="146"/>
      <c r="L18" s="146"/>
      <c r="M18" s="146"/>
      <c r="N18" s="145" t="s">
        <v>109</v>
      </c>
      <c r="O18" s="145" t="s">
        <v>110</v>
      </c>
      <c r="P18" s="111" t="s">
        <v>134</v>
      </c>
      <c r="Q18" s="3" t="e">
        <f>IF($A$23&gt;AJ18,$N$22*(AJ18-$A$22)+SUM($O$20:$O$21),IF($A$24&gt;AJ18,$N$23*(AJ18-$A$23)+SUM($O$20:$O$22),IF($A$25&gt;AJ18,$N$24*(AJ18-$A$24)+SUM($O$20:$O$23),$N$24*($A$25-$A$24)+SUM($O$20:$O$23))))</f>
        <v>#REF!</v>
      </c>
      <c r="AF18" s="111" t="s">
        <v>134</v>
      </c>
      <c r="AG18" s="112" t="s">
        <v>135</v>
      </c>
      <c r="AH18" s="127">
        <v>-35.5</v>
      </c>
      <c r="AI18" s="114">
        <v>500</v>
      </c>
      <c r="AJ18" s="97">
        <f>AG18-AH18+AI18/1000</f>
        <v>39.965000000000003</v>
      </c>
    </row>
    <row r="19" spans="1:37">
      <c r="A19" s="144"/>
      <c r="B19" s="145"/>
      <c r="C19" s="3" t="s">
        <v>136</v>
      </c>
      <c r="D19" s="3" t="s">
        <v>137</v>
      </c>
      <c r="F19" s="3" t="s">
        <v>136</v>
      </c>
      <c r="G19" s="3" t="s">
        <v>137</v>
      </c>
      <c r="H19" s="3" t="s">
        <v>138</v>
      </c>
      <c r="I19" s="3" t="s">
        <v>109</v>
      </c>
      <c r="J19" s="3" t="s">
        <v>136</v>
      </c>
      <c r="K19" s="3" t="s">
        <v>139</v>
      </c>
      <c r="L19" s="3" t="s">
        <v>138</v>
      </c>
      <c r="M19" s="3" t="s">
        <v>109</v>
      </c>
      <c r="N19" s="145"/>
      <c r="O19" s="145"/>
      <c r="P19" s="111" t="s">
        <v>140</v>
      </c>
      <c r="Q19" s="3" t="e">
        <f t="shared" ref="Q19:Q25" si="0">IF($A$23&gt;AJ19,$N$22*(AJ19-$A$22)+SUM($O$20:$O$21),IF($A$24&gt;AJ19,$N$23*(AJ19-$A$23)+SUM($O$20:$O$22),IF($A$25&gt;AJ19,$N$24*(AJ19-$A$24)+SUM($O$20:$O$23),$N$24*($A$25-$A$24)+SUM($O$20:$O$23))))</f>
        <v>#REF!</v>
      </c>
      <c r="AF19" s="111" t="s">
        <v>140</v>
      </c>
      <c r="AG19" s="112" t="s">
        <v>135</v>
      </c>
      <c r="AH19" s="127">
        <v>-35</v>
      </c>
      <c r="AI19" s="114">
        <v>500</v>
      </c>
      <c r="AJ19" s="97">
        <f t="shared" ref="AJ19:AJ24" si="1">AG19-AH19+AI19/1000</f>
        <v>39.465000000000003</v>
      </c>
    </row>
    <row r="20" spans="1:37">
      <c r="A20" s="100">
        <v>0</v>
      </c>
      <c r="B20" s="100">
        <v>40</v>
      </c>
      <c r="C20" s="100">
        <v>40</v>
      </c>
      <c r="D20" s="100">
        <v>18</v>
      </c>
      <c r="E20" s="103" t="s">
        <v>141</v>
      </c>
      <c r="F20" s="100">
        <v>40</v>
      </c>
      <c r="G20" s="100">
        <v>18</v>
      </c>
      <c r="H20" s="98" t="e">
        <f>#REF!</f>
        <v>#REF!</v>
      </c>
      <c r="I20" s="97">
        <f t="shared" ref="I20:I25" si="2">$C$11*((D20*PI()*((C20/1000)^2)/4)+(G20*PI()*((F20/1000)^2)/4))</f>
        <v>355.12563356179027</v>
      </c>
      <c r="J20" s="100" t="e">
        <f>#REF!</f>
        <v>#REF!</v>
      </c>
      <c r="K20" s="100" t="e">
        <f>#REF!</f>
        <v>#REF!</v>
      </c>
      <c r="L20" s="98" t="e">
        <f>MAX(#REF!,#REF!,#REF!,#REF!)</f>
        <v>#REF!</v>
      </c>
      <c r="M20" s="97" t="e">
        <f t="shared" ref="M20:M25" si="3">$C$11*$C$14*PI()*((J20/1000)^2)/4*1000/K20</f>
        <v>#REF!</v>
      </c>
      <c r="N20" s="97" t="e">
        <f t="shared" ref="N20:N25" si="4">I20+M20</f>
        <v>#REF!</v>
      </c>
      <c r="O20" s="97" t="e">
        <f>N20*(A21-A20)</f>
        <v>#REF!</v>
      </c>
      <c r="P20" s="111" t="s">
        <v>142</v>
      </c>
      <c r="Q20" s="3" t="e">
        <f t="shared" si="0"/>
        <v>#REF!</v>
      </c>
      <c r="AC20" s="104" t="e">
        <f>O20</f>
        <v>#REF!</v>
      </c>
      <c r="AF20" s="111" t="s">
        <v>142</v>
      </c>
      <c r="AG20" s="112" t="s">
        <v>135</v>
      </c>
      <c r="AH20" s="127">
        <v>-34.5</v>
      </c>
      <c r="AI20" s="114">
        <v>500</v>
      </c>
      <c r="AJ20" s="97">
        <f t="shared" si="1"/>
        <v>38.965000000000003</v>
      </c>
    </row>
    <row r="21" spans="1:37">
      <c r="A21" s="100">
        <v>3.5</v>
      </c>
      <c r="B21" s="100">
        <v>40</v>
      </c>
      <c r="C21" s="100">
        <v>40</v>
      </c>
      <c r="D21" s="100">
        <v>18</v>
      </c>
      <c r="E21" s="103" t="s">
        <v>141</v>
      </c>
      <c r="F21" s="100">
        <v>32</v>
      </c>
      <c r="G21" s="100">
        <v>18</v>
      </c>
      <c r="H21" s="98" t="e">
        <f>#REF!</f>
        <v>#REF!</v>
      </c>
      <c r="I21" s="97">
        <f t="shared" si="2"/>
        <v>291.20301952066802</v>
      </c>
      <c r="J21" s="100">
        <v>25</v>
      </c>
      <c r="K21" s="100">
        <v>150</v>
      </c>
      <c r="L21" s="98" t="e">
        <f>MAX(#REF!,#REF!)</f>
        <v>#REF!</v>
      </c>
      <c r="M21" s="97">
        <f t="shared" si="3"/>
        <v>93.90830225796951</v>
      </c>
      <c r="N21" s="97">
        <f t="shared" si="4"/>
        <v>385.11132177863755</v>
      </c>
      <c r="O21" s="97">
        <f>N21*(A22-A21)</f>
        <v>577.66698266795629</v>
      </c>
      <c r="P21" s="111" t="s">
        <v>143</v>
      </c>
      <c r="Q21" s="3" t="e">
        <f t="shared" si="0"/>
        <v>#REF!</v>
      </c>
      <c r="AC21" s="104">
        <f>O21</f>
        <v>577.66698266795629</v>
      </c>
      <c r="AF21" s="111" t="s">
        <v>143</v>
      </c>
      <c r="AG21" s="112" t="s">
        <v>135</v>
      </c>
      <c r="AH21" s="127">
        <v>-34.5</v>
      </c>
      <c r="AI21" s="114">
        <v>500</v>
      </c>
      <c r="AJ21" s="97">
        <f t="shared" si="1"/>
        <v>38.965000000000003</v>
      </c>
    </row>
    <row r="22" spans="1:37">
      <c r="A22" s="100">
        <v>5</v>
      </c>
      <c r="B22" s="100">
        <v>40</v>
      </c>
      <c r="C22" s="100">
        <v>32</v>
      </c>
      <c r="D22" s="100">
        <v>18</v>
      </c>
      <c r="E22" s="103" t="s">
        <v>141</v>
      </c>
      <c r="F22" s="100">
        <v>0</v>
      </c>
      <c r="G22" s="100">
        <v>0</v>
      </c>
      <c r="H22" s="98" t="e">
        <f>H21</f>
        <v>#REF!</v>
      </c>
      <c r="I22" s="97">
        <f t="shared" si="2"/>
        <v>113.64020273977286</v>
      </c>
      <c r="J22" s="100">
        <v>16</v>
      </c>
      <c r="K22" s="100">
        <v>300</v>
      </c>
      <c r="L22" s="98" t="e">
        <f>MAX(#REF!,#REF!)</f>
        <v>#REF!</v>
      </c>
      <c r="M22" s="97">
        <f t="shared" si="3"/>
        <v>19.232420302432153</v>
      </c>
      <c r="N22" s="97">
        <f t="shared" si="4"/>
        <v>132.87262304220502</v>
      </c>
      <c r="O22" s="97">
        <f>N22*(A23-A22)</f>
        <v>1129.4172958587426</v>
      </c>
      <c r="P22" s="111" t="s">
        <v>144</v>
      </c>
      <c r="Q22" s="3" t="e">
        <f t="shared" si="0"/>
        <v>#REF!</v>
      </c>
      <c r="AC22" s="104">
        <f>O22</f>
        <v>1129.4172958587426</v>
      </c>
      <c r="AF22" s="111" t="s">
        <v>144</v>
      </c>
      <c r="AG22" s="112" t="s">
        <v>135</v>
      </c>
      <c r="AH22" s="127">
        <v>-22</v>
      </c>
      <c r="AI22" s="114">
        <v>1000</v>
      </c>
      <c r="AJ22" s="97">
        <f t="shared" si="1"/>
        <v>26.965</v>
      </c>
    </row>
    <row r="23" spans="1:37">
      <c r="A23" s="100">
        <v>13.5</v>
      </c>
      <c r="B23" s="100">
        <v>40</v>
      </c>
      <c r="C23" s="100">
        <v>32</v>
      </c>
      <c r="D23" s="100">
        <v>18</v>
      </c>
      <c r="E23" s="103" t="s">
        <v>141</v>
      </c>
      <c r="F23" s="100">
        <v>16</v>
      </c>
      <c r="G23" s="100">
        <v>18</v>
      </c>
      <c r="H23" s="98" t="e">
        <f>#REF!</f>
        <v>#REF!</v>
      </c>
      <c r="I23" s="97">
        <f t="shared" si="2"/>
        <v>142.05025342471609</v>
      </c>
      <c r="J23" s="100">
        <v>16</v>
      </c>
      <c r="K23" s="100">
        <v>240</v>
      </c>
      <c r="L23" s="98" t="e">
        <f>MAX(#REF!,#REF!)</f>
        <v>#REF!</v>
      </c>
      <c r="M23" s="97">
        <f t="shared" si="3"/>
        <v>24.04052537804019</v>
      </c>
      <c r="N23" s="97">
        <f t="shared" si="4"/>
        <v>166.09077880275629</v>
      </c>
      <c r="O23" s="97">
        <f>N23*(A24-A23)</f>
        <v>132.87262304220516</v>
      </c>
      <c r="P23" s="111" t="s">
        <v>145</v>
      </c>
      <c r="Q23" s="3" t="e">
        <f t="shared" si="0"/>
        <v>#REF!</v>
      </c>
      <c r="AC23" s="104">
        <f>O23</f>
        <v>132.87262304220516</v>
      </c>
      <c r="AF23" s="111" t="s">
        <v>145</v>
      </c>
      <c r="AG23" s="112" t="s">
        <v>135</v>
      </c>
      <c r="AH23" s="127">
        <v>-22</v>
      </c>
      <c r="AI23" s="114">
        <v>1000</v>
      </c>
      <c r="AJ23" s="97">
        <f t="shared" si="1"/>
        <v>26.965</v>
      </c>
    </row>
    <row r="24" spans="1:37">
      <c r="A24" s="100">
        <v>14.3</v>
      </c>
      <c r="B24" s="100">
        <v>40</v>
      </c>
      <c r="C24" s="100">
        <v>16</v>
      </c>
      <c r="D24" s="100">
        <v>18</v>
      </c>
      <c r="E24" s="103" t="s">
        <v>141</v>
      </c>
      <c r="F24" s="100">
        <v>0</v>
      </c>
      <c r="G24" s="100">
        <v>0</v>
      </c>
      <c r="H24" s="98" t="e">
        <f>H23</f>
        <v>#REF!</v>
      </c>
      <c r="I24" s="97">
        <f t="shared" si="2"/>
        <v>28.410050684943215</v>
      </c>
      <c r="J24" s="100">
        <v>16</v>
      </c>
      <c r="K24" s="100">
        <v>300</v>
      </c>
      <c r="L24" s="98" t="e">
        <f>MAX(#REF!,#REF!)</f>
        <v>#REF!</v>
      </c>
      <c r="M24" s="97">
        <f t="shared" si="3"/>
        <v>19.232420302432153</v>
      </c>
      <c r="N24" s="97">
        <f t="shared" si="4"/>
        <v>47.642470987375368</v>
      </c>
      <c r="O24" s="97">
        <f>IF(A25&gt;AK25,N24*(AK25-A24),N24*(A25-A24))</f>
        <v>747.98679450179327</v>
      </c>
      <c r="P24" s="111" t="s">
        <v>146</v>
      </c>
      <c r="Q24" s="3" t="e">
        <f t="shared" si="0"/>
        <v>#REF!</v>
      </c>
      <c r="AC24">
        <f>N24*(21-A24)</f>
        <v>319.20455561541496</v>
      </c>
      <c r="AF24" s="111" t="s">
        <v>146</v>
      </c>
      <c r="AG24" s="112" t="s">
        <v>135</v>
      </c>
      <c r="AH24" s="127">
        <v>-19</v>
      </c>
      <c r="AI24" s="114">
        <v>1000</v>
      </c>
      <c r="AJ24" s="97">
        <f t="shared" si="1"/>
        <v>23.965</v>
      </c>
    </row>
    <row r="25" spans="1:37">
      <c r="A25" s="100">
        <v>30</v>
      </c>
      <c r="B25" s="100">
        <v>40</v>
      </c>
      <c r="C25" s="100">
        <v>0</v>
      </c>
      <c r="D25" s="100">
        <v>0</v>
      </c>
      <c r="E25" s="103" t="s">
        <v>141</v>
      </c>
      <c r="F25" s="100">
        <v>0</v>
      </c>
      <c r="G25" s="100">
        <v>0</v>
      </c>
      <c r="H25" s="98"/>
      <c r="I25" s="97">
        <f t="shared" si="2"/>
        <v>0</v>
      </c>
      <c r="J25" s="100">
        <v>0</v>
      </c>
      <c r="K25" s="100">
        <v>300</v>
      </c>
      <c r="L25" s="98"/>
      <c r="M25" s="97">
        <f t="shared" si="3"/>
        <v>0</v>
      </c>
      <c r="N25" s="97">
        <f t="shared" si="4"/>
        <v>0</v>
      </c>
      <c r="O25" s="97">
        <f>IF(A25&gt;AK25,0,N25*(AK25-A25))</f>
        <v>0</v>
      </c>
      <c r="P25" s="111" t="s">
        <v>147</v>
      </c>
      <c r="Q25" s="3" t="e">
        <f t="shared" si="0"/>
        <v>#REF!</v>
      </c>
      <c r="AF25" s="111" t="s">
        <v>147</v>
      </c>
      <c r="AG25" s="112" t="s">
        <v>135</v>
      </c>
      <c r="AH25" s="127">
        <v>-16</v>
      </c>
      <c r="AI25" s="114">
        <v>1000</v>
      </c>
      <c r="AJ25" s="97">
        <f>AG25-AH25+AI25/1000</f>
        <v>20.965</v>
      </c>
      <c r="AK25" s="104">
        <f>AVERAGE(AJ18:AJ25)</f>
        <v>32.027500000000003</v>
      </c>
    </row>
    <row r="26" spans="1:37" ht="15.75" thickBot="1">
      <c r="Q26" s="99" t="e">
        <f>SUM(Q18:Q25)</f>
        <v>#REF!</v>
      </c>
      <c r="R26" s="89" t="s">
        <v>148</v>
      </c>
      <c r="S26" s="102" t="e">
        <f>Q26/$D$9/8</f>
        <v>#REF!</v>
      </c>
      <c r="T26" t="s">
        <v>121</v>
      </c>
      <c r="V26" s="96"/>
      <c r="AC26" s="99" t="e">
        <f>SUM(AC20:AC24)</f>
        <v>#REF!</v>
      </c>
      <c r="AD26" s="115" t="e">
        <f>O26-AC26</f>
        <v>#REF!</v>
      </c>
    </row>
    <row r="27" spans="1:37" ht="15.75" thickTop="1">
      <c r="Q27" s="110"/>
    </row>
    <row r="28" spans="1:37" ht="18.75">
      <c r="A28" s="1" t="s">
        <v>149</v>
      </c>
      <c r="Q28" s="110"/>
      <c r="AF28" s="146" t="s">
        <v>150</v>
      </c>
      <c r="AG28" s="146"/>
      <c r="AH28" s="146"/>
      <c r="AI28" s="146"/>
      <c r="AJ28" s="146"/>
    </row>
    <row r="29" spans="1:37">
      <c r="Q29" s="110"/>
      <c r="AF29" s="3" t="s">
        <v>17</v>
      </c>
      <c r="AG29" s="3" t="s">
        <v>128</v>
      </c>
      <c r="AH29" s="3" t="s">
        <v>129</v>
      </c>
      <c r="AI29" s="3" t="s">
        <v>130</v>
      </c>
      <c r="AJ29" s="3" t="s">
        <v>131</v>
      </c>
    </row>
    <row r="30" spans="1:37" ht="14.45" customHeight="1">
      <c r="A30" s="144" t="s">
        <v>151</v>
      </c>
      <c r="B30" s="145" t="s">
        <v>132</v>
      </c>
      <c r="C30" s="146" t="s">
        <v>133</v>
      </c>
      <c r="D30" s="146"/>
      <c r="E30" s="146"/>
      <c r="F30" s="146"/>
      <c r="G30" s="146"/>
      <c r="H30" s="146"/>
      <c r="I30" s="146"/>
      <c r="J30" s="146" t="s">
        <v>72</v>
      </c>
      <c r="K30" s="146"/>
      <c r="L30" s="146"/>
      <c r="M30" s="146"/>
      <c r="N30" s="145" t="s">
        <v>109</v>
      </c>
      <c r="O30" s="145" t="s">
        <v>110</v>
      </c>
      <c r="P30" s="146" t="s">
        <v>152</v>
      </c>
      <c r="Q30" s="146"/>
      <c r="AF30" s="111" t="s">
        <v>153</v>
      </c>
      <c r="AG30" s="112" t="s">
        <v>154</v>
      </c>
      <c r="AH30" s="127">
        <v>-35</v>
      </c>
      <c r="AI30" s="114">
        <v>1000</v>
      </c>
      <c r="AJ30" s="97">
        <f t="shared" ref="AJ30:AJ37" si="5">AG30-AH30+AI30/1000</f>
        <v>39.765000000000001</v>
      </c>
    </row>
    <row r="31" spans="1:37">
      <c r="A31" s="144"/>
      <c r="B31" s="145"/>
      <c r="C31" s="3" t="s">
        <v>136</v>
      </c>
      <c r="D31" s="3" t="s">
        <v>137</v>
      </c>
      <c r="F31" s="3" t="s">
        <v>136</v>
      </c>
      <c r="G31" s="3" t="s">
        <v>137</v>
      </c>
      <c r="H31" s="3" t="s">
        <v>138</v>
      </c>
      <c r="I31" s="3" t="s">
        <v>109</v>
      </c>
      <c r="J31" s="3" t="s">
        <v>136</v>
      </c>
      <c r="K31" s="3" t="s">
        <v>139</v>
      </c>
      <c r="L31" s="3" t="s">
        <v>138</v>
      </c>
      <c r="M31" s="3" t="s">
        <v>109</v>
      </c>
      <c r="N31" s="145"/>
      <c r="O31" s="145"/>
      <c r="P31" s="3" t="s">
        <v>17</v>
      </c>
      <c r="Q31" s="3" t="s">
        <v>110</v>
      </c>
      <c r="AF31" s="111" t="s">
        <v>155</v>
      </c>
      <c r="AG31" s="112" t="s">
        <v>154</v>
      </c>
      <c r="AH31" s="127">
        <v>-35</v>
      </c>
      <c r="AI31" s="114">
        <v>1000</v>
      </c>
      <c r="AJ31" s="97">
        <f t="shared" si="5"/>
        <v>39.765000000000001</v>
      </c>
    </row>
    <row r="32" spans="1:37">
      <c r="A32" s="100">
        <v>0</v>
      </c>
      <c r="B32" s="100">
        <v>40</v>
      </c>
      <c r="C32" s="100">
        <v>32</v>
      </c>
      <c r="D32" s="100">
        <v>18</v>
      </c>
      <c r="E32" s="103" t="s">
        <v>141</v>
      </c>
      <c r="F32" s="100">
        <v>0</v>
      </c>
      <c r="G32" s="100">
        <v>0</v>
      </c>
      <c r="H32" s="98" t="e">
        <f>#REF!</f>
        <v>#REF!</v>
      </c>
      <c r="I32" s="97">
        <f t="shared" ref="I32:I39" si="6">$C$11*((D32*PI()*((C32/1000)^2)/4)+(G32*PI()*((F32/1000)^2)/4))</f>
        <v>113.64020273977286</v>
      </c>
      <c r="J32" s="100">
        <v>16</v>
      </c>
      <c r="K32" s="100">
        <v>300</v>
      </c>
      <c r="L32" s="98" t="e">
        <f>MAX(#REF!,#REF!)</f>
        <v>#REF!</v>
      </c>
      <c r="M32" s="97">
        <f t="shared" ref="M32:M39" si="7">$C$11*$C$14*PI()*((J32/1000)^2)/4*1000/K32</f>
        <v>19.232420302432153</v>
      </c>
      <c r="N32" s="97">
        <f t="shared" ref="N32:N39" si="8">I32+M32</f>
        <v>132.87262304220502</v>
      </c>
      <c r="O32" s="97">
        <f t="shared" ref="O32:O37" si="9">N32*(A33-A32)</f>
        <v>398.61786912661506</v>
      </c>
      <c r="P32" s="111" t="s">
        <v>153</v>
      </c>
      <c r="Q32" s="3">
        <f>IF($A$37&gt;AJ30,$N$36*(AJ30-$A$36)+SUM($O$32:$O$35),IF($A$38&gt;AJ30,$N$37*(AJ30-$A$37)+SUM($O$32:$O$36),IF($A$39&gt;AJ30,$N$38*(AJ30-$A$38)+SUM($O$32:$O$37),$N$38*($A$39-$A$38)+SUM($O$32:$O$37))))</f>
        <v>2486.9687748442348</v>
      </c>
      <c r="U32" s="122"/>
      <c r="AC32" s="104">
        <f t="shared" ref="AC32:AC38" si="10">O32</f>
        <v>398.61786912661506</v>
      </c>
      <c r="AF32" s="111" t="s">
        <v>156</v>
      </c>
      <c r="AG32" s="112" t="s">
        <v>154</v>
      </c>
      <c r="AH32" s="127">
        <v>-34.5</v>
      </c>
      <c r="AI32" s="114">
        <v>1000</v>
      </c>
      <c r="AJ32" s="97">
        <f t="shared" si="5"/>
        <v>39.265000000000001</v>
      </c>
    </row>
    <row r="33" spans="1:37">
      <c r="A33" s="100">
        <v>3</v>
      </c>
      <c r="B33" s="100">
        <v>40</v>
      </c>
      <c r="C33" s="100">
        <v>32</v>
      </c>
      <c r="D33" s="100">
        <v>18</v>
      </c>
      <c r="E33" s="103" t="s">
        <v>141</v>
      </c>
      <c r="F33" s="100">
        <v>25</v>
      </c>
      <c r="G33" s="100">
        <v>18</v>
      </c>
      <c r="H33" s="98" t="e">
        <f>#REF!</f>
        <v>#REF!</v>
      </c>
      <c r="I33" s="97">
        <f t="shared" si="6"/>
        <v>183.00067804481006</v>
      </c>
      <c r="J33" s="100">
        <v>16</v>
      </c>
      <c r="K33" s="100">
        <v>240</v>
      </c>
      <c r="L33" s="98" t="e">
        <f>L32</f>
        <v>#REF!</v>
      </c>
      <c r="M33" s="97">
        <f t="shared" si="7"/>
        <v>24.04052537804019</v>
      </c>
      <c r="N33" s="97">
        <f t="shared" si="8"/>
        <v>207.04120342285026</v>
      </c>
      <c r="O33" s="97">
        <f t="shared" si="9"/>
        <v>248.44944410742033</v>
      </c>
      <c r="P33" s="111" t="s">
        <v>155</v>
      </c>
      <c r="Q33" s="3">
        <f t="shared" ref="Q33:Q39" si="11">IF($A$37&gt;AJ31,$N$36*(AJ31-$A$36)+SUM($O$32:$O$35),IF($A$38&gt;AJ31,$N$37*(AJ31-$A$37)+SUM($O$32:$O$36),IF($A$39&gt;AJ31,$N$38*(AJ31-$A$38)+SUM($O$32:$O$37),$N$38*($A$39-$A$38)+SUM($O$32:$O$37))))</f>
        <v>2486.9687748442348</v>
      </c>
      <c r="U33" s="122"/>
      <c r="AC33" s="104">
        <f t="shared" si="10"/>
        <v>248.44944410742033</v>
      </c>
      <c r="AF33" s="111" t="s">
        <v>157</v>
      </c>
      <c r="AG33" s="112" t="s">
        <v>154</v>
      </c>
      <c r="AH33" s="127">
        <v>-34.5</v>
      </c>
      <c r="AI33" s="114">
        <v>1000</v>
      </c>
      <c r="AJ33" s="97">
        <f t="shared" si="5"/>
        <v>39.265000000000001</v>
      </c>
    </row>
    <row r="34" spans="1:37">
      <c r="A34" s="100">
        <v>4.2</v>
      </c>
      <c r="B34" s="100">
        <v>40</v>
      </c>
      <c r="C34" s="100">
        <v>25</v>
      </c>
      <c r="D34" s="100">
        <v>18</v>
      </c>
      <c r="E34" s="103" t="s">
        <v>141</v>
      </c>
      <c r="F34" s="100">
        <v>0</v>
      </c>
      <c r="G34" s="100">
        <v>0</v>
      </c>
      <c r="H34" s="98" t="e">
        <f>H33</f>
        <v>#REF!</v>
      </c>
      <c r="I34" s="97">
        <f t="shared" si="6"/>
        <v>69.36047530503717</v>
      </c>
      <c r="J34" s="100">
        <v>16</v>
      </c>
      <c r="K34" s="100">
        <v>300</v>
      </c>
      <c r="L34" s="98" t="e">
        <f>L32</f>
        <v>#REF!</v>
      </c>
      <c r="M34" s="97">
        <f t="shared" si="7"/>
        <v>19.232420302432153</v>
      </c>
      <c r="N34" s="97">
        <f t="shared" si="8"/>
        <v>88.59289560746933</v>
      </c>
      <c r="O34" s="97">
        <f t="shared" si="9"/>
        <v>868.21037695319956</v>
      </c>
      <c r="P34" s="111" t="s">
        <v>156</v>
      </c>
      <c r="Q34" s="3">
        <f t="shared" si="11"/>
        <v>2486.9687748442348</v>
      </c>
      <c r="U34" s="122"/>
      <c r="AC34" s="104">
        <f t="shared" si="10"/>
        <v>868.21037695319956</v>
      </c>
      <c r="AF34" s="111" t="s">
        <v>158</v>
      </c>
      <c r="AG34" s="112" t="s">
        <v>154</v>
      </c>
      <c r="AH34" s="127">
        <v>-19</v>
      </c>
      <c r="AI34" s="114">
        <v>1500</v>
      </c>
      <c r="AJ34" s="97">
        <f t="shared" si="5"/>
        <v>24.265000000000001</v>
      </c>
    </row>
    <row r="35" spans="1:37">
      <c r="A35" s="100">
        <v>14</v>
      </c>
      <c r="B35" s="100">
        <v>40</v>
      </c>
      <c r="C35" s="100">
        <v>25</v>
      </c>
      <c r="D35" s="100">
        <v>18</v>
      </c>
      <c r="E35" s="103" t="s">
        <v>141</v>
      </c>
      <c r="F35" s="100">
        <v>20</v>
      </c>
      <c r="G35" s="100">
        <v>18</v>
      </c>
      <c r="H35" s="98" t="e">
        <f>#REF!</f>
        <v>#REF!</v>
      </c>
      <c r="I35" s="97">
        <f t="shared" si="6"/>
        <v>113.75117950026096</v>
      </c>
      <c r="J35" s="100">
        <v>16</v>
      </c>
      <c r="K35" s="100">
        <v>240</v>
      </c>
      <c r="L35" s="98" t="e">
        <f>MAX(#REF!,#REF!)</f>
        <v>#REF!</v>
      </c>
      <c r="M35" s="97">
        <f t="shared" si="7"/>
        <v>24.04052537804019</v>
      </c>
      <c r="N35" s="97">
        <f t="shared" si="8"/>
        <v>137.79170487830115</v>
      </c>
      <c r="O35" s="97">
        <f t="shared" si="9"/>
        <v>137.79170487830115</v>
      </c>
      <c r="P35" s="111" t="s">
        <v>157</v>
      </c>
      <c r="Q35" s="3">
        <f t="shared" si="11"/>
        <v>2486.9687748442348</v>
      </c>
      <c r="U35" s="122"/>
      <c r="AC35" s="104">
        <f t="shared" si="10"/>
        <v>137.79170487830115</v>
      </c>
      <c r="AF35" s="111" t="s">
        <v>159</v>
      </c>
      <c r="AG35" s="112" t="s">
        <v>154</v>
      </c>
      <c r="AH35" s="127">
        <v>-19</v>
      </c>
      <c r="AI35" s="114">
        <v>1500</v>
      </c>
      <c r="AJ35" s="97">
        <f t="shared" si="5"/>
        <v>24.265000000000001</v>
      </c>
    </row>
    <row r="36" spans="1:37">
      <c r="A36" s="100">
        <v>15</v>
      </c>
      <c r="B36" s="100">
        <v>40</v>
      </c>
      <c r="C36" s="100">
        <v>20</v>
      </c>
      <c r="D36" s="100">
        <v>18</v>
      </c>
      <c r="E36" s="103" t="s">
        <v>141</v>
      </c>
      <c r="F36" s="100">
        <v>0</v>
      </c>
      <c r="G36" s="100">
        <v>0</v>
      </c>
      <c r="H36" s="98" t="e">
        <f>H35</f>
        <v>#REF!</v>
      </c>
      <c r="I36" s="97">
        <f t="shared" si="6"/>
        <v>44.390704195223783</v>
      </c>
      <c r="J36" s="100">
        <v>16</v>
      </c>
      <c r="K36" s="100">
        <v>300</v>
      </c>
      <c r="L36" s="98" t="e">
        <f>L35</f>
        <v>#REF!</v>
      </c>
      <c r="M36" s="97">
        <f t="shared" si="7"/>
        <v>19.232420302432153</v>
      </c>
      <c r="N36" s="97">
        <f t="shared" si="8"/>
        <v>63.623124497655937</v>
      </c>
      <c r="O36" s="97">
        <f t="shared" si="9"/>
        <v>318.11562248827966</v>
      </c>
      <c r="P36" s="111" t="s">
        <v>158</v>
      </c>
      <c r="Q36" s="3">
        <f t="shared" si="11"/>
        <v>2213.7392037316372</v>
      </c>
      <c r="U36" s="122"/>
      <c r="AC36" s="104">
        <f t="shared" si="10"/>
        <v>318.11562248827966</v>
      </c>
      <c r="AF36" s="111" t="s">
        <v>160</v>
      </c>
      <c r="AG36" s="112" t="s">
        <v>154</v>
      </c>
      <c r="AH36" s="127">
        <v>-17</v>
      </c>
      <c r="AI36" s="114">
        <v>1500</v>
      </c>
      <c r="AJ36" s="97">
        <f t="shared" si="5"/>
        <v>22.265000000000001</v>
      </c>
    </row>
    <row r="37" spans="1:37">
      <c r="A37" s="100">
        <v>20</v>
      </c>
      <c r="B37" s="100">
        <v>40</v>
      </c>
      <c r="C37" s="100">
        <v>20</v>
      </c>
      <c r="D37" s="100">
        <v>18</v>
      </c>
      <c r="E37" s="103" t="s">
        <v>141</v>
      </c>
      <c r="F37" s="100">
        <v>16</v>
      </c>
      <c r="G37" s="100">
        <v>18</v>
      </c>
      <c r="H37" s="98" t="e">
        <f>#REF!</f>
        <v>#REF!</v>
      </c>
      <c r="I37" s="97">
        <f t="shared" si="6"/>
        <v>72.800754880167005</v>
      </c>
      <c r="J37" s="100">
        <v>16</v>
      </c>
      <c r="K37" s="100">
        <v>240</v>
      </c>
      <c r="L37" s="98" t="e">
        <f>MAX(#REF!,#REF!)</f>
        <v>#REF!</v>
      </c>
      <c r="M37" s="97">
        <f t="shared" si="7"/>
        <v>24.04052537804019</v>
      </c>
      <c r="N37" s="97">
        <f t="shared" si="8"/>
        <v>96.841280258207192</v>
      </c>
      <c r="O37" s="97">
        <f t="shared" si="9"/>
        <v>77.473024206565825</v>
      </c>
      <c r="P37" s="111" t="s">
        <v>159</v>
      </c>
      <c r="Q37" s="3">
        <f t="shared" si="11"/>
        <v>2213.7392037316372</v>
      </c>
      <c r="U37" s="122"/>
      <c r="AC37" s="104">
        <f t="shared" si="10"/>
        <v>77.473024206565825</v>
      </c>
      <c r="AF37" s="111" t="s">
        <v>161</v>
      </c>
      <c r="AG37" s="112" t="s">
        <v>154</v>
      </c>
      <c r="AH37" s="127">
        <v>-15</v>
      </c>
      <c r="AI37" s="114">
        <v>1500</v>
      </c>
      <c r="AJ37" s="97">
        <f t="shared" si="5"/>
        <v>20.265000000000001</v>
      </c>
      <c r="AK37" s="104">
        <f>AVERAGE(AJ30:AJ37)</f>
        <v>31.139999999999993</v>
      </c>
    </row>
    <row r="38" spans="1:37">
      <c r="A38" s="100">
        <v>20.8</v>
      </c>
      <c r="B38" s="100">
        <v>40</v>
      </c>
      <c r="C38" s="100">
        <v>16</v>
      </c>
      <c r="D38" s="100">
        <v>18</v>
      </c>
      <c r="E38" s="103" t="s">
        <v>141</v>
      </c>
      <c r="F38" s="100">
        <v>0</v>
      </c>
      <c r="G38" s="100">
        <v>0</v>
      </c>
      <c r="H38" s="98" t="e">
        <f>H37</f>
        <v>#REF!</v>
      </c>
      <c r="I38" s="97">
        <f t="shared" si="6"/>
        <v>28.410050684943215</v>
      </c>
      <c r="J38" s="100">
        <v>16</v>
      </c>
      <c r="K38" s="100">
        <v>300</v>
      </c>
      <c r="L38" s="98" t="e">
        <f>L37</f>
        <v>#REF!</v>
      </c>
      <c r="M38" s="97">
        <f t="shared" si="7"/>
        <v>19.232420302432153</v>
      </c>
      <c r="N38" s="97">
        <f t="shared" si="8"/>
        <v>47.642470987375368</v>
      </c>
      <c r="O38" s="97">
        <f>IF(A39&gt;AK37,N38*(AK37-A38),N38*(A39-A38))</f>
        <v>438.31073308385334</v>
      </c>
      <c r="P38" s="111" t="s">
        <v>160</v>
      </c>
      <c r="Q38" s="3">
        <f t="shared" si="11"/>
        <v>2118.4542617568864</v>
      </c>
      <c r="U38" s="122"/>
      <c r="AC38" s="104">
        <f t="shared" si="10"/>
        <v>438.31073308385334</v>
      </c>
    </row>
    <row r="39" spans="1:37">
      <c r="A39" s="100">
        <v>30</v>
      </c>
      <c r="B39" s="100">
        <v>40</v>
      </c>
      <c r="C39" s="100">
        <v>16</v>
      </c>
      <c r="D39" s="100">
        <v>18</v>
      </c>
      <c r="E39" s="103" t="s">
        <v>141</v>
      </c>
      <c r="F39" s="100">
        <v>0</v>
      </c>
      <c r="G39" s="100">
        <v>0</v>
      </c>
      <c r="H39" s="98" t="e">
        <f>H38</f>
        <v>#REF!</v>
      </c>
      <c r="I39" s="97">
        <f t="shared" si="6"/>
        <v>28.410050684943215</v>
      </c>
      <c r="J39" s="100">
        <v>16</v>
      </c>
      <c r="K39" s="100">
        <v>300</v>
      </c>
      <c r="L39" s="98" t="e">
        <f>L38</f>
        <v>#REF!</v>
      </c>
      <c r="M39" s="97">
        <f t="shared" si="7"/>
        <v>19.232420302432153</v>
      </c>
      <c r="N39" s="97">
        <f t="shared" si="8"/>
        <v>47.642470987375368</v>
      </c>
      <c r="O39" s="97">
        <f>IF(A39&gt;AK37,0,N39*(AK37-A39))</f>
        <v>54.312416925607607</v>
      </c>
      <c r="P39" s="111" t="s">
        <v>161</v>
      </c>
      <c r="Q39" s="3">
        <f t="shared" si="11"/>
        <v>1996.8479568222406</v>
      </c>
      <c r="U39" s="122"/>
      <c r="AC39">
        <f>N39*(30-A39)</f>
        <v>0</v>
      </c>
    </row>
    <row r="40" spans="1:37" ht="15.75" thickBot="1">
      <c r="Q40" s="99">
        <f>SUM(Q32:Q39)</f>
        <v>18490.655725419339</v>
      </c>
      <c r="R40" s="89" t="s">
        <v>148</v>
      </c>
      <c r="S40" s="102">
        <f>Q40/$I$8/8</f>
        <v>0.45414803390600977</v>
      </c>
      <c r="T40" t="s">
        <v>121</v>
      </c>
      <c r="V40" s="96"/>
      <c r="AC40" s="99">
        <f>SUM(AC32:AC38)</f>
        <v>2486.9687748442348</v>
      </c>
      <c r="AD40" s="115">
        <f>O40-AC40</f>
        <v>-2486.9687748442348</v>
      </c>
    </row>
    <row r="41" spans="1:37" ht="15.75" thickTop="1">
      <c r="O41" s="104"/>
    </row>
    <row r="42" spans="1:37" ht="18.75">
      <c r="A42" s="1" t="s">
        <v>162</v>
      </c>
    </row>
    <row r="43" spans="1:37">
      <c r="AG43" s="146" t="s">
        <v>163</v>
      </c>
      <c r="AH43" s="146"/>
      <c r="AI43" s="146"/>
      <c r="AJ43" s="146"/>
      <c r="AK43" s="146"/>
    </row>
    <row r="44" spans="1:37" ht="14.45" customHeight="1">
      <c r="A44" s="144" t="s">
        <v>151</v>
      </c>
      <c r="B44" s="145" t="s">
        <v>132</v>
      </c>
      <c r="C44" s="146" t="s">
        <v>133</v>
      </c>
      <c r="D44" s="146"/>
      <c r="E44" s="146"/>
      <c r="F44" s="146"/>
      <c r="G44" s="146"/>
      <c r="H44" s="146"/>
      <c r="I44" s="146"/>
      <c r="J44" s="146" t="s">
        <v>72</v>
      </c>
      <c r="K44" s="146"/>
      <c r="L44" s="146"/>
      <c r="M44" s="146"/>
      <c r="N44" s="145" t="s">
        <v>109</v>
      </c>
      <c r="O44" s="145" t="s">
        <v>110</v>
      </c>
      <c r="Q44" t="s">
        <v>164</v>
      </c>
      <c r="AG44" s="3" t="s">
        <v>17</v>
      </c>
      <c r="AH44" s="3" t="s">
        <v>128</v>
      </c>
      <c r="AI44" s="3" t="s">
        <v>129</v>
      </c>
      <c r="AJ44" s="3" t="s">
        <v>130</v>
      </c>
      <c r="AK44" s="3" t="s">
        <v>131</v>
      </c>
    </row>
    <row r="45" spans="1:37">
      <c r="A45" s="144"/>
      <c r="B45" s="145"/>
      <c r="C45" s="3" t="s">
        <v>136</v>
      </c>
      <c r="D45" s="3" t="s">
        <v>137</v>
      </c>
      <c r="F45" s="3" t="s">
        <v>136</v>
      </c>
      <c r="G45" s="3" t="s">
        <v>137</v>
      </c>
      <c r="H45" s="3" t="s">
        <v>138</v>
      </c>
      <c r="I45" s="3" t="s">
        <v>109</v>
      </c>
      <c r="J45" s="3" t="s">
        <v>136</v>
      </c>
      <c r="K45" s="3" t="s">
        <v>139</v>
      </c>
      <c r="L45" s="3" t="s">
        <v>138</v>
      </c>
      <c r="M45" s="3" t="s">
        <v>109</v>
      </c>
      <c r="N45" s="145"/>
      <c r="O45" s="145"/>
      <c r="Q45" s="5">
        <v>6</v>
      </c>
      <c r="AC45" s="104">
        <f t="shared" ref="AC45:AC52" si="12">O46</f>
        <v>9242.6717226873006</v>
      </c>
      <c r="AD45" s="104"/>
      <c r="AE45" s="104"/>
      <c r="AF45" s="104"/>
      <c r="AG45" s="111" t="s">
        <v>165</v>
      </c>
      <c r="AH45" s="112" t="s">
        <v>135</v>
      </c>
      <c r="AI45" s="127">
        <v>-33.5</v>
      </c>
      <c r="AJ45" s="114">
        <v>3500</v>
      </c>
      <c r="AK45" s="97">
        <f t="shared" ref="AK45:AK50" si="13">AH45-AI45+AJ45/1000</f>
        <v>40.965000000000003</v>
      </c>
    </row>
    <row r="46" spans="1:37">
      <c r="A46" s="100">
        <v>0</v>
      </c>
      <c r="B46" s="100">
        <v>40</v>
      </c>
      <c r="C46" s="100">
        <v>40</v>
      </c>
      <c r="D46" s="100">
        <v>18</v>
      </c>
      <c r="E46" s="103" t="s">
        <v>141</v>
      </c>
      <c r="F46" s="100">
        <v>32</v>
      </c>
      <c r="G46" s="100">
        <v>18</v>
      </c>
      <c r="H46" s="98" t="e">
        <f>#REF!</f>
        <v>#REF!</v>
      </c>
      <c r="I46" s="97">
        <f>$C$11*((D46*PI()*((C46/1000)^2)/4)+(G46*PI()*((F46/1000)^2)/4))</f>
        <v>291.20301952066802</v>
      </c>
      <c r="J46" s="100">
        <v>25</v>
      </c>
      <c r="K46" s="100">
        <v>150</v>
      </c>
      <c r="L46" s="98" t="e">
        <f>MAX(#REF!,#REF!)</f>
        <v>#REF!</v>
      </c>
      <c r="M46" s="97">
        <f t="shared" ref="M46:M54" si="14">$C$11*$C$14*PI()*((J46/1000)^2)/4*1000/K46</f>
        <v>93.90830225796951</v>
      </c>
      <c r="N46" s="97">
        <f>I46+M46</f>
        <v>385.11132177863755</v>
      </c>
      <c r="O46" s="97">
        <f>$Q$45*N46*(A47-A46)</f>
        <v>9242.6717226873006</v>
      </c>
      <c r="AC46" s="104" t="e">
        <f t="shared" si="12"/>
        <v>#REF!</v>
      </c>
      <c r="AD46" s="104"/>
      <c r="AE46" s="104"/>
      <c r="AF46" s="104"/>
      <c r="AG46" s="111" t="s">
        <v>166</v>
      </c>
      <c r="AH46" s="112" t="s">
        <v>135</v>
      </c>
      <c r="AI46" s="127">
        <v>-33</v>
      </c>
      <c r="AJ46" s="114">
        <v>3500</v>
      </c>
      <c r="AK46" s="97">
        <f t="shared" si="13"/>
        <v>40.465000000000003</v>
      </c>
    </row>
    <row r="47" spans="1:37">
      <c r="A47" s="100">
        <v>4</v>
      </c>
      <c r="B47" s="100">
        <v>40</v>
      </c>
      <c r="C47" s="100">
        <v>40</v>
      </c>
      <c r="D47" s="100" t="e">
        <f>#REF!</f>
        <v>#REF!</v>
      </c>
      <c r="E47" s="103" t="s">
        <v>141</v>
      </c>
      <c r="F47" s="100">
        <v>0</v>
      </c>
      <c r="G47" s="100">
        <v>0</v>
      </c>
      <c r="H47" s="98" t="e">
        <f>#REF!</f>
        <v>#REF!</v>
      </c>
      <c r="I47" s="97" t="e">
        <f>$C$11*((D47*PI()*((C47/1000)^2)/4)+(G47*PI()*((F47/1000)^2)/4))</f>
        <v>#REF!</v>
      </c>
      <c r="J47" s="100">
        <v>25</v>
      </c>
      <c r="K47" s="100">
        <v>150</v>
      </c>
      <c r="L47" s="98" t="e">
        <f>MAX(#REF!,#REF!)</f>
        <v>#REF!</v>
      </c>
      <c r="M47" s="97">
        <f t="shared" si="14"/>
        <v>93.90830225796951</v>
      </c>
      <c r="N47" s="97" t="e">
        <f t="shared" ref="N47:N54" si="15">I47+M47</f>
        <v>#REF!</v>
      </c>
      <c r="O47" s="97" t="e">
        <f t="shared" ref="O47:O53" si="16">$Q$45*N47*(A48-A47)</f>
        <v>#REF!</v>
      </c>
      <c r="AC47" s="104" t="e">
        <f t="shared" si="12"/>
        <v>#REF!</v>
      </c>
      <c r="AD47" s="104"/>
      <c r="AE47" s="104"/>
      <c r="AF47" s="104"/>
      <c r="AG47" s="111" t="s">
        <v>167</v>
      </c>
      <c r="AH47" s="112" t="s">
        <v>135</v>
      </c>
      <c r="AI47" s="127">
        <v>-34.5</v>
      </c>
      <c r="AJ47" s="114">
        <v>3000</v>
      </c>
      <c r="AK47" s="97">
        <f t="shared" si="13"/>
        <v>41.465000000000003</v>
      </c>
    </row>
    <row r="48" spans="1:37">
      <c r="A48" s="100">
        <v>5</v>
      </c>
      <c r="B48" s="100">
        <v>40</v>
      </c>
      <c r="C48" s="100" t="e">
        <f>#REF!</f>
        <v>#REF!</v>
      </c>
      <c r="D48" s="100" t="e">
        <f>#REF!</f>
        <v>#REF!</v>
      </c>
      <c r="E48" s="103" t="s">
        <v>141</v>
      </c>
      <c r="F48" s="100" t="e">
        <f>#REF!</f>
        <v>#REF!</v>
      </c>
      <c r="G48" s="100" t="e">
        <f>#REF!</f>
        <v>#REF!</v>
      </c>
      <c r="H48" s="98" t="e">
        <f>H47</f>
        <v>#REF!</v>
      </c>
      <c r="I48" s="97" t="e">
        <f>$C$11*((D48*PI()*((C48/1000)^2)/4)+(G48*PI()*((F48/1000)^2)/4))</f>
        <v>#REF!</v>
      </c>
      <c r="J48" s="100">
        <v>16</v>
      </c>
      <c r="K48" s="100">
        <v>300</v>
      </c>
      <c r="L48" s="98" t="e">
        <f>MAX(#REF!,#REF!)</f>
        <v>#REF!</v>
      </c>
      <c r="M48" s="97">
        <f t="shared" si="14"/>
        <v>19.232420302432153</v>
      </c>
      <c r="N48" s="97" t="e">
        <f t="shared" si="15"/>
        <v>#REF!</v>
      </c>
      <c r="O48" s="97" t="e">
        <f t="shared" si="16"/>
        <v>#REF!</v>
      </c>
      <c r="AC48" s="104">
        <f t="shared" si="12"/>
        <v>4549.9939072779653</v>
      </c>
      <c r="AD48" s="104"/>
      <c r="AE48" s="104"/>
      <c r="AF48" s="104"/>
      <c r="AG48" s="111" t="s">
        <v>168</v>
      </c>
      <c r="AH48" s="112" t="s">
        <v>135</v>
      </c>
      <c r="AI48" s="127">
        <v>-28</v>
      </c>
      <c r="AJ48" s="114">
        <v>3500</v>
      </c>
      <c r="AK48" s="97">
        <f t="shared" si="13"/>
        <v>35.465000000000003</v>
      </c>
    </row>
    <row r="49" spans="1:38">
      <c r="A49" s="100">
        <v>8.5</v>
      </c>
      <c r="B49" s="100">
        <v>40</v>
      </c>
      <c r="C49" s="100">
        <v>40</v>
      </c>
      <c r="D49" s="100">
        <v>18</v>
      </c>
      <c r="E49" s="103" t="s">
        <v>141</v>
      </c>
      <c r="F49" s="100">
        <v>40</v>
      </c>
      <c r="G49" s="100">
        <v>18</v>
      </c>
      <c r="H49" s="98" t="e">
        <f>H48</f>
        <v>#REF!</v>
      </c>
      <c r="I49" s="97">
        <f t="shared" ref="I49:I54" si="17">$C$11*((D49*PI()*((C49/1000)^2)/4)+(G49*PI()*((F49/1000)^2)/4))</f>
        <v>355.12563356179027</v>
      </c>
      <c r="J49" s="100">
        <v>16</v>
      </c>
      <c r="K49" s="100">
        <v>240</v>
      </c>
      <c r="L49" s="98" t="e">
        <f>L48</f>
        <v>#REF!</v>
      </c>
      <c r="M49" s="97">
        <f t="shared" si="14"/>
        <v>24.04052537804019</v>
      </c>
      <c r="N49" s="97">
        <f t="shared" si="15"/>
        <v>379.16615893983044</v>
      </c>
      <c r="O49" s="97">
        <f t="shared" si="16"/>
        <v>4549.9939072779653</v>
      </c>
      <c r="AC49" s="104">
        <f t="shared" si="12"/>
        <v>6494.2428237498007</v>
      </c>
      <c r="AD49" s="104"/>
      <c r="AE49" s="104"/>
      <c r="AF49" s="104"/>
      <c r="AG49" s="111" t="s">
        <v>169</v>
      </c>
      <c r="AH49" s="112" t="s">
        <v>135</v>
      </c>
      <c r="AI49" s="127">
        <v>-27</v>
      </c>
      <c r="AJ49" s="114">
        <v>3500</v>
      </c>
      <c r="AK49" s="97">
        <f t="shared" si="13"/>
        <v>34.465000000000003</v>
      </c>
    </row>
    <row r="50" spans="1:38">
      <c r="A50" s="100">
        <v>10.5</v>
      </c>
      <c r="B50" s="100">
        <v>40</v>
      </c>
      <c r="C50" s="100">
        <v>40</v>
      </c>
      <c r="D50" s="100">
        <v>18</v>
      </c>
      <c r="E50" s="103" t="s">
        <v>141</v>
      </c>
      <c r="F50" s="100">
        <v>0</v>
      </c>
      <c r="G50" s="100">
        <v>0</v>
      </c>
      <c r="H50" s="98" t="e">
        <f>H49</f>
        <v>#REF!</v>
      </c>
      <c r="I50" s="97">
        <f t="shared" si="17"/>
        <v>177.56281678089513</v>
      </c>
      <c r="J50" s="100">
        <v>16</v>
      </c>
      <c r="K50" s="100">
        <v>300</v>
      </c>
      <c r="L50" s="98" t="e">
        <f>L49</f>
        <v>#REF!</v>
      </c>
      <c r="M50" s="97">
        <f t="shared" si="14"/>
        <v>19.232420302432153</v>
      </c>
      <c r="N50" s="97">
        <f t="shared" si="15"/>
        <v>196.79523708332729</v>
      </c>
      <c r="O50" s="97">
        <f t="shared" si="16"/>
        <v>6494.2428237498007</v>
      </c>
      <c r="AC50" s="104">
        <f t="shared" si="12"/>
        <v>2837.1919040883736</v>
      </c>
      <c r="AD50" s="104"/>
      <c r="AE50" s="104"/>
      <c r="AF50" s="104"/>
      <c r="AG50" s="111" t="s">
        <v>170</v>
      </c>
      <c r="AH50" s="112" t="s">
        <v>135</v>
      </c>
      <c r="AI50" s="127">
        <v>-24.5</v>
      </c>
      <c r="AJ50" s="114">
        <v>3500</v>
      </c>
      <c r="AK50" s="97">
        <f t="shared" si="13"/>
        <v>31.965</v>
      </c>
      <c r="AL50" s="104">
        <f>AVERAGE(AK45:AK50)</f>
        <v>37.465000000000003</v>
      </c>
    </row>
    <row r="51" spans="1:38">
      <c r="A51" s="100">
        <v>16</v>
      </c>
      <c r="B51" s="100">
        <v>40</v>
      </c>
      <c r="C51" s="100">
        <v>40</v>
      </c>
      <c r="D51" s="100">
        <v>18</v>
      </c>
      <c r="E51" s="103" t="s">
        <v>141</v>
      </c>
      <c r="F51" s="100">
        <v>32</v>
      </c>
      <c r="G51" s="100">
        <v>18</v>
      </c>
      <c r="H51" s="98" t="e">
        <f>#REF!</f>
        <v>#REF!</v>
      </c>
      <c r="I51" s="97">
        <f t="shared" si="17"/>
        <v>291.20301952066802</v>
      </c>
      <c r="J51" s="100">
        <v>16</v>
      </c>
      <c r="K51" s="100">
        <v>240</v>
      </c>
      <c r="L51" s="98" t="e">
        <f>MAX(#REF!,#REF!)</f>
        <v>#REF!</v>
      </c>
      <c r="M51" s="97">
        <f t="shared" si="14"/>
        <v>24.04052537804019</v>
      </c>
      <c r="N51" s="97">
        <f t="shared" si="15"/>
        <v>315.24354489870819</v>
      </c>
      <c r="O51" s="97">
        <f t="shared" si="16"/>
        <v>2837.1919040883736</v>
      </c>
      <c r="AC51" s="104">
        <f t="shared" si="12"/>
        <v>5182.032298645996</v>
      </c>
    </row>
    <row r="52" spans="1:38">
      <c r="A52" s="100">
        <v>17.5</v>
      </c>
      <c r="B52" s="100">
        <v>40</v>
      </c>
      <c r="C52" s="100">
        <v>32</v>
      </c>
      <c r="D52" s="100">
        <v>18</v>
      </c>
      <c r="E52" s="103" t="s">
        <v>141</v>
      </c>
      <c r="F52" s="100">
        <v>0</v>
      </c>
      <c r="G52" s="100">
        <v>0</v>
      </c>
      <c r="H52" s="98" t="e">
        <f>H51</f>
        <v>#REF!</v>
      </c>
      <c r="I52" s="97">
        <f t="shared" si="17"/>
        <v>113.64020273977286</v>
      </c>
      <c r="J52" s="100">
        <v>16</v>
      </c>
      <c r="K52" s="100">
        <v>300</v>
      </c>
      <c r="L52" s="98" t="e">
        <f>L51</f>
        <v>#REF!</v>
      </c>
      <c r="M52" s="97">
        <f t="shared" si="14"/>
        <v>19.232420302432153</v>
      </c>
      <c r="N52" s="97">
        <f t="shared" si="15"/>
        <v>132.87262304220502</v>
      </c>
      <c r="O52" s="97">
        <f t="shared" si="16"/>
        <v>5182.032298645996</v>
      </c>
      <c r="AC52" s="104">
        <f t="shared" si="12"/>
        <v>2286.8386073940178</v>
      </c>
    </row>
    <row r="53" spans="1:38">
      <c r="A53" s="100">
        <v>24</v>
      </c>
      <c r="B53" s="100">
        <v>40</v>
      </c>
      <c r="C53" s="100">
        <v>16</v>
      </c>
      <c r="D53" s="100">
        <v>18</v>
      </c>
      <c r="E53" s="103" t="s">
        <v>141</v>
      </c>
      <c r="F53" s="100">
        <v>0</v>
      </c>
      <c r="G53" s="100">
        <v>0</v>
      </c>
      <c r="H53" s="98" t="e">
        <f>MAX(#REF!)</f>
        <v>#REF!</v>
      </c>
      <c r="I53" s="97">
        <f t="shared" si="17"/>
        <v>28.410050684943215</v>
      </c>
      <c r="J53" s="100">
        <v>16</v>
      </c>
      <c r="K53" s="100">
        <v>300</v>
      </c>
      <c r="L53" s="98"/>
      <c r="M53" s="97">
        <f t="shared" si="14"/>
        <v>19.232420302432153</v>
      </c>
      <c r="N53" s="97">
        <f t="shared" si="15"/>
        <v>47.642470987375368</v>
      </c>
      <c r="O53" s="97">
        <f t="shared" si="16"/>
        <v>2286.8386073940178</v>
      </c>
      <c r="AC53">
        <f>N54*(21-A54)</f>
        <v>-524.06718086112903</v>
      </c>
    </row>
    <row r="54" spans="1:38" ht="15.75" thickBot="1">
      <c r="A54" s="100">
        <v>32</v>
      </c>
      <c r="B54" s="100">
        <v>40</v>
      </c>
      <c r="C54" s="100">
        <v>16</v>
      </c>
      <c r="D54" s="100">
        <v>18</v>
      </c>
      <c r="E54" s="103" t="s">
        <v>141</v>
      </c>
      <c r="F54" s="100">
        <v>0</v>
      </c>
      <c r="G54" s="100">
        <v>0</v>
      </c>
      <c r="H54" s="98" t="e">
        <f>H53</f>
        <v>#REF!</v>
      </c>
      <c r="I54" s="97">
        <f t="shared" si="17"/>
        <v>28.410050684943215</v>
      </c>
      <c r="J54" s="100">
        <v>16</v>
      </c>
      <c r="K54" s="100">
        <v>300</v>
      </c>
      <c r="L54" s="98"/>
      <c r="M54" s="97">
        <f t="shared" si="14"/>
        <v>19.232420302432153</v>
      </c>
      <c r="N54" s="97">
        <f t="shared" si="15"/>
        <v>47.642470987375368</v>
      </c>
      <c r="O54" s="97">
        <f>$Q$45*N54*($AL$50-A54)</f>
        <v>1562.1966236760393</v>
      </c>
      <c r="AC54" s="99" t="e">
        <f>SUM(AC45:AC53)</f>
        <v>#REF!</v>
      </c>
      <c r="AD54" s="115" t="e">
        <f>O55-AC54</f>
        <v>#REF!</v>
      </c>
      <c r="AE54" s="115"/>
      <c r="AF54" s="115"/>
    </row>
    <row r="55" spans="1:38" ht="16.5" thickTop="1" thickBot="1">
      <c r="O55" s="99" t="e">
        <f>SUM(O46:O54)</f>
        <v>#REF!</v>
      </c>
      <c r="P55" s="89" t="s">
        <v>148</v>
      </c>
      <c r="Q55" s="102" t="e">
        <f>O55/$D$9/Q45</f>
        <v>#REF!</v>
      </c>
      <c r="R55" t="s">
        <v>121</v>
      </c>
    </row>
    <row r="56" spans="1:38" ht="15.75" thickTop="1">
      <c r="AG56" s="146" t="s">
        <v>171</v>
      </c>
      <c r="AH56" s="146"/>
      <c r="AI56" s="146"/>
      <c r="AJ56" s="146"/>
      <c r="AK56" s="146"/>
    </row>
    <row r="57" spans="1:38" ht="18.75">
      <c r="A57" s="1" t="s">
        <v>172</v>
      </c>
      <c r="AG57" s="3" t="s">
        <v>17</v>
      </c>
      <c r="AH57" s="3" t="s">
        <v>128</v>
      </c>
      <c r="AI57" s="3" t="s">
        <v>129</v>
      </c>
      <c r="AJ57" s="3" t="s">
        <v>130</v>
      </c>
      <c r="AK57" s="3" t="s">
        <v>131</v>
      </c>
    </row>
    <row r="58" spans="1:38">
      <c r="AG58" s="111" t="s">
        <v>173</v>
      </c>
      <c r="AH58" s="112" t="s">
        <v>154</v>
      </c>
      <c r="AI58" s="127">
        <v>-34</v>
      </c>
      <c r="AJ58" s="114">
        <v>4000</v>
      </c>
      <c r="AK58" s="97">
        <f t="shared" ref="AK58:AK63" si="18">AH58-AI58+AJ58/1000</f>
        <v>41.765000000000001</v>
      </c>
    </row>
    <row r="59" spans="1:38" ht="14.45" customHeight="1">
      <c r="A59" s="144" t="s">
        <v>151</v>
      </c>
      <c r="B59" s="145" t="s">
        <v>132</v>
      </c>
      <c r="C59" s="146" t="s">
        <v>133</v>
      </c>
      <c r="D59" s="146"/>
      <c r="E59" s="146"/>
      <c r="F59" s="146"/>
      <c r="G59" s="146"/>
      <c r="H59" s="146"/>
      <c r="I59" s="146"/>
      <c r="J59" s="146" t="s">
        <v>72</v>
      </c>
      <c r="K59" s="146"/>
      <c r="L59" s="146"/>
      <c r="M59" s="146"/>
      <c r="N59" s="145" t="s">
        <v>109</v>
      </c>
      <c r="O59" s="145" t="s">
        <v>110</v>
      </c>
      <c r="Q59" t="s">
        <v>174</v>
      </c>
      <c r="AG59" s="111" t="s">
        <v>175</v>
      </c>
      <c r="AH59" s="112" t="s">
        <v>154</v>
      </c>
      <c r="AI59" s="127">
        <v>-33</v>
      </c>
      <c r="AJ59" s="114">
        <v>4000</v>
      </c>
      <c r="AK59" s="97">
        <f t="shared" si="18"/>
        <v>40.765000000000001</v>
      </c>
    </row>
    <row r="60" spans="1:38">
      <c r="A60" s="144"/>
      <c r="B60" s="145"/>
      <c r="C60" s="3" t="s">
        <v>136</v>
      </c>
      <c r="D60" s="3" t="s">
        <v>137</v>
      </c>
      <c r="F60" s="3" t="s">
        <v>136</v>
      </c>
      <c r="G60" s="3" t="s">
        <v>137</v>
      </c>
      <c r="H60" s="3" t="s">
        <v>138</v>
      </c>
      <c r="I60" s="3" t="s">
        <v>109</v>
      </c>
      <c r="J60" s="3" t="s">
        <v>136</v>
      </c>
      <c r="K60" s="3" t="s">
        <v>139</v>
      </c>
      <c r="L60" s="3" t="s">
        <v>138</v>
      </c>
      <c r="M60" s="3" t="s">
        <v>109</v>
      </c>
      <c r="N60" s="145"/>
      <c r="O60" s="145"/>
      <c r="Q60" s="5">
        <v>6</v>
      </c>
      <c r="AC60" s="104" t="e">
        <f>O61</f>
        <v>#REF!</v>
      </c>
      <c r="AG60" s="111" t="s">
        <v>176</v>
      </c>
      <c r="AH60" s="112" t="s">
        <v>154</v>
      </c>
      <c r="AI60" s="127">
        <v>-33</v>
      </c>
      <c r="AJ60" s="114">
        <v>4000</v>
      </c>
      <c r="AK60" s="97">
        <f t="shared" si="18"/>
        <v>40.765000000000001</v>
      </c>
    </row>
    <row r="61" spans="1:38">
      <c r="A61" s="100">
        <v>0</v>
      </c>
      <c r="B61" s="100">
        <v>40</v>
      </c>
      <c r="C61" s="100">
        <v>32</v>
      </c>
      <c r="D61" s="100" t="e">
        <f>#REF!</f>
        <v>#REF!</v>
      </c>
      <c r="E61" s="103" t="s">
        <v>141</v>
      </c>
      <c r="F61" s="100">
        <v>0</v>
      </c>
      <c r="G61" s="100">
        <v>0</v>
      </c>
      <c r="H61" s="98" t="e">
        <f>#REF!</f>
        <v>#REF!</v>
      </c>
      <c r="I61" s="97" t="e">
        <f>$C$11*((D61*PI()*((C61/1000)^2)/4)+(G61*PI()*((F61/1000)^2)/4))</f>
        <v>#REF!</v>
      </c>
      <c r="J61" s="100">
        <v>16</v>
      </c>
      <c r="K61" s="100">
        <v>300</v>
      </c>
      <c r="L61" s="98" t="e">
        <f>MAX(#REF!,#REF!)</f>
        <v>#REF!</v>
      </c>
      <c r="M61" s="97">
        <f>$C$11*$C$14*PI()*((J61/1000)^2)/4*1000/K61</f>
        <v>19.232420302432153</v>
      </c>
      <c r="N61" s="97" t="e">
        <f>I61+M61</f>
        <v>#REF!</v>
      </c>
      <c r="O61" s="97" t="e">
        <f>$Q$60*N61*(A62-A61)</f>
        <v>#REF!</v>
      </c>
      <c r="AC61" s="104">
        <f>O62</f>
        <v>11912.095590355215</v>
      </c>
      <c r="AG61" s="111" t="s">
        <v>177</v>
      </c>
      <c r="AH61" s="112" t="s">
        <v>154</v>
      </c>
      <c r="AI61" s="127">
        <v>-26</v>
      </c>
      <c r="AJ61" s="114">
        <v>4000</v>
      </c>
      <c r="AK61" s="97">
        <f t="shared" si="18"/>
        <v>33.765000000000001</v>
      </c>
    </row>
    <row r="62" spans="1:38">
      <c r="A62" s="100">
        <v>12.4</v>
      </c>
      <c r="B62" s="100">
        <v>40</v>
      </c>
      <c r="C62" s="100">
        <v>32</v>
      </c>
      <c r="D62" s="100">
        <v>18</v>
      </c>
      <c r="E62" s="103" t="s">
        <v>141</v>
      </c>
      <c r="F62" s="100">
        <v>20</v>
      </c>
      <c r="G62" s="100">
        <v>18</v>
      </c>
      <c r="H62" s="98" t="e">
        <f>#REF!</f>
        <v>#REF!</v>
      </c>
      <c r="I62" s="97">
        <f>$C$11*((D62*PI()*((C62/1000)^2)/4)+(G62*PI()*((F62/1000)^2)/4))</f>
        <v>158.03090693499664</v>
      </c>
      <c r="J62" s="100">
        <v>16</v>
      </c>
      <c r="K62" s="100">
        <v>300</v>
      </c>
      <c r="L62" s="98" t="e">
        <f>MAX(#REF!,#REF!)</f>
        <v>#REF!</v>
      </c>
      <c r="M62" s="97">
        <f>$C$11*$C$14*PI()*((J62/1000)^2)/4*1000/K62</f>
        <v>19.232420302432153</v>
      </c>
      <c r="N62" s="97">
        <f>I62+M62</f>
        <v>177.2633272374288</v>
      </c>
      <c r="O62" s="97">
        <f>$Q$60*N62*(A63-A62)</f>
        <v>11912.095590355215</v>
      </c>
      <c r="AC62" s="104">
        <f>O63</f>
        <v>6696.7802013271321</v>
      </c>
      <c r="AG62" s="111" t="s">
        <v>178</v>
      </c>
      <c r="AH62" s="112" t="s">
        <v>154</v>
      </c>
      <c r="AI62" s="127">
        <v>-22.5</v>
      </c>
      <c r="AJ62" s="114">
        <v>4000</v>
      </c>
      <c r="AK62" s="97">
        <f t="shared" si="18"/>
        <v>30.265000000000001</v>
      </c>
    </row>
    <row r="63" spans="1:38">
      <c r="A63" s="100">
        <v>23.6</v>
      </c>
      <c r="B63" s="100">
        <v>40</v>
      </c>
      <c r="C63" s="100">
        <v>32</v>
      </c>
      <c r="D63" s="100">
        <v>18</v>
      </c>
      <c r="E63" s="103" t="s">
        <v>141</v>
      </c>
      <c r="F63" s="100">
        <v>0</v>
      </c>
      <c r="G63" s="100">
        <v>0</v>
      </c>
      <c r="H63" s="98" t="e">
        <f>#REF!</f>
        <v>#REF!</v>
      </c>
      <c r="I63" s="97">
        <f>$C$11*((D63*PI()*((C63/1000)^2)/4)+(G63*PI()*((F63/1000)^2)/4))</f>
        <v>113.64020273977286</v>
      </c>
      <c r="J63" s="100">
        <v>16</v>
      </c>
      <c r="K63" s="100">
        <v>300</v>
      </c>
      <c r="L63" s="98" t="e">
        <f>MAX(#REF!,#REF!)</f>
        <v>#REF!</v>
      </c>
      <c r="M63" s="97">
        <f>$C$11*$C$14*PI()*((J63/1000)^2)/4*1000/K63</f>
        <v>19.232420302432153</v>
      </c>
      <c r="N63" s="97">
        <f>I63+M63</f>
        <v>132.87262304220502</v>
      </c>
      <c r="O63" s="97">
        <f>$Q$60*N63*(A64-A63)</f>
        <v>6696.7802013271321</v>
      </c>
      <c r="AC63">
        <f>N64*(30-A64)</f>
        <v>-177.18579121493866</v>
      </c>
      <c r="AG63" s="111" t="s">
        <v>179</v>
      </c>
      <c r="AH63" s="112" t="s">
        <v>154</v>
      </c>
      <c r="AI63" s="127">
        <v>-20.5</v>
      </c>
      <c r="AJ63" s="114">
        <v>4000</v>
      </c>
      <c r="AK63" s="97">
        <f t="shared" si="18"/>
        <v>28.265000000000001</v>
      </c>
      <c r="AL63" s="104">
        <f>AVERAGE(AK58:AK63)</f>
        <v>35.931666666666665</v>
      </c>
    </row>
    <row r="64" spans="1:38" ht="15.75" thickBot="1">
      <c r="A64" s="100">
        <v>32</v>
      </c>
      <c r="B64" s="100">
        <v>40</v>
      </c>
      <c r="C64" s="100">
        <v>25</v>
      </c>
      <c r="D64" s="100">
        <v>18</v>
      </c>
      <c r="E64" s="103" t="s">
        <v>141</v>
      </c>
      <c r="F64" s="100">
        <v>0</v>
      </c>
      <c r="G64" s="100">
        <v>0</v>
      </c>
      <c r="H64" s="98" t="e">
        <f>MAX(#REF!)</f>
        <v>#REF!</v>
      </c>
      <c r="I64" s="97">
        <f>$C$11*((D64*PI()*((C64/1000)^2)/4)+(G64*PI()*((F64/1000)^2)/4))</f>
        <v>69.36047530503717</v>
      </c>
      <c r="J64" s="100">
        <v>16</v>
      </c>
      <c r="K64" s="100">
        <v>300</v>
      </c>
      <c r="L64" s="98"/>
      <c r="M64" s="97">
        <f>$C$11*$C$14*PI()*((J64/1000)^2)/4*1000/K64</f>
        <v>19.232420302432153</v>
      </c>
      <c r="N64" s="97">
        <f>I64+M64</f>
        <v>88.59289560746933</v>
      </c>
      <c r="O64" s="97">
        <f>$Q$60*N64*($AL$63-A64)</f>
        <v>2089.9064073802001</v>
      </c>
      <c r="AC64" s="99" t="e">
        <f>SUM(AC60:AC63)</f>
        <v>#REF!</v>
      </c>
      <c r="AD64" s="115" t="e">
        <f>O65-AC64</f>
        <v>#REF!</v>
      </c>
    </row>
    <row r="65" spans="1:38" ht="16.5" thickTop="1" thickBot="1">
      <c r="O65" s="99" t="e">
        <f>SUM(O61:O64)</f>
        <v>#REF!</v>
      </c>
      <c r="P65" s="89" t="s">
        <v>148</v>
      </c>
      <c r="Q65" s="102" t="e">
        <f>O65/$I$8/Q60</f>
        <v>#REF!</v>
      </c>
      <c r="R65" t="s">
        <v>121</v>
      </c>
    </row>
    <row r="66" spans="1:38" ht="15.75" thickTop="1">
      <c r="K66" s="104"/>
    </row>
    <row r="67" spans="1:38" ht="18.75">
      <c r="A67" s="1" t="s">
        <v>180</v>
      </c>
      <c r="AG67" s="146" t="s">
        <v>181</v>
      </c>
      <c r="AH67" s="146"/>
      <c r="AI67" s="146"/>
      <c r="AJ67" s="146"/>
      <c r="AK67" s="146"/>
    </row>
    <row r="68" spans="1:38">
      <c r="AG68" s="3" t="s">
        <v>17</v>
      </c>
      <c r="AH68" s="3" t="s">
        <v>128</v>
      </c>
      <c r="AI68" s="3" t="s">
        <v>129</v>
      </c>
      <c r="AJ68" s="3" t="s">
        <v>130</v>
      </c>
      <c r="AK68" s="3" t="s">
        <v>131</v>
      </c>
    </row>
    <row r="69" spans="1:38" ht="14.45" customHeight="1">
      <c r="A69" s="148" t="s">
        <v>151</v>
      </c>
      <c r="B69" s="150" t="s">
        <v>132</v>
      </c>
      <c r="C69" s="146" t="s">
        <v>133</v>
      </c>
      <c r="D69" s="146"/>
      <c r="E69" s="146"/>
      <c r="F69" s="146"/>
      <c r="G69" s="146"/>
      <c r="H69" s="146"/>
      <c r="I69" s="146"/>
      <c r="J69" s="152" t="s">
        <v>72</v>
      </c>
      <c r="K69" s="153"/>
      <c r="L69" s="153"/>
      <c r="M69" s="154"/>
      <c r="N69" s="150" t="s">
        <v>109</v>
      </c>
      <c r="O69" s="150" t="s">
        <v>110</v>
      </c>
      <c r="Q69" t="s">
        <v>182</v>
      </c>
      <c r="AG69" s="111" t="s">
        <v>183</v>
      </c>
      <c r="AH69" s="112" t="s">
        <v>135</v>
      </c>
      <c r="AI69" s="127">
        <v>-35</v>
      </c>
      <c r="AJ69" s="114">
        <v>3000</v>
      </c>
      <c r="AK69" s="97">
        <f>AH69-AI69+AJ69/1000</f>
        <v>41.965000000000003</v>
      </c>
    </row>
    <row r="70" spans="1:38">
      <c r="A70" s="149"/>
      <c r="B70" s="151"/>
      <c r="C70" s="3" t="s">
        <v>136</v>
      </c>
      <c r="D70" s="3" t="s">
        <v>137</v>
      </c>
      <c r="F70" s="3" t="s">
        <v>136</v>
      </c>
      <c r="G70" s="3" t="s">
        <v>137</v>
      </c>
      <c r="H70" s="3" t="s">
        <v>138</v>
      </c>
      <c r="I70" s="3" t="s">
        <v>109</v>
      </c>
      <c r="J70" s="3" t="s">
        <v>136</v>
      </c>
      <c r="K70" s="3" t="s">
        <v>139</v>
      </c>
      <c r="L70" s="3" t="s">
        <v>138</v>
      </c>
      <c r="M70" s="3" t="s">
        <v>109</v>
      </c>
      <c r="N70" s="151"/>
      <c r="O70" s="151"/>
      <c r="Q70" s="5">
        <v>11</v>
      </c>
      <c r="AC70" s="104">
        <f t="shared" ref="AC70:AC77" si="19">O71</f>
        <v>9697.9556260922618</v>
      </c>
      <c r="AD70" s="104"/>
      <c r="AE70" s="104"/>
      <c r="AF70" s="104"/>
      <c r="AG70" s="111" t="s">
        <v>184</v>
      </c>
      <c r="AH70" s="112" t="s">
        <v>135</v>
      </c>
      <c r="AI70" s="127">
        <v>-35</v>
      </c>
      <c r="AJ70" s="114">
        <v>3000</v>
      </c>
      <c r="AK70" s="97">
        <f t="shared" ref="AK70:AK79" si="20">AH70-AI70+AJ70/1000</f>
        <v>41.965000000000003</v>
      </c>
    </row>
    <row r="71" spans="1:38">
      <c r="A71" s="100">
        <v>0</v>
      </c>
      <c r="B71" s="100">
        <v>40</v>
      </c>
      <c r="C71" s="100">
        <v>40</v>
      </c>
      <c r="D71" s="100">
        <v>18</v>
      </c>
      <c r="E71" s="103" t="s">
        <v>141</v>
      </c>
      <c r="F71" s="100">
        <v>25</v>
      </c>
      <c r="G71" s="100">
        <v>18</v>
      </c>
      <c r="H71" s="98" t="e">
        <f>#REF!</f>
        <v>#REF!</v>
      </c>
      <c r="I71" s="97">
        <f>$C$11*((D71*PI()*((C71/1000)^2)/4)+(G71*PI()*((F71/1000)^2)/4))</f>
        <v>246.9232920859323</v>
      </c>
      <c r="J71" s="100">
        <v>25</v>
      </c>
      <c r="K71" s="100">
        <v>300</v>
      </c>
      <c r="L71" s="98" t="e">
        <f>MAX(#REF!,#REF!)</f>
        <v>#REF!</v>
      </c>
      <c r="M71" s="97">
        <f t="shared" ref="M71:M79" si="21">$C$11*$C$14*PI()*((J71/1000)^2)/4*1000/K71</f>
        <v>46.954151128984755</v>
      </c>
      <c r="N71" s="97">
        <f t="shared" ref="N71:N79" si="22">I71+M71</f>
        <v>293.87744321491704</v>
      </c>
      <c r="O71" s="97">
        <f>$Q$70*N71*(A72-A71)</f>
        <v>9697.9556260922618</v>
      </c>
      <c r="AC71" s="104">
        <f t="shared" si="19"/>
        <v>4939.3732940173577</v>
      </c>
      <c r="AD71" s="104"/>
      <c r="AE71" s="104"/>
      <c r="AF71" s="104"/>
      <c r="AG71" s="111" t="s">
        <v>185</v>
      </c>
      <c r="AH71" s="112" t="s">
        <v>135</v>
      </c>
      <c r="AI71" s="127">
        <v>-35.5</v>
      </c>
      <c r="AJ71" s="114">
        <v>3000</v>
      </c>
      <c r="AK71" s="97">
        <f t="shared" si="20"/>
        <v>42.465000000000003</v>
      </c>
    </row>
    <row r="72" spans="1:38">
      <c r="A72" s="100">
        <v>3</v>
      </c>
      <c r="B72" s="100">
        <v>40</v>
      </c>
      <c r="C72" s="100">
        <v>40</v>
      </c>
      <c r="D72" s="100">
        <v>18</v>
      </c>
      <c r="E72" s="103" t="s">
        <v>141</v>
      </c>
      <c r="F72" s="100">
        <v>0</v>
      </c>
      <c r="G72" s="100">
        <v>0</v>
      </c>
      <c r="H72" s="98" t="e">
        <f>#REF!</f>
        <v>#REF!</v>
      </c>
      <c r="I72" s="97">
        <f t="shared" ref="I72:I79" si="23">$C$11*((D72*PI()*((C72/1000)^2)/4)+(G72*PI()*((F72/1000)^2)/4))</f>
        <v>177.56281678089513</v>
      </c>
      <c r="J72" s="100">
        <v>25</v>
      </c>
      <c r="K72" s="100">
        <v>300</v>
      </c>
      <c r="L72" s="98" t="e">
        <f>MAX(#REF!,#REF!)</f>
        <v>#REF!</v>
      </c>
      <c r="M72" s="97">
        <f t="shared" si="21"/>
        <v>46.954151128984755</v>
      </c>
      <c r="N72" s="97">
        <f t="shared" si="22"/>
        <v>224.5169679098799</v>
      </c>
      <c r="O72" s="97">
        <f t="shared" ref="O72:O78" si="24">$Q$70*N72*(A73-A72)</f>
        <v>4939.3732940173577</v>
      </c>
      <c r="AC72" s="104">
        <f t="shared" si="19"/>
        <v>11906.111843541303</v>
      </c>
      <c r="AD72" s="104"/>
      <c r="AE72" s="104"/>
      <c r="AF72" s="104"/>
      <c r="AG72" s="111" t="s">
        <v>186</v>
      </c>
      <c r="AH72" s="112" t="s">
        <v>135</v>
      </c>
      <c r="AI72" s="127">
        <v>-36</v>
      </c>
      <c r="AJ72" s="114">
        <v>3000</v>
      </c>
      <c r="AK72" s="97">
        <f t="shared" si="20"/>
        <v>42.965000000000003</v>
      </c>
    </row>
    <row r="73" spans="1:38">
      <c r="A73" s="100">
        <v>5</v>
      </c>
      <c r="B73" s="100">
        <v>40</v>
      </c>
      <c r="C73" s="100">
        <v>40</v>
      </c>
      <c r="D73" s="100">
        <v>18</v>
      </c>
      <c r="E73" s="103" t="s">
        <v>141</v>
      </c>
      <c r="F73" s="100">
        <v>0</v>
      </c>
      <c r="G73" s="100">
        <v>0</v>
      </c>
      <c r="H73" s="98" t="e">
        <f>#REF!</f>
        <v>#REF!</v>
      </c>
      <c r="I73" s="97">
        <f t="shared" si="23"/>
        <v>177.56281678089513</v>
      </c>
      <c r="J73" s="100">
        <v>16</v>
      </c>
      <c r="K73" s="100">
        <v>300</v>
      </c>
      <c r="L73" s="98" t="e">
        <f>MAX(#REF!,#REF!)</f>
        <v>#REF!</v>
      </c>
      <c r="M73" s="97">
        <f t="shared" si="21"/>
        <v>19.232420302432153</v>
      </c>
      <c r="N73" s="97">
        <f t="shared" si="22"/>
        <v>196.79523708332729</v>
      </c>
      <c r="O73" s="97">
        <f t="shared" si="24"/>
        <v>11906.111843541303</v>
      </c>
      <c r="AC73" s="104">
        <f t="shared" si="19"/>
        <v>8341.6554966762706</v>
      </c>
      <c r="AD73" s="104"/>
      <c r="AE73" s="104"/>
      <c r="AF73" s="104"/>
      <c r="AG73" s="111" t="s">
        <v>187</v>
      </c>
      <c r="AH73" s="112" t="s">
        <v>135</v>
      </c>
      <c r="AI73" s="127">
        <v>-37</v>
      </c>
      <c r="AJ73" s="114">
        <v>3000</v>
      </c>
      <c r="AK73" s="97">
        <f t="shared" si="20"/>
        <v>43.965000000000003</v>
      </c>
    </row>
    <row r="74" spans="1:38">
      <c r="A74" s="100">
        <v>10.5</v>
      </c>
      <c r="B74" s="100">
        <v>40</v>
      </c>
      <c r="C74" s="100">
        <v>40</v>
      </c>
      <c r="D74" s="100">
        <v>18</v>
      </c>
      <c r="E74" s="103" t="s">
        <v>141</v>
      </c>
      <c r="F74" s="100">
        <v>40</v>
      </c>
      <c r="G74" s="100">
        <v>18</v>
      </c>
      <c r="H74" s="98" t="e">
        <f>H73</f>
        <v>#REF!</v>
      </c>
      <c r="I74" s="97">
        <f t="shared" si="23"/>
        <v>355.12563356179027</v>
      </c>
      <c r="J74" s="100">
        <v>16</v>
      </c>
      <c r="K74" s="100">
        <v>240</v>
      </c>
      <c r="L74" s="98" t="e">
        <f>L73</f>
        <v>#REF!</v>
      </c>
      <c r="M74" s="97">
        <f t="shared" si="21"/>
        <v>24.04052537804019</v>
      </c>
      <c r="N74" s="97">
        <f t="shared" si="22"/>
        <v>379.16615893983044</v>
      </c>
      <c r="O74" s="97">
        <f t="shared" si="24"/>
        <v>8341.6554966762706</v>
      </c>
      <c r="AC74" s="104">
        <f t="shared" si="19"/>
        <v>7576.6166277081011</v>
      </c>
      <c r="AD74" s="104"/>
      <c r="AE74" s="104"/>
      <c r="AF74" s="104"/>
      <c r="AG74" s="111" t="s">
        <v>188</v>
      </c>
      <c r="AH74" s="112" t="s">
        <v>135</v>
      </c>
      <c r="AI74" s="127">
        <v>-37</v>
      </c>
      <c r="AJ74" s="114">
        <v>3000</v>
      </c>
      <c r="AK74" s="97">
        <f t="shared" si="20"/>
        <v>43.965000000000003</v>
      </c>
    </row>
    <row r="75" spans="1:38">
      <c r="A75" s="100">
        <v>12.5</v>
      </c>
      <c r="B75" s="100">
        <v>40</v>
      </c>
      <c r="C75" s="100">
        <v>40</v>
      </c>
      <c r="D75" s="100">
        <v>18</v>
      </c>
      <c r="E75" s="103" t="s">
        <v>141</v>
      </c>
      <c r="F75" s="100">
        <v>0</v>
      </c>
      <c r="G75" s="100">
        <v>0</v>
      </c>
      <c r="H75" s="98" t="e">
        <f>H74</f>
        <v>#REF!</v>
      </c>
      <c r="I75" s="97">
        <f t="shared" si="23"/>
        <v>177.56281678089513</v>
      </c>
      <c r="J75" s="100">
        <v>16</v>
      </c>
      <c r="K75" s="100">
        <v>300</v>
      </c>
      <c r="L75" s="98" t="e">
        <f>L74</f>
        <v>#REF!</v>
      </c>
      <c r="M75" s="97">
        <f t="shared" si="21"/>
        <v>19.232420302432153</v>
      </c>
      <c r="N75" s="97">
        <f t="shared" si="22"/>
        <v>196.79523708332729</v>
      </c>
      <c r="O75" s="97">
        <f t="shared" si="24"/>
        <v>7576.6166277081011</v>
      </c>
      <c r="AC75" s="104">
        <f t="shared" si="19"/>
        <v>5201.5184908286847</v>
      </c>
      <c r="AD75" s="104"/>
      <c r="AE75" s="104"/>
      <c r="AF75" s="104"/>
      <c r="AG75" s="111" t="s">
        <v>189</v>
      </c>
      <c r="AH75" s="112" t="s">
        <v>135</v>
      </c>
      <c r="AI75" s="127">
        <v>-37.5</v>
      </c>
      <c r="AJ75" s="114">
        <v>3000</v>
      </c>
      <c r="AK75" s="97">
        <f t="shared" si="20"/>
        <v>44.465000000000003</v>
      </c>
    </row>
    <row r="76" spans="1:38">
      <c r="A76" s="100">
        <v>16</v>
      </c>
      <c r="B76" s="100">
        <v>40</v>
      </c>
      <c r="C76" s="100">
        <v>40</v>
      </c>
      <c r="D76" s="100">
        <v>18</v>
      </c>
      <c r="E76" s="103" t="s">
        <v>141</v>
      </c>
      <c r="F76" s="100">
        <v>32</v>
      </c>
      <c r="G76" s="100">
        <v>18</v>
      </c>
      <c r="H76" s="98" t="e">
        <f>#REF!</f>
        <v>#REF!</v>
      </c>
      <c r="I76" s="97">
        <f t="shared" si="23"/>
        <v>291.20301952066802</v>
      </c>
      <c r="J76" s="100">
        <v>16</v>
      </c>
      <c r="K76" s="100">
        <v>240</v>
      </c>
      <c r="L76" s="98" t="e">
        <f>MAX(#REF!,#REF!)</f>
        <v>#REF!</v>
      </c>
      <c r="M76" s="97">
        <f t="shared" si="21"/>
        <v>24.04052537804019</v>
      </c>
      <c r="N76" s="97">
        <f t="shared" si="22"/>
        <v>315.24354489870819</v>
      </c>
      <c r="O76" s="97">
        <f t="shared" si="24"/>
        <v>5201.5184908286847</v>
      </c>
      <c r="AC76" s="104">
        <f t="shared" si="19"/>
        <v>9500.3925475176584</v>
      </c>
      <c r="AG76" s="111" t="s">
        <v>190</v>
      </c>
      <c r="AH76" s="112" t="s">
        <v>135</v>
      </c>
      <c r="AI76" s="127">
        <v>-37.5</v>
      </c>
      <c r="AJ76" s="114">
        <v>3000</v>
      </c>
      <c r="AK76" s="97">
        <f t="shared" si="20"/>
        <v>44.465000000000003</v>
      </c>
    </row>
    <row r="77" spans="1:38">
      <c r="A77" s="100">
        <v>17.5</v>
      </c>
      <c r="B77" s="100">
        <v>40</v>
      </c>
      <c r="C77" s="100">
        <v>32</v>
      </c>
      <c r="D77" s="100">
        <v>18</v>
      </c>
      <c r="E77" s="103" t="s">
        <v>141</v>
      </c>
      <c r="F77" s="100">
        <v>0</v>
      </c>
      <c r="G77" s="100">
        <v>0</v>
      </c>
      <c r="H77" s="98" t="e">
        <f>H76</f>
        <v>#REF!</v>
      </c>
      <c r="I77" s="97">
        <f t="shared" si="23"/>
        <v>113.64020273977286</v>
      </c>
      <c r="J77" s="100">
        <v>16</v>
      </c>
      <c r="K77" s="100">
        <v>300</v>
      </c>
      <c r="L77" s="98" t="e">
        <f>L76</f>
        <v>#REF!</v>
      </c>
      <c r="M77" s="97">
        <f t="shared" si="21"/>
        <v>19.232420302432153</v>
      </c>
      <c r="N77" s="97">
        <f t="shared" si="22"/>
        <v>132.87262304220502</v>
      </c>
      <c r="O77" s="97">
        <f t="shared" si="24"/>
        <v>9500.3925475176584</v>
      </c>
      <c r="AC77" s="104">
        <f t="shared" si="19"/>
        <v>1419.2875287989059</v>
      </c>
      <c r="AG77" s="111" t="s">
        <v>191</v>
      </c>
      <c r="AH77" s="112" t="s">
        <v>135</v>
      </c>
      <c r="AI77" s="127">
        <v>-35</v>
      </c>
      <c r="AJ77" s="114">
        <v>3500</v>
      </c>
      <c r="AK77" s="97">
        <f t="shared" si="20"/>
        <v>42.465000000000003</v>
      </c>
    </row>
    <row r="78" spans="1:38">
      <c r="A78" s="100">
        <v>24</v>
      </c>
      <c r="B78" s="100">
        <v>40</v>
      </c>
      <c r="C78" s="100">
        <v>16</v>
      </c>
      <c r="D78" s="100">
        <v>18</v>
      </c>
      <c r="E78" s="103" t="s">
        <v>141</v>
      </c>
      <c r="F78" s="100">
        <v>32</v>
      </c>
      <c r="G78" s="100">
        <v>18</v>
      </c>
      <c r="H78" s="98" t="e">
        <f>MAX(#REF!)</f>
        <v>#REF!</v>
      </c>
      <c r="I78" s="97">
        <f t="shared" si="23"/>
        <v>142.05025342471609</v>
      </c>
      <c r="J78" s="100">
        <v>16</v>
      </c>
      <c r="K78" s="100">
        <v>300</v>
      </c>
      <c r="L78" s="98"/>
      <c r="M78" s="97">
        <f t="shared" si="21"/>
        <v>19.232420302432153</v>
      </c>
      <c r="N78" s="97">
        <f t="shared" si="22"/>
        <v>161.28267372714825</v>
      </c>
      <c r="O78" s="97">
        <f t="shared" si="24"/>
        <v>1419.2875287989059</v>
      </c>
      <c r="AC78">
        <f>N79*(21-A79)</f>
        <v>-181.04138975202645</v>
      </c>
      <c r="AG78" s="111" t="s">
        <v>192</v>
      </c>
      <c r="AH78" s="112" t="s">
        <v>135</v>
      </c>
      <c r="AI78" s="127">
        <v>-32.5</v>
      </c>
      <c r="AJ78" s="114">
        <v>3500</v>
      </c>
      <c r="AK78" s="97">
        <f t="shared" si="20"/>
        <v>39.965000000000003</v>
      </c>
    </row>
    <row r="79" spans="1:38" ht="15.75" thickBot="1">
      <c r="A79" s="100">
        <v>24.8</v>
      </c>
      <c r="B79" s="100">
        <v>40</v>
      </c>
      <c r="C79" s="100">
        <v>16</v>
      </c>
      <c r="D79" s="100">
        <v>18</v>
      </c>
      <c r="E79" s="103" t="s">
        <v>141</v>
      </c>
      <c r="F79" s="100">
        <v>0</v>
      </c>
      <c r="G79" s="100">
        <v>0</v>
      </c>
      <c r="H79" s="98" t="e">
        <f>H78</f>
        <v>#REF!</v>
      </c>
      <c r="I79" s="97">
        <f t="shared" si="23"/>
        <v>28.410050684943215</v>
      </c>
      <c r="J79" s="100">
        <v>16</v>
      </c>
      <c r="K79" s="100">
        <v>300</v>
      </c>
      <c r="L79" s="98"/>
      <c r="M79" s="97">
        <f t="shared" si="21"/>
        <v>19.232420302432153</v>
      </c>
      <c r="N79" s="97">
        <f t="shared" si="22"/>
        <v>47.642470987375368</v>
      </c>
      <c r="O79" s="97">
        <f>$Q$70*N79*(AL79-A79)</f>
        <v>9186.1830434307885</v>
      </c>
      <c r="AC79" s="99">
        <f>SUM(AC70:AC78)</f>
        <v>58401.870065428513</v>
      </c>
      <c r="AD79" s="115">
        <f>O80-AC79</f>
        <v>9367.2244331828188</v>
      </c>
      <c r="AE79" s="116"/>
      <c r="AF79" s="116"/>
      <c r="AG79" s="111" t="s">
        <v>193</v>
      </c>
      <c r="AH79" s="112" t="s">
        <v>135</v>
      </c>
      <c r="AI79" s="127">
        <v>-29.5</v>
      </c>
      <c r="AJ79" s="114">
        <v>3500</v>
      </c>
      <c r="AK79" s="97">
        <f t="shared" si="20"/>
        <v>36.965000000000003</v>
      </c>
      <c r="AL79" s="104">
        <f>AVERAGE(AK69:AK79)</f>
        <v>42.328636363636377</v>
      </c>
    </row>
    <row r="80" spans="1:38" ht="16.5" thickTop="1" thickBot="1">
      <c r="O80" s="99">
        <f>SUM(O71:O79)</f>
        <v>67769.094498611332</v>
      </c>
      <c r="P80" s="89" t="s">
        <v>148</v>
      </c>
      <c r="Q80" s="102">
        <f>O80/$D$9/Q70</f>
        <v>1.2105259683856076</v>
      </c>
      <c r="R80" t="s">
        <v>121</v>
      </c>
    </row>
    <row r="81" spans="1:38" ht="15.75" thickTop="1">
      <c r="AG81" s="146" t="s">
        <v>194</v>
      </c>
      <c r="AH81" s="146"/>
      <c r="AI81" s="146"/>
      <c r="AJ81" s="146"/>
      <c r="AK81" s="146"/>
    </row>
    <row r="82" spans="1:38" ht="18.75">
      <c r="A82" s="1" t="s">
        <v>195</v>
      </c>
      <c r="AG82" s="3" t="s">
        <v>17</v>
      </c>
      <c r="AH82" s="3" t="s">
        <v>128</v>
      </c>
      <c r="AI82" s="3" t="s">
        <v>129</v>
      </c>
      <c r="AJ82" s="3" t="s">
        <v>130</v>
      </c>
      <c r="AK82" s="3" t="s">
        <v>131</v>
      </c>
    </row>
    <row r="83" spans="1:38">
      <c r="AG83" s="111" t="s">
        <v>196</v>
      </c>
      <c r="AH83" s="112" t="s">
        <v>154</v>
      </c>
      <c r="AI83" s="127">
        <v>-34.5</v>
      </c>
      <c r="AJ83" s="114">
        <v>3500</v>
      </c>
      <c r="AK83" s="97">
        <f t="shared" ref="AK83:AK93" si="25">AH83-AI83+AJ83/1000</f>
        <v>41.765000000000001</v>
      </c>
    </row>
    <row r="84" spans="1:38">
      <c r="A84" s="144" t="s">
        <v>151</v>
      </c>
      <c r="B84" s="145" t="s">
        <v>132</v>
      </c>
      <c r="C84" s="146" t="s">
        <v>133</v>
      </c>
      <c r="D84" s="146"/>
      <c r="E84" s="146"/>
      <c r="F84" s="146"/>
      <c r="G84" s="146"/>
      <c r="H84" s="146"/>
      <c r="I84" s="146"/>
      <c r="J84" s="146" t="s">
        <v>72</v>
      </c>
      <c r="K84" s="146"/>
      <c r="L84" s="146"/>
      <c r="M84" s="146"/>
      <c r="N84" s="145" t="s">
        <v>109</v>
      </c>
      <c r="O84" s="145" t="s">
        <v>110</v>
      </c>
      <c r="Q84" t="s">
        <v>197</v>
      </c>
      <c r="AG84" s="111" t="s">
        <v>198</v>
      </c>
      <c r="AH84" s="112" t="s">
        <v>154</v>
      </c>
      <c r="AI84" s="127">
        <v>-35</v>
      </c>
      <c r="AJ84" s="114">
        <v>3500</v>
      </c>
      <c r="AK84" s="97">
        <f t="shared" si="25"/>
        <v>42.265000000000001</v>
      </c>
    </row>
    <row r="85" spans="1:38">
      <c r="A85" s="144"/>
      <c r="B85" s="145"/>
      <c r="C85" s="3" t="s">
        <v>136</v>
      </c>
      <c r="D85" s="3" t="s">
        <v>137</v>
      </c>
      <c r="F85" s="3" t="s">
        <v>136</v>
      </c>
      <c r="G85" s="3" t="s">
        <v>137</v>
      </c>
      <c r="H85" s="3" t="s">
        <v>138</v>
      </c>
      <c r="I85" s="3" t="s">
        <v>109</v>
      </c>
      <c r="J85" s="3" t="s">
        <v>136</v>
      </c>
      <c r="K85" s="3" t="s">
        <v>139</v>
      </c>
      <c r="L85" s="3" t="s">
        <v>138</v>
      </c>
      <c r="M85" s="3" t="s">
        <v>109</v>
      </c>
      <c r="N85" s="145"/>
      <c r="O85" s="145"/>
      <c r="Q85" s="5">
        <v>11</v>
      </c>
      <c r="AC85" s="104" t="e">
        <f>O86</f>
        <v>#REF!</v>
      </c>
      <c r="AG85" s="111" t="s">
        <v>199</v>
      </c>
      <c r="AH85" s="112" t="s">
        <v>154</v>
      </c>
      <c r="AI85" s="127">
        <v>-36</v>
      </c>
      <c r="AJ85" s="114">
        <v>3500</v>
      </c>
      <c r="AK85" s="97">
        <f t="shared" si="25"/>
        <v>43.265000000000001</v>
      </c>
    </row>
    <row r="86" spans="1:38">
      <c r="A86" s="100">
        <v>0</v>
      </c>
      <c r="B86" s="100">
        <v>40</v>
      </c>
      <c r="C86" s="100">
        <v>32</v>
      </c>
      <c r="D86" s="100" t="e">
        <f>#REF!</f>
        <v>#REF!</v>
      </c>
      <c r="E86" s="103" t="s">
        <v>141</v>
      </c>
      <c r="F86" s="100">
        <v>0</v>
      </c>
      <c r="G86" s="100">
        <v>0</v>
      </c>
      <c r="H86" s="98" t="e">
        <f>#REF!</f>
        <v>#REF!</v>
      </c>
      <c r="I86" s="97" t="e">
        <f>$C$11*((D86*PI()*((C86/1000)^2)/4)+(G86*PI()*((F86/1000)^2)/4))</f>
        <v>#REF!</v>
      </c>
      <c r="J86" s="100">
        <v>16</v>
      </c>
      <c r="K86" s="100">
        <v>300</v>
      </c>
      <c r="L86" s="98" t="e">
        <f>MAX(#REF!,#REF!)</f>
        <v>#REF!</v>
      </c>
      <c r="M86" s="97">
        <f>$C$11*$C$14*PI()*((J86/1000)^2)/4*1000/K86</f>
        <v>19.232420302432153</v>
      </c>
      <c r="N86" s="97" t="e">
        <f>I86+M86</f>
        <v>#REF!</v>
      </c>
      <c r="O86" s="97" t="e">
        <f>$Q$85*N86*(A87-A86)</f>
        <v>#REF!</v>
      </c>
      <c r="AC86" s="104">
        <f>O87</f>
        <v>32256.179186385132</v>
      </c>
      <c r="AG86" s="111" t="s">
        <v>200</v>
      </c>
      <c r="AH86" s="112" t="s">
        <v>154</v>
      </c>
      <c r="AI86" s="127">
        <v>-36.5</v>
      </c>
      <c r="AJ86" s="114">
        <v>3500</v>
      </c>
      <c r="AK86" s="97">
        <f t="shared" si="25"/>
        <v>43.765000000000001</v>
      </c>
    </row>
    <row r="87" spans="1:38">
      <c r="A87" s="100">
        <v>12.25</v>
      </c>
      <c r="B87" s="100">
        <v>40</v>
      </c>
      <c r="C87" s="100">
        <v>32</v>
      </c>
      <c r="D87" s="100">
        <v>18</v>
      </c>
      <c r="E87" s="103" t="s">
        <v>141</v>
      </c>
      <c r="F87" s="100">
        <v>25</v>
      </c>
      <c r="G87" s="100">
        <v>18</v>
      </c>
      <c r="H87" s="98" t="e">
        <f>#REF!</f>
        <v>#REF!</v>
      </c>
      <c r="I87" s="97">
        <f>$C$11*((D87*PI()*((C87/1000)^2)/4)+(G87*PI()*((F87/1000)^2)/4))</f>
        <v>183.00067804481006</v>
      </c>
      <c r="J87" s="100">
        <v>16</v>
      </c>
      <c r="K87" s="100">
        <v>300</v>
      </c>
      <c r="L87" s="98" t="e">
        <f>MAX(#REF!,#REF!)</f>
        <v>#REF!</v>
      </c>
      <c r="M87" s="97">
        <f>$C$11*$C$14*PI()*((J87/1000)^2)/4*1000/K87</f>
        <v>19.232420302432153</v>
      </c>
      <c r="N87" s="97">
        <f>I87+M87</f>
        <v>202.23309834724222</v>
      </c>
      <c r="O87" s="97">
        <f>$Q$85*N87*(A88-A87)</f>
        <v>32256.179186385132</v>
      </c>
      <c r="AC87">
        <f>N88*(30-A88)</f>
        <v>431.83602488716633</v>
      </c>
      <c r="AG87" s="111" t="s">
        <v>201</v>
      </c>
      <c r="AH87" s="112" t="s">
        <v>154</v>
      </c>
      <c r="AI87" s="127">
        <v>-37.5</v>
      </c>
      <c r="AJ87" s="114">
        <v>3500</v>
      </c>
      <c r="AK87" s="97">
        <f t="shared" si="25"/>
        <v>44.765000000000001</v>
      </c>
    </row>
    <row r="88" spans="1:38">
      <c r="A88" s="100">
        <v>26.75</v>
      </c>
      <c r="B88" s="100">
        <v>40</v>
      </c>
      <c r="C88" s="100">
        <v>32</v>
      </c>
      <c r="D88" s="100">
        <v>18</v>
      </c>
      <c r="E88" s="103" t="s">
        <v>141</v>
      </c>
      <c r="F88" s="100">
        <v>0</v>
      </c>
      <c r="G88" s="100">
        <v>0</v>
      </c>
      <c r="H88" s="98" t="e">
        <f>#REF!</f>
        <v>#REF!</v>
      </c>
      <c r="I88" s="97">
        <f>$C$11*((D88*PI()*((C88/1000)^2)/4)+(G88*PI()*((F88/1000)^2)/4))</f>
        <v>113.64020273977286</v>
      </c>
      <c r="J88" s="100">
        <v>16</v>
      </c>
      <c r="K88" s="100">
        <v>300</v>
      </c>
      <c r="L88" s="98"/>
      <c r="M88" s="97">
        <f>$C$11*$C$14*PI()*((J88/1000)^2)/4*1000/K88</f>
        <v>19.232420302432153</v>
      </c>
      <c r="N88" s="97">
        <f>I88+M88</f>
        <v>132.87262304220502</v>
      </c>
      <c r="O88" s="97">
        <f>$Q$85*N88*(A89-A88)</f>
        <v>10596.59168761585</v>
      </c>
      <c r="AC88">
        <f>N89*(30-A89)</f>
        <v>-354.37158242987732</v>
      </c>
      <c r="AG88" s="111" t="s">
        <v>202</v>
      </c>
      <c r="AH88" s="112" t="s">
        <v>154</v>
      </c>
      <c r="AI88" s="127">
        <v>-37</v>
      </c>
      <c r="AJ88" s="114">
        <v>3500</v>
      </c>
      <c r="AK88" s="97">
        <f t="shared" si="25"/>
        <v>44.265000000000001</v>
      </c>
    </row>
    <row r="89" spans="1:38" ht="15.75" thickBot="1">
      <c r="A89" s="100">
        <v>34</v>
      </c>
      <c r="B89" s="100">
        <v>40</v>
      </c>
      <c r="C89" s="100">
        <v>25</v>
      </c>
      <c r="D89" s="100">
        <v>18</v>
      </c>
      <c r="E89" s="103" t="s">
        <v>141</v>
      </c>
      <c r="F89" s="100">
        <v>0</v>
      </c>
      <c r="G89" s="100">
        <v>0</v>
      </c>
      <c r="H89" s="98" t="e">
        <f>MAX(#REF!)</f>
        <v>#REF!</v>
      </c>
      <c r="I89" s="97">
        <f>$C$11*((D89*PI()*((C89/1000)^2)/4)+(G89*PI()*((F89/1000)^2)/4))</f>
        <v>69.36047530503717</v>
      </c>
      <c r="J89" s="100">
        <v>16</v>
      </c>
      <c r="K89" s="100">
        <v>300</v>
      </c>
      <c r="L89" s="98"/>
      <c r="M89" s="97">
        <f>$C$11*$C$14*PI()*((J89/1000)^2)/4*1000/K89</f>
        <v>19.232420302432153</v>
      </c>
      <c r="N89" s="97">
        <f>I89+M89</f>
        <v>88.59289560746933</v>
      </c>
      <c r="O89" s="97">
        <f>$Q$85*N89*($AL$93-A89)</f>
        <v>8364.4982387792061</v>
      </c>
      <c r="AC89" s="99" t="e">
        <f>SUM(AC85:AC88)</f>
        <v>#REF!</v>
      </c>
      <c r="AD89" s="115" t="e">
        <f>O90-AC89</f>
        <v>#REF!</v>
      </c>
      <c r="AG89" s="111" t="s">
        <v>203</v>
      </c>
      <c r="AH89" s="112" t="s">
        <v>154</v>
      </c>
      <c r="AI89" s="127">
        <v>-37</v>
      </c>
      <c r="AJ89" s="114">
        <v>3500</v>
      </c>
      <c r="AK89" s="97">
        <f t="shared" si="25"/>
        <v>44.265000000000001</v>
      </c>
    </row>
    <row r="90" spans="1:38" ht="16.5" thickTop="1" thickBot="1">
      <c r="O90" s="99" t="e">
        <f>SUM(O86:O89)</f>
        <v>#REF!</v>
      </c>
      <c r="P90" s="89" t="s">
        <v>148</v>
      </c>
      <c r="Q90" s="102" t="e">
        <f>O90/$I$8/Q85</f>
        <v>#REF!</v>
      </c>
      <c r="R90" t="s">
        <v>121</v>
      </c>
      <c r="AG90" s="111" t="s">
        <v>204</v>
      </c>
      <c r="AH90" s="112" t="s">
        <v>154</v>
      </c>
      <c r="AI90" s="127">
        <v>-36</v>
      </c>
      <c r="AJ90" s="114">
        <v>3500</v>
      </c>
      <c r="AK90" s="97">
        <f t="shared" si="25"/>
        <v>43.265000000000001</v>
      </c>
    </row>
    <row r="91" spans="1:38" ht="15.75" thickTop="1">
      <c r="AG91" s="111" t="s">
        <v>205</v>
      </c>
      <c r="AH91" s="112" t="s">
        <v>154</v>
      </c>
      <c r="AI91" s="127">
        <v>-35</v>
      </c>
      <c r="AJ91" s="114">
        <v>3500</v>
      </c>
      <c r="AK91" s="97">
        <f t="shared" si="25"/>
        <v>42.265000000000001</v>
      </c>
    </row>
    <row r="92" spans="1:38">
      <c r="AG92" s="111" t="s">
        <v>206</v>
      </c>
      <c r="AH92" s="112" t="s">
        <v>154</v>
      </c>
      <c r="AI92" s="127">
        <v>-32.5</v>
      </c>
      <c r="AJ92" s="114">
        <v>4000</v>
      </c>
      <c r="AK92" s="97">
        <f t="shared" si="25"/>
        <v>40.265000000000001</v>
      </c>
    </row>
    <row r="93" spans="1:38">
      <c r="AG93" s="111" t="s">
        <v>207</v>
      </c>
      <c r="AH93" s="112" t="s">
        <v>154</v>
      </c>
      <c r="AI93" s="127">
        <v>-30.5</v>
      </c>
      <c r="AJ93" s="114">
        <v>4000</v>
      </c>
      <c r="AK93" s="97">
        <f t="shared" si="25"/>
        <v>38.265000000000001</v>
      </c>
      <c r="AL93" s="104">
        <f>AVERAGE(AK83:AK93)</f>
        <v>42.583181818181806</v>
      </c>
    </row>
  </sheetData>
  <mergeCells count="55">
    <mergeCell ref="AG81:AK81"/>
    <mergeCell ref="A84:A85"/>
    <mergeCell ref="B84:B85"/>
    <mergeCell ref="C84:I84"/>
    <mergeCell ref="J84:M84"/>
    <mergeCell ref="N84:N85"/>
    <mergeCell ref="O84:O85"/>
    <mergeCell ref="AG67:AK67"/>
    <mergeCell ref="A69:A70"/>
    <mergeCell ref="B69:B70"/>
    <mergeCell ref="C69:I69"/>
    <mergeCell ref="J69:M69"/>
    <mergeCell ref="N69:N70"/>
    <mergeCell ref="O69:O70"/>
    <mergeCell ref="AG56:AK56"/>
    <mergeCell ref="A59:A60"/>
    <mergeCell ref="B59:B60"/>
    <mergeCell ref="C59:I59"/>
    <mergeCell ref="J59:M59"/>
    <mergeCell ref="N59:N60"/>
    <mergeCell ref="O59:O60"/>
    <mergeCell ref="AG43:AK43"/>
    <mergeCell ref="A44:A45"/>
    <mergeCell ref="B44:B45"/>
    <mergeCell ref="C44:I44"/>
    <mergeCell ref="J44:M44"/>
    <mergeCell ref="N44:N45"/>
    <mergeCell ref="O44:O45"/>
    <mergeCell ref="AF28:AJ28"/>
    <mergeCell ref="A30:A31"/>
    <mergeCell ref="B30:B31"/>
    <mergeCell ref="C30:I30"/>
    <mergeCell ref="J30:M30"/>
    <mergeCell ref="N30:N31"/>
    <mergeCell ref="O30:O31"/>
    <mergeCell ref="P30:Q30"/>
    <mergeCell ref="AF16:AJ16"/>
    <mergeCell ref="A18:A19"/>
    <mergeCell ref="B18:B19"/>
    <mergeCell ref="C18:I18"/>
    <mergeCell ref="J18:M18"/>
    <mergeCell ref="N18:N19"/>
    <mergeCell ref="O18:O19"/>
    <mergeCell ref="P16:Q16"/>
    <mergeCell ref="H4:H5"/>
    <mergeCell ref="I4:I5"/>
    <mergeCell ref="G10:H10"/>
    <mergeCell ref="I10:J10"/>
    <mergeCell ref="K10:L10"/>
    <mergeCell ref="G4:G5"/>
    <mergeCell ref="A4:A5"/>
    <mergeCell ref="B4:B5"/>
    <mergeCell ref="C4:C5"/>
    <mergeCell ref="D4:D5"/>
    <mergeCell ref="F4:F5"/>
  </mergeCells>
  <conditionalFormatting sqref="H20 L20 H32 L32 L22 H22:H25 H46:H51 L46:L54 H61:H64 H71:H79 L61:L64 L71:L79">
    <cfRule type="cellIs" dxfId="157" priority="27" operator="between">
      <formula>0</formula>
      <formula>1</formula>
    </cfRule>
    <cfRule type="cellIs" dxfId="156" priority="28" operator="greaterThan">
      <formula>1</formula>
    </cfRule>
  </conditionalFormatting>
  <conditionalFormatting sqref="H52:H54">
    <cfRule type="cellIs" dxfId="155" priority="25" operator="between">
      <formula>0</formula>
      <formula>1</formula>
    </cfRule>
    <cfRule type="cellIs" dxfId="154" priority="26" operator="greaterThan">
      <formula>1</formula>
    </cfRule>
  </conditionalFormatting>
  <conditionalFormatting sqref="H21">
    <cfRule type="cellIs" dxfId="153" priority="23" operator="between">
      <formula>0</formula>
      <formula>1</formula>
    </cfRule>
    <cfRule type="cellIs" dxfId="152" priority="24" operator="greaterThan">
      <formula>1</formula>
    </cfRule>
  </conditionalFormatting>
  <conditionalFormatting sqref="H86:H89 L86:L88">
    <cfRule type="cellIs" dxfId="151" priority="21" operator="between">
      <formula>0</formula>
      <formula>1</formula>
    </cfRule>
    <cfRule type="cellIs" dxfId="150" priority="22" operator="greaterThan">
      <formula>1</formula>
    </cfRule>
  </conditionalFormatting>
  <conditionalFormatting sqref="L89">
    <cfRule type="cellIs" dxfId="149" priority="19" operator="between">
      <formula>0</formula>
      <formula>1</formula>
    </cfRule>
    <cfRule type="cellIs" dxfId="148" priority="20" operator="greaterThan">
      <formula>1</formula>
    </cfRule>
  </conditionalFormatting>
  <conditionalFormatting sqref="L21">
    <cfRule type="cellIs" dxfId="147" priority="17" operator="between">
      <formula>0</formula>
      <formula>1</formula>
    </cfRule>
    <cfRule type="cellIs" dxfId="146" priority="18" operator="greaterThan">
      <formula>1</formula>
    </cfRule>
  </conditionalFormatting>
  <conditionalFormatting sqref="L23:L24">
    <cfRule type="cellIs" dxfId="145" priority="15" operator="between">
      <formula>0</formula>
      <formula>1</formula>
    </cfRule>
    <cfRule type="cellIs" dxfId="144" priority="16" operator="greaterThan">
      <formula>1</formula>
    </cfRule>
  </conditionalFormatting>
  <conditionalFormatting sqref="H39">
    <cfRule type="cellIs" dxfId="143" priority="3" operator="between">
      <formula>0</formula>
      <formula>1</formula>
    </cfRule>
    <cfRule type="cellIs" dxfId="142" priority="4" operator="greaterThan">
      <formula>1</formula>
    </cfRule>
  </conditionalFormatting>
  <conditionalFormatting sqref="L25">
    <cfRule type="cellIs" dxfId="141" priority="13" operator="between">
      <formula>0</formula>
      <formula>1</formula>
    </cfRule>
    <cfRule type="cellIs" dxfId="140" priority="14" operator="greaterThan">
      <formula>1</formula>
    </cfRule>
  </conditionalFormatting>
  <conditionalFormatting sqref="L33:L34">
    <cfRule type="cellIs" dxfId="139" priority="11" operator="between">
      <formula>0</formula>
      <formula>1</formula>
    </cfRule>
    <cfRule type="cellIs" dxfId="138" priority="12" operator="greaterThan">
      <formula>1</formula>
    </cfRule>
  </conditionalFormatting>
  <conditionalFormatting sqref="L35">
    <cfRule type="cellIs" dxfId="137" priority="9" operator="between">
      <formula>0</formula>
      <formula>1</formula>
    </cfRule>
    <cfRule type="cellIs" dxfId="136" priority="10" operator="greaterThan">
      <formula>1</formula>
    </cfRule>
  </conditionalFormatting>
  <conditionalFormatting sqref="L36:L39">
    <cfRule type="cellIs" dxfId="135" priority="7" operator="between">
      <formula>0</formula>
      <formula>1</formula>
    </cfRule>
    <cfRule type="cellIs" dxfId="134" priority="8" operator="greaterThan">
      <formula>1</formula>
    </cfRule>
  </conditionalFormatting>
  <conditionalFormatting sqref="H38">
    <cfRule type="cellIs" dxfId="133" priority="5" operator="between">
      <formula>0</formula>
      <formula>1</formula>
    </cfRule>
    <cfRule type="cellIs" dxfId="132" priority="6" operator="greaterThan">
      <formula>1</formula>
    </cfRule>
  </conditionalFormatting>
  <conditionalFormatting sqref="H33:H37">
    <cfRule type="cellIs" dxfId="131" priority="1" operator="between">
      <formula>0</formula>
      <formula>1</formula>
    </cfRule>
    <cfRule type="cellIs" dxfId="130" priority="2" operator="greaterThan">
      <formula>1</formula>
    </cfRule>
  </conditionalFormatting>
  <pageMargins left="0.7" right="0.7" top="0.75" bottom="0.75" header="0.3" footer="0.3"/>
  <pageSetup paperSize="9" scale="57" orientation="landscape" r:id="rId1"/>
  <rowBreaks count="1" manualBreakCount="1">
    <brk id="55" max="16383" man="1"/>
  </rowBreaks>
  <colBreaks count="1" manualBreakCount="1">
    <brk id="20"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9">
    <tabColor rgb="FF00B050"/>
  </sheetPr>
  <dimension ref="A1:AL93"/>
  <sheetViews>
    <sheetView zoomScale="80" zoomScaleNormal="80" workbookViewId="0">
      <selection activeCell="H28" sqref="H28"/>
    </sheetView>
  </sheetViews>
  <sheetFormatPr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bestFit="1" customWidth="1"/>
    <col min="9" max="9" width="14.42578125" customWidth="1"/>
    <col min="10" max="10" width="13.85546875" customWidth="1"/>
    <col min="11" max="11" width="12" customWidth="1"/>
    <col min="12" max="12" width="11" customWidth="1"/>
    <col min="14" max="14" width="13.42578125" customWidth="1"/>
    <col min="15" max="15" width="12.42578125" customWidth="1"/>
    <col min="16" max="16" width="11.42578125" customWidth="1"/>
    <col min="17" max="17" width="10" customWidth="1"/>
    <col min="21" max="21" width="9.5703125" customWidth="1"/>
  </cols>
  <sheetData>
    <row r="1" spans="1:36" ht="18.75">
      <c r="A1" s="1" t="s">
        <v>104</v>
      </c>
    </row>
    <row r="2" spans="1:36" ht="18.75">
      <c r="A2" s="1" t="s">
        <v>105</v>
      </c>
      <c r="F2" s="1" t="s">
        <v>106</v>
      </c>
    </row>
    <row r="4" spans="1:36">
      <c r="A4" s="144" t="s">
        <v>107</v>
      </c>
      <c r="B4" s="145" t="s">
        <v>108</v>
      </c>
      <c r="C4" s="145" t="s">
        <v>109</v>
      </c>
      <c r="D4" s="145" t="s">
        <v>110</v>
      </c>
      <c r="F4" s="144" t="s">
        <v>107</v>
      </c>
      <c r="G4" s="145" t="s">
        <v>108</v>
      </c>
      <c r="H4" s="145" t="s">
        <v>109</v>
      </c>
      <c r="I4" s="145" t="s">
        <v>110</v>
      </c>
    </row>
    <row r="5" spans="1:36">
      <c r="A5" s="144"/>
      <c r="B5" s="145"/>
      <c r="C5" s="145"/>
      <c r="D5" s="145"/>
      <c r="F5" s="144"/>
      <c r="G5" s="145"/>
      <c r="H5" s="145"/>
      <c r="I5" s="145"/>
    </row>
    <row r="6" spans="1:36">
      <c r="A6" s="100">
        <v>0</v>
      </c>
      <c r="B6" s="101">
        <v>360</v>
      </c>
      <c r="C6" s="97">
        <f>B6*(PI()*1.2^2/4)</f>
        <v>407.15040790523722</v>
      </c>
      <c r="D6" s="97">
        <f>C6*(A7-A6)</f>
        <v>2035.7520395261861</v>
      </c>
      <c r="F6" s="100">
        <v>0</v>
      </c>
      <c r="G6" s="101">
        <v>180</v>
      </c>
      <c r="H6" s="97">
        <f>G6*(PI()*1.2^2/4)</f>
        <v>203.57520395261861</v>
      </c>
      <c r="I6" s="97">
        <f>H6*(F7-F6)</f>
        <v>3257.2032632418977</v>
      </c>
    </row>
    <row r="7" spans="1:36">
      <c r="A7" s="100">
        <v>5</v>
      </c>
      <c r="B7" s="101">
        <v>180</v>
      </c>
      <c r="C7" s="97">
        <f>B7*(PI()*1.2^2/4)</f>
        <v>203.57520395261861</v>
      </c>
      <c r="D7" s="97">
        <f>C7*(A8-A7)</f>
        <v>2239.3272434788046</v>
      </c>
      <c r="F7" s="100">
        <f>MIN(25,C13)</f>
        <v>16</v>
      </c>
      <c r="G7" s="101">
        <v>0</v>
      </c>
      <c r="H7" s="97">
        <f>G7*(PI()*1.2^2/4)</f>
        <v>0</v>
      </c>
      <c r="I7" s="97">
        <f>H7*(F8-F7)</f>
        <v>0</v>
      </c>
    </row>
    <row r="8" spans="1:36" ht="15.75" thickBot="1">
      <c r="A8" s="100">
        <f>MIN(20,C13)</f>
        <v>16</v>
      </c>
      <c r="B8" s="100">
        <v>0</v>
      </c>
      <c r="C8" s="97">
        <f>B8*(PI()*1.2^2/4)</f>
        <v>0</v>
      </c>
      <c r="D8" s="97">
        <f>C8*($C$13-A8)</f>
        <v>0</v>
      </c>
      <c r="I8" s="99">
        <f>SUM(I6:I7)</f>
        <v>3257.2032632418977</v>
      </c>
      <c r="J8" t="s">
        <v>111</v>
      </c>
      <c r="P8" s="96"/>
    </row>
    <row r="9" spans="1:36" ht="16.5" thickTop="1" thickBot="1">
      <c r="D9" s="99">
        <f>SUM(D6:D8)</f>
        <v>4275.0792830049904</v>
      </c>
      <c r="E9" t="s">
        <v>111</v>
      </c>
    </row>
    <row r="10" spans="1:36" ht="15.75" thickTop="1">
      <c r="G10" s="146" t="s">
        <v>208</v>
      </c>
      <c r="H10" s="146"/>
      <c r="I10" s="147" t="s">
        <v>209</v>
      </c>
      <c r="J10" s="147"/>
      <c r="K10" s="146" t="s">
        <v>114</v>
      </c>
      <c r="L10" s="146"/>
    </row>
    <row r="11" spans="1:36">
      <c r="A11" t="s">
        <v>115</v>
      </c>
      <c r="C11" s="5">
        <v>7850</v>
      </c>
      <c r="D11" t="s">
        <v>116</v>
      </c>
      <c r="E11" s="145" t="s">
        <v>210</v>
      </c>
      <c r="F11" s="3" t="s">
        <v>117</v>
      </c>
      <c r="G11" s="105">
        <f>23*I8</f>
        <v>74915.675054563646</v>
      </c>
      <c r="H11" s="106" t="s">
        <v>118</v>
      </c>
      <c r="I11" s="105">
        <f>23*D9</f>
        <v>98326.82350911478</v>
      </c>
      <c r="J11" s="123" t="s">
        <v>118</v>
      </c>
      <c r="K11" s="105">
        <f t="shared" ref="K11:K16" si="0">G11+I11</f>
        <v>173242.49856367841</v>
      </c>
      <c r="L11" s="123" t="s">
        <v>118</v>
      </c>
    </row>
    <row r="12" spans="1:36">
      <c r="A12" t="s">
        <v>119</v>
      </c>
      <c r="C12" s="5">
        <v>1.2</v>
      </c>
      <c r="D12" t="s">
        <v>4</v>
      </c>
      <c r="E12" s="145"/>
      <c r="F12" s="3" t="s">
        <v>120</v>
      </c>
      <c r="G12" s="105" t="e">
        <f>O40+O65+O90</f>
        <v>#REF!</v>
      </c>
      <c r="H12" s="107" t="e">
        <f>G12/G11</f>
        <v>#REF!</v>
      </c>
      <c r="I12" s="105" t="e">
        <f>O26+O55+O80</f>
        <v>#REF!</v>
      </c>
      <c r="J12" s="107" t="e">
        <f>I12/I11</f>
        <v>#REF!</v>
      </c>
      <c r="K12" s="105" t="e">
        <f t="shared" si="0"/>
        <v>#REF!</v>
      </c>
      <c r="L12" s="107" t="e">
        <f>K12/K11</f>
        <v>#REF!</v>
      </c>
      <c r="M12" t="s">
        <v>121</v>
      </c>
      <c r="P12" s="96"/>
      <c r="Q12" s="96"/>
      <c r="R12" s="96"/>
    </row>
    <row r="13" spans="1:36">
      <c r="A13" t="s">
        <v>122</v>
      </c>
      <c r="C13" s="5">
        <v>16</v>
      </c>
      <c r="D13" t="s">
        <v>4</v>
      </c>
      <c r="E13" s="156" t="s">
        <v>211</v>
      </c>
      <c r="F13" s="3" t="s">
        <v>117</v>
      </c>
      <c r="G13" s="105" t="e">
        <f>#REF!</f>
        <v>#REF!</v>
      </c>
      <c r="H13" s="106" t="s">
        <v>118</v>
      </c>
      <c r="I13" s="105" t="e">
        <f>#REF!</f>
        <v>#REF!</v>
      </c>
      <c r="J13" s="123" t="s">
        <v>118</v>
      </c>
      <c r="K13" s="105" t="e">
        <f t="shared" si="0"/>
        <v>#REF!</v>
      </c>
      <c r="L13" s="123" t="s">
        <v>118</v>
      </c>
      <c r="M13" s="118"/>
      <c r="R13" s="117"/>
    </row>
    <row r="14" spans="1:36">
      <c r="A14" t="s">
        <v>123</v>
      </c>
      <c r="C14" s="121">
        <f>PI()*(C12-2*(0.085+0.016/2))+0.47</f>
        <v>3.6555749507400499</v>
      </c>
      <c r="D14" t="s">
        <v>4</v>
      </c>
      <c r="E14" s="156"/>
      <c r="F14" s="3" t="s">
        <v>120</v>
      </c>
      <c r="G14" s="105" t="e">
        <f>#REF!</f>
        <v>#REF!</v>
      </c>
      <c r="H14" s="107" t="e">
        <f>G14/G13</f>
        <v>#REF!</v>
      </c>
      <c r="I14" s="105" t="e">
        <f>#REF!</f>
        <v>#REF!</v>
      </c>
      <c r="J14" s="107" t="e">
        <f>I14/I13</f>
        <v>#REF!</v>
      </c>
      <c r="K14" s="105" t="e">
        <f t="shared" si="0"/>
        <v>#REF!</v>
      </c>
      <c r="L14" s="107" t="e">
        <f>K14/K13</f>
        <v>#REF!</v>
      </c>
      <c r="M14" t="s">
        <v>121</v>
      </c>
      <c r="R14" s="117"/>
      <c r="AH14" t="s">
        <v>124</v>
      </c>
      <c r="AJ14" s="104">
        <f>AVERAGE(AJ18:AJ25,AJ30:AJ37,AK45:AK50,AK58:AK63,AK69:AK79,AK83:AK93)</f>
        <v>36.609400000000008</v>
      </c>
    </row>
    <row r="15" spans="1:36" ht="14.1" customHeight="1">
      <c r="E15" s="145" t="s">
        <v>212</v>
      </c>
      <c r="F15" s="3" t="s">
        <v>117</v>
      </c>
      <c r="G15" s="105" t="e">
        <f>G11+G13</f>
        <v>#REF!</v>
      </c>
      <c r="H15" s="106" t="s">
        <v>118</v>
      </c>
      <c r="I15" s="105" t="e">
        <f>I11+I13</f>
        <v>#REF!</v>
      </c>
      <c r="J15" s="123" t="s">
        <v>118</v>
      </c>
      <c r="K15" s="105" t="e">
        <f t="shared" si="0"/>
        <v>#REF!</v>
      </c>
      <c r="L15" s="123" t="s">
        <v>118</v>
      </c>
    </row>
    <row r="16" spans="1:36" ht="18" customHeight="1">
      <c r="A16" s="1" t="s">
        <v>125</v>
      </c>
      <c r="E16" s="145"/>
      <c r="F16" s="3" t="s">
        <v>120</v>
      </c>
      <c r="G16" s="105" t="e">
        <f>G12+G14</f>
        <v>#REF!</v>
      </c>
      <c r="H16" s="107" t="e">
        <f>G16/G15</f>
        <v>#REF!</v>
      </c>
      <c r="I16" s="105" t="e">
        <f>I12+I14</f>
        <v>#REF!</v>
      </c>
      <c r="J16" s="107" t="e">
        <f>I16/I15</f>
        <v>#REF!</v>
      </c>
      <c r="K16" s="105" t="e">
        <f t="shared" si="0"/>
        <v>#REF!</v>
      </c>
      <c r="L16" s="107" t="e">
        <f>K16/K15</f>
        <v>#REF!</v>
      </c>
      <c r="M16" t="s">
        <v>121</v>
      </c>
      <c r="AF16" s="146" t="s">
        <v>127</v>
      </c>
      <c r="AG16" s="146"/>
      <c r="AH16" s="146"/>
      <c r="AI16" s="146"/>
      <c r="AJ16" s="146"/>
    </row>
    <row r="17" spans="1:37">
      <c r="AF17" s="3" t="s">
        <v>17</v>
      </c>
      <c r="AG17" s="3" t="s">
        <v>128</v>
      </c>
      <c r="AH17" s="3" t="s">
        <v>129</v>
      </c>
      <c r="AI17" s="3" t="s">
        <v>130</v>
      </c>
      <c r="AJ17" s="3" t="s">
        <v>131</v>
      </c>
    </row>
    <row r="18" spans="1:37">
      <c r="A18" s="144" t="s">
        <v>107</v>
      </c>
      <c r="B18" s="145" t="s">
        <v>132</v>
      </c>
      <c r="C18" s="146" t="s">
        <v>133</v>
      </c>
      <c r="D18" s="146"/>
      <c r="E18" s="146"/>
      <c r="F18" s="146"/>
      <c r="G18" s="146"/>
      <c r="H18" s="146"/>
      <c r="I18" s="146"/>
      <c r="J18" s="146" t="s">
        <v>72</v>
      </c>
      <c r="K18" s="146"/>
      <c r="L18" s="146"/>
      <c r="M18" s="146"/>
      <c r="N18" s="145" t="s">
        <v>109</v>
      </c>
      <c r="O18" s="145" t="s">
        <v>110</v>
      </c>
      <c r="Q18" t="s">
        <v>213</v>
      </c>
      <c r="AF18" s="111" t="s">
        <v>134</v>
      </c>
      <c r="AG18" s="112" t="s">
        <v>135</v>
      </c>
      <c r="AH18" s="113">
        <v>-35.1</v>
      </c>
      <c r="AI18" s="114">
        <v>500</v>
      </c>
      <c r="AJ18" s="97">
        <f>AG18-AH18+AI18/1000</f>
        <v>39.564999999999998</v>
      </c>
    </row>
    <row r="19" spans="1:37">
      <c r="A19" s="148"/>
      <c r="B19" s="150"/>
      <c r="C19" s="125" t="s">
        <v>136</v>
      </c>
      <c r="D19" s="125" t="s">
        <v>137</v>
      </c>
      <c r="F19" s="125" t="s">
        <v>136</v>
      </c>
      <c r="G19" s="125" t="s">
        <v>137</v>
      </c>
      <c r="H19" s="125" t="s">
        <v>138</v>
      </c>
      <c r="I19" s="125" t="s">
        <v>109</v>
      </c>
      <c r="J19" s="125" t="s">
        <v>136</v>
      </c>
      <c r="K19" s="125" t="s">
        <v>139</v>
      </c>
      <c r="L19" s="125" t="s">
        <v>138</v>
      </c>
      <c r="M19" s="125" t="s">
        <v>109</v>
      </c>
      <c r="N19" s="145"/>
      <c r="O19" s="145"/>
      <c r="Q19" s="5">
        <v>5</v>
      </c>
      <c r="AF19" s="111" t="s">
        <v>140</v>
      </c>
      <c r="AG19" s="112" t="s">
        <v>135</v>
      </c>
      <c r="AH19" s="113">
        <v>-34.799999999999997</v>
      </c>
      <c r="AI19" s="114">
        <v>500</v>
      </c>
      <c r="AJ19" s="97">
        <f t="shared" ref="AJ19:AJ24" si="1">AG19-AH19+AI19/1000</f>
        <v>39.265000000000001</v>
      </c>
    </row>
    <row r="20" spans="1:37">
      <c r="A20" s="3" t="e">
        <f>IF(#REF!&lt;'North Quay Estimate'!$C$13,#REF!,'North Quay Estimate'!$C$13)</f>
        <v>#REF!</v>
      </c>
      <c r="B20" s="3">
        <v>40</v>
      </c>
      <c r="C20" s="3">
        <v>40</v>
      </c>
      <c r="D20" s="3">
        <v>18</v>
      </c>
      <c r="E20" s="3" t="s">
        <v>141</v>
      </c>
      <c r="F20" s="3">
        <v>40</v>
      </c>
      <c r="G20" s="3">
        <v>18</v>
      </c>
      <c r="H20" s="3"/>
      <c r="I20" s="3">
        <f t="shared" ref="I20:I25" si="2">$C$11*((D20*PI()*((C20/1000)^2)/4)+(G20*PI()*((F20/1000)^2)/4))</f>
        <v>355.12563356179027</v>
      </c>
      <c r="J20" s="3" t="e">
        <f>#REF!</f>
        <v>#REF!</v>
      </c>
      <c r="K20" s="3" t="e">
        <f>#REF!</f>
        <v>#REF!</v>
      </c>
      <c r="L20" s="3"/>
      <c r="M20" s="3" t="e">
        <f t="shared" ref="M20:M25" si="3">$C$11*$C$14*PI()*((J20/1000)^2)/4*1000/K20</f>
        <v>#REF!</v>
      </c>
      <c r="N20" s="97" t="e">
        <f t="shared" ref="N20:N25" si="4">I20+M20</f>
        <v>#REF!</v>
      </c>
      <c r="O20" s="97" t="e">
        <f>$Q$19*N20*(A21-A20)</f>
        <v>#REF!</v>
      </c>
      <c r="AC20" s="104" t="e">
        <f>O20</f>
        <v>#REF!</v>
      </c>
      <c r="AF20" s="111" t="s">
        <v>142</v>
      </c>
      <c r="AG20" s="112" t="s">
        <v>135</v>
      </c>
      <c r="AH20" s="113">
        <v>-34.5</v>
      </c>
      <c r="AI20" s="114">
        <v>500</v>
      </c>
      <c r="AJ20" s="97">
        <f t="shared" si="1"/>
        <v>38.965000000000003</v>
      </c>
    </row>
    <row r="21" spans="1:37">
      <c r="A21" s="3" t="e">
        <f>IF(#REF!&lt;'North Quay Estimate'!$C$13,#REF!,'North Quay Estimate'!$C$13)</f>
        <v>#REF!</v>
      </c>
      <c r="B21" s="3">
        <v>40</v>
      </c>
      <c r="C21" s="3">
        <v>40</v>
      </c>
      <c r="D21" s="3">
        <v>18</v>
      </c>
      <c r="E21" s="3" t="s">
        <v>141</v>
      </c>
      <c r="F21" s="3">
        <v>32</v>
      </c>
      <c r="G21" s="3">
        <v>18</v>
      </c>
      <c r="H21" s="3"/>
      <c r="I21" s="3">
        <f t="shared" si="2"/>
        <v>291.20301952066802</v>
      </c>
      <c r="J21" s="3">
        <v>25</v>
      </c>
      <c r="K21" s="3">
        <v>150</v>
      </c>
      <c r="L21" s="3"/>
      <c r="M21" s="3">
        <f t="shared" si="3"/>
        <v>93.90830225796951</v>
      </c>
      <c r="N21" s="97">
        <f t="shared" si="4"/>
        <v>385.11132177863755</v>
      </c>
      <c r="O21" s="97" t="e">
        <f>$Q$19*N21*(A22-A21)</f>
        <v>#REF!</v>
      </c>
      <c r="AC21" s="104" t="e">
        <f>O21</f>
        <v>#REF!</v>
      </c>
      <c r="AF21" s="111" t="s">
        <v>143</v>
      </c>
      <c r="AG21" s="112" t="s">
        <v>135</v>
      </c>
      <c r="AH21" s="113">
        <v>-33.9</v>
      </c>
      <c r="AI21" s="114">
        <v>500</v>
      </c>
      <c r="AJ21" s="97">
        <f t="shared" si="1"/>
        <v>38.364999999999995</v>
      </c>
    </row>
    <row r="22" spans="1:37">
      <c r="A22" s="3" t="e">
        <f>IF(#REF!&lt;'North Quay Estimate'!$C$13,#REF!,'North Quay Estimate'!$C$13)</f>
        <v>#REF!</v>
      </c>
      <c r="B22" s="3">
        <v>40</v>
      </c>
      <c r="C22" s="3">
        <v>32</v>
      </c>
      <c r="D22" s="3">
        <v>18</v>
      </c>
      <c r="E22" s="3" t="s">
        <v>141</v>
      </c>
      <c r="F22" s="3">
        <v>0</v>
      </c>
      <c r="G22" s="3">
        <v>0</v>
      </c>
      <c r="H22" s="3"/>
      <c r="I22" s="3">
        <f t="shared" si="2"/>
        <v>113.64020273977286</v>
      </c>
      <c r="J22" s="3">
        <v>16</v>
      </c>
      <c r="K22" s="3">
        <v>300</v>
      </c>
      <c r="L22" s="3"/>
      <c r="M22" s="3">
        <f t="shared" si="3"/>
        <v>19.232420302432153</v>
      </c>
      <c r="N22" s="97">
        <f t="shared" si="4"/>
        <v>132.87262304220502</v>
      </c>
      <c r="O22" s="97" t="e">
        <f>$Q$19*N22*(A23-A22)</f>
        <v>#REF!</v>
      </c>
      <c r="AC22" s="104" t="e">
        <f>O22</f>
        <v>#REF!</v>
      </c>
      <c r="AF22" s="111" t="s">
        <v>144</v>
      </c>
      <c r="AG22" s="112" t="s">
        <v>135</v>
      </c>
      <c r="AH22" s="113">
        <f>-5.75*3</f>
        <v>-17.25</v>
      </c>
      <c r="AI22" s="114">
        <v>1000</v>
      </c>
      <c r="AJ22" s="97">
        <f t="shared" si="1"/>
        <v>22.215</v>
      </c>
    </row>
    <row r="23" spans="1:37">
      <c r="A23" s="3" t="e">
        <f>IF(#REF!&lt;'North Quay Estimate'!$C$13,#REF!,'North Quay Estimate'!$C$13)</f>
        <v>#REF!</v>
      </c>
      <c r="B23" s="3">
        <v>40</v>
      </c>
      <c r="C23" s="3">
        <v>32</v>
      </c>
      <c r="D23" s="3">
        <v>18</v>
      </c>
      <c r="E23" s="3" t="s">
        <v>141</v>
      </c>
      <c r="F23" s="3">
        <v>16</v>
      </c>
      <c r="G23" s="3">
        <v>18</v>
      </c>
      <c r="H23" s="3"/>
      <c r="I23" s="3">
        <f t="shared" si="2"/>
        <v>142.05025342471609</v>
      </c>
      <c r="J23" s="3">
        <v>16</v>
      </c>
      <c r="K23" s="3">
        <v>240</v>
      </c>
      <c r="L23" s="3"/>
      <c r="M23" s="3">
        <f t="shared" si="3"/>
        <v>24.04052537804019</v>
      </c>
      <c r="N23" s="97">
        <f t="shared" si="4"/>
        <v>166.09077880275629</v>
      </c>
      <c r="O23" s="97" t="e">
        <f>$Q$19*N23*(A24-A23)</f>
        <v>#REF!</v>
      </c>
      <c r="AC23" s="104" t="e">
        <f>O23</f>
        <v>#REF!</v>
      </c>
      <c r="AF23" s="111" t="s">
        <v>145</v>
      </c>
      <c r="AG23" s="112" t="s">
        <v>135</v>
      </c>
      <c r="AH23" s="113">
        <v>-15</v>
      </c>
      <c r="AI23" s="114">
        <v>1000</v>
      </c>
      <c r="AJ23" s="97">
        <f t="shared" si="1"/>
        <v>19.965</v>
      </c>
    </row>
    <row r="24" spans="1:37">
      <c r="A24" s="3" t="e">
        <f>IF(#REF!&lt;'North Quay Estimate'!$C$13,#REF!,'North Quay Estimate'!$C$13)</f>
        <v>#REF!</v>
      </c>
      <c r="B24" s="3">
        <v>40</v>
      </c>
      <c r="C24" s="3">
        <v>16</v>
      </c>
      <c r="D24" s="3">
        <v>18</v>
      </c>
      <c r="E24" s="3" t="s">
        <v>141</v>
      </c>
      <c r="F24" s="3">
        <v>0</v>
      </c>
      <c r="G24" s="3">
        <v>0</v>
      </c>
      <c r="H24" s="3"/>
      <c r="I24" s="3">
        <f t="shared" si="2"/>
        <v>28.410050684943215</v>
      </c>
      <c r="J24" s="3">
        <v>16</v>
      </c>
      <c r="K24" s="3">
        <v>300</v>
      </c>
      <c r="L24" s="3"/>
      <c r="M24" s="3">
        <f t="shared" si="3"/>
        <v>19.232420302432153</v>
      </c>
      <c r="N24" s="97">
        <f t="shared" si="4"/>
        <v>47.642470987375368</v>
      </c>
      <c r="O24" s="97" t="e">
        <f>$Q$19*N24*(A25-A24)</f>
        <v>#REF!</v>
      </c>
      <c r="AC24" t="e">
        <f>N24*(21-A24)</f>
        <v>#REF!</v>
      </c>
      <c r="AF24" s="111" t="s">
        <v>146</v>
      </c>
      <c r="AG24" s="112" t="s">
        <v>135</v>
      </c>
      <c r="AH24" s="113">
        <f>-4.5*3</f>
        <v>-13.5</v>
      </c>
      <c r="AI24" s="114">
        <v>1000</v>
      </c>
      <c r="AJ24" s="97">
        <f t="shared" si="1"/>
        <v>18.465</v>
      </c>
    </row>
    <row r="25" spans="1:37">
      <c r="A25" s="3" t="e">
        <f>IF(#REF!&lt;'North Quay Estimate'!$C$13,#REF!,'North Quay Estimate'!$C$13)</f>
        <v>#REF!</v>
      </c>
      <c r="B25" s="3">
        <v>40</v>
      </c>
      <c r="C25" s="3">
        <v>0</v>
      </c>
      <c r="D25" s="3">
        <v>0</v>
      </c>
      <c r="E25" s="3" t="s">
        <v>141</v>
      </c>
      <c r="F25" s="3">
        <v>0</v>
      </c>
      <c r="G25" s="3">
        <v>0</v>
      </c>
      <c r="H25" s="3"/>
      <c r="I25" s="3">
        <f t="shared" si="2"/>
        <v>0</v>
      </c>
      <c r="J25" s="3">
        <v>0</v>
      </c>
      <c r="K25" s="3">
        <v>300</v>
      </c>
      <c r="L25" s="3"/>
      <c r="M25" s="3">
        <f t="shared" si="3"/>
        <v>0</v>
      </c>
      <c r="N25" s="97">
        <f t="shared" si="4"/>
        <v>0</v>
      </c>
      <c r="O25" s="124">
        <v>0</v>
      </c>
      <c r="AF25" s="111" t="s">
        <v>147</v>
      </c>
      <c r="AG25" s="112" t="s">
        <v>135</v>
      </c>
      <c r="AH25" s="113">
        <v>-11.5</v>
      </c>
      <c r="AI25" s="114">
        <v>1000</v>
      </c>
      <c r="AJ25" s="97">
        <f>AG25-AH25+AI25/1000</f>
        <v>16.465</v>
      </c>
      <c r="AK25" s="104">
        <f>AVERAGE(AJ18:AJ25)</f>
        <v>29.158750000000001</v>
      </c>
    </row>
    <row r="26" spans="1:37" ht="15.75" thickBot="1">
      <c r="O26" s="99" t="e">
        <f>SUM(O20:O25)</f>
        <v>#REF!</v>
      </c>
      <c r="P26" s="89" t="s">
        <v>148</v>
      </c>
      <c r="Q26" s="102" t="e">
        <f>O26/$D$9/Q19</f>
        <v>#REF!</v>
      </c>
      <c r="R26" t="s">
        <v>121</v>
      </c>
      <c r="V26" s="96"/>
      <c r="AC26" s="99" t="e">
        <f>SUM(AC20:AC24)</f>
        <v>#REF!</v>
      </c>
      <c r="AD26" s="115" t="e">
        <f>#REF!-AC26</f>
        <v>#REF!</v>
      </c>
    </row>
    <row r="27" spans="1:37" ht="15.75" thickTop="1">
      <c r="Q27" s="110"/>
    </row>
    <row r="28" spans="1:37" ht="18.75">
      <c r="A28" s="1" t="s">
        <v>149</v>
      </c>
      <c r="Q28" s="110"/>
      <c r="AF28" s="146" t="s">
        <v>150</v>
      </c>
      <c r="AG28" s="146"/>
      <c r="AH28" s="146"/>
      <c r="AI28" s="146"/>
      <c r="AJ28" s="146"/>
    </row>
    <row r="29" spans="1:37">
      <c r="Q29" s="110"/>
      <c r="AF29" s="3" t="s">
        <v>17</v>
      </c>
      <c r="AG29" s="3" t="s">
        <v>128</v>
      </c>
      <c r="AH29" s="3" t="s">
        <v>129</v>
      </c>
      <c r="AI29" s="3" t="s">
        <v>130</v>
      </c>
      <c r="AJ29" s="3" t="s">
        <v>131</v>
      </c>
    </row>
    <row r="30" spans="1:37" ht="14.45" customHeight="1">
      <c r="A30" s="155" t="s">
        <v>151</v>
      </c>
      <c r="B30" s="155" t="s">
        <v>132</v>
      </c>
      <c r="C30" s="155" t="s">
        <v>133</v>
      </c>
      <c r="D30" s="155"/>
      <c r="E30" s="155"/>
      <c r="F30" s="155"/>
      <c r="G30" s="155"/>
      <c r="H30" s="155"/>
      <c r="I30" s="155"/>
      <c r="J30" s="155" t="s">
        <v>72</v>
      </c>
      <c r="K30" s="155"/>
      <c r="L30" s="155"/>
      <c r="M30" s="155"/>
      <c r="N30" s="145" t="s">
        <v>109</v>
      </c>
      <c r="O30" s="145" t="s">
        <v>110</v>
      </c>
      <c r="Q30" t="s">
        <v>214</v>
      </c>
      <c r="AF30" s="111" t="s">
        <v>153</v>
      </c>
      <c r="AG30" s="112" t="s">
        <v>154</v>
      </c>
      <c r="AH30" s="113">
        <v>-35.1</v>
      </c>
      <c r="AI30" s="114">
        <v>1000</v>
      </c>
      <c r="AJ30" s="97">
        <f t="shared" ref="AJ30:AJ37" si="5">AG30-AH30+AI30/1000</f>
        <v>39.865000000000002</v>
      </c>
    </row>
    <row r="31" spans="1:37">
      <c r="A31" s="155"/>
      <c r="B31" s="155"/>
      <c r="C31" s="3" t="s">
        <v>136</v>
      </c>
      <c r="D31" s="3" t="s">
        <v>137</v>
      </c>
      <c r="E31" s="3"/>
      <c r="F31" s="3" t="s">
        <v>136</v>
      </c>
      <c r="G31" s="3" t="s">
        <v>137</v>
      </c>
      <c r="H31" s="3" t="s">
        <v>138</v>
      </c>
      <c r="I31" s="3" t="s">
        <v>109</v>
      </c>
      <c r="J31" s="3" t="s">
        <v>136</v>
      </c>
      <c r="K31" s="3" t="s">
        <v>139</v>
      </c>
      <c r="L31" s="3" t="s">
        <v>138</v>
      </c>
      <c r="M31" s="3" t="s">
        <v>109</v>
      </c>
      <c r="N31" s="145"/>
      <c r="O31" s="145"/>
      <c r="Q31" s="5">
        <v>5</v>
      </c>
      <c r="AF31" s="111" t="s">
        <v>155</v>
      </c>
      <c r="AG31" s="112" t="s">
        <v>154</v>
      </c>
      <c r="AH31" s="113">
        <v>-34.799999999999997</v>
      </c>
      <c r="AI31" s="114">
        <v>1000</v>
      </c>
      <c r="AJ31" s="97">
        <f t="shared" si="5"/>
        <v>39.564999999999998</v>
      </c>
    </row>
    <row r="32" spans="1:37">
      <c r="A32" s="3" t="e">
        <f>IF(#REF!&lt;'North Quay Estimate'!$C$13,#REF!,'North Quay Estimate'!$C$13)</f>
        <v>#REF!</v>
      </c>
      <c r="B32" s="3">
        <v>40</v>
      </c>
      <c r="C32" s="3">
        <v>32</v>
      </c>
      <c r="D32" s="3">
        <v>18</v>
      </c>
      <c r="E32" s="3" t="s">
        <v>141</v>
      </c>
      <c r="F32" s="3">
        <v>0</v>
      </c>
      <c r="G32" s="3">
        <v>0</v>
      </c>
      <c r="H32" s="3"/>
      <c r="I32" s="3">
        <f t="shared" ref="I32:I39" si="6">$C$11*((D32*PI()*((C32/1000)^2)/4)+(G32*PI()*((F32/1000)^2)/4))</f>
        <v>113.64020273977286</v>
      </c>
      <c r="J32" s="3">
        <v>16</v>
      </c>
      <c r="K32" s="3">
        <v>300</v>
      </c>
      <c r="L32" s="3"/>
      <c r="M32" s="3">
        <f t="shared" ref="M32:M39" si="7">$C$11*$C$14*PI()*((J32/1000)^2)/4*1000/K32</f>
        <v>19.232420302432153</v>
      </c>
      <c r="N32" s="97">
        <f t="shared" ref="N32:N39" si="8">I32+M32</f>
        <v>132.87262304220502</v>
      </c>
      <c r="O32" s="97" t="e">
        <f>$Q$31*N32*(A33-A32)</f>
        <v>#REF!</v>
      </c>
      <c r="U32" s="122"/>
      <c r="AC32" s="104" t="e">
        <f t="shared" ref="AC32:AC38" si="9">O32</f>
        <v>#REF!</v>
      </c>
      <c r="AF32" s="111" t="s">
        <v>156</v>
      </c>
      <c r="AG32" s="112" t="s">
        <v>154</v>
      </c>
      <c r="AH32" s="113">
        <v>-34.5</v>
      </c>
      <c r="AI32" s="114">
        <v>1000</v>
      </c>
      <c r="AJ32" s="97">
        <f t="shared" si="5"/>
        <v>39.265000000000001</v>
      </c>
    </row>
    <row r="33" spans="1:37">
      <c r="A33" s="3" t="e">
        <f>IF(#REF!&lt;'North Quay Estimate'!$C$13,#REF!,'North Quay Estimate'!$C$13)</f>
        <v>#REF!</v>
      </c>
      <c r="B33" s="3">
        <v>40</v>
      </c>
      <c r="C33" s="3">
        <v>32</v>
      </c>
      <c r="D33" s="3">
        <v>18</v>
      </c>
      <c r="E33" s="3" t="s">
        <v>141</v>
      </c>
      <c r="F33" s="3">
        <v>25</v>
      </c>
      <c r="G33" s="3">
        <v>18</v>
      </c>
      <c r="H33" s="3"/>
      <c r="I33" s="3">
        <f t="shared" si="6"/>
        <v>183.00067804481006</v>
      </c>
      <c r="J33" s="3">
        <v>16</v>
      </c>
      <c r="K33" s="3">
        <v>240</v>
      </c>
      <c r="L33" s="3"/>
      <c r="M33" s="3">
        <f t="shared" si="7"/>
        <v>24.04052537804019</v>
      </c>
      <c r="N33" s="97">
        <f t="shared" si="8"/>
        <v>207.04120342285026</v>
      </c>
      <c r="O33" s="97" t="e">
        <f t="shared" ref="O33:O38" si="10">$Q$31*N33*(A34-A33)</f>
        <v>#REF!</v>
      </c>
      <c r="U33" s="122"/>
      <c r="AC33" s="104" t="e">
        <f t="shared" si="9"/>
        <v>#REF!</v>
      </c>
      <c r="AF33" s="111" t="s">
        <v>157</v>
      </c>
      <c r="AG33" s="112" t="s">
        <v>154</v>
      </c>
      <c r="AH33" s="113">
        <v>-33.9</v>
      </c>
      <c r="AI33" s="114">
        <v>1000</v>
      </c>
      <c r="AJ33" s="97">
        <f t="shared" si="5"/>
        <v>38.664999999999999</v>
      </c>
    </row>
    <row r="34" spans="1:37">
      <c r="A34" s="3" t="e">
        <f>IF(#REF!&lt;'North Quay Estimate'!$C$13,#REF!,'North Quay Estimate'!$C$13)</f>
        <v>#REF!</v>
      </c>
      <c r="B34" s="3">
        <v>40</v>
      </c>
      <c r="C34" s="3">
        <v>25</v>
      </c>
      <c r="D34" s="3">
        <v>18</v>
      </c>
      <c r="E34" s="3" t="s">
        <v>141</v>
      </c>
      <c r="F34" s="3">
        <v>0</v>
      </c>
      <c r="G34" s="3">
        <v>0</v>
      </c>
      <c r="H34" s="3"/>
      <c r="I34" s="3">
        <f t="shared" si="6"/>
        <v>69.36047530503717</v>
      </c>
      <c r="J34" s="3">
        <v>16</v>
      </c>
      <c r="K34" s="3">
        <v>300</v>
      </c>
      <c r="L34" s="3"/>
      <c r="M34" s="3">
        <f t="shared" si="7"/>
        <v>19.232420302432153</v>
      </c>
      <c r="N34" s="97">
        <f t="shared" si="8"/>
        <v>88.59289560746933</v>
      </c>
      <c r="O34" s="97" t="e">
        <f t="shared" si="10"/>
        <v>#REF!</v>
      </c>
      <c r="U34" s="122"/>
      <c r="AC34" s="104" t="e">
        <f t="shared" si="9"/>
        <v>#REF!</v>
      </c>
      <c r="AF34" s="111" t="s">
        <v>158</v>
      </c>
      <c r="AG34" s="112" t="s">
        <v>154</v>
      </c>
      <c r="AH34" s="113">
        <f>-5.75*3</f>
        <v>-17.25</v>
      </c>
      <c r="AI34" s="114">
        <v>1500</v>
      </c>
      <c r="AJ34" s="97">
        <f t="shared" si="5"/>
        <v>22.515000000000001</v>
      </c>
    </row>
    <row r="35" spans="1:37">
      <c r="A35" s="3" t="e">
        <f>IF(#REF!&lt;'North Quay Estimate'!$C$13,#REF!,'North Quay Estimate'!$C$13)</f>
        <v>#REF!</v>
      </c>
      <c r="B35" s="3">
        <v>40</v>
      </c>
      <c r="C35" s="3">
        <v>25</v>
      </c>
      <c r="D35" s="3">
        <v>18</v>
      </c>
      <c r="E35" s="3" t="s">
        <v>141</v>
      </c>
      <c r="F35" s="3">
        <v>20</v>
      </c>
      <c r="G35" s="3">
        <v>18</v>
      </c>
      <c r="H35" s="3"/>
      <c r="I35" s="3">
        <f t="shared" si="6"/>
        <v>113.75117950026096</v>
      </c>
      <c r="J35" s="3">
        <v>16</v>
      </c>
      <c r="K35" s="3">
        <v>240</v>
      </c>
      <c r="L35" s="3"/>
      <c r="M35" s="3">
        <f t="shared" si="7"/>
        <v>24.04052537804019</v>
      </c>
      <c r="N35" s="97">
        <f t="shared" si="8"/>
        <v>137.79170487830115</v>
      </c>
      <c r="O35" s="97" t="e">
        <f t="shared" si="10"/>
        <v>#REF!</v>
      </c>
      <c r="U35" s="122"/>
      <c r="AC35" s="104" t="e">
        <f t="shared" si="9"/>
        <v>#REF!</v>
      </c>
      <c r="AF35" s="111" t="s">
        <v>159</v>
      </c>
      <c r="AG35" s="112" t="s">
        <v>154</v>
      </c>
      <c r="AH35" s="113">
        <v>-15</v>
      </c>
      <c r="AI35" s="114">
        <v>1500</v>
      </c>
      <c r="AJ35" s="97">
        <f t="shared" si="5"/>
        <v>20.265000000000001</v>
      </c>
    </row>
    <row r="36" spans="1:37">
      <c r="A36" s="3" t="e">
        <f>IF(#REF!&lt;'North Quay Estimate'!$C$13,#REF!,'North Quay Estimate'!$C$13)</f>
        <v>#REF!</v>
      </c>
      <c r="B36" s="3">
        <v>40</v>
      </c>
      <c r="C36" s="3">
        <v>20</v>
      </c>
      <c r="D36" s="3">
        <v>18</v>
      </c>
      <c r="E36" s="3" t="s">
        <v>141</v>
      </c>
      <c r="F36" s="3">
        <v>0</v>
      </c>
      <c r="G36" s="3">
        <v>0</v>
      </c>
      <c r="H36" s="3"/>
      <c r="I36" s="3">
        <f t="shared" si="6"/>
        <v>44.390704195223783</v>
      </c>
      <c r="J36" s="3">
        <v>16</v>
      </c>
      <c r="K36" s="3">
        <v>300</v>
      </c>
      <c r="L36" s="3"/>
      <c r="M36" s="3">
        <f t="shared" si="7"/>
        <v>19.232420302432153</v>
      </c>
      <c r="N36" s="97">
        <f t="shared" si="8"/>
        <v>63.623124497655937</v>
      </c>
      <c r="O36" s="97" t="e">
        <f t="shared" si="10"/>
        <v>#REF!</v>
      </c>
      <c r="U36" s="122"/>
      <c r="AC36" s="104" t="e">
        <f t="shared" si="9"/>
        <v>#REF!</v>
      </c>
      <c r="AF36" s="111" t="s">
        <v>160</v>
      </c>
      <c r="AG36" s="112" t="s">
        <v>154</v>
      </c>
      <c r="AH36" s="113">
        <f>-4.5*3</f>
        <v>-13.5</v>
      </c>
      <c r="AI36" s="114">
        <v>1500</v>
      </c>
      <c r="AJ36" s="97">
        <f t="shared" si="5"/>
        <v>18.765000000000001</v>
      </c>
    </row>
    <row r="37" spans="1:37">
      <c r="A37" s="3" t="e">
        <f>IF(#REF!&lt;'North Quay Estimate'!$C$13,#REF!,'North Quay Estimate'!$C$13)</f>
        <v>#REF!</v>
      </c>
      <c r="B37" s="3">
        <v>40</v>
      </c>
      <c r="C37" s="3">
        <v>20</v>
      </c>
      <c r="D37" s="3">
        <v>18</v>
      </c>
      <c r="E37" s="3" t="s">
        <v>141</v>
      </c>
      <c r="F37" s="3">
        <v>0</v>
      </c>
      <c r="G37" s="3">
        <v>0</v>
      </c>
      <c r="H37" s="3"/>
      <c r="I37" s="3">
        <f t="shared" si="6"/>
        <v>44.390704195223783</v>
      </c>
      <c r="J37" s="3">
        <v>16</v>
      </c>
      <c r="K37" s="3">
        <v>300</v>
      </c>
      <c r="L37" s="3"/>
      <c r="M37" s="3">
        <f t="shared" si="7"/>
        <v>19.232420302432153</v>
      </c>
      <c r="N37" s="97">
        <f t="shared" si="8"/>
        <v>63.623124497655937</v>
      </c>
      <c r="O37" s="97" t="e">
        <f t="shared" si="10"/>
        <v>#REF!</v>
      </c>
      <c r="U37" s="122"/>
      <c r="AC37" s="104" t="e">
        <f t="shared" si="9"/>
        <v>#REF!</v>
      </c>
      <c r="AF37" s="111" t="s">
        <v>161</v>
      </c>
      <c r="AG37" s="112" t="s">
        <v>154</v>
      </c>
      <c r="AH37" s="113">
        <v>-11.5</v>
      </c>
      <c r="AI37" s="114">
        <v>1500</v>
      </c>
      <c r="AJ37" s="97">
        <f t="shared" si="5"/>
        <v>16.765000000000001</v>
      </c>
      <c r="AK37" s="104">
        <f>AVERAGE(AJ30:AJ37)</f>
        <v>29.458749999999995</v>
      </c>
    </row>
    <row r="38" spans="1:37">
      <c r="A38" s="3" t="e">
        <f>IF(#REF!&lt;'North Quay Estimate'!$C$13,#REF!,'North Quay Estimate'!$C$13)</f>
        <v>#REF!</v>
      </c>
      <c r="B38" s="3">
        <v>40</v>
      </c>
      <c r="C38" s="3">
        <v>16</v>
      </c>
      <c r="D38" s="3">
        <v>18</v>
      </c>
      <c r="E38" s="3" t="s">
        <v>141</v>
      </c>
      <c r="F38" s="3">
        <v>0</v>
      </c>
      <c r="G38" s="3">
        <v>0</v>
      </c>
      <c r="H38" s="3"/>
      <c r="I38" s="3">
        <f t="shared" si="6"/>
        <v>28.410050684943215</v>
      </c>
      <c r="J38" s="3">
        <v>16</v>
      </c>
      <c r="K38" s="3">
        <v>300</v>
      </c>
      <c r="L38" s="3"/>
      <c r="M38" s="3">
        <f t="shared" si="7"/>
        <v>19.232420302432153</v>
      </c>
      <c r="N38" s="97">
        <f t="shared" si="8"/>
        <v>47.642470987375368</v>
      </c>
      <c r="O38" s="97" t="e">
        <f t="shared" si="10"/>
        <v>#REF!</v>
      </c>
      <c r="U38" s="122"/>
      <c r="AC38" s="104" t="e">
        <f t="shared" si="9"/>
        <v>#REF!</v>
      </c>
    </row>
    <row r="39" spans="1:37">
      <c r="A39" s="3" t="e">
        <f>IF(#REF!&lt;'North Quay Estimate'!$C$13,#REF!,'North Quay Estimate'!$C$13)</f>
        <v>#REF!</v>
      </c>
      <c r="B39" s="3">
        <v>40</v>
      </c>
      <c r="C39" s="3">
        <v>0</v>
      </c>
      <c r="D39" s="3">
        <v>0</v>
      </c>
      <c r="E39" s="3" t="s">
        <v>141</v>
      </c>
      <c r="F39" s="3">
        <v>0</v>
      </c>
      <c r="G39" s="3">
        <v>0</v>
      </c>
      <c r="H39" s="3"/>
      <c r="I39" s="3">
        <f t="shared" si="6"/>
        <v>0</v>
      </c>
      <c r="J39" s="3">
        <v>0</v>
      </c>
      <c r="K39" s="3">
        <v>300</v>
      </c>
      <c r="L39" s="3"/>
      <c r="M39" s="3">
        <f t="shared" si="7"/>
        <v>0</v>
      </c>
      <c r="N39" s="97">
        <f t="shared" si="8"/>
        <v>0</v>
      </c>
      <c r="O39" s="124">
        <v>0</v>
      </c>
      <c r="U39" s="122"/>
      <c r="AC39" t="e">
        <f>N39*(30-A39)</f>
        <v>#REF!</v>
      </c>
    </row>
    <row r="40" spans="1:37" ht="15.75" thickBot="1">
      <c r="O40" s="99" t="e">
        <f>SUM(O32:O39)</f>
        <v>#REF!</v>
      </c>
      <c r="P40" s="89" t="s">
        <v>148</v>
      </c>
      <c r="Q40" s="102" t="e">
        <f>O40/$I$8/Q31</f>
        <v>#REF!</v>
      </c>
      <c r="R40" t="s">
        <v>121</v>
      </c>
      <c r="V40" s="96"/>
      <c r="AC40" s="99" t="e">
        <f>SUM(AC32:AC38)</f>
        <v>#REF!</v>
      </c>
      <c r="AD40" s="115" t="e">
        <f>#REF!-AC40</f>
        <v>#REF!</v>
      </c>
    </row>
    <row r="41" spans="1:37" ht="15.75" thickTop="1">
      <c r="O41" s="104"/>
    </row>
    <row r="42" spans="1:37" ht="18.75">
      <c r="A42" s="1" t="s">
        <v>162</v>
      </c>
    </row>
    <row r="43" spans="1:37">
      <c r="AG43" s="146" t="s">
        <v>163</v>
      </c>
      <c r="AH43" s="146"/>
      <c r="AI43" s="146"/>
      <c r="AJ43" s="146"/>
      <c r="AK43" s="146"/>
    </row>
    <row r="44" spans="1:37" ht="14.45" customHeight="1">
      <c r="A44" s="155" t="s">
        <v>151</v>
      </c>
      <c r="B44" s="155" t="s">
        <v>132</v>
      </c>
      <c r="C44" s="155" t="s">
        <v>133</v>
      </c>
      <c r="D44" s="155"/>
      <c r="E44" s="155"/>
      <c r="F44" s="155"/>
      <c r="G44" s="155"/>
      <c r="H44" s="155"/>
      <c r="I44" s="155"/>
      <c r="J44" s="155" t="s">
        <v>72</v>
      </c>
      <c r="K44" s="155"/>
      <c r="L44" s="155"/>
      <c r="M44" s="155"/>
      <c r="N44" s="145" t="s">
        <v>109</v>
      </c>
      <c r="O44" s="145" t="s">
        <v>110</v>
      </c>
      <c r="Q44" t="s">
        <v>164</v>
      </c>
      <c r="AG44" s="3" t="s">
        <v>17</v>
      </c>
      <c r="AH44" s="3" t="s">
        <v>128</v>
      </c>
      <c r="AI44" s="3" t="s">
        <v>129</v>
      </c>
      <c r="AJ44" s="3" t="s">
        <v>130</v>
      </c>
      <c r="AK44" s="3" t="s">
        <v>131</v>
      </c>
    </row>
    <row r="45" spans="1:37">
      <c r="A45" s="155"/>
      <c r="B45" s="155"/>
      <c r="C45" s="3" t="s">
        <v>136</v>
      </c>
      <c r="D45" s="3" t="s">
        <v>137</v>
      </c>
      <c r="E45" s="3"/>
      <c r="F45" s="3" t="s">
        <v>136</v>
      </c>
      <c r="G45" s="3" t="s">
        <v>137</v>
      </c>
      <c r="H45" s="3" t="s">
        <v>138</v>
      </c>
      <c r="I45" s="3" t="s">
        <v>109</v>
      </c>
      <c r="J45" s="3" t="s">
        <v>136</v>
      </c>
      <c r="K45" s="3" t="s">
        <v>139</v>
      </c>
      <c r="L45" s="3" t="s">
        <v>138</v>
      </c>
      <c r="M45" s="3" t="s">
        <v>109</v>
      </c>
      <c r="N45" s="145"/>
      <c r="O45" s="145"/>
      <c r="Q45" s="5">
        <v>8</v>
      </c>
      <c r="AC45" s="104" t="e">
        <f t="shared" ref="AC45:AC52" si="11">O46</f>
        <v>#REF!</v>
      </c>
      <c r="AD45" s="104"/>
      <c r="AE45" s="104"/>
      <c r="AF45" s="104"/>
      <c r="AG45" s="111" t="s">
        <v>165</v>
      </c>
      <c r="AH45" s="112" t="s">
        <v>135</v>
      </c>
      <c r="AI45" s="113">
        <v>-33</v>
      </c>
      <c r="AJ45" s="114">
        <v>3500</v>
      </c>
      <c r="AK45" s="97">
        <f t="shared" ref="AK45:AK50" si="12">AH45-AI45+AJ45/1000</f>
        <v>40.465000000000003</v>
      </c>
    </row>
    <row r="46" spans="1:37">
      <c r="A46" s="3" t="e">
        <f>IF(#REF!&lt;'North Quay Estimate'!$C$13,#REF!,'North Quay Estimate'!$C$13)</f>
        <v>#REF!</v>
      </c>
      <c r="B46" s="3">
        <v>40</v>
      </c>
      <c r="C46" s="3">
        <v>40</v>
      </c>
      <c r="D46" s="3">
        <v>18</v>
      </c>
      <c r="E46" s="3" t="s">
        <v>141</v>
      </c>
      <c r="F46" s="3">
        <v>32</v>
      </c>
      <c r="G46" s="3">
        <v>18</v>
      </c>
      <c r="H46" s="3"/>
      <c r="I46" s="3">
        <f>$C$11*((D46*PI()*((C46/1000)^2)/4)+(G46*PI()*((F46/1000)^2)/4))</f>
        <v>291.20301952066802</v>
      </c>
      <c r="J46" s="3">
        <v>25</v>
      </c>
      <c r="K46" s="3">
        <v>150</v>
      </c>
      <c r="L46" s="3"/>
      <c r="M46" s="3">
        <f t="shared" ref="M46:M54" si="13">$C$11*$C$14*PI()*((J46/1000)^2)/4*1000/K46</f>
        <v>93.90830225796951</v>
      </c>
      <c r="N46" s="97">
        <f>I46+M46</f>
        <v>385.11132177863755</v>
      </c>
      <c r="O46" s="97" t="e">
        <f>$Q$45*N46*(A47-A46)</f>
        <v>#REF!</v>
      </c>
      <c r="AC46" s="104" t="e">
        <f t="shared" si="11"/>
        <v>#REF!</v>
      </c>
      <c r="AD46" s="104"/>
      <c r="AE46" s="104"/>
      <c r="AF46" s="104"/>
      <c r="AG46" s="111" t="s">
        <v>166</v>
      </c>
      <c r="AH46" s="112" t="s">
        <v>135</v>
      </c>
      <c r="AI46" s="113">
        <f>-11.2*3</f>
        <v>-33.599999999999994</v>
      </c>
      <c r="AJ46" s="114">
        <v>3500</v>
      </c>
      <c r="AK46" s="97">
        <f t="shared" si="12"/>
        <v>41.064999999999998</v>
      </c>
    </row>
    <row r="47" spans="1:37">
      <c r="A47" s="3" t="e">
        <f>IF(#REF!&lt;'North Quay Estimate'!$C$13,#REF!,'North Quay Estimate'!$C$13)</f>
        <v>#REF!</v>
      </c>
      <c r="B47" s="3">
        <v>40</v>
      </c>
      <c r="C47" s="3">
        <v>40</v>
      </c>
      <c r="D47" s="3" t="e">
        <f>#REF!</f>
        <v>#REF!</v>
      </c>
      <c r="E47" s="3" t="s">
        <v>141</v>
      </c>
      <c r="F47" s="3">
        <v>0</v>
      </c>
      <c r="G47" s="3">
        <v>0</v>
      </c>
      <c r="H47" s="3"/>
      <c r="I47" s="3" t="e">
        <f>$C$11*((D47*PI()*((C47/1000)^2)/4)+(G47*PI()*((F47/1000)^2)/4))</f>
        <v>#REF!</v>
      </c>
      <c r="J47" s="3">
        <v>25</v>
      </c>
      <c r="K47" s="3">
        <v>150</v>
      </c>
      <c r="L47" s="3"/>
      <c r="M47" s="3">
        <f t="shared" si="13"/>
        <v>93.90830225796951</v>
      </c>
      <c r="N47" s="97" t="e">
        <f t="shared" ref="N47:N54" si="14">I47+M47</f>
        <v>#REF!</v>
      </c>
      <c r="O47" s="97" t="e">
        <f t="shared" ref="O47:O53" si="15">$Q$45*N47*(A48-A47)</f>
        <v>#REF!</v>
      </c>
      <c r="AC47" s="104" t="e">
        <f t="shared" si="11"/>
        <v>#REF!</v>
      </c>
      <c r="AD47" s="104"/>
      <c r="AE47" s="104"/>
      <c r="AF47" s="104"/>
      <c r="AG47" s="111" t="s">
        <v>167</v>
      </c>
      <c r="AH47" s="112" t="s">
        <v>135</v>
      </c>
      <c r="AI47" s="113">
        <f>-11.4*3</f>
        <v>-34.200000000000003</v>
      </c>
      <c r="AJ47" s="114">
        <v>3000</v>
      </c>
      <c r="AK47" s="97">
        <f t="shared" si="12"/>
        <v>41.165000000000006</v>
      </c>
    </row>
    <row r="48" spans="1:37">
      <c r="A48" s="3" t="e">
        <f>IF(#REF!&lt;'North Quay Estimate'!$C$13,#REF!,'North Quay Estimate'!$C$13)</f>
        <v>#REF!</v>
      </c>
      <c r="B48" s="3">
        <v>40</v>
      </c>
      <c r="C48" s="3" t="e">
        <f>#REF!</f>
        <v>#REF!</v>
      </c>
      <c r="D48" s="3" t="e">
        <f>#REF!</f>
        <v>#REF!</v>
      </c>
      <c r="E48" s="3" t="s">
        <v>141</v>
      </c>
      <c r="F48" s="3" t="e">
        <f>#REF!</f>
        <v>#REF!</v>
      </c>
      <c r="G48" s="3" t="e">
        <f>#REF!</f>
        <v>#REF!</v>
      </c>
      <c r="H48" s="3"/>
      <c r="I48" s="3" t="e">
        <f>$C$11*((D48*PI()*((C48/1000)^2)/4)+(G48*PI()*((F48/1000)^2)/4))</f>
        <v>#REF!</v>
      </c>
      <c r="J48" s="3">
        <v>16</v>
      </c>
      <c r="K48" s="3">
        <v>300</v>
      </c>
      <c r="L48" s="3"/>
      <c r="M48" s="3">
        <f t="shared" si="13"/>
        <v>19.232420302432153</v>
      </c>
      <c r="N48" s="97" t="e">
        <f t="shared" si="14"/>
        <v>#REF!</v>
      </c>
      <c r="O48" s="97" t="e">
        <f t="shared" si="15"/>
        <v>#REF!</v>
      </c>
      <c r="AC48" s="104" t="e">
        <f t="shared" si="11"/>
        <v>#REF!</v>
      </c>
      <c r="AD48" s="104"/>
      <c r="AE48" s="104"/>
      <c r="AF48" s="104"/>
      <c r="AG48" s="111" t="s">
        <v>168</v>
      </c>
      <c r="AH48" s="112" t="s">
        <v>135</v>
      </c>
      <c r="AI48" s="113">
        <f>-8.67*3</f>
        <v>-26.009999999999998</v>
      </c>
      <c r="AJ48" s="114">
        <v>3500</v>
      </c>
      <c r="AK48" s="97">
        <f t="shared" si="12"/>
        <v>33.474999999999994</v>
      </c>
    </row>
    <row r="49" spans="1:38">
      <c r="A49" s="3" t="e">
        <f>IF(#REF!&lt;'North Quay Estimate'!$C$13,#REF!,'North Quay Estimate'!$C$13)</f>
        <v>#REF!</v>
      </c>
      <c r="B49" s="3">
        <v>40</v>
      </c>
      <c r="C49" s="3">
        <v>40</v>
      </c>
      <c r="D49" s="3">
        <v>18</v>
      </c>
      <c r="E49" s="3" t="s">
        <v>141</v>
      </c>
      <c r="F49" s="3">
        <v>40</v>
      </c>
      <c r="G49" s="3">
        <v>18</v>
      </c>
      <c r="H49" s="3"/>
      <c r="I49" s="3">
        <f t="shared" ref="I49:I54" si="16">$C$11*((D49*PI()*((C49/1000)^2)/4)+(G49*PI()*((F49/1000)^2)/4))</f>
        <v>355.12563356179027</v>
      </c>
      <c r="J49" s="3">
        <v>16</v>
      </c>
      <c r="K49" s="3">
        <v>240</v>
      </c>
      <c r="L49" s="3"/>
      <c r="M49" s="3">
        <f t="shared" si="13"/>
        <v>24.04052537804019</v>
      </c>
      <c r="N49" s="97">
        <f t="shared" si="14"/>
        <v>379.16615893983044</v>
      </c>
      <c r="O49" s="97" t="e">
        <f t="shared" si="15"/>
        <v>#REF!</v>
      </c>
      <c r="AC49" s="104" t="e">
        <f t="shared" si="11"/>
        <v>#REF!</v>
      </c>
      <c r="AD49" s="104"/>
      <c r="AE49" s="104"/>
      <c r="AF49" s="104"/>
      <c r="AG49" s="111" t="s">
        <v>169</v>
      </c>
      <c r="AH49" s="112" t="s">
        <v>135</v>
      </c>
      <c r="AI49" s="113">
        <f>-7.6*3</f>
        <v>-22.799999999999997</v>
      </c>
      <c r="AJ49" s="114">
        <v>3500</v>
      </c>
      <c r="AK49" s="97">
        <f t="shared" si="12"/>
        <v>30.264999999999997</v>
      </c>
    </row>
    <row r="50" spans="1:38">
      <c r="A50" s="3" t="e">
        <f>IF(#REF!&lt;'North Quay Estimate'!$C$13,#REF!,'North Quay Estimate'!$C$13)</f>
        <v>#REF!</v>
      </c>
      <c r="B50" s="3">
        <v>40</v>
      </c>
      <c r="C50" s="3">
        <v>40</v>
      </c>
      <c r="D50" s="3">
        <v>18</v>
      </c>
      <c r="E50" s="3" t="s">
        <v>141</v>
      </c>
      <c r="F50" s="3">
        <v>0</v>
      </c>
      <c r="G50" s="3">
        <v>0</v>
      </c>
      <c r="H50" s="3"/>
      <c r="I50" s="3">
        <f t="shared" si="16"/>
        <v>177.56281678089513</v>
      </c>
      <c r="J50" s="3">
        <v>16</v>
      </c>
      <c r="K50" s="3">
        <v>300</v>
      </c>
      <c r="L50" s="3"/>
      <c r="M50" s="3">
        <f t="shared" si="13"/>
        <v>19.232420302432153</v>
      </c>
      <c r="N50" s="97">
        <f t="shared" si="14"/>
        <v>196.79523708332729</v>
      </c>
      <c r="O50" s="97" t="e">
        <f t="shared" si="15"/>
        <v>#REF!</v>
      </c>
      <c r="AC50" s="104" t="e">
        <f t="shared" si="11"/>
        <v>#REF!</v>
      </c>
      <c r="AD50" s="104"/>
      <c r="AE50" s="104"/>
      <c r="AF50" s="104"/>
      <c r="AG50" s="111" t="s">
        <v>170</v>
      </c>
      <c r="AH50" s="112" t="s">
        <v>135</v>
      </c>
      <c r="AI50" s="113">
        <f>-6.9*3</f>
        <v>-20.700000000000003</v>
      </c>
      <c r="AJ50" s="114">
        <v>3500</v>
      </c>
      <c r="AK50" s="97">
        <f t="shared" si="12"/>
        <v>28.165000000000003</v>
      </c>
      <c r="AL50" s="104">
        <f>AVERAGE(AK45:AK50)</f>
        <v>35.766666666666666</v>
      </c>
    </row>
    <row r="51" spans="1:38">
      <c r="A51" s="3" t="e">
        <f>IF(#REF!&lt;'North Quay Estimate'!$C$13,#REF!,'North Quay Estimate'!$C$13)</f>
        <v>#REF!</v>
      </c>
      <c r="B51" s="3">
        <v>40</v>
      </c>
      <c r="C51" s="3">
        <v>40</v>
      </c>
      <c r="D51" s="3">
        <v>18</v>
      </c>
      <c r="E51" s="3" t="s">
        <v>141</v>
      </c>
      <c r="F51" s="3">
        <v>32</v>
      </c>
      <c r="G51" s="3">
        <v>18</v>
      </c>
      <c r="H51" s="3"/>
      <c r="I51" s="3">
        <f t="shared" si="16"/>
        <v>291.20301952066802</v>
      </c>
      <c r="J51" s="3">
        <v>16</v>
      </c>
      <c r="K51" s="3">
        <v>240</v>
      </c>
      <c r="L51" s="3"/>
      <c r="M51" s="3">
        <f t="shared" si="13"/>
        <v>24.04052537804019</v>
      </c>
      <c r="N51" s="97">
        <f t="shared" si="14"/>
        <v>315.24354489870819</v>
      </c>
      <c r="O51" s="97" t="e">
        <f t="shared" si="15"/>
        <v>#REF!</v>
      </c>
      <c r="AC51" s="104" t="e">
        <f t="shared" si="11"/>
        <v>#REF!</v>
      </c>
    </row>
    <row r="52" spans="1:38">
      <c r="A52" s="3" t="e">
        <f>IF(#REF!&lt;'North Quay Estimate'!$C$13,#REF!,'North Quay Estimate'!$C$13)</f>
        <v>#REF!</v>
      </c>
      <c r="B52" s="3">
        <v>40</v>
      </c>
      <c r="C52" s="3">
        <v>32</v>
      </c>
      <c r="D52" s="3">
        <v>18</v>
      </c>
      <c r="E52" s="3" t="s">
        <v>141</v>
      </c>
      <c r="F52" s="3">
        <v>0</v>
      </c>
      <c r="G52" s="3">
        <v>0</v>
      </c>
      <c r="H52" s="3"/>
      <c r="I52" s="3">
        <f t="shared" si="16"/>
        <v>113.64020273977286</v>
      </c>
      <c r="J52" s="3">
        <v>16</v>
      </c>
      <c r="K52" s="3">
        <v>300</v>
      </c>
      <c r="L52" s="3"/>
      <c r="M52" s="3">
        <f t="shared" si="13"/>
        <v>19.232420302432153</v>
      </c>
      <c r="N52" s="97">
        <f t="shared" si="14"/>
        <v>132.87262304220502</v>
      </c>
      <c r="O52" s="97" t="e">
        <f t="shared" si="15"/>
        <v>#REF!</v>
      </c>
      <c r="AC52" s="104" t="e">
        <f t="shared" si="11"/>
        <v>#REF!</v>
      </c>
    </row>
    <row r="53" spans="1:38">
      <c r="A53" s="3" t="e">
        <f>IF(#REF!&lt;'North Quay Estimate'!$C$13,#REF!,'North Quay Estimate'!$C$13)</f>
        <v>#REF!</v>
      </c>
      <c r="B53" s="3">
        <v>40</v>
      </c>
      <c r="C53" s="3">
        <v>16</v>
      </c>
      <c r="D53" s="3">
        <v>18</v>
      </c>
      <c r="E53" s="3" t="s">
        <v>141</v>
      </c>
      <c r="F53" s="3">
        <v>0</v>
      </c>
      <c r="G53" s="3">
        <v>0</v>
      </c>
      <c r="H53" s="3"/>
      <c r="I53" s="3">
        <f t="shared" si="16"/>
        <v>28.410050684943215</v>
      </c>
      <c r="J53" s="3">
        <v>16</v>
      </c>
      <c r="K53" s="3">
        <v>300</v>
      </c>
      <c r="L53" s="3"/>
      <c r="M53" s="3">
        <f t="shared" si="13"/>
        <v>19.232420302432153</v>
      </c>
      <c r="N53" s="97">
        <f t="shared" si="14"/>
        <v>47.642470987375368</v>
      </c>
      <c r="O53" s="97" t="e">
        <f t="shared" si="15"/>
        <v>#REF!</v>
      </c>
      <c r="AC53" t="e">
        <f>N54*(21-A54)</f>
        <v>#REF!</v>
      </c>
    </row>
    <row r="54" spans="1:38" ht="15.75" thickBot="1">
      <c r="A54" s="3" t="e">
        <f>IF(#REF!&lt;'North Quay Estimate'!$C$13,#REF!,'North Quay Estimate'!$C$13)</f>
        <v>#REF!</v>
      </c>
      <c r="B54" s="3">
        <v>40</v>
      </c>
      <c r="C54" s="3">
        <v>16</v>
      </c>
      <c r="D54" s="3">
        <v>18</v>
      </c>
      <c r="E54" s="3" t="s">
        <v>141</v>
      </c>
      <c r="F54" s="3">
        <v>0</v>
      </c>
      <c r="G54" s="3">
        <v>0</v>
      </c>
      <c r="H54" s="3"/>
      <c r="I54" s="3">
        <f t="shared" si="16"/>
        <v>28.410050684943215</v>
      </c>
      <c r="J54" s="3">
        <v>16</v>
      </c>
      <c r="K54" s="3">
        <v>300</v>
      </c>
      <c r="L54" s="3"/>
      <c r="M54" s="3">
        <f t="shared" si="13"/>
        <v>19.232420302432153</v>
      </c>
      <c r="N54" s="97">
        <f t="shared" si="14"/>
        <v>47.642470987375368</v>
      </c>
      <c r="O54" s="124">
        <v>0</v>
      </c>
      <c r="AC54" s="99" t="e">
        <f>SUM(AC45:AC53)</f>
        <v>#REF!</v>
      </c>
      <c r="AD54" s="115" t="e">
        <f>O55-AC54</f>
        <v>#REF!</v>
      </c>
      <c r="AE54" s="115"/>
      <c r="AF54" s="115"/>
    </row>
    <row r="55" spans="1:38" ht="16.5" thickTop="1" thickBot="1">
      <c r="O55" s="99" t="e">
        <f>SUM(O46:O54)</f>
        <v>#REF!</v>
      </c>
      <c r="P55" s="89" t="s">
        <v>148</v>
      </c>
      <c r="Q55" s="102" t="e">
        <f>O55/$D$9/Q45</f>
        <v>#REF!</v>
      </c>
      <c r="R55" t="s">
        <v>121</v>
      </c>
    </row>
    <row r="56" spans="1:38" ht="15.75" thickTop="1">
      <c r="AG56" s="146" t="s">
        <v>171</v>
      </c>
      <c r="AH56" s="146"/>
      <c r="AI56" s="146"/>
      <c r="AJ56" s="146"/>
      <c r="AK56" s="146"/>
    </row>
    <row r="57" spans="1:38" ht="18.75">
      <c r="A57" s="1" t="s">
        <v>172</v>
      </c>
      <c r="AG57" s="3" t="s">
        <v>17</v>
      </c>
      <c r="AH57" s="3" t="s">
        <v>128</v>
      </c>
      <c r="AI57" s="3" t="s">
        <v>129</v>
      </c>
      <c r="AJ57" s="3" t="s">
        <v>130</v>
      </c>
      <c r="AK57" s="3" t="s">
        <v>131</v>
      </c>
    </row>
    <row r="58" spans="1:38">
      <c r="AG58" s="111" t="s">
        <v>173</v>
      </c>
      <c r="AH58" s="112" t="s">
        <v>154</v>
      </c>
      <c r="AI58" s="113">
        <v>-33</v>
      </c>
      <c r="AJ58" s="114">
        <v>4000</v>
      </c>
      <c r="AK58" s="97">
        <f t="shared" ref="AK58:AK63" si="17">AH58-AI58+AJ58/1000</f>
        <v>40.765000000000001</v>
      </c>
    </row>
    <row r="59" spans="1:38" ht="14.45" customHeight="1">
      <c r="A59" s="155" t="s">
        <v>151</v>
      </c>
      <c r="B59" s="155" t="s">
        <v>132</v>
      </c>
      <c r="C59" s="155" t="s">
        <v>133</v>
      </c>
      <c r="D59" s="155"/>
      <c r="E59" s="155"/>
      <c r="F59" s="155"/>
      <c r="G59" s="155"/>
      <c r="H59" s="155"/>
      <c r="I59" s="155"/>
      <c r="J59" s="155" t="s">
        <v>72</v>
      </c>
      <c r="K59" s="155"/>
      <c r="L59" s="155"/>
      <c r="M59" s="155"/>
      <c r="N59" s="145" t="s">
        <v>109</v>
      </c>
      <c r="O59" s="145" t="s">
        <v>110</v>
      </c>
      <c r="Q59" t="s">
        <v>174</v>
      </c>
      <c r="AG59" s="111" t="s">
        <v>175</v>
      </c>
      <c r="AH59" s="112" t="s">
        <v>154</v>
      </c>
      <c r="AI59" s="113">
        <f>-11.2*3</f>
        <v>-33.599999999999994</v>
      </c>
      <c r="AJ59" s="114">
        <v>4000</v>
      </c>
      <c r="AK59" s="97">
        <f t="shared" si="17"/>
        <v>41.364999999999995</v>
      </c>
    </row>
    <row r="60" spans="1:38">
      <c r="A60" s="155"/>
      <c r="B60" s="155"/>
      <c r="C60" s="3" t="s">
        <v>136</v>
      </c>
      <c r="D60" s="3" t="s">
        <v>137</v>
      </c>
      <c r="E60" s="3"/>
      <c r="F60" s="3" t="s">
        <v>136</v>
      </c>
      <c r="G60" s="3" t="s">
        <v>137</v>
      </c>
      <c r="H60" s="3" t="s">
        <v>138</v>
      </c>
      <c r="I60" s="3" t="s">
        <v>109</v>
      </c>
      <c r="J60" s="3" t="s">
        <v>136</v>
      </c>
      <c r="K60" s="3" t="s">
        <v>139</v>
      </c>
      <c r="L60" s="3" t="s">
        <v>138</v>
      </c>
      <c r="M60" s="3" t="s">
        <v>109</v>
      </c>
      <c r="N60" s="145"/>
      <c r="O60" s="145"/>
      <c r="Q60" s="5">
        <v>8</v>
      </c>
      <c r="AC60" s="104" t="e">
        <f>O61</f>
        <v>#REF!</v>
      </c>
      <c r="AG60" s="111" t="s">
        <v>176</v>
      </c>
      <c r="AH60" s="112" t="s">
        <v>154</v>
      </c>
      <c r="AI60" s="113">
        <f>-11.4*3</f>
        <v>-34.200000000000003</v>
      </c>
      <c r="AJ60" s="114">
        <v>4000</v>
      </c>
      <c r="AK60" s="97">
        <f t="shared" si="17"/>
        <v>41.965000000000003</v>
      </c>
    </row>
    <row r="61" spans="1:38">
      <c r="A61" s="3" t="e">
        <f>IF(#REF!&lt;'North Quay Estimate'!$C$13,#REF!,'North Quay Estimate'!$C$13)</f>
        <v>#REF!</v>
      </c>
      <c r="B61" s="3">
        <v>40</v>
      </c>
      <c r="C61" s="3">
        <v>32</v>
      </c>
      <c r="D61" s="3" t="e">
        <f>#REF!</f>
        <v>#REF!</v>
      </c>
      <c r="E61" s="3" t="s">
        <v>141</v>
      </c>
      <c r="F61" s="3">
        <v>0</v>
      </c>
      <c r="G61" s="3">
        <v>0</v>
      </c>
      <c r="H61" s="3"/>
      <c r="I61" s="3" t="e">
        <f>$C$11*((D61*PI()*((C61/1000)^2)/4)+(G61*PI()*((F61/1000)^2)/4))</f>
        <v>#REF!</v>
      </c>
      <c r="J61" s="3">
        <v>16</v>
      </c>
      <c r="K61" s="3">
        <v>300</v>
      </c>
      <c r="L61" s="3"/>
      <c r="M61" s="3">
        <f>$C$11*$C$14*PI()*((J61/1000)^2)/4*1000/K61</f>
        <v>19.232420302432153</v>
      </c>
      <c r="N61" s="97" t="e">
        <f>I61+M61</f>
        <v>#REF!</v>
      </c>
      <c r="O61" s="97" t="e">
        <f>$Q$60*N61*(A62-A61)</f>
        <v>#REF!</v>
      </c>
      <c r="AC61" s="104" t="e">
        <f>O62</f>
        <v>#REF!</v>
      </c>
      <c r="AG61" s="111" t="s">
        <v>177</v>
      </c>
      <c r="AH61" s="112" t="s">
        <v>154</v>
      </c>
      <c r="AI61" s="113">
        <f>-8.67*3</f>
        <v>-26.009999999999998</v>
      </c>
      <c r="AJ61" s="114">
        <v>4000</v>
      </c>
      <c r="AK61" s="97">
        <f t="shared" si="17"/>
        <v>33.774999999999999</v>
      </c>
    </row>
    <row r="62" spans="1:38">
      <c r="A62" s="3" t="e">
        <f>IF(#REF!&lt;'North Quay Estimate'!$C$13,#REF!,'North Quay Estimate'!$C$13)</f>
        <v>#REF!</v>
      </c>
      <c r="B62" s="3">
        <v>40</v>
      </c>
      <c r="C62" s="3">
        <v>32</v>
      </c>
      <c r="D62" s="3">
        <v>18</v>
      </c>
      <c r="E62" s="3" t="s">
        <v>141</v>
      </c>
      <c r="F62" s="3">
        <v>20</v>
      </c>
      <c r="G62" s="3">
        <v>18</v>
      </c>
      <c r="H62" s="3"/>
      <c r="I62" s="3">
        <f>$C$11*((D62*PI()*((C62/1000)^2)/4)+(G62*PI()*((F62/1000)^2)/4))</f>
        <v>158.03090693499664</v>
      </c>
      <c r="J62" s="3">
        <v>16</v>
      </c>
      <c r="K62" s="3">
        <v>300</v>
      </c>
      <c r="L62" s="3"/>
      <c r="M62" s="3">
        <f>$C$11*$C$14*PI()*((J62/1000)^2)/4*1000/K62</f>
        <v>19.232420302432153</v>
      </c>
      <c r="N62" s="97">
        <f>I62+M62</f>
        <v>177.2633272374288</v>
      </c>
      <c r="O62" s="97" t="e">
        <f>$Q$60*N62*(A63-A62)</f>
        <v>#REF!</v>
      </c>
      <c r="AC62" s="104" t="e">
        <f>O63</f>
        <v>#REF!</v>
      </c>
      <c r="AG62" s="111" t="s">
        <v>178</v>
      </c>
      <c r="AH62" s="112" t="s">
        <v>154</v>
      </c>
      <c r="AI62" s="113">
        <f>-7.6*3</f>
        <v>-22.799999999999997</v>
      </c>
      <c r="AJ62" s="114">
        <v>4000</v>
      </c>
      <c r="AK62" s="97">
        <f t="shared" si="17"/>
        <v>30.564999999999998</v>
      </c>
    </row>
    <row r="63" spans="1:38">
      <c r="A63" s="3" t="e">
        <f>IF(#REF!&lt;'North Quay Estimate'!$C$13,#REF!,'North Quay Estimate'!$C$13)</f>
        <v>#REF!</v>
      </c>
      <c r="B63" s="3">
        <v>40</v>
      </c>
      <c r="C63" s="3">
        <v>32</v>
      </c>
      <c r="D63" s="3">
        <v>18</v>
      </c>
      <c r="E63" s="3" t="s">
        <v>141</v>
      </c>
      <c r="F63" s="3">
        <v>0</v>
      </c>
      <c r="G63" s="3">
        <v>0</v>
      </c>
      <c r="H63" s="3"/>
      <c r="I63" s="3">
        <f>$C$11*((D63*PI()*((C63/1000)^2)/4)+(G63*PI()*((F63/1000)^2)/4))</f>
        <v>113.64020273977286</v>
      </c>
      <c r="J63" s="3">
        <v>16</v>
      </c>
      <c r="K63" s="3">
        <v>300</v>
      </c>
      <c r="L63" s="3"/>
      <c r="M63" s="3">
        <f>$C$11*$C$14*PI()*((J63/1000)^2)/4*1000/K63</f>
        <v>19.232420302432153</v>
      </c>
      <c r="N63" s="97">
        <f>I63+M63</f>
        <v>132.87262304220502</v>
      </c>
      <c r="O63" s="97" t="e">
        <f>$Q$60*N63*(A64-A63)</f>
        <v>#REF!</v>
      </c>
      <c r="AC63" t="e">
        <f>N64*(30-A64)</f>
        <v>#REF!</v>
      </c>
      <c r="AG63" s="111" t="s">
        <v>179</v>
      </c>
      <c r="AH63" s="112" t="s">
        <v>154</v>
      </c>
      <c r="AI63" s="113">
        <f>-6.9*3</f>
        <v>-20.700000000000003</v>
      </c>
      <c r="AJ63" s="114">
        <v>4000</v>
      </c>
      <c r="AK63" s="97">
        <f t="shared" si="17"/>
        <v>28.465000000000003</v>
      </c>
      <c r="AL63" s="104">
        <f>AVERAGE(AK58:AK63)</f>
        <v>36.15</v>
      </c>
    </row>
    <row r="64" spans="1:38" ht="15.75" thickBot="1">
      <c r="A64" s="3" t="e">
        <f>IF(#REF!&lt;'North Quay Estimate'!$C$13,#REF!,'North Quay Estimate'!$C$13)</f>
        <v>#REF!</v>
      </c>
      <c r="B64" s="3">
        <v>40</v>
      </c>
      <c r="C64" s="3">
        <v>25</v>
      </c>
      <c r="D64" s="3">
        <v>18</v>
      </c>
      <c r="E64" s="3" t="s">
        <v>141</v>
      </c>
      <c r="F64" s="3">
        <v>0</v>
      </c>
      <c r="G64" s="3">
        <v>0</v>
      </c>
      <c r="H64" s="3"/>
      <c r="I64" s="3">
        <f>$C$11*((D64*PI()*((C64/1000)^2)/4)+(G64*PI()*((F64/1000)^2)/4))</f>
        <v>69.36047530503717</v>
      </c>
      <c r="J64" s="3">
        <v>16</v>
      </c>
      <c r="K64" s="3">
        <v>300</v>
      </c>
      <c r="L64" s="3"/>
      <c r="M64" s="3">
        <f>$C$11*$C$14*PI()*((J64/1000)^2)/4*1000/K64</f>
        <v>19.232420302432153</v>
      </c>
      <c r="N64" s="97">
        <f>I64+M64</f>
        <v>88.59289560746933</v>
      </c>
      <c r="O64" s="124">
        <v>0</v>
      </c>
      <c r="AC64" s="99" t="e">
        <f>SUM(AC60:AC63)</f>
        <v>#REF!</v>
      </c>
      <c r="AD64" s="115" t="e">
        <f>O65-AC64</f>
        <v>#REF!</v>
      </c>
    </row>
    <row r="65" spans="1:38" ht="16.5" thickTop="1" thickBot="1">
      <c r="O65" s="99" t="e">
        <f>SUM(O61:O64)</f>
        <v>#REF!</v>
      </c>
      <c r="P65" s="89" t="s">
        <v>148</v>
      </c>
      <c r="Q65" s="102" t="e">
        <f>O65/$I$8/Q60</f>
        <v>#REF!</v>
      </c>
      <c r="R65" t="s">
        <v>121</v>
      </c>
    </row>
    <row r="66" spans="1:38" ht="15.75" thickTop="1"/>
    <row r="67" spans="1:38" ht="18.75">
      <c r="A67" s="1" t="s">
        <v>180</v>
      </c>
      <c r="AG67" s="146" t="s">
        <v>181</v>
      </c>
      <c r="AH67" s="146"/>
      <c r="AI67" s="146"/>
      <c r="AJ67" s="146"/>
      <c r="AK67" s="146"/>
    </row>
    <row r="68" spans="1:38">
      <c r="AG68" s="3" t="s">
        <v>17</v>
      </c>
      <c r="AH68" s="3" t="s">
        <v>128</v>
      </c>
      <c r="AI68" s="3" t="s">
        <v>129</v>
      </c>
      <c r="AJ68" s="3" t="s">
        <v>130</v>
      </c>
      <c r="AK68" s="3" t="s">
        <v>131</v>
      </c>
    </row>
    <row r="69" spans="1:38" ht="14.45" customHeight="1">
      <c r="A69" s="155" t="s">
        <v>151</v>
      </c>
      <c r="B69" s="155" t="s">
        <v>132</v>
      </c>
      <c r="C69" s="155" t="s">
        <v>133</v>
      </c>
      <c r="D69" s="155"/>
      <c r="E69" s="155"/>
      <c r="F69" s="155"/>
      <c r="G69" s="155"/>
      <c r="H69" s="155"/>
      <c r="I69" s="155"/>
      <c r="J69" s="155" t="s">
        <v>72</v>
      </c>
      <c r="K69" s="155"/>
      <c r="L69" s="155"/>
      <c r="M69" s="155"/>
      <c r="N69" s="150" t="s">
        <v>109</v>
      </c>
      <c r="O69" s="150" t="s">
        <v>110</v>
      </c>
      <c r="Q69" t="s">
        <v>182</v>
      </c>
      <c r="AG69" s="111" t="s">
        <v>183</v>
      </c>
      <c r="AH69" s="112" t="s">
        <v>135</v>
      </c>
      <c r="AI69" s="113">
        <f>-11.6*3</f>
        <v>-34.799999999999997</v>
      </c>
      <c r="AJ69" s="114">
        <v>3000</v>
      </c>
      <c r="AK69" s="97">
        <f>AH69-AI69+AJ69/1000</f>
        <v>41.765000000000001</v>
      </c>
    </row>
    <row r="70" spans="1:38">
      <c r="A70" s="155"/>
      <c r="B70" s="155"/>
      <c r="C70" s="3" t="s">
        <v>136</v>
      </c>
      <c r="D70" s="3" t="s">
        <v>137</v>
      </c>
      <c r="E70" s="3"/>
      <c r="F70" s="3" t="s">
        <v>136</v>
      </c>
      <c r="G70" s="3" t="s">
        <v>137</v>
      </c>
      <c r="H70" s="3" t="s">
        <v>138</v>
      </c>
      <c r="I70" s="3" t="s">
        <v>109</v>
      </c>
      <c r="J70" s="3" t="s">
        <v>136</v>
      </c>
      <c r="K70" s="3" t="s">
        <v>139</v>
      </c>
      <c r="L70" s="3" t="s">
        <v>138</v>
      </c>
      <c r="M70" s="3" t="s">
        <v>109</v>
      </c>
      <c r="N70" s="151"/>
      <c r="O70" s="151"/>
      <c r="Q70" s="5">
        <v>8</v>
      </c>
      <c r="AC70" s="104" t="e">
        <f t="shared" ref="AC70:AC77" si="18">O71</f>
        <v>#REF!</v>
      </c>
      <c r="AD70" s="104"/>
      <c r="AE70" s="104"/>
      <c r="AF70" s="104"/>
      <c r="AG70" s="111" t="s">
        <v>184</v>
      </c>
      <c r="AH70" s="112" t="s">
        <v>135</v>
      </c>
      <c r="AI70" s="113">
        <f>-11.8*3</f>
        <v>-35.400000000000006</v>
      </c>
      <c r="AJ70" s="114">
        <v>3000</v>
      </c>
      <c r="AK70" s="97">
        <f t="shared" ref="AK70:AK79" si="19">AH70-AI70+AJ70/1000</f>
        <v>42.365000000000009</v>
      </c>
    </row>
    <row r="71" spans="1:38">
      <c r="A71" s="3" t="e">
        <f>IF(#REF!&lt;'North Quay Estimate'!$C$13,#REF!,'North Quay Estimate'!$C$13)</f>
        <v>#REF!</v>
      </c>
      <c r="B71" s="3">
        <v>40</v>
      </c>
      <c r="C71" s="3">
        <v>40</v>
      </c>
      <c r="D71" s="3">
        <v>18</v>
      </c>
      <c r="E71" s="3" t="s">
        <v>141</v>
      </c>
      <c r="F71" s="3">
        <v>25</v>
      </c>
      <c r="G71" s="3">
        <v>18</v>
      </c>
      <c r="H71" s="3"/>
      <c r="I71" s="3">
        <f>$C$11*((D71*PI()*((C71/1000)^2)/4)+(G71*PI()*((F71/1000)^2)/4))</f>
        <v>246.9232920859323</v>
      </c>
      <c r="J71" s="3">
        <v>25</v>
      </c>
      <c r="K71" s="3">
        <v>150</v>
      </c>
      <c r="L71" s="3"/>
      <c r="M71" s="3">
        <f t="shared" ref="M71:M79" si="20">$C$11*$C$14*PI()*((J71/1000)^2)/4*1000/K71</f>
        <v>93.90830225796951</v>
      </c>
      <c r="N71" s="97">
        <f t="shared" ref="N71:N79" si="21">I71+M71</f>
        <v>340.83159434390183</v>
      </c>
      <c r="O71" s="97" t="e">
        <f>$Q$70*N71*(A72-A71)</f>
        <v>#REF!</v>
      </c>
      <c r="AC71" s="104" t="e">
        <f t="shared" si="18"/>
        <v>#REF!</v>
      </c>
      <c r="AD71" s="104"/>
      <c r="AE71" s="104"/>
      <c r="AF71" s="104"/>
      <c r="AG71" s="111" t="s">
        <v>185</v>
      </c>
      <c r="AH71" s="112" t="s">
        <v>135</v>
      </c>
      <c r="AI71" s="113">
        <f>-12*3</f>
        <v>-36</v>
      </c>
      <c r="AJ71" s="114">
        <v>3000</v>
      </c>
      <c r="AK71" s="97">
        <f t="shared" si="19"/>
        <v>42.965000000000003</v>
      </c>
    </row>
    <row r="72" spans="1:38">
      <c r="A72" s="3" t="e">
        <f>IF(#REF!&lt;'North Quay Estimate'!$C$13,#REF!,'North Quay Estimate'!$C$13)</f>
        <v>#REF!</v>
      </c>
      <c r="B72" s="3">
        <v>40</v>
      </c>
      <c r="C72" s="3">
        <v>40</v>
      </c>
      <c r="D72" s="3">
        <v>18</v>
      </c>
      <c r="E72" s="3" t="s">
        <v>141</v>
      </c>
      <c r="F72" s="3">
        <v>0</v>
      </c>
      <c r="G72" s="3">
        <v>0</v>
      </c>
      <c r="H72" s="3"/>
      <c r="I72" s="3">
        <f t="shared" ref="I72:I79" si="22">$C$11*((D72*PI()*((C72/1000)^2)/4)+(G72*PI()*((F72/1000)^2)/4))</f>
        <v>177.56281678089513</v>
      </c>
      <c r="J72" s="3">
        <v>25</v>
      </c>
      <c r="K72" s="3">
        <v>150</v>
      </c>
      <c r="L72" s="3"/>
      <c r="M72" s="3">
        <f t="shared" si="20"/>
        <v>93.90830225796951</v>
      </c>
      <c r="N72" s="97">
        <f t="shared" si="21"/>
        <v>271.47111903886463</v>
      </c>
      <c r="O72" s="97" t="e">
        <f t="shared" ref="O72:O78" si="23">$Q$70*N72*(A73-A72)</f>
        <v>#REF!</v>
      </c>
      <c r="AC72" s="104" t="e">
        <f t="shared" si="18"/>
        <v>#REF!</v>
      </c>
      <c r="AD72" s="104"/>
      <c r="AE72" s="104"/>
      <c r="AF72" s="104"/>
      <c r="AG72" s="111" t="s">
        <v>186</v>
      </c>
      <c r="AH72" s="112" t="s">
        <v>135</v>
      </c>
      <c r="AI72" s="113">
        <f>-12.3*3</f>
        <v>-36.900000000000006</v>
      </c>
      <c r="AJ72" s="114">
        <v>3000</v>
      </c>
      <c r="AK72" s="97">
        <f t="shared" si="19"/>
        <v>43.865000000000009</v>
      </c>
    </row>
    <row r="73" spans="1:38">
      <c r="A73" s="3" t="e">
        <f>IF(#REF!&lt;'North Quay Estimate'!$C$13,#REF!,'North Quay Estimate'!$C$13)</f>
        <v>#REF!</v>
      </c>
      <c r="B73" s="3">
        <v>40</v>
      </c>
      <c r="C73" s="3">
        <v>40</v>
      </c>
      <c r="D73" s="3">
        <v>18</v>
      </c>
      <c r="E73" s="3" t="s">
        <v>141</v>
      </c>
      <c r="F73" s="3">
        <v>0</v>
      </c>
      <c r="G73" s="3">
        <v>0</v>
      </c>
      <c r="H73" s="3"/>
      <c r="I73" s="3">
        <f t="shared" si="22"/>
        <v>177.56281678089513</v>
      </c>
      <c r="J73" s="3">
        <v>16</v>
      </c>
      <c r="K73" s="3">
        <v>300</v>
      </c>
      <c r="L73" s="3"/>
      <c r="M73" s="3">
        <f t="shared" si="20"/>
        <v>19.232420302432153</v>
      </c>
      <c r="N73" s="97">
        <f t="shared" si="21"/>
        <v>196.79523708332729</v>
      </c>
      <c r="O73" s="97" t="e">
        <f t="shared" si="23"/>
        <v>#REF!</v>
      </c>
      <c r="AC73" s="104" t="e">
        <f t="shared" si="18"/>
        <v>#REF!</v>
      </c>
      <c r="AD73" s="104"/>
      <c r="AE73" s="104"/>
      <c r="AF73" s="104"/>
      <c r="AG73" s="111" t="s">
        <v>187</v>
      </c>
      <c r="AH73" s="112" t="s">
        <v>135</v>
      </c>
      <c r="AI73" s="113">
        <f>-12.5*3</f>
        <v>-37.5</v>
      </c>
      <c r="AJ73" s="114">
        <v>3000</v>
      </c>
      <c r="AK73" s="97">
        <f t="shared" si="19"/>
        <v>44.465000000000003</v>
      </c>
    </row>
    <row r="74" spans="1:38">
      <c r="A74" s="3" t="e">
        <f>IF(#REF!&lt;'North Quay Estimate'!$C$13,#REF!,'North Quay Estimate'!$C$13)</f>
        <v>#REF!</v>
      </c>
      <c r="B74" s="3">
        <v>40</v>
      </c>
      <c r="C74" s="3">
        <v>40</v>
      </c>
      <c r="D74" s="3">
        <v>18</v>
      </c>
      <c r="E74" s="3" t="s">
        <v>141</v>
      </c>
      <c r="F74" s="3">
        <v>40</v>
      </c>
      <c r="G74" s="3">
        <v>18</v>
      </c>
      <c r="H74" s="3"/>
      <c r="I74" s="3">
        <f t="shared" si="22"/>
        <v>355.12563356179027</v>
      </c>
      <c r="J74" s="3">
        <v>16</v>
      </c>
      <c r="K74" s="3">
        <v>240</v>
      </c>
      <c r="L74" s="3"/>
      <c r="M74" s="3">
        <f t="shared" si="20"/>
        <v>24.04052537804019</v>
      </c>
      <c r="N74" s="97">
        <f t="shared" si="21"/>
        <v>379.16615893983044</v>
      </c>
      <c r="O74" s="97" t="e">
        <f t="shared" si="23"/>
        <v>#REF!</v>
      </c>
      <c r="AC74" s="104" t="e">
        <f t="shared" si="18"/>
        <v>#REF!</v>
      </c>
      <c r="AD74" s="104"/>
      <c r="AE74" s="104"/>
      <c r="AF74" s="104"/>
      <c r="AG74" s="111" t="s">
        <v>188</v>
      </c>
      <c r="AH74" s="112" t="s">
        <v>135</v>
      </c>
      <c r="AI74" s="113">
        <f>-12.5*3</f>
        <v>-37.5</v>
      </c>
      <c r="AJ74" s="114">
        <v>3000</v>
      </c>
      <c r="AK74" s="97">
        <f t="shared" si="19"/>
        <v>44.465000000000003</v>
      </c>
    </row>
    <row r="75" spans="1:38">
      <c r="A75" s="3" t="e">
        <f>IF(#REF!&lt;'North Quay Estimate'!$C$13,#REF!,'North Quay Estimate'!$C$13)</f>
        <v>#REF!</v>
      </c>
      <c r="B75" s="3">
        <v>40</v>
      </c>
      <c r="C75" s="3">
        <v>40</v>
      </c>
      <c r="D75" s="3">
        <v>18</v>
      </c>
      <c r="E75" s="3" t="s">
        <v>141</v>
      </c>
      <c r="F75" s="3">
        <v>0</v>
      </c>
      <c r="G75" s="3">
        <v>0</v>
      </c>
      <c r="H75" s="3"/>
      <c r="I75" s="3">
        <f t="shared" si="22"/>
        <v>177.56281678089513</v>
      </c>
      <c r="J75" s="3">
        <v>16</v>
      </c>
      <c r="K75" s="3">
        <v>300</v>
      </c>
      <c r="L75" s="3"/>
      <c r="M75" s="3">
        <f t="shared" si="20"/>
        <v>19.232420302432153</v>
      </c>
      <c r="N75" s="97">
        <f t="shared" si="21"/>
        <v>196.79523708332729</v>
      </c>
      <c r="O75" s="97" t="e">
        <f t="shared" si="23"/>
        <v>#REF!</v>
      </c>
      <c r="AC75" s="104" t="e">
        <f t="shared" si="18"/>
        <v>#REF!</v>
      </c>
      <c r="AD75" s="104"/>
      <c r="AE75" s="104"/>
      <c r="AF75" s="104"/>
      <c r="AG75" s="111" t="s">
        <v>189</v>
      </c>
      <c r="AH75" s="112" t="s">
        <v>135</v>
      </c>
      <c r="AI75" s="113">
        <f>-12.2*3</f>
        <v>-36.599999999999994</v>
      </c>
      <c r="AJ75" s="114">
        <v>3000</v>
      </c>
      <c r="AK75" s="97">
        <f t="shared" si="19"/>
        <v>43.564999999999998</v>
      </c>
    </row>
    <row r="76" spans="1:38">
      <c r="A76" s="3" t="e">
        <f>IF(#REF!&lt;'North Quay Estimate'!$C$13,#REF!,'North Quay Estimate'!$C$13)</f>
        <v>#REF!</v>
      </c>
      <c r="B76" s="3">
        <v>40</v>
      </c>
      <c r="C76" s="3">
        <v>40</v>
      </c>
      <c r="D76" s="3">
        <v>18</v>
      </c>
      <c r="E76" s="3" t="s">
        <v>141</v>
      </c>
      <c r="F76" s="3">
        <v>32</v>
      </c>
      <c r="G76" s="3">
        <v>18</v>
      </c>
      <c r="H76" s="3"/>
      <c r="I76" s="3">
        <f t="shared" si="22"/>
        <v>291.20301952066802</v>
      </c>
      <c r="J76" s="3">
        <v>16</v>
      </c>
      <c r="K76" s="3">
        <v>240</v>
      </c>
      <c r="L76" s="3"/>
      <c r="M76" s="3">
        <f t="shared" si="20"/>
        <v>24.04052537804019</v>
      </c>
      <c r="N76" s="97">
        <f t="shared" si="21"/>
        <v>315.24354489870819</v>
      </c>
      <c r="O76" s="97" t="e">
        <f t="shared" si="23"/>
        <v>#REF!</v>
      </c>
      <c r="AC76" s="104" t="e">
        <f t="shared" si="18"/>
        <v>#REF!</v>
      </c>
      <c r="AG76" s="111" t="s">
        <v>190</v>
      </c>
      <c r="AH76" s="112" t="s">
        <v>135</v>
      </c>
      <c r="AI76" s="113">
        <f>-12*3</f>
        <v>-36</v>
      </c>
      <c r="AJ76" s="114">
        <v>3000</v>
      </c>
      <c r="AK76" s="97">
        <f t="shared" si="19"/>
        <v>42.965000000000003</v>
      </c>
    </row>
    <row r="77" spans="1:38">
      <c r="A77" s="3" t="e">
        <f>IF(#REF!&lt;'North Quay Estimate'!$C$13,#REF!,'North Quay Estimate'!$C$13)</f>
        <v>#REF!</v>
      </c>
      <c r="B77" s="3">
        <v>40</v>
      </c>
      <c r="C77" s="3">
        <v>32</v>
      </c>
      <c r="D77" s="3">
        <v>18</v>
      </c>
      <c r="E77" s="3" t="s">
        <v>141</v>
      </c>
      <c r="F77" s="3">
        <v>0</v>
      </c>
      <c r="G77" s="3">
        <v>0</v>
      </c>
      <c r="H77" s="3"/>
      <c r="I77" s="3">
        <f t="shared" si="22"/>
        <v>113.64020273977286</v>
      </c>
      <c r="J77" s="3">
        <v>16</v>
      </c>
      <c r="K77" s="3">
        <v>300</v>
      </c>
      <c r="L77" s="3"/>
      <c r="M77" s="3">
        <f t="shared" si="20"/>
        <v>19.232420302432153</v>
      </c>
      <c r="N77" s="97">
        <f t="shared" si="21"/>
        <v>132.87262304220502</v>
      </c>
      <c r="O77" s="97" t="e">
        <f t="shared" si="23"/>
        <v>#REF!</v>
      </c>
      <c r="AC77" s="104" t="e">
        <f t="shared" si="18"/>
        <v>#REF!</v>
      </c>
      <c r="AG77" s="111" t="s">
        <v>191</v>
      </c>
      <c r="AH77" s="112" t="s">
        <v>135</v>
      </c>
      <c r="AI77" s="113">
        <f>-11.5*3</f>
        <v>-34.5</v>
      </c>
      <c r="AJ77" s="114">
        <v>3500</v>
      </c>
      <c r="AK77" s="97">
        <f t="shared" si="19"/>
        <v>41.965000000000003</v>
      </c>
    </row>
    <row r="78" spans="1:38">
      <c r="A78" s="3" t="e">
        <f>IF(#REF!&lt;'North Quay Estimate'!$C$13,#REF!,'North Quay Estimate'!$C$13)</f>
        <v>#REF!</v>
      </c>
      <c r="B78" s="3">
        <v>40</v>
      </c>
      <c r="C78" s="3">
        <v>16</v>
      </c>
      <c r="D78" s="3">
        <v>18</v>
      </c>
      <c r="E78" s="3" t="s">
        <v>141</v>
      </c>
      <c r="F78" s="3">
        <v>0</v>
      </c>
      <c r="G78" s="3">
        <v>0</v>
      </c>
      <c r="H78" s="3"/>
      <c r="I78" s="3">
        <f t="shared" si="22"/>
        <v>28.410050684943215</v>
      </c>
      <c r="J78" s="3">
        <v>16</v>
      </c>
      <c r="K78" s="3">
        <v>300</v>
      </c>
      <c r="L78" s="3"/>
      <c r="M78" s="3">
        <f t="shared" si="20"/>
        <v>19.232420302432153</v>
      </c>
      <c r="N78" s="97">
        <f t="shared" si="21"/>
        <v>47.642470987375368</v>
      </c>
      <c r="O78" s="97" t="e">
        <f t="shared" si="23"/>
        <v>#REF!</v>
      </c>
      <c r="AC78" t="e">
        <f>N79*(21-A79)</f>
        <v>#REF!</v>
      </c>
      <c r="AG78" s="111" t="s">
        <v>192</v>
      </c>
      <c r="AH78" s="112" t="s">
        <v>135</v>
      </c>
      <c r="AI78" s="113">
        <f>-10.6*3</f>
        <v>-31.799999999999997</v>
      </c>
      <c r="AJ78" s="114">
        <v>3500</v>
      </c>
      <c r="AK78" s="97">
        <f t="shared" si="19"/>
        <v>39.265000000000001</v>
      </c>
    </row>
    <row r="79" spans="1:38" ht="15.75" thickBot="1">
      <c r="A79" s="3" t="e">
        <f>IF(#REF!&lt;'North Quay Estimate'!$C$13,#REF!,'North Quay Estimate'!$C$13)</f>
        <v>#REF!</v>
      </c>
      <c r="B79" s="3">
        <v>40</v>
      </c>
      <c r="C79" s="3">
        <v>16</v>
      </c>
      <c r="D79" s="3">
        <v>18</v>
      </c>
      <c r="E79" s="3" t="s">
        <v>141</v>
      </c>
      <c r="F79" s="3">
        <v>0</v>
      </c>
      <c r="G79" s="3">
        <v>0</v>
      </c>
      <c r="H79" s="3"/>
      <c r="I79" s="3">
        <f t="shared" si="22"/>
        <v>28.410050684943215</v>
      </c>
      <c r="J79" s="3">
        <v>16</v>
      </c>
      <c r="K79" s="3">
        <v>300</v>
      </c>
      <c r="L79" s="3"/>
      <c r="M79" s="3">
        <f t="shared" si="20"/>
        <v>19.232420302432153</v>
      </c>
      <c r="N79" s="97">
        <f t="shared" si="21"/>
        <v>47.642470987375368</v>
      </c>
      <c r="O79" s="124">
        <v>0</v>
      </c>
      <c r="AC79" s="99" t="e">
        <f>SUM(AC70:AC78)</f>
        <v>#REF!</v>
      </c>
      <c r="AD79" s="115" t="e">
        <f>O80-AC79</f>
        <v>#REF!</v>
      </c>
      <c r="AE79" s="116"/>
      <c r="AF79" s="116"/>
      <c r="AG79" s="111" t="s">
        <v>193</v>
      </c>
      <c r="AH79" s="112" t="s">
        <v>135</v>
      </c>
      <c r="AI79" s="113">
        <f>-9.5*3</f>
        <v>-28.5</v>
      </c>
      <c r="AJ79" s="114">
        <v>3500</v>
      </c>
      <c r="AK79" s="97">
        <f t="shared" si="19"/>
        <v>35.965000000000003</v>
      </c>
      <c r="AL79" s="104">
        <f>AVERAGE(AK69:AK79)</f>
        <v>42.14681818181819</v>
      </c>
    </row>
    <row r="80" spans="1:38" ht="16.5" thickTop="1" thickBot="1">
      <c r="O80" s="99" t="e">
        <f>SUM(O71:O79)</f>
        <v>#REF!</v>
      </c>
      <c r="P80" s="89" t="s">
        <v>148</v>
      </c>
      <c r="Q80" s="102" t="e">
        <f>O80/$D$9/Q70</f>
        <v>#REF!</v>
      </c>
      <c r="R80" t="s">
        <v>121</v>
      </c>
    </row>
    <row r="81" spans="1:38" ht="15.75" thickTop="1">
      <c r="AG81" s="146" t="s">
        <v>194</v>
      </c>
      <c r="AH81" s="146"/>
      <c r="AI81" s="146"/>
      <c r="AJ81" s="146"/>
      <c r="AK81" s="146"/>
    </row>
    <row r="82" spans="1:38" ht="18.75">
      <c r="A82" s="1" t="s">
        <v>195</v>
      </c>
      <c r="AG82" s="3" t="s">
        <v>17</v>
      </c>
      <c r="AH82" s="3" t="s">
        <v>128</v>
      </c>
      <c r="AI82" s="3" t="s">
        <v>129</v>
      </c>
      <c r="AJ82" s="3" t="s">
        <v>130</v>
      </c>
      <c r="AK82" s="3" t="s">
        <v>131</v>
      </c>
    </row>
    <row r="83" spans="1:38">
      <c r="AG83" s="111" t="s">
        <v>196</v>
      </c>
      <c r="AH83" s="112" t="s">
        <v>154</v>
      </c>
      <c r="AI83" s="113">
        <f>-11.6*3</f>
        <v>-34.799999999999997</v>
      </c>
      <c r="AJ83" s="114">
        <v>3500</v>
      </c>
      <c r="AK83" s="97">
        <f t="shared" ref="AK83:AK93" si="24">AH83-AI83+AJ83/1000</f>
        <v>42.064999999999998</v>
      </c>
    </row>
    <row r="84" spans="1:38">
      <c r="A84" s="155" t="s">
        <v>151</v>
      </c>
      <c r="B84" s="155" t="s">
        <v>132</v>
      </c>
      <c r="C84" s="155" t="s">
        <v>133</v>
      </c>
      <c r="D84" s="155"/>
      <c r="E84" s="155"/>
      <c r="F84" s="155"/>
      <c r="G84" s="155"/>
      <c r="H84" s="155"/>
      <c r="I84" s="155"/>
      <c r="J84" s="155" t="s">
        <v>72</v>
      </c>
      <c r="K84" s="155"/>
      <c r="L84" s="155"/>
      <c r="M84" s="155"/>
      <c r="N84" s="145" t="s">
        <v>109</v>
      </c>
      <c r="O84" s="145" t="s">
        <v>110</v>
      </c>
      <c r="Q84" t="s">
        <v>197</v>
      </c>
      <c r="AG84" s="111" t="s">
        <v>198</v>
      </c>
      <c r="AH84" s="112" t="s">
        <v>154</v>
      </c>
      <c r="AI84" s="113">
        <f>-11.8*3</f>
        <v>-35.400000000000006</v>
      </c>
      <c r="AJ84" s="114">
        <v>3500</v>
      </c>
      <c r="AK84" s="97">
        <f t="shared" si="24"/>
        <v>42.665000000000006</v>
      </c>
    </row>
    <row r="85" spans="1:38">
      <c r="A85" s="155"/>
      <c r="B85" s="155"/>
      <c r="C85" s="3" t="s">
        <v>136</v>
      </c>
      <c r="D85" s="3" t="s">
        <v>137</v>
      </c>
      <c r="E85" s="3"/>
      <c r="F85" s="3" t="s">
        <v>136</v>
      </c>
      <c r="G85" s="3" t="s">
        <v>137</v>
      </c>
      <c r="H85" s="3" t="s">
        <v>138</v>
      </c>
      <c r="I85" s="3" t="s">
        <v>109</v>
      </c>
      <c r="J85" s="3" t="s">
        <v>136</v>
      </c>
      <c r="K85" s="3" t="s">
        <v>139</v>
      </c>
      <c r="L85" s="3" t="s">
        <v>138</v>
      </c>
      <c r="M85" s="3" t="s">
        <v>109</v>
      </c>
      <c r="N85" s="145"/>
      <c r="O85" s="145"/>
      <c r="Q85" s="5">
        <v>8</v>
      </c>
      <c r="AC85" s="104" t="e">
        <f>O86</f>
        <v>#REF!</v>
      </c>
      <c r="AG85" s="111" t="s">
        <v>199</v>
      </c>
      <c r="AH85" s="112" t="s">
        <v>154</v>
      </c>
      <c r="AI85" s="113">
        <f>-12*3</f>
        <v>-36</v>
      </c>
      <c r="AJ85" s="114">
        <v>3500</v>
      </c>
      <c r="AK85" s="97">
        <f t="shared" si="24"/>
        <v>43.265000000000001</v>
      </c>
    </row>
    <row r="86" spans="1:38">
      <c r="A86" s="3" t="e">
        <f>IF(#REF!&lt;'North Quay Estimate'!$C$13,#REF!,'North Quay Estimate'!$C$13)</f>
        <v>#REF!</v>
      </c>
      <c r="B86" s="3">
        <v>40</v>
      </c>
      <c r="C86" s="3">
        <v>32</v>
      </c>
      <c r="D86" s="3" t="e">
        <f>#REF!</f>
        <v>#REF!</v>
      </c>
      <c r="E86" s="3" t="s">
        <v>141</v>
      </c>
      <c r="F86" s="3">
        <v>0</v>
      </c>
      <c r="G86" s="3">
        <v>0</v>
      </c>
      <c r="H86" s="3"/>
      <c r="I86" s="3" t="e">
        <f>$C$11*((D86*PI()*((C86/1000)^2)/4)+(G86*PI()*((F86/1000)^2)/4))</f>
        <v>#REF!</v>
      </c>
      <c r="J86" s="3">
        <v>16</v>
      </c>
      <c r="K86" s="3">
        <v>300</v>
      </c>
      <c r="L86" s="3"/>
      <c r="M86" s="3">
        <f>$C$11*$C$14*PI()*((J86/1000)^2)/4*1000/K86</f>
        <v>19.232420302432153</v>
      </c>
      <c r="N86" s="97" t="e">
        <f>I86+M86</f>
        <v>#REF!</v>
      </c>
      <c r="O86" s="97" t="e">
        <f>$Q$85*N86*(A87-A86)</f>
        <v>#REF!</v>
      </c>
      <c r="AC86" s="104" t="e">
        <f>O87</f>
        <v>#REF!</v>
      </c>
      <c r="AG86" s="111" t="s">
        <v>200</v>
      </c>
      <c r="AH86" s="112" t="s">
        <v>154</v>
      </c>
      <c r="AI86" s="113">
        <f>-12.3*3</f>
        <v>-36.900000000000006</v>
      </c>
      <c r="AJ86" s="114">
        <v>3500</v>
      </c>
      <c r="AK86" s="97">
        <f t="shared" si="24"/>
        <v>44.165000000000006</v>
      </c>
    </row>
    <row r="87" spans="1:38">
      <c r="A87" s="3" t="e">
        <f>IF(#REF!&lt;'North Quay Estimate'!$C$13,#REF!,'North Quay Estimate'!$C$13)</f>
        <v>#REF!</v>
      </c>
      <c r="B87" s="3">
        <v>40</v>
      </c>
      <c r="C87" s="3">
        <v>32</v>
      </c>
      <c r="D87" s="3">
        <v>18</v>
      </c>
      <c r="E87" s="3" t="s">
        <v>141</v>
      </c>
      <c r="F87" s="3">
        <v>25</v>
      </c>
      <c r="G87" s="3">
        <v>18</v>
      </c>
      <c r="H87" s="3"/>
      <c r="I87" s="3">
        <f>$C$11*((D87*PI()*((C87/1000)^2)/4)+(G87*PI()*((F87/1000)^2)/4))</f>
        <v>183.00067804481006</v>
      </c>
      <c r="J87" s="3">
        <v>16</v>
      </c>
      <c r="K87" s="3">
        <v>300</v>
      </c>
      <c r="L87" s="3"/>
      <c r="M87" s="3">
        <f>$C$11*$C$14*PI()*((J87/1000)^2)/4*1000/K87</f>
        <v>19.232420302432153</v>
      </c>
      <c r="N87" s="97">
        <f>I87+M87</f>
        <v>202.23309834724222</v>
      </c>
      <c r="O87" s="97" t="e">
        <f>$Q$85*N87*(A88-A87)</f>
        <v>#REF!</v>
      </c>
      <c r="AC87" t="e">
        <f>N88*(30-A88)</f>
        <v>#REF!</v>
      </c>
      <c r="AG87" s="111" t="s">
        <v>201</v>
      </c>
      <c r="AH87" s="112" t="s">
        <v>154</v>
      </c>
      <c r="AI87" s="113">
        <f>-12.5*3</f>
        <v>-37.5</v>
      </c>
      <c r="AJ87" s="114">
        <v>3500</v>
      </c>
      <c r="AK87" s="97">
        <f t="shared" si="24"/>
        <v>44.765000000000001</v>
      </c>
    </row>
    <row r="88" spans="1:38">
      <c r="A88" s="3" t="e">
        <f>IF(#REF!&lt;'North Quay Estimate'!$C$13,#REF!,'North Quay Estimate'!$C$13)</f>
        <v>#REF!</v>
      </c>
      <c r="B88" s="3">
        <v>40</v>
      </c>
      <c r="C88" s="3">
        <v>32</v>
      </c>
      <c r="D88" s="3">
        <v>18</v>
      </c>
      <c r="E88" s="3" t="s">
        <v>141</v>
      </c>
      <c r="F88" s="3">
        <v>0</v>
      </c>
      <c r="G88" s="3">
        <v>0</v>
      </c>
      <c r="H88" s="3"/>
      <c r="I88" s="3">
        <f>$C$11*((D88*PI()*((C88/1000)^2)/4)+(G88*PI()*((F88/1000)^2)/4))</f>
        <v>113.64020273977286</v>
      </c>
      <c r="J88" s="3">
        <v>16</v>
      </c>
      <c r="K88" s="3">
        <v>300</v>
      </c>
      <c r="L88" s="3"/>
      <c r="M88" s="3">
        <f>$C$11*$C$14*PI()*((J88/1000)^2)/4*1000/K88</f>
        <v>19.232420302432153</v>
      </c>
      <c r="N88" s="97">
        <f>I88+M88</f>
        <v>132.87262304220502</v>
      </c>
      <c r="O88" s="97" t="e">
        <f>$Q$85*N88*(A89-A88)</f>
        <v>#REF!</v>
      </c>
      <c r="AC88" t="e">
        <f>N89*(30-A89)</f>
        <v>#REF!</v>
      </c>
      <c r="AG88" s="111" t="s">
        <v>202</v>
      </c>
      <c r="AH88" s="112" t="s">
        <v>154</v>
      </c>
      <c r="AI88" s="113">
        <f>-12.5*3</f>
        <v>-37.5</v>
      </c>
      <c r="AJ88" s="114">
        <v>3500</v>
      </c>
      <c r="AK88" s="97">
        <f t="shared" si="24"/>
        <v>44.765000000000001</v>
      </c>
    </row>
    <row r="89" spans="1:38" ht="15.75" thickBot="1">
      <c r="A89" s="3" t="e">
        <f>IF(#REF!&lt;'North Quay Estimate'!$C$13,#REF!,'North Quay Estimate'!$C$13)</f>
        <v>#REF!</v>
      </c>
      <c r="B89" s="3">
        <v>40</v>
      </c>
      <c r="C89" s="3">
        <v>25</v>
      </c>
      <c r="D89" s="3">
        <v>18</v>
      </c>
      <c r="E89" s="3" t="s">
        <v>141</v>
      </c>
      <c r="F89" s="3">
        <v>0</v>
      </c>
      <c r="G89" s="3">
        <v>0</v>
      </c>
      <c r="H89" s="3"/>
      <c r="I89" s="3">
        <f>$C$11*((D89*PI()*((C89/1000)^2)/4)+(G89*PI()*((F89/1000)^2)/4))</f>
        <v>69.36047530503717</v>
      </c>
      <c r="J89" s="3">
        <v>16</v>
      </c>
      <c r="K89" s="3">
        <v>300</v>
      </c>
      <c r="L89" s="3"/>
      <c r="M89" s="3">
        <f>$C$11*$C$14*PI()*((J89/1000)^2)/4*1000/K89</f>
        <v>19.232420302432153</v>
      </c>
      <c r="N89" s="97">
        <f>I89+M89</f>
        <v>88.59289560746933</v>
      </c>
      <c r="O89" s="124">
        <v>0</v>
      </c>
      <c r="AC89" s="99" t="e">
        <f>SUM(AC85:AC88)</f>
        <v>#REF!</v>
      </c>
      <c r="AD89" s="115" t="e">
        <f>O90-AC89</f>
        <v>#REF!</v>
      </c>
      <c r="AG89" s="111" t="s">
        <v>203</v>
      </c>
      <c r="AH89" s="112" t="s">
        <v>154</v>
      </c>
      <c r="AI89" s="113">
        <f>-12.2*3</f>
        <v>-36.599999999999994</v>
      </c>
      <c r="AJ89" s="114">
        <v>3500</v>
      </c>
      <c r="AK89" s="97">
        <f t="shared" si="24"/>
        <v>43.864999999999995</v>
      </c>
    </row>
    <row r="90" spans="1:38" ht="16.5" thickTop="1" thickBot="1">
      <c r="O90" s="99" t="e">
        <f>SUM(O86:O89)</f>
        <v>#REF!</v>
      </c>
      <c r="P90" s="89" t="s">
        <v>148</v>
      </c>
      <c r="Q90" s="102" t="e">
        <f>O90/$I$8/Q85</f>
        <v>#REF!</v>
      </c>
      <c r="R90" t="s">
        <v>121</v>
      </c>
      <c r="AG90" s="111" t="s">
        <v>204</v>
      </c>
      <c r="AH90" s="112" t="s">
        <v>154</v>
      </c>
      <c r="AI90" s="113">
        <f>-12*3</f>
        <v>-36</v>
      </c>
      <c r="AJ90" s="114">
        <v>3500</v>
      </c>
      <c r="AK90" s="97">
        <f t="shared" si="24"/>
        <v>43.265000000000001</v>
      </c>
    </row>
    <row r="91" spans="1:38" ht="15.75" thickTop="1">
      <c r="AG91" s="111" t="s">
        <v>205</v>
      </c>
      <c r="AH91" s="112" t="s">
        <v>154</v>
      </c>
      <c r="AI91" s="113">
        <f>-11.5*3</f>
        <v>-34.5</v>
      </c>
      <c r="AJ91" s="114">
        <v>3500</v>
      </c>
      <c r="AK91" s="97">
        <f t="shared" si="24"/>
        <v>41.765000000000001</v>
      </c>
    </row>
    <row r="92" spans="1:38">
      <c r="AG92" s="111" t="s">
        <v>206</v>
      </c>
      <c r="AH92" s="112" t="s">
        <v>154</v>
      </c>
      <c r="AI92" s="113">
        <f>-10.6*3</f>
        <v>-31.799999999999997</v>
      </c>
      <c r="AJ92" s="114">
        <v>4000</v>
      </c>
      <c r="AK92" s="97">
        <f t="shared" si="24"/>
        <v>39.564999999999998</v>
      </c>
    </row>
    <row r="93" spans="1:38">
      <c r="AG93" s="111" t="s">
        <v>207</v>
      </c>
      <c r="AH93" s="112" t="s">
        <v>154</v>
      </c>
      <c r="AI93" s="113">
        <f>-9.5*3</f>
        <v>-28.5</v>
      </c>
      <c r="AJ93" s="114">
        <v>4000</v>
      </c>
      <c r="AK93" s="97">
        <f t="shared" si="24"/>
        <v>36.265000000000001</v>
      </c>
      <c r="AL93" s="104">
        <f>AVERAGE(AK83:AK93)</f>
        <v>42.401363636363634</v>
      </c>
    </row>
  </sheetData>
  <mergeCells count="56">
    <mergeCell ref="E11:E12"/>
    <mergeCell ref="E13:E14"/>
    <mergeCell ref="E15:E16"/>
    <mergeCell ref="AG81:AK81"/>
    <mergeCell ref="A84:A85"/>
    <mergeCell ref="B84:B85"/>
    <mergeCell ref="C84:I84"/>
    <mergeCell ref="J84:M84"/>
    <mergeCell ref="N84:N85"/>
    <mergeCell ref="O84:O85"/>
    <mergeCell ref="AG67:AK67"/>
    <mergeCell ref="A69:A70"/>
    <mergeCell ref="B69:B70"/>
    <mergeCell ref="C69:I69"/>
    <mergeCell ref="J69:M69"/>
    <mergeCell ref="N69:N70"/>
    <mergeCell ref="O69:O70"/>
    <mergeCell ref="AG56:AK56"/>
    <mergeCell ref="A59:A60"/>
    <mergeCell ref="B59:B60"/>
    <mergeCell ref="C59:I59"/>
    <mergeCell ref="J59:M59"/>
    <mergeCell ref="N59:N60"/>
    <mergeCell ref="O59:O60"/>
    <mergeCell ref="AG43:AK43"/>
    <mergeCell ref="A44:A45"/>
    <mergeCell ref="B44:B45"/>
    <mergeCell ref="C44:I44"/>
    <mergeCell ref="J44:M44"/>
    <mergeCell ref="N44:N45"/>
    <mergeCell ref="O44:O45"/>
    <mergeCell ref="AF28:AJ28"/>
    <mergeCell ref="A30:A31"/>
    <mergeCell ref="B30:B31"/>
    <mergeCell ref="C30:I30"/>
    <mergeCell ref="J30:M30"/>
    <mergeCell ref="N30:N31"/>
    <mergeCell ref="O30:O31"/>
    <mergeCell ref="AF16:AJ16"/>
    <mergeCell ref="A18:A19"/>
    <mergeCell ref="B18:B19"/>
    <mergeCell ref="C18:I18"/>
    <mergeCell ref="J18:M18"/>
    <mergeCell ref="N18:N19"/>
    <mergeCell ref="O18:O19"/>
    <mergeCell ref="H4:H5"/>
    <mergeCell ref="I4:I5"/>
    <mergeCell ref="G10:H10"/>
    <mergeCell ref="I10:J10"/>
    <mergeCell ref="K10:L10"/>
    <mergeCell ref="G4:G5"/>
    <mergeCell ref="A4:A5"/>
    <mergeCell ref="B4:B5"/>
    <mergeCell ref="C4:C5"/>
    <mergeCell ref="D4:D5"/>
    <mergeCell ref="F4:F5"/>
  </mergeCells>
  <conditionalFormatting sqref="H20 L20 H32 L32 H46:H48 H61:H62 L61:L62 H22 L22 H71:H76 L71:L76 L46:L54">
    <cfRule type="cellIs" dxfId="129" priority="31" operator="between">
      <formula>0</formula>
      <formula>1</formula>
    </cfRule>
    <cfRule type="cellIs" dxfId="128" priority="32" operator="greaterThan">
      <formula>1</formula>
    </cfRule>
  </conditionalFormatting>
  <conditionalFormatting sqref="H49:H54">
    <cfRule type="cellIs" dxfId="127" priority="29" operator="between">
      <formula>0</formula>
      <formula>1</formula>
    </cfRule>
    <cfRule type="cellIs" dxfId="126" priority="30" operator="greaterThan">
      <formula>1</formula>
    </cfRule>
  </conditionalFormatting>
  <conditionalFormatting sqref="H21">
    <cfRule type="cellIs" dxfId="125" priority="27" operator="between">
      <formula>0</formula>
      <formula>1</formula>
    </cfRule>
    <cfRule type="cellIs" dxfId="124" priority="28" operator="greaterThan">
      <formula>1</formula>
    </cfRule>
  </conditionalFormatting>
  <conditionalFormatting sqref="H86:H87 L86:L87">
    <cfRule type="cellIs" dxfId="123" priority="25" operator="between">
      <formula>0</formula>
      <formula>1</formula>
    </cfRule>
    <cfRule type="cellIs" dxfId="122" priority="26" operator="greaterThan">
      <formula>1</formula>
    </cfRule>
  </conditionalFormatting>
  <conditionalFormatting sqref="L89 H89">
    <cfRule type="cellIs" dxfId="121" priority="23" operator="between">
      <formula>0</formula>
      <formula>1</formula>
    </cfRule>
    <cfRule type="cellIs" dxfId="120" priority="24" operator="greaterThan">
      <formula>1</formula>
    </cfRule>
  </conditionalFormatting>
  <conditionalFormatting sqref="H88">
    <cfRule type="cellIs" dxfId="119" priority="21" operator="between">
      <formula>0</formula>
      <formula>1</formula>
    </cfRule>
    <cfRule type="cellIs" dxfId="118" priority="22" operator="greaterThan">
      <formula>1</formula>
    </cfRule>
  </conditionalFormatting>
  <conditionalFormatting sqref="L88">
    <cfRule type="cellIs" dxfId="117" priority="19" operator="between">
      <formula>0</formula>
      <formula>1</formula>
    </cfRule>
    <cfRule type="cellIs" dxfId="116" priority="20" operator="greaterThan">
      <formula>1</formula>
    </cfRule>
  </conditionalFormatting>
  <conditionalFormatting sqref="L77:L79">
    <cfRule type="cellIs" dxfId="115" priority="17" operator="between">
      <formula>0</formula>
      <formula>1</formula>
    </cfRule>
    <cfRule type="cellIs" dxfId="114" priority="18" operator="greaterThan">
      <formula>1</formula>
    </cfRule>
  </conditionalFormatting>
  <conditionalFormatting sqref="H77:H79">
    <cfRule type="cellIs" dxfId="113" priority="15" operator="between">
      <formula>0</formula>
      <formula>1</formula>
    </cfRule>
    <cfRule type="cellIs" dxfId="112" priority="16" operator="greaterThan">
      <formula>1</formula>
    </cfRule>
  </conditionalFormatting>
  <conditionalFormatting sqref="H63:H64">
    <cfRule type="cellIs" dxfId="111" priority="13" operator="between">
      <formula>0</formula>
      <formula>1</formula>
    </cfRule>
    <cfRule type="cellIs" dxfId="110" priority="14" operator="greaterThan">
      <formula>1</formula>
    </cfRule>
  </conditionalFormatting>
  <conditionalFormatting sqref="L63:L64">
    <cfRule type="cellIs" dxfId="109" priority="11" operator="between">
      <formula>0</formula>
      <formula>1</formula>
    </cfRule>
    <cfRule type="cellIs" dxfId="108" priority="12" operator="greaterThan">
      <formula>1</formula>
    </cfRule>
  </conditionalFormatting>
  <conditionalFormatting sqref="L33:L39">
    <cfRule type="cellIs" dxfId="107" priority="9" operator="between">
      <formula>0</formula>
      <formula>1</formula>
    </cfRule>
    <cfRule type="cellIs" dxfId="106" priority="10" operator="greaterThan">
      <formula>1</formula>
    </cfRule>
  </conditionalFormatting>
  <conditionalFormatting sqref="H33:H39">
    <cfRule type="cellIs" dxfId="105" priority="7" operator="between">
      <formula>0</formula>
      <formula>1</formula>
    </cfRule>
    <cfRule type="cellIs" dxfId="104" priority="8" operator="greaterThan">
      <formula>1</formula>
    </cfRule>
  </conditionalFormatting>
  <conditionalFormatting sqref="H23:H25">
    <cfRule type="cellIs" dxfId="103" priority="5" operator="between">
      <formula>0</formula>
      <formula>1</formula>
    </cfRule>
    <cfRule type="cellIs" dxfId="102" priority="6" operator="greaterThan">
      <formula>1</formula>
    </cfRule>
  </conditionalFormatting>
  <conditionalFormatting sqref="L23:L25">
    <cfRule type="cellIs" dxfId="101" priority="3" operator="between">
      <formula>0</formula>
      <formula>1</formula>
    </cfRule>
    <cfRule type="cellIs" dxfId="100" priority="4" operator="greaterThan">
      <formula>1</formula>
    </cfRule>
  </conditionalFormatting>
  <conditionalFormatting sqref="L21">
    <cfRule type="cellIs" dxfId="99" priority="1" operator="between">
      <formula>0</formula>
      <formula>1</formula>
    </cfRule>
    <cfRule type="cellIs" dxfId="98" priority="2" operator="greaterThan">
      <formula>1</formula>
    </cfRule>
  </conditionalFormatting>
  <pageMargins left="0.7" right="0.7" top="0.75" bottom="0.75" header="0.3" footer="0.3"/>
  <pageSetup paperSize="9" scale="57" orientation="landscape" r:id="rId1"/>
  <rowBreaks count="1" manualBreakCount="1">
    <brk id="55" max="16383" man="1"/>
  </rowBreaks>
  <colBreaks count="1" manualBreakCount="1">
    <brk id="20"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0">
    <tabColor rgb="FFFF0000"/>
    <pageSetUpPr fitToPage="1"/>
  </sheetPr>
  <dimension ref="A1:AN93"/>
  <sheetViews>
    <sheetView view="pageBreakPreview" topLeftCell="A64" zoomScale="85" zoomScaleNormal="70" zoomScaleSheetLayoutView="85" workbookViewId="0">
      <selection activeCell="AK25" sqref="AK25"/>
    </sheetView>
  </sheetViews>
  <sheetFormatPr defaultColWidth="9.140625"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hidden="1" customWidth="1"/>
    <col min="9" max="9" width="14.42578125" customWidth="1"/>
    <col min="10" max="10" width="13.85546875" hidden="1" customWidth="1"/>
    <col min="11" max="11" width="12" hidden="1" customWidth="1"/>
    <col min="12" max="12" width="11" hidden="1" customWidth="1"/>
    <col min="13" max="13" width="0" hidden="1" customWidth="1"/>
    <col min="14" max="14" width="13.42578125" hidden="1" customWidth="1"/>
    <col min="15" max="15" width="12.42578125" customWidth="1"/>
    <col min="16" max="16" width="11.42578125" customWidth="1"/>
    <col min="17" max="17" width="10" customWidth="1"/>
    <col min="21" max="21" width="9.5703125" customWidth="1"/>
  </cols>
  <sheetData>
    <row r="1" spans="1:40" ht="18.75">
      <c r="A1" s="1" t="s">
        <v>104</v>
      </c>
    </row>
    <row r="2" spans="1:40" ht="18.75">
      <c r="AA2" s="1" t="s">
        <v>105</v>
      </c>
      <c r="AF2" s="1" t="s">
        <v>106</v>
      </c>
    </row>
    <row r="4" spans="1:40">
      <c r="AA4" s="144" t="s">
        <v>107</v>
      </c>
      <c r="AB4" s="145" t="s">
        <v>108</v>
      </c>
      <c r="AC4" s="145" t="s">
        <v>109</v>
      </c>
      <c r="AD4" s="145" t="s">
        <v>110</v>
      </c>
      <c r="AF4" s="144" t="s">
        <v>107</v>
      </c>
      <c r="AG4" s="145" t="s">
        <v>108</v>
      </c>
      <c r="AH4" s="145" t="s">
        <v>109</v>
      </c>
      <c r="AI4" s="145" t="s">
        <v>110</v>
      </c>
      <c r="AK4" t="s">
        <v>122</v>
      </c>
      <c r="AM4">
        <f>AJ14</f>
        <v>37.595000000000006</v>
      </c>
      <c r="AN4" t="s">
        <v>4</v>
      </c>
    </row>
    <row r="5" spans="1:40">
      <c r="AA5" s="144"/>
      <c r="AB5" s="145"/>
      <c r="AC5" s="145"/>
      <c r="AD5" s="145"/>
      <c r="AF5" s="144"/>
      <c r="AG5" s="145"/>
      <c r="AH5" s="145"/>
      <c r="AI5" s="145"/>
      <c r="AK5" t="s">
        <v>123</v>
      </c>
      <c r="AM5" s="121">
        <f>PI()*(C14-2*(0.085+0.016/2))+0.47</f>
        <v>3.6555749507400499</v>
      </c>
      <c r="AN5" t="s">
        <v>4</v>
      </c>
    </row>
    <row r="6" spans="1:40">
      <c r="AA6" s="100">
        <v>0</v>
      </c>
      <c r="AB6" s="101">
        <v>360</v>
      </c>
      <c r="AC6" s="97">
        <f>AB6*(PI()*1.2^2/4)</f>
        <v>407.15040790523722</v>
      </c>
      <c r="AD6" s="97">
        <f>AC6*(AA7-AA6)</f>
        <v>2035.7520395261861</v>
      </c>
      <c r="AF6" s="100">
        <v>0</v>
      </c>
      <c r="AG6" s="101">
        <v>180</v>
      </c>
      <c r="AH6" s="97">
        <f>AG6*(PI()*1.2^2/4)</f>
        <v>203.57520395261861</v>
      </c>
      <c r="AI6" s="97">
        <f>AH6*(AF7-AF6)</f>
        <v>5089.3800988154653</v>
      </c>
    </row>
    <row r="7" spans="1:40">
      <c r="AA7" s="100">
        <v>5</v>
      </c>
      <c r="AB7" s="101">
        <v>180</v>
      </c>
      <c r="AC7" s="97">
        <f>AB7*(PI()*1.2^2/4)</f>
        <v>203.57520395261861</v>
      </c>
      <c r="AD7" s="97">
        <f>AC7*(AA8-AA7)</f>
        <v>3053.628059289279</v>
      </c>
      <c r="AF7" s="100">
        <v>25</v>
      </c>
      <c r="AG7" s="101">
        <v>0</v>
      </c>
      <c r="AH7" s="97">
        <f>AG7*(PI()*1.2^2/4)</f>
        <v>0</v>
      </c>
      <c r="AI7" s="97">
        <f>AH7*(AF8-AF7)</f>
        <v>0</v>
      </c>
    </row>
    <row r="8" spans="1:40" ht="15.75" thickBot="1">
      <c r="P8" s="96"/>
      <c r="AA8" s="100">
        <v>20</v>
      </c>
      <c r="AB8" s="100">
        <v>0</v>
      </c>
      <c r="AC8" s="97">
        <f>AB8*(PI()*1.2^2/4)</f>
        <v>0</v>
      </c>
      <c r="AD8" s="97">
        <f>AC8*($AM$4-AA8)</f>
        <v>0</v>
      </c>
      <c r="AI8" s="99">
        <f>SUM(AI6:AI7)</f>
        <v>5089.3800988154653</v>
      </c>
      <c r="AJ8" t="s">
        <v>111</v>
      </c>
    </row>
    <row r="9" spans="1:40" ht="16.5" thickTop="1" thickBot="1">
      <c r="AD9" s="99">
        <f>SUM(AD6:AD8)</f>
        <v>5089.3800988154653</v>
      </c>
      <c r="AE9" t="s">
        <v>111</v>
      </c>
    </row>
    <row r="10" spans="1:40" ht="15.75" thickTop="1">
      <c r="AB10" s="146" t="s">
        <v>208</v>
      </c>
      <c r="AC10" s="146"/>
      <c r="AD10" s="147" t="s">
        <v>209</v>
      </c>
      <c r="AE10" s="147"/>
      <c r="AF10" s="146" t="s">
        <v>114</v>
      </c>
      <c r="AG10" s="146"/>
    </row>
    <row r="11" spans="1:40" ht="18.75">
      <c r="A11" s="1" t="s">
        <v>215</v>
      </c>
      <c r="AA11" s="3" t="s">
        <v>117</v>
      </c>
      <c r="AB11" s="105">
        <f>25*AI8</f>
        <v>127234.50247038664</v>
      </c>
      <c r="AC11" s="106" t="s">
        <v>118</v>
      </c>
      <c r="AD11" s="105">
        <f>25*AD9</f>
        <v>127234.50247038664</v>
      </c>
      <c r="AE11" s="123" t="s">
        <v>118</v>
      </c>
      <c r="AF11" s="105">
        <f>25*AD9+25*AI8</f>
        <v>254469.00494077327</v>
      </c>
      <c r="AG11" s="123" t="s">
        <v>118</v>
      </c>
    </row>
    <row r="12" spans="1:40">
      <c r="P12" s="96"/>
      <c r="Q12" s="96"/>
      <c r="R12" s="96"/>
      <c r="AA12" s="3" t="s">
        <v>120</v>
      </c>
      <c r="AB12" s="105" t="e">
        <f>X40+O65+O90</f>
        <v>#REF!</v>
      </c>
      <c r="AC12" s="107" t="e">
        <f>AB12/AB11</f>
        <v>#REF!</v>
      </c>
      <c r="AD12" s="105" t="e">
        <f>X27+O55+O80</f>
        <v>#REF!</v>
      </c>
      <c r="AE12" s="107" t="e">
        <f>AD12/AD11</f>
        <v>#REF!</v>
      </c>
      <c r="AF12" s="105" t="e">
        <f>X27+X40+O55+O65+O80+O90</f>
        <v>#REF!</v>
      </c>
      <c r="AG12" s="107" t="e">
        <f>AF12/AF11</f>
        <v>#REF!</v>
      </c>
      <c r="AH12" t="s">
        <v>121</v>
      </c>
    </row>
    <row r="13" spans="1:40">
      <c r="A13" t="s">
        <v>115</v>
      </c>
      <c r="C13" s="5">
        <v>7850</v>
      </c>
      <c r="D13" t="s">
        <v>116</v>
      </c>
      <c r="R13" s="117"/>
    </row>
    <row r="14" spans="1:40">
      <c r="A14" t="s">
        <v>119</v>
      </c>
      <c r="C14" s="5">
        <v>1.2</v>
      </c>
      <c r="D14" t="s">
        <v>4</v>
      </c>
      <c r="G14" s="119"/>
      <c r="H14" s="120"/>
      <c r="I14" s="119"/>
      <c r="J14" s="120"/>
      <c r="K14" s="119"/>
      <c r="L14" s="120"/>
      <c r="R14" s="117"/>
      <c r="AH14" t="s">
        <v>124</v>
      </c>
      <c r="AJ14" s="104">
        <f>AVERAGE(AJ18:AJ25,AJ30:AJ37,AK45:AK50,AK58:AK63,AK69:AK79,AK83:AK93)</f>
        <v>37.595000000000006</v>
      </c>
    </row>
    <row r="15" spans="1:40" ht="14.1" customHeight="1"/>
    <row r="16" spans="1:40" ht="18" customHeight="1">
      <c r="A16" s="1" t="s">
        <v>125</v>
      </c>
      <c r="AF16" s="146" t="s">
        <v>127</v>
      </c>
      <c r="AG16" s="146"/>
      <c r="AH16" s="146"/>
      <c r="AI16" s="146"/>
      <c r="AJ16" s="146"/>
    </row>
    <row r="17" spans="1:37">
      <c r="W17" s="146" t="s">
        <v>126</v>
      </c>
      <c r="X17" s="146"/>
      <c r="AF17" s="3" t="s">
        <v>17</v>
      </c>
      <c r="AG17" s="3" t="s">
        <v>128</v>
      </c>
      <c r="AH17" s="3" t="s">
        <v>129</v>
      </c>
      <c r="AI17" s="3" t="s">
        <v>130</v>
      </c>
      <c r="AJ17" s="3" t="s">
        <v>131</v>
      </c>
    </row>
    <row r="18" spans="1:37">
      <c r="A18" s="144" t="s">
        <v>107</v>
      </c>
      <c r="B18" s="145" t="s">
        <v>132</v>
      </c>
      <c r="C18" s="146" t="s">
        <v>133</v>
      </c>
      <c r="D18" s="146"/>
      <c r="E18" s="146"/>
      <c r="F18" s="146"/>
      <c r="G18" s="146"/>
      <c r="H18" s="146"/>
      <c r="I18" s="146"/>
      <c r="J18" s="146" t="s">
        <v>72</v>
      </c>
      <c r="K18" s="146"/>
      <c r="L18" s="146"/>
      <c r="M18" s="146"/>
      <c r="N18" s="145" t="s">
        <v>109</v>
      </c>
      <c r="O18" s="145" t="s">
        <v>110</v>
      </c>
      <c r="Q18" t="s">
        <v>164</v>
      </c>
      <c r="W18" s="3" t="s">
        <v>17</v>
      </c>
      <c r="X18" s="3" t="s">
        <v>110</v>
      </c>
      <c r="AF18" s="111" t="s">
        <v>134</v>
      </c>
      <c r="AG18" s="112" t="s">
        <v>135</v>
      </c>
      <c r="AH18" s="127">
        <v>-35.5</v>
      </c>
      <c r="AI18" s="114">
        <v>500</v>
      </c>
      <c r="AJ18" s="97">
        <f>AG18-AH18+AI18/1000</f>
        <v>39.965000000000003</v>
      </c>
    </row>
    <row r="19" spans="1:37">
      <c r="A19" s="144"/>
      <c r="B19" s="145"/>
      <c r="C19" s="3" t="s">
        <v>136</v>
      </c>
      <c r="D19" s="3" t="s">
        <v>137</v>
      </c>
      <c r="F19" s="3" t="s">
        <v>136</v>
      </c>
      <c r="G19" s="3" t="s">
        <v>137</v>
      </c>
      <c r="H19" s="3" t="s">
        <v>138</v>
      </c>
      <c r="I19" s="3" t="s">
        <v>109</v>
      </c>
      <c r="J19" s="3" t="s">
        <v>136</v>
      </c>
      <c r="K19" s="3" t="s">
        <v>139</v>
      </c>
      <c r="L19" s="3" t="s">
        <v>138</v>
      </c>
      <c r="M19" s="3" t="s">
        <v>109</v>
      </c>
      <c r="N19" s="145"/>
      <c r="O19" s="145"/>
      <c r="Q19" s="5">
        <v>8</v>
      </c>
      <c r="W19" s="111" t="s">
        <v>134</v>
      </c>
      <c r="X19" s="3" t="e">
        <f t="shared" ref="X19:X26" si="0">IF($A$23&gt;AJ18,$N$22*(AJ18-$A$22)+SUM($O$20:$O$21),IF($A$24&gt;AJ18,$N$23*(AJ18-$A$23)+SUM($O$20:$O$22),IF($A$25&gt;AJ18,$N$24*(AJ18-$A$24)+SUM($O$20:$O$23),$N$24*($A$25-$A$24)+SUM($O$20:$O$23))))</f>
        <v>#REF!</v>
      </c>
      <c r="AF19" s="111" t="s">
        <v>140</v>
      </c>
      <c r="AG19" s="112" t="s">
        <v>135</v>
      </c>
      <c r="AH19" s="127">
        <v>-35</v>
      </c>
      <c r="AI19" s="114">
        <v>500</v>
      </c>
      <c r="AJ19" s="97">
        <f t="shared" ref="AJ19:AJ24" si="1">AG19-AH19+AI19/1000</f>
        <v>39.465000000000003</v>
      </c>
    </row>
    <row r="20" spans="1:37">
      <c r="A20" s="100">
        <v>0</v>
      </c>
      <c r="B20" s="100">
        <v>40</v>
      </c>
      <c r="C20" s="100">
        <v>40</v>
      </c>
      <c r="D20" s="100">
        <v>18</v>
      </c>
      <c r="E20" s="103" t="s">
        <v>141</v>
      </c>
      <c r="F20" s="100">
        <v>40</v>
      </c>
      <c r="G20" s="100">
        <v>18</v>
      </c>
      <c r="H20" s="98" t="e">
        <f>#REF!</f>
        <v>#REF!</v>
      </c>
      <c r="I20" s="97">
        <f t="shared" ref="I20:I25" si="2">$C$13*((D20*PI()*((C20/1000)^2)/4)+(G20*PI()*((F20/1000)^2)/4))</f>
        <v>355.12563356179027</v>
      </c>
      <c r="J20" s="100"/>
      <c r="K20" s="100" t="e">
        <f>#REF!</f>
        <v>#REF!</v>
      </c>
      <c r="L20" s="98" t="e">
        <f>MAX(#REF!,#REF!,#REF!,#REF!)</f>
        <v>#REF!</v>
      </c>
      <c r="M20" s="97" t="e">
        <f t="shared" ref="M20:M25" si="3">$C$13*$AM$5*PI()*((J20/1000)^2)/4*1000/K20</f>
        <v>#REF!</v>
      </c>
      <c r="N20" s="97" t="e">
        <f t="shared" ref="N20:N25" si="4">I20+M20</f>
        <v>#REF!</v>
      </c>
      <c r="O20" s="97" t="e">
        <f>N20*(A21-A20)*$Q$19</f>
        <v>#REF!</v>
      </c>
      <c r="W20" s="111" t="s">
        <v>140</v>
      </c>
      <c r="X20" s="3" t="e">
        <f t="shared" si="0"/>
        <v>#REF!</v>
      </c>
      <c r="AC20" s="104" t="e">
        <f>O20</f>
        <v>#REF!</v>
      </c>
      <c r="AF20" s="111" t="s">
        <v>142</v>
      </c>
      <c r="AG20" s="112" t="s">
        <v>135</v>
      </c>
      <c r="AH20" s="127">
        <v>-34.5</v>
      </c>
      <c r="AI20" s="114">
        <v>500</v>
      </c>
      <c r="AJ20" s="97">
        <f t="shared" si="1"/>
        <v>38.965000000000003</v>
      </c>
    </row>
    <row r="21" spans="1:37">
      <c r="A21" s="100">
        <v>3.5</v>
      </c>
      <c r="B21" s="100">
        <v>40</v>
      </c>
      <c r="C21" s="100">
        <v>40</v>
      </c>
      <c r="D21" s="100">
        <v>18</v>
      </c>
      <c r="E21" s="103" t="s">
        <v>141</v>
      </c>
      <c r="F21" s="100">
        <v>32</v>
      </c>
      <c r="G21" s="100">
        <v>18</v>
      </c>
      <c r="H21" s="98" t="e">
        <f>#REF!</f>
        <v>#REF!</v>
      </c>
      <c r="I21" s="97">
        <f t="shared" si="2"/>
        <v>291.20301952066802</v>
      </c>
      <c r="J21" s="100"/>
      <c r="K21" s="100">
        <v>150</v>
      </c>
      <c r="L21" s="98" t="e">
        <f>MAX(#REF!,#REF!)</f>
        <v>#REF!</v>
      </c>
      <c r="M21" s="97">
        <f t="shared" si="3"/>
        <v>0</v>
      </c>
      <c r="N21" s="97">
        <f t="shared" si="4"/>
        <v>291.20301952066802</v>
      </c>
      <c r="O21" s="97">
        <f>N21*(A22-A21)*$Q$19</f>
        <v>3494.4362342480163</v>
      </c>
      <c r="W21" s="111" t="s">
        <v>142</v>
      </c>
      <c r="X21" s="3" t="e">
        <f t="shared" si="0"/>
        <v>#REF!</v>
      </c>
      <c r="AC21" s="104">
        <f>O21</f>
        <v>3494.4362342480163</v>
      </c>
      <c r="AF21" s="111" t="s">
        <v>143</v>
      </c>
      <c r="AG21" s="112" t="s">
        <v>135</v>
      </c>
      <c r="AH21" s="127">
        <v>-34.5</v>
      </c>
      <c r="AI21" s="114">
        <v>500</v>
      </c>
      <c r="AJ21" s="97">
        <f t="shared" si="1"/>
        <v>38.965000000000003</v>
      </c>
    </row>
    <row r="22" spans="1:37">
      <c r="A22" s="100">
        <v>5</v>
      </c>
      <c r="B22" s="100">
        <v>40</v>
      </c>
      <c r="C22" s="100">
        <v>32</v>
      </c>
      <c r="D22" s="100">
        <v>18</v>
      </c>
      <c r="E22" s="103" t="s">
        <v>141</v>
      </c>
      <c r="F22" s="100">
        <v>0</v>
      </c>
      <c r="G22" s="100">
        <v>0</v>
      </c>
      <c r="H22" s="98" t="e">
        <f>H21</f>
        <v>#REF!</v>
      </c>
      <c r="I22" s="97">
        <f t="shared" si="2"/>
        <v>113.64020273977286</v>
      </c>
      <c r="J22" s="100"/>
      <c r="K22" s="100">
        <v>300</v>
      </c>
      <c r="L22" s="98" t="e">
        <f>MAX(#REF!,#REF!)</f>
        <v>#REF!</v>
      </c>
      <c r="M22" s="97">
        <f t="shared" si="3"/>
        <v>0</v>
      </c>
      <c r="N22" s="97">
        <f t="shared" si="4"/>
        <v>113.64020273977286</v>
      </c>
      <c r="O22" s="97">
        <f>N22*(A23-A22)*$Q$19</f>
        <v>7727.5337863045543</v>
      </c>
      <c r="W22" s="111" t="s">
        <v>143</v>
      </c>
      <c r="X22" s="3" t="e">
        <f t="shared" si="0"/>
        <v>#REF!</v>
      </c>
      <c r="AC22" s="104">
        <f>O22</f>
        <v>7727.5337863045543</v>
      </c>
      <c r="AF22" s="111" t="s">
        <v>144</v>
      </c>
      <c r="AG22" s="112" t="s">
        <v>135</v>
      </c>
      <c r="AH22" s="127">
        <v>-22</v>
      </c>
      <c r="AI22" s="114">
        <v>1000</v>
      </c>
      <c r="AJ22" s="97">
        <f t="shared" si="1"/>
        <v>26.965</v>
      </c>
    </row>
    <row r="23" spans="1:37">
      <c r="A23" s="100">
        <v>13.5</v>
      </c>
      <c r="B23" s="100">
        <v>40</v>
      </c>
      <c r="C23" s="100">
        <v>32</v>
      </c>
      <c r="D23" s="100">
        <v>18</v>
      </c>
      <c r="E23" s="103" t="s">
        <v>141</v>
      </c>
      <c r="F23" s="100">
        <v>16</v>
      </c>
      <c r="G23" s="100">
        <v>18</v>
      </c>
      <c r="H23" s="98" t="e">
        <f>#REF!</f>
        <v>#REF!</v>
      </c>
      <c r="I23" s="97">
        <f t="shared" si="2"/>
        <v>142.05025342471609</v>
      </c>
      <c r="J23" s="100"/>
      <c r="K23" s="100">
        <v>240</v>
      </c>
      <c r="L23" s="98" t="e">
        <f>MAX(#REF!,#REF!)</f>
        <v>#REF!</v>
      </c>
      <c r="M23" s="97">
        <f t="shared" si="3"/>
        <v>0</v>
      </c>
      <c r="N23" s="97">
        <f t="shared" si="4"/>
        <v>142.05025342471609</v>
      </c>
      <c r="O23" s="97">
        <f>N23*(A24-A23)*$Q$19</f>
        <v>909.12162191818379</v>
      </c>
      <c r="W23" s="111" t="s">
        <v>144</v>
      </c>
      <c r="X23" s="3" t="e">
        <f t="shared" si="0"/>
        <v>#REF!</v>
      </c>
      <c r="AC23" s="104">
        <f>O23</f>
        <v>909.12162191818379</v>
      </c>
      <c r="AF23" s="111" t="s">
        <v>145</v>
      </c>
      <c r="AG23" s="112" t="s">
        <v>135</v>
      </c>
      <c r="AH23" s="127">
        <v>-22</v>
      </c>
      <c r="AI23" s="114">
        <v>1000</v>
      </c>
      <c r="AJ23" s="97">
        <f t="shared" si="1"/>
        <v>26.965</v>
      </c>
    </row>
    <row r="24" spans="1:37">
      <c r="A24" s="100">
        <v>14.3</v>
      </c>
      <c r="B24" s="100">
        <v>40</v>
      </c>
      <c r="C24" s="100">
        <v>16</v>
      </c>
      <c r="D24" s="100">
        <v>18</v>
      </c>
      <c r="E24" s="103" t="s">
        <v>141</v>
      </c>
      <c r="F24" s="100">
        <v>0</v>
      </c>
      <c r="G24" s="100">
        <v>0</v>
      </c>
      <c r="H24" s="98" t="e">
        <f>H23</f>
        <v>#REF!</v>
      </c>
      <c r="I24" s="97">
        <f t="shared" si="2"/>
        <v>28.410050684943215</v>
      </c>
      <c r="J24" s="100"/>
      <c r="K24" s="100">
        <v>300</v>
      </c>
      <c r="L24" s="98" t="e">
        <f>MAX(#REF!,#REF!)</f>
        <v>#REF!</v>
      </c>
      <c r="M24" s="97">
        <f t="shared" si="3"/>
        <v>0</v>
      </c>
      <c r="N24" s="97">
        <f t="shared" si="4"/>
        <v>28.410050684943215</v>
      </c>
      <c r="O24" s="97">
        <f>IF(A25&gt;AK25,N24*(AK25-A24),N24*(A25-A24))*$Q$19</f>
        <v>3568.3023660288677</v>
      </c>
      <c r="W24" s="111" t="s">
        <v>145</v>
      </c>
      <c r="X24" s="3" t="e">
        <f t="shared" si="0"/>
        <v>#REF!</v>
      </c>
      <c r="AC24">
        <f>N24*(21-A24)</f>
        <v>190.34733958911951</v>
      </c>
      <c r="AF24" s="111" t="s">
        <v>146</v>
      </c>
      <c r="AG24" s="112" t="s">
        <v>135</v>
      </c>
      <c r="AH24" s="127">
        <v>-19</v>
      </c>
      <c r="AI24" s="114">
        <v>1000</v>
      </c>
      <c r="AJ24" s="97">
        <f t="shared" si="1"/>
        <v>23.965</v>
      </c>
    </row>
    <row r="25" spans="1:37">
      <c r="A25" s="100">
        <v>30</v>
      </c>
      <c r="B25" s="100">
        <v>40</v>
      </c>
      <c r="C25" s="100">
        <v>0</v>
      </c>
      <c r="D25" s="100">
        <v>0</v>
      </c>
      <c r="E25" s="103" t="s">
        <v>141</v>
      </c>
      <c r="F25" s="100">
        <v>0</v>
      </c>
      <c r="G25" s="100">
        <v>0</v>
      </c>
      <c r="H25" s="98"/>
      <c r="I25" s="97">
        <f t="shared" si="2"/>
        <v>0</v>
      </c>
      <c r="J25" s="100"/>
      <c r="K25" s="100">
        <v>300</v>
      </c>
      <c r="L25" s="98"/>
      <c r="M25" s="97">
        <f t="shared" si="3"/>
        <v>0</v>
      </c>
      <c r="N25" s="97">
        <f t="shared" si="4"/>
        <v>0</v>
      </c>
      <c r="O25" s="97">
        <f>IF(A25&gt;AK25,0,N25*(AK25-A25))*$Q$19</f>
        <v>0</v>
      </c>
      <c r="W25" s="111" t="s">
        <v>146</v>
      </c>
      <c r="X25" s="3" t="e">
        <f t="shared" si="0"/>
        <v>#REF!</v>
      </c>
      <c r="AF25" s="111" t="s">
        <v>147</v>
      </c>
      <c r="AG25" s="112" t="s">
        <v>135</v>
      </c>
      <c r="AH25" s="127">
        <v>-16</v>
      </c>
      <c r="AI25" s="114">
        <v>1000</v>
      </c>
      <c r="AJ25" s="97">
        <f>AG25-AH25+AI25/1000</f>
        <v>20.965</v>
      </c>
      <c r="AK25" s="104">
        <f>AVERAGE(AJ18:AJ25)</f>
        <v>32.027500000000003</v>
      </c>
    </row>
    <row r="26" spans="1:37" ht="15.75" thickBot="1">
      <c r="A26" s="104">
        <f>AK25</f>
        <v>32.027500000000003</v>
      </c>
      <c r="B26" t="s">
        <v>216</v>
      </c>
      <c r="O26" s="99" t="e">
        <f>SUM(O20:O25)</f>
        <v>#REF!</v>
      </c>
      <c r="V26" s="96"/>
      <c r="W26" s="111" t="s">
        <v>147</v>
      </c>
      <c r="X26" s="3" t="e">
        <f t="shared" si="0"/>
        <v>#REF!</v>
      </c>
      <c r="AC26" s="99" t="e">
        <f>SUM(AC20:AC24)</f>
        <v>#REF!</v>
      </c>
      <c r="AD26" s="115" t="e">
        <f>O26-AC26</f>
        <v>#REF!</v>
      </c>
    </row>
    <row r="27" spans="1:37" ht="16.5" thickTop="1" thickBot="1">
      <c r="Q27" s="110"/>
      <c r="X27" s="99" t="e">
        <f>SUM(X19:X26)</f>
        <v>#REF!</v>
      </c>
      <c r="Y27" s="89" t="s">
        <v>148</v>
      </c>
      <c r="Z27" s="102" t="e">
        <f>X27/$AD$9/8</f>
        <v>#REF!</v>
      </c>
      <c r="AA27" t="s">
        <v>121</v>
      </c>
    </row>
    <row r="28" spans="1:37" ht="19.5" thickTop="1">
      <c r="A28" s="1" t="s">
        <v>149</v>
      </c>
      <c r="Q28" s="110"/>
      <c r="AF28" s="146" t="s">
        <v>150</v>
      </c>
      <c r="AG28" s="146"/>
      <c r="AH28" s="146"/>
      <c r="AI28" s="146"/>
      <c r="AJ28" s="146"/>
    </row>
    <row r="29" spans="1:37">
      <c r="Q29" s="110"/>
      <c r="AF29" s="3" t="s">
        <v>17</v>
      </c>
      <c r="AG29" s="3" t="s">
        <v>128</v>
      </c>
      <c r="AH29" s="3" t="s">
        <v>129</v>
      </c>
      <c r="AI29" s="3" t="s">
        <v>130</v>
      </c>
      <c r="AJ29" s="3" t="s">
        <v>131</v>
      </c>
    </row>
    <row r="30" spans="1:37" ht="14.45" customHeight="1">
      <c r="A30" s="144" t="s">
        <v>151</v>
      </c>
      <c r="B30" s="145" t="s">
        <v>132</v>
      </c>
      <c r="C30" s="146" t="s">
        <v>133</v>
      </c>
      <c r="D30" s="146"/>
      <c r="E30" s="146"/>
      <c r="F30" s="146"/>
      <c r="G30" s="146"/>
      <c r="H30" s="146"/>
      <c r="I30" s="146"/>
      <c r="J30" s="146" t="s">
        <v>72</v>
      </c>
      <c r="K30" s="146"/>
      <c r="L30" s="146"/>
      <c r="M30" s="146"/>
      <c r="N30" s="145" t="s">
        <v>109</v>
      </c>
      <c r="O30" s="145" t="s">
        <v>110</v>
      </c>
      <c r="W30" s="146" t="s">
        <v>152</v>
      </c>
      <c r="X30" s="146"/>
      <c r="AF30" s="111" t="s">
        <v>153</v>
      </c>
      <c r="AG30" s="112" t="s">
        <v>154</v>
      </c>
      <c r="AH30" s="127">
        <v>-35</v>
      </c>
      <c r="AI30" s="114">
        <v>1000</v>
      </c>
      <c r="AJ30" s="97">
        <f t="shared" ref="AJ30:AJ37" si="5">AG30-AH30+AI30/1000</f>
        <v>39.765000000000001</v>
      </c>
    </row>
    <row r="31" spans="1:37">
      <c r="A31" s="144"/>
      <c r="B31" s="145"/>
      <c r="C31" s="3" t="s">
        <v>136</v>
      </c>
      <c r="D31" s="3" t="s">
        <v>137</v>
      </c>
      <c r="F31" s="3" t="s">
        <v>136</v>
      </c>
      <c r="G31" s="3" t="s">
        <v>137</v>
      </c>
      <c r="H31" s="3" t="s">
        <v>138</v>
      </c>
      <c r="I31" s="3" t="s">
        <v>109</v>
      </c>
      <c r="J31" s="3" t="s">
        <v>136</v>
      </c>
      <c r="K31" s="3" t="s">
        <v>139</v>
      </c>
      <c r="L31" s="3" t="s">
        <v>138</v>
      </c>
      <c r="M31" s="3" t="s">
        <v>109</v>
      </c>
      <c r="N31" s="145"/>
      <c r="O31" s="145"/>
      <c r="W31" s="3" t="s">
        <v>17</v>
      </c>
      <c r="X31" s="3" t="s">
        <v>110</v>
      </c>
      <c r="AF31" s="111" t="s">
        <v>155</v>
      </c>
      <c r="AG31" s="112" t="s">
        <v>154</v>
      </c>
      <c r="AH31" s="127">
        <v>-35</v>
      </c>
      <c r="AI31" s="114">
        <v>1000</v>
      </c>
      <c r="AJ31" s="97">
        <f t="shared" si="5"/>
        <v>39.765000000000001</v>
      </c>
    </row>
    <row r="32" spans="1:37">
      <c r="A32" s="100">
        <v>0</v>
      </c>
      <c r="B32" s="100">
        <v>40</v>
      </c>
      <c r="C32" s="100">
        <v>32</v>
      </c>
      <c r="D32" s="100">
        <v>18</v>
      </c>
      <c r="E32" s="103" t="s">
        <v>141</v>
      </c>
      <c r="F32" s="100">
        <v>0</v>
      </c>
      <c r="G32" s="100">
        <v>0</v>
      </c>
      <c r="H32" s="98" t="e">
        <f>#REF!</f>
        <v>#REF!</v>
      </c>
      <c r="I32" s="97">
        <f t="shared" ref="I32:I39" si="6">$C$13*((D32*PI()*((C32/1000)^2)/4)+(G32*PI()*((F32/1000)^2)/4))</f>
        <v>113.64020273977286</v>
      </c>
      <c r="J32" s="100">
        <v>16</v>
      </c>
      <c r="K32" s="100">
        <v>300</v>
      </c>
      <c r="L32" s="98" t="e">
        <f>MAX(#REF!,#REF!)</f>
        <v>#REF!</v>
      </c>
      <c r="M32" s="97">
        <f t="shared" ref="M32:M39" si="7">$C$13*$AM$5*PI()*((J32/1000)^2)/4*1000/K32</f>
        <v>19.232420302432153</v>
      </c>
      <c r="N32" s="97">
        <f t="shared" ref="N32:N39" si="8">I32+M32</f>
        <v>132.87262304220502</v>
      </c>
      <c r="O32" s="97">
        <f t="shared" ref="O32:O37" si="9">N32*(A33-A32)</f>
        <v>398.61786912661506</v>
      </c>
      <c r="U32" s="122"/>
      <c r="W32" s="111" t="s">
        <v>153</v>
      </c>
      <c r="X32" s="3">
        <f t="shared" ref="X32:X39" si="10">IF($A$37&gt;AJ30,$N$36*(AJ30-$A$36)+SUM($O$32:$O$35),IF($A$38&gt;AJ30,$N$37*(AJ30-$A$37)+SUM($O$32:$O$36),IF($A$39&gt;AJ30,$N$38*(AJ30-$A$38)+SUM($O$32:$O$37),$N$38*($A$39-$A$38)+SUM($O$32:$O$37))))</f>
        <v>2486.9687748442348</v>
      </c>
      <c r="AC32" s="104">
        <f t="shared" ref="AC32:AC38" si="11">O32</f>
        <v>398.61786912661506</v>
      </c>
      <c r="AF32" s="111" t="s">
        <v>156</v>
      </c>
      <c r="AG32" s="112" t="s">
        <v>154</v>
      </c>
      <c r="AH32" s="127">
        <v>-34.5</v>
      </c>
      <c r="AI32" s="114">
        <v>1000</v>
      </c>
      <c r="AJ32" s="97">
        <f t="shared" si="5"/>
        <v>39.265000000000001</v>
      </c>
    </row>
    <row r="33" spans="1:37">
      <c r="A33" s="100">
        <v>3</v>
      </c>
      <c r="B33" s="100">
        <v>40</v>
      </c>
      <c r="C33" s="100">
        <v>32</v>
      </c>
      <c r="D33" s="100">
        <v>18</v>
      </c>
      <c r="E33" s="103" t="s">
        <v>141</v>
      </c>
      <c r="F33" s="100">
        <v>25</v>
      </c>
      <c r="G33" s="100">
        <v>18</v>
      </c>
      <c r="H33" s="98" t="e">
        <f>#REF!</f>
        <v>#REF!</v>
      </c>
      <c r="I33" s="97">
        <f t="shared" si="6"/>
        <v>183.00067804481006</v>
      </c>
      <c r="J33" s="100">
        <v>16</v>
      </c>
      <c r="K33" s="100">
        <v>240</v>
      </c>
      <c r="L33" s="98" t="e">
        <f>L32</f>
        <v>#REF!</v>
      </c>
      <c r="M33" s="97">
        <f t="shared" si="7"/>
        <v>24.04052537804019</v>
      </c>
      <c r="N33" s="97">
        <f t="shared" si="8"/>
        <v>207.04120342285026</v>
      </c>
      <c r="O33" s="97">
        <f t="shared" si="9"/>
        <v>248.44944410742033</v>
      </c>
      <c r="U33" s="122"/>
      <c r="W33" s="111" t="s">
        <v>155</v>
      </c>
      <c r="X33" s="3">
        <f t="shared" si="10"/>
        <v>2486.9687748442348</v>
      </c>
      <c r="AC33" s="104">
        <f t="shared" si="11"/>
        <v>248.44944410742033</v>
      </c>
      <c r="AF33" s="111" t="s">
        <v>157</v>
      </c>
      <c r="AG33" s="112" t="s">
        <v>154</v>
      </c>
      <c r="AH33" s="127">
        <v>-34.5</v>
      </c>
      <c r="AI33" s="114">
        <v>1000</v>
      </c>
      <c r="AJ33" s="97">
        <f t="shared" si="5"/>
        <v>39.265000000000001</v>
      </c>
    </row>
    <row r="34" spans="1:37">
      <c r="A34" s="100">
        <v>4.2</v>
      </c>
      <c r="B34" s="100">
        <v>40</v>
      </c>
      <c r="C34" s="100">
        <v>25</v>
      </c>
      <c r="D34" s="100">
        <v>18</v>
      </c>
      <c r="E34" s="103" t="s">
        <v>141</v>
      </c>
      <c r="F34" s="100">
        <v>0</v>
      </c>
      <c r="G34" s="100">
        <v>0</v>
      </c>
      <c r="H34" s="98" t="e">
        <f>H33</f>
        <v>#REF!</v>
      </c>
      <c r="I34" s="97">
        <f t="shared" si="6"/>
        <v>69.36047530503717</v>
      </c>
      <c r="J34" s="100">
        <v>16</v>
      </c>
      <c r="K34" s="100">
        <v>300</v>
      </c>
      <c r="L34" s="98" t="e">
        <f>L32</f>
        <v>#REF!</v>
      </c>
      <c r="M34" s="97">
        <f t="shared" si="7"/>
        <v>19.232420302432153</v>
      </c>
      <c r="N34" s="97">
        <f t="shared" si="8"/>
        <v>88.59289560746933</v>
      </c>
      <c r="O34" s="97">
        <f t="shared" si="9"/>
        <v>868.21037695319956</v>
      </c>
      <c r="U34" s="122"/>
      <c r="W34" s="111" t="s">
        <v>156</v>
      </c>
      <c r="X34" s="3">
        <f t="shared" si="10"/>
        <v>2486.9687748442348</v>
      </c>
      <c r="AC34" s="104">
        <f t="shared" si="11"/>
        <v>868.21037695319956</v>
      </c>
      <c r="AF34" s="111" t="s">
        <v>158</v>
      </c>
      <c r="AG34" s="112" t="s">
        <v>154</v>
      </c>
      <c r="AH34" s="127">
        <v>-19</v>
      </c>
      <c r="AI34" s="114">
        <v>1500</v>
      </c>
      <c r="AJ34" s="97">
        <f t="shared" si="5"/>
        <v>24.265000000000001</v>
      </c>
    </row>
    <row r="35" spans="1:37">
      <c r="A35" s="100">
        <v>14</v>
      </c>
      <c r="B35" s="100">
        <v>40</v>
      </c>
      <c r="C35" s="100">
        <v>25</v>
      </c>
      <c r="D35" s="100">
        <v>18</v>
      </c>
      <c r="E35" s="103" t="s">
        <v>141</v>
      </c>
      <c r="F35" s="100">
        <v>20</v>
      </c>
      <c r="G35" s="100">
        <v>18</v>
      </c>
      <c r="H35" s="98" t="e">
        <f>#REF!</f>
        <v>#REF!</v>
      </c>
      <c r="I35" s="97">
        <f t="shared" si="6"/>
        <v>113.75117950026096</v>
      </c>
      <c r="J35" s="100">
        <v>16</v>
      </c>
      <c r="K35" s="100">
        <v>240</v>
      </c>
      <c r="L35" s="98" t="e">
        <f>MAX(#REF!,#REF!)</f>
        <v>#REF!</v>
      </c>
      <c r="M35" s="97">
        <f t="shared" si="7"/>
        <v>24.04052537804019</v>
      </c>
      <c r="N35" s="97">
        <f t="shared" si="8"/>
        <v>137.79170487830115</v>
      </c>
      <c r="O35" s="97">
        <f t="shared" si="9"/>
        <v>137.79170487830115</v>
      </c>
      <c r="U35" s="122"/>
      <c r="W35" s="111" t="s">
        <v>157</v>
      </c>
      <c r="X35" s="3">
        <f t="shared" si="10"/>
        <v>2486.9687748442348</v>
      </c>
      <c r="AC35" s="104">
        <f t="shared" si="11"/>
        <v>137.79170487830115</v>
      </c>
      <c r="AF35" s="111" t="s">
        <v>159</v>
      </c>
      <c r="AG35" s="112" t="s">
        <v>154</v>
      </c>
      <c r="AH35" s="127">
        <v>-19</v>
      </c>
      <c r="AI35" s="114">
        <v>1500</v>
      </c>
      <c r="AJ35" s="97">
        <f t="shared" si="5"/>
        <v>24.265000000000001</v>
      </c>
    </row>
    <row r="36" spans="1:37">
      <c r="A36" s="100">
        <v>15</v>
      </c>
      <c r="B36" s="100">
        <v>40</v>
      </c>
      <c r="C36" s="100">
        <v>20</v>
      </c>
      <c r="D36" s="100">
        <v>18</v>
      </c>
      <c r="E36" s="103" t="s">
        <v>141</v>
      </c>
      <c r="F36" s="100">
        <v>0</v>
      </c>
      <c r="G36" s="100">
        <v>0</v>
      </c>
      <c r="H36" s="98" t="e">
        <f>H35</f>
        <v>#REF!</v>
      </c>
      <c r="I36" s="97">
        <f t="shared" si="6"/>
        <v>44.390704195223783</v>
      </c>
      <c r="J36" s="100">
        <v>16</v>
      </c>
      <c r="K36" s="100">
        <v>300</v>
      </c>
      <c r="L36" s="98" t="e">
        <f>L35</f>
        <v>#REF!</v>
      </c>
      <c r="M36" s="97">
        <f t="shared" si="7"/>
        <v>19.232420302432153</v>
      </c>
      <c r="N36" s="97">
        <f t="shared" si="8"/>
        <v>63.623124497655937</v>
      </c>
      <c r="O36" s="97">
        <f t="shared" si="9"/>
        <v>318.11562248827966</v>
      </c>
      <c r="U36" s="122"/>
      <c r="W36" s="111" t="s">
        <v>158</v>
      </c>
      <c r="X36" s="3">
        <f t="shared" si="10"/>
        <v>2213.7392037316372</v>
      </c>
      <c r="AC36" s="104">
        <f t="shared" si="11"/>
        <v>318.11562248827966</v>
      </c>
      <c r="AF36" s="111" t="s">
        <v>160</v>
      </c>
      <c r="AG36" s="112" t="s">
        <v>154</v>
      </c>
      <c r="AH36" s="127">
        <v>-17</v>
      </c>
      <c r="AI36" s="114">
        <v>1500</v>
      </c>
      <c r="AJ36" s="97">
        <f t="shared" si="5"/>
        <v>22.265000000000001</v>
      </c>
    </row>
    <row r="37" spans="1:37">
      <c r="A37" s="100">
        <v>20</v>
      </c>
      <c r="B37" s="100">
        <v>40</v>
      </c>
      <c r="C37" s="100">
        <v>20</v>
      </c>
      <c r="D37" s="100">
        <v>18</v>
      </c>
      <c r="E37" s="103" t="s">
        <v>141</v>
      </c>
      <c r="F37" s="100">
        <v>16</v>
      </c>
      <c r="G37" s="100">
        <v>18</v>
      </c>
      <c r="H37" s="98" t="e">
        <f>#REF!</f>
        <v>#REF!</v>
      </c>
      <c r="I37" s="97">
        <f t="shared" si="6"/>
        <v>72.800754880167005</v>
      </c>
      <c r="J37" s="100">
        <v>16</v>
      </c>
      <c r="K37" s="100">
        <v>240</v>
      </c>
      <c r="L37" s="98" t="e">
        <f>MAX(#REF!,#REF!)</f>
        <v>#REF!</v>
      </c>
      <c r="M37" s="97">
        <f t="shared" si="7"/>
        <v>24.04052537804019</v>
      </c>
      <c r="N37" s="97">
        <f t="shared" si="8"/>
        <v>96.841280258207192</v>
      </c>
      <c r="O37" s="97">
        <f t="shared" si="9"/>
        <v>77.473024206565825</v>
      </c>
      <c r="U37" s="122"/>
      <c r="W37" s="111" t="s">
        <v>159</v>
      </c>
      <c r="X37" s="3">
        <f t="shared" si="10"/>
        <v>2213.7392037316372</v>
      </c>
      <c r="AC37" s="104">
        <f t="shared" si="11"/>
        <v>77.473024206565825</v>
      </c>
      <c r="AF37" s="111" t="s">
        <v>161</v>
      </c>
      <c r="AG37" s="112" t="s">
        <v>154</v>
      </c>
      <c r="AH37" s="127">
        <v>-15</v>
      </c>
      <c r="AI37" s="114">
        <v>1500</v>
      </c>
      <c r="AJ37" s="97">
        <f t="shared" si="5"/>
        <v>20.265000000000001</v>
      </c>
      <c r="AK37" s="104">
        <f>AVERAGE(AJ30:AJ37)</f>
        <v>31.139999999999993</v>
      </c>
    </row>
    <row r="38" spans="1:37">
      <c r="A38" s="100">
        <v>20.8</v>
      </c>
      <c r="B38" s="100">
        <v>40</v>
      </c>
      <c r="C38" s="100">
        <v>16</v>
      </c>
      <c r="D38" s="100">
        <v>18</v>
      </c>
      <c r="E38" s="103" t="s">
        <v>141</v>
      </c>
      <c r="F38" s="100">
        <v>0</v>
      </c>
      <c r="G38" s="100">
        <v>0</v>
      </c>
      <c r="H38" s="98" t="e">
        <f>H37</f>
        <v>#REF!</v>
      </c>
      <c r="I38" s="97">
        <f t="shared" si="6"/>
        <v>28.410050684943215</v>
      </c>
      <c r="J38" s="100">
        <v>16</v>
      </c>
      <c r="K38" s="100">
        <v>300</v>
      </c>
      <c r="L38" s="98" t="e">
        <f>L37</f>
        <v>#REF!</v>
      </c>
      <c r="M38" s="97">
        <f t="shared" si="7"/>
        <v>19.232420302432153</v>
      </c>
      <c r="N38" s="97">
        <f t="shared" si="8"/>
        <v>47.642470987375368</v>
      </c>
      <c r="O38" s="97">
        <f>IF(A39&gt;AK37,N38*(AK37-A38),N38*(A39-A38))</f>
        <v>438.31073308385334</v>
      </c>
      <c r="U38" s="122"/>
      <c r="W38" s="111" t="s">
        <v>160</v>
      </c>
      <c r="X38" s="3">
        <f t="shared" si="10"/>
        <v>2118.4542617568864</v>
      </c>
      <c r="AC38" s="104">
        <f t="shared" si="11"/>
        <v>438.31073308385334</v>
      </c>
    </row>
    <row r="39" spans="1:37">
      <c r="A39" s="100">
        <v>30</v>
      </c>
      <c r="B39" s="100">
        <v>40</v>
      </c>
      <c r="C39" s="100">
        <v>16</v>
      </c>
      <c r="D39" s="100">
        <v>18</v>
      </c>
      <c r="E39" s="103" t="s">
        <v>141</v>
      </c>
      <c r="F39" s="100">
        <v>0</v>
      </c>
      <c r="G39" s="100">
        <v>0</v>
      </c>
      <c r="H39" s="98" t="e">
        <f>H38</f>
        <v>#REF!</v>
      </c>
      <c r="I39" s="97">
        <f t="shared" si="6"/>
        <v>28.410050684943215</v>
      </c>
      <c r="J39" s="100">
        <v>16</v>
      </c>
      <c r="K39" s="100">
        <v>300</v>
      </c>
      <c r="L39" s="98" t="e">
        <f>L38</f>
        <v>#REF!</v>
      </c>
      <c r="M39" s="97">
        <f t="shared" si="7"/>
        <v>19.232420302432153</v>
      </c>
      <c r="N39" s="97">
        <f t="shared" si="8"/>
        <v>47.642470987375368</v>
      </c>
      <c r="O39" s="97">
        <f>IF(A39&gt;AK37,0,N39*(AK37-A39))</f>
        <v>54.312416925607607</v>
      </c>
      <c r="U39" s="122"/>
      <c r="W39" s="111" t="s">
        <v>161</v>
      </c>
      <c r="X39" s="3">
        <f t="shared" si="10"/>
        <v>1996.8479568222406</v>
      </c>
      <c r="AC39">
        <f>N39*(30-A39)</f>
        <v>0</v>
      </c>
    </row>
    <row r="40" spans="1:37" ht="15.75" thickBot="1">
      <c r="V40" s="96"/>
      <c r="X40" s="99">
        <f>SUM(X32:X39)</f>
        <v>18490.655725419339</v>
      </c>
      <c r="Y40" s="89" t="s">
        <v>148</v>
      </c>
      <c r="Z40" s="102">
        <f>X40/$AI$8/8</f>
        <v>0.45414803390600977</v>
      </c>
      <c r="AA40" t="s">
        <v>121</v>
      </c>
      <c r="AC40" s="99">
        <f>SUM(AC32:AC38)</f>
        <v>2486.9687748442348</v>
      </c>
      <c r="AD40" s="115">
        <f>O40-AC40</f>
        <v>-2486.9687748442348</v>
      </c>
    </row>
    <row r="41" spans="1:37" ht="15.75" thickTop="1">
      <c r="O41" s="104"/>
    </row>
    <row r="42" spans="1:37" ht="18.75">
      <c r="A42" s="1" t="s">
        <v>162</v>
      </c>
    </row>
    <row r="43" spans="1:37">
      <c r="AG43" s="146" t="s">
        <v>163</v>
      </c>
      <c r="AH43" s="146"/>
      <c r="AI43" s="146"/>
      <c r="AJ43" s="146"/>
      <c r="AK43" s="146"/>
    </row>
    <row r="44" spans="1:37" ht="14.45" customHeight="1">
      <c r="A44" s="144" t="s">
        <v>151</v>
      </c>
      <c r="B44" s="145" t="s">
        <v>132</v>
      </c>
      <c r="C44" s="146" t="s">
        <v>133</v>
      </c>
      <c r="D44" s="146"/>
      <c r="E44" s="146"/>
      <c r="F44" s="146"/>
      <c r="G44" s="146"/>
      <c r="H44" s="146"/>
      <c r="I44" s="146"/>
      <c r="J44" s="146" t="s">
        <v>72</v>
      </c>
      <c r="K44" s="146"/>
      <c r="L44" s="146"/>
      <c r="M44" s="146"/>
      <c r="N44" s="145" t="s">
        <v>109</v>
      </c>
      <c r="O44" s="145" t="s">
        <v>110</v>
      </c>
      <c r="Q44" t="s">
        <v>164</v>
      </c>
      <c r="AG44" s="3" t="s">
        <v>17</v>
      </c>
      <c r="AH44" s="3" t="s">
        <v>128</v>
      </c>
      <c r="AI44" s="3" t="s">
        <v>129</v>
      </c>
      <c r="AJ44" s="3" t="s">
        <v>130</v>
      </c>
      <c r="AK44" s="3" t="s">
        <v>131</v>
      </c>
    </row>
    <row r="45" spans="1:37">
      <c r="A45" s="144"/>
      <c r="B45" s="145"/>
      <c r="C45" s="3" t="s">
        <v>136</v>
      </c>
      <c r="D45" s="3" t="s">
        <v>137</v>
      </c>
      <c r="F45" s="3" t="s">
        <v>136</v>
      </c>
      <c r="G45" s="3" t="s">
        <v>137</v>
      </c>
      <c r="H45" s="3" t="s">
        <v>138</v>
      </c>
      <c r="I45" s="3" t="s">
        <v>109</v>
      </c>
      <c r="J45" s="3" t="s">
        <v>136</v>
      </c>
      <c r="K45" s="3" t="s">
        <v>139</v>
      </c>
      <c r="L45" s="3" t="s">
        <v>138</v>
      </c>
      <c r="M45" s="3" t="s">
        <v>109</v>
      </c>
      <c r="N45" s="145"/>
      <c r="O45" s="145"/>
      <c r="Q45" s="5">
        <v>6</v>
      </c>
      <c r="AC45" s="104">
        <f t="shared" ref="AC45:AC52" si="12">O46</f>
        <v>9242.6717226873006</v>
      </c>
      <c r="AD45" s="104"/>
      <c r="AE45" s="104"/>
      <c r="AF45" s="104"/>
      <c r="AG45" s="111" t="s">
        <v>165</v>
      </c>
      <c r="AH45" s="112" t="s">
        <v>135</v>
      </c>
      <c r="AI45" s="127">
        <v>-33.5</v>
      </c>
      <c r="AJ45" s="114">
        <v>3500</v>
      </c>
      <c r="AK45" s="97">
        <f t="shared" ref="AK45:AK50" si="13">AH45-AI45+AJ45/1000</f>
        <v>40.965000000000003</v>
      </c>
    </row>
    <row r="46" spans="1:37">
      <c r="A46" s="100">
        <v>0</v>
      </c>
      <c r="B46" s="100">
        <v>40</v>
      </c>
      <c r="C46" s="100">
        <v>40</v>
      </c>
      <c r="D46" s="100">
        <v>18</v>
      </c>
      <c r="E46" s="103" t="s">
        <v>141</v>
      </c>
      <c r="F46" s="100">
        <v>32</v>
      </c>
      <c r="G46" s="100">
        <v>18</v>
      </c>
      <c r="H46" s="98" t="e">
        <f>#REF!</f>
        <v>#REF!</v>
      </c>
      <c r="I46" s="97">
        <f t="shared" ref="I46:I54" si="14">$C$13*((D46*PI()*((C46/1000)^2)/4)+(G46*PI()*((F46/1000)^2)/4))</f>
        <v>291.20301952066802</v>
      </c>
      <c r="J46" s="100">
        <v>25</v>
      </c>
      <c r="K46" s="100">
        <v>150</v>
      </c>
      <c r="L46" s="98" t="e">
        <f>MAX(#REF!,#REF!)</f>
        <v>#REF!</v>
      </c>
      <c r="M46" s="97">
        <f t="shared" ref="M46:M54" si="15">$C$13*$AM$5*PI()*((J46/1000)^2)/4*1000/K46</f>
        <v>93.90830225796951</v>
      </c>
      <c r="N46" s="97">
        <f>I46+M46</f>
        <v>385.11132177863755</v>
      </c>
      <c r="O46" s="97">
        <f>$Q$45*N46*(A47-A46)</f>
        <v>9242.6717226873006</v>
      </c>
      <c r="AC46" s="104" t="e">
        <f t="shared" si="12"/>
        <v>#REF!</v>
      </c>
      <c r="AD46" s="104"/>
      <c r="AE46" s="104"/>
      <c r="AF46" s="104"/>
      <c r="AG46" s="111" t="s">
        <v>166</v>
      </c>
      <c r="AH46" s="112" t="s">
        <v>135</v>
      </c>
      <c r="AI46" s="127">
        <v>-33</v>
      </c>
      <c r="AJ46" s="114">
        <v>3500</v>
      </c>
      <c r="AK46" s="97">
        <f t="shared" si="13"/>
        <v>40.465000000000003</v>
      </c>
    </row>
    <row r="47" spans="1:37">
      <c r="A47" s="100">
        <v>4</v>
      </c>
      <c r="B47" s="100">
        <v>40</v>
      </c>
      <c r="C47" s="100">
        <v>40</v>
      </c>
      <c r="D47" s="100" t="e">
        <f>#REF!</f>
        <v>#REF!</v>
      </c>
      <c r="E47" s="103" t="s">
        <v>141</v>
      </c>
      <c r="F47" s="100">
        <v>0</v>
      </c>
      <c r="G47" s="100">
        <v>0</v>
      </c>
      <c r="H47" s="98" t="e">
        <f>#REF!</f>
        <v>#REF!</v>
      </c>
      <c r="I47" s="97" t="e">
        <f t="shared" si="14"/>
        <v>#REF!</v>
      </c>
      <c r="J47" s="100">
        <v>25</v>
      </c>
      <c r="K47" s="100">
        <v>150</v>
      </c>
      <c r="L47" s="98" t="e">
        <f>MAX(#REF!,#REF!)</f>
        <v>#REF!</v>
      </c>
      <c r="M47" s="97">
        <f t="shared" si="15"/>
        <v>93.90830225796951</v>
      </c>
      <c r="N47" s="97" t="e">
        <f t="shared" ref="N47:N54" si="16">I47+M47</f>
        <v>#REF!</v>
      </c>
      <c r="O47" s="97" t="e">
        <f t="shared" ref="O47:O53" si="17">$Q$45*N47*(A48-A47)</f>
        <v>#REF!</v>
      </c>
      <c r="AC47" s="104" t="e">
        <f t="shared" si="12"/>
        <v>#REF!</v>
      </c>
      <c r="AD47" s="104"/>
      <c r="AE47" s="104"/>
      <c r="AF47" s="104"/>
      <c r="AG47" s="111" t="s">
        <v>167</v>
      </c>
      <c r="AH47" s="112" t="s">
        <v>135</v>
      </c>
      <c r="AI47" s="127">
        <v>-34.5</v>
      </c>
      <c r="AJ47" s="114">
        <v>3000</v>
      </c>
      <c r="AK47" s="97">
        <f t="shared" si="13"/>
        <v>41.465000000000003</v>
      </c>
    </row>
    <row r="48" spans="1:37">
      <c r="A48" s="100">
        <v>5</v>
      </c>
      <c r="B48" s="100">
        <v>40</v>
      </c>
      <c r="C48" s="100" t="e">
        <f>#REF!</f>
        <v>#REF!</v>
      </c>
      <c r="D48" s="100" t="e">
        <f>#REF!</f>
        <v>#REF!</v>
      </c>
      <c r="E48" s="103" t="s">
        <v>141</v>
      </c>
      <c r="F48" s="100" t="e">
        <f>#REF!</f>
        <v>#REF!</v>
      </c>
      <c r="G48" s="100" t="e">
        <f>#REF!</f>
        <v>#REF!</v>
      </c>
      <c r="H48" s="98" t="e">
        <f>H47</f>
        <v>#REF!</v>
      </c>
      <c r="I48" s="97" t="e">
        <f t="shared" si="14"/>
        <v>#REF!</v>
      </c>
      <c r="J48" s="100">
        <v>16</v>
      </c>
      <c r="K48" s="100">
        <v>300</v>
      </c>
      <c r="L48" s="98" t="e">
        <f>MAX(#REF!,#REF!)</f>
        <v>#REF!</v>
      </c>
      <c r="M48" s="97">
        <f t="shared" si="15"/>
        <v>19.232420302432153</v>
      </c>
      <c r="N48" s="97" t="e">
        <f t="shared" si="16"/>
        <v>#REF!</v>
      </c>
      <c r="O48" s="97" t="e">
        <f t="shared" si="17"/>
        <v>#REF!</v>
      </c>
      <c r="AC48" s="104">
        <f t="shared" si="12"/>
        <v>4549.9939072779653</v>
      </c>
      <c r="AD48" s="104"/>
      <c r="AE48" s="104"/>
      <c r="AF48" s="104"/>
      <c r="AG48" s="111" t="s">
        <v>168</v>
      </c>
      <c r="AH48" s="112" t="s">
        <v>135</v>
      </c>
      <c r="AI48" s="127">
        <v>-28</v>
      </c>
      <c r="AJ48" s="114">
        <v>3500</v>
      </c>
      <c r="AK48" s="97">
        <f t="shared" si="13"/>
        <v>35.465000000000003</v>
      </c>
    </row>
    <row r="49" spans="1:38">
      <c r="A49" s="100">
        <v>8.5</v>
      </c>
      <c r="B49" s="100">
        <v>40</v>
      </c>
      <c r="C49" s="100">
        <v>40</v>
      </c>
      <c r="D49" s="100">
        <v>18</v>
      </c>
      <c r="E49" s="103" t="s">
        <v>141</v>
      </c>
      <c r="F49" s="100">
        <v>40</v>
      </c>
      <c r="G49" s="100">
        <v>18</v>
      </c>
      <c r="H49" s="98" t="e">
        <f>H48</f>
        <v>#REF!</v>
      </c>
      <c r="I49" s="97">
        <f t="shared" si="14"/>
        <v>355.12563356179027</v>
      </c>
      <c r="J49" s="100">
        <v>16</v>
      </c>
      <c r="K49" s="100">
        <v>240</v>
      </c>
      <c r="L49" s="98" t="e">
        <f>L48</f>
        <v>#REF!</v>
      </c>
      <c r="M49" s="97">
        <f t="shared" si="15"/>
        <v>24.04052537804019</v>
      </c>
      <c r="N49" s="97">
        <f t="shared" si="16"/>
        <v>379.16615893983044</v>
      </c>
      <c r="O49" s="97">
        <f t="shared" si="17"/>
        <v>4549.9939072779653</v>
      </c>
      <c r="AC49" s="104">
        <f t="shared" si="12"/>
        <v>6494.2428237498007</v>
      </c>
      <c r="AD49" s="104"/>
      <c r="AE49" s="104"/>
      <c r="AF49" s="104"/>
      <c r="AG49" s="111" t="s">
        <v>169</v>
      </c>
      <c r="AH49" s="112" t="s">
        <v>135</v>
      </c>
      <c r="AI49" s="127">
        <v>-27</v>
      </c>
      <c r="AJ49" s="114">
        <v>3500</v>
      </c>
      <c r="AK49" s="97">
        <f t="shared" si="13"/>
        <v>34.465000000000003</v>
      </c>
    </row>
    <row r="50" spans="1:38">
      <c r="A50" s="100">
        <v>10.5</v>
      </c>
      <c r="B50" s="100">
        <v>40</v>
      </c>
      <c r="C50" s="100">
        <v>40</v>
      </c>
      <c r="D50" s="100">
        <v>18</v>
      </c>
      <c r="E50" s="103" t="s">
        <v>141</v>
      </c>
      <c r="F50" s="100">
        <v>0</v>
      </c>
      <c r="G50" s="100">
        <v>0</v>
      </c>
      <c r="H50" s="98" t="e">
        <f>H49</f>
        <v>#REF!</v>
      </c>
      <c r="I50" s="97">
        <f t="shared" si="14"/>
        <v>177.56281678089513</v>
      </c>
      <c r="J50" s="100">
        <v>16</v>
      </c>
      <c r="K50" s="100">
        <v>300</v>
      </c>
      <c r="L50" s="98" t="e">
        <f>L49</f>
        <v>#REF!</v>
      </c>
      <c r="M50" s="97">
        <f t="shared" si="15"/>
        <v>19.232420302432153</v>
      </c>
      <c r="N50" s="97">
        <f t="shared" si="16"/>
        <v>196.79523708332729</v>
      </c>
      <c r="O50" s="97">
        <f t="shared" si="17"/>
        <v>6494.2428237498007</v>
      </c>
      <c r="AC50" s="104">
        <f t="shared" si="12"/>
        <v>2837.1919040883736</v>
      </c>
      <c r="AD50" s="104"/>
      <c r="AE50" s="104"/>
      <c r="AF50" s="104"/>
      <c r="AG50" s="111" t="s">
        <v>170</v>
      </c>
      <c r="AH50" s="112" t="s">
        <v>135</v>
      </c>
      <c r="AI50" s="127">
        <v>-24.5</v>
      </c>
      <c r="AJ50" s="114">
        <v>3500</v>
      </c>
      <c r="AK50" s="97">
        <f t="shared" si="13"/>
        <v>31.965</v>
      </c>
      <c r="AL50" s="104">
        <f>AVERAGE(AK45:AK50)</f>
        <v>37.465000000000003</v>
      </c>
    </row>
    <row r="51" spans="1:38">
      <c r="A51" s="100">
        <v>16</v>
      </c>
      <c r="B51" s="100">
        <v>40</v>
      </c>
      <c r="C51" s="100">
        <v>40</v>
      </c>
      <c r="D51" s="100">
        <v>18</v>
      </c>
      <c r="E51" s="103" t="s">
        <v>141</v>
      </c>
      <c r="F51" s="100">
        <v>32</v>
      </c>
      <c r="G51" s="100">
        <v>18</v>
      </c>
      <c r="H51" s="98" t="e">
        <f>#REF!</f>
        <v>#REF!</v>
      </c>
      <c r="I51" s="97">
        <f t="shared" si="14"/>
        <v>291.20301952066802</v>
      </c>
      <c r="J51" s="100">
        <v>16</v>
      </c>
      <c r="K51" s="100">
        <v>240</v>
      </c>
      <c r="L51" s="98" t="e">
        <f>MAX(#REF!,#REF!)</f>
        <v>#REF!</v>
      </c>
      <c r="M51" s="97">
        <f t="shared" si="15"/>
        <v>24.04052537804019</v>
      </c>
      <c r="N51" s="97">
        <f t="shared" si="16"/>
        <v>315.24354489870819</v>
      </c>
      <c r="O51" s="97">
        <f t="shared" si="17"/>
        <v>2837.1919040883736</v>
      </c>
      <c r="AC51" s="104">
        <f t="shared" si="12"/>
        <v>5182.032298645996</v>
      </c>
    </row>
    <row r="52" spans="1:38">
      <c r="A52" s="100">
        <v>17.5</v>
      </c>
      <c r="B52" s="100">
        <v>40</v>
      </c>
      <c r="C52" s="100">
        <v>32</v>
      </c>
      <c r="D52" s="100">
        <v>18</v>
      </c>
      <c r="E52" s="103" t="s">
        <v>141</v>
      </c>
      <c r="F52" s="100">
        <v>0</v>
      </c>
      <c r="G52" s="100">
        <v>0</v>
      </c>
      <c r="H52" s="98" t="e">
        <f>H51</f>
        <v>#REF!</v>
      </c>
      <c r="I52" s="97">
        <f t="shared" si="14"/>
        <v>113.64020273977286</v>
      </c>
      <c r="J52" s="100">
        <v>16</v>
      </c>
      <c r="K52" s="100">
        <v>300</v>
      </c>
      <c r="L52" s="98" t="e">
        <f>L51</f>
        <v>#REF!</v>
      </c>
      <c r="M52" s="97">
        <f t="shared" si="15"/>
        <v>19.232420302432153</v>
      </c>
      <c r="N52" s="97">
        <f t="shared" si="16"/>
        <v>132.87262304220502</v>
      </c>
      <c r="O52" s="97">
        <f t="shared" si="17"/>
        <v>5182.032298645996</v>
      </c>
      <c r="AC52" s="104">
        <f t="shared" si="12"/>
        <v>2286.8386073940178</v>
      </c>
    </row>
    <row r="53" spans="1:38">
      <c r="A53" s="100">
        <v>24</v>
      </c>
      <c r="B53" s="100">
        <v>40</v>
      </c>
      <c r="C53" s="100">
        <v>16</v>
      </c>
      <c r="D53" s="100">
        <v>18</v>
      </c>
      <c r="E53" s="103" t="s">
        <v>141</v>
      </c>
      <c r="F53" s="100">
        <v>0</v>
      </c>
      <c r="G53" s="100">
        <v>0</v>
      </c>
      <c r="H53" s="98" t="e">
        <f>MAX(#REF!)</f>
        <v>#REF!</v>
      </c>
      <c r="I53" s="97">
        <f t="shared" si="14"/>
        <v>28.410050684943215</v>
      </c>
      <c r="J53" s="100">
        <v>16</v>
      </c>
      <c r="K53" s="100">
        <v>300</v>
      </c>
      <c r="L53" s="98"/>
      <c r="M53" s="97">
        <f t="shared" si="15"/>
        <v>19.232420302432153</v>
      </c>
      <c r="N53" s="97">
        <f t="shared" si="16"/>
        <v>47.642470987375368</v>
      </c>
      <c r="O53" s="97">
        <f t="shared" si="17"/>
        <v>2286.8386073940178</v>
      </c>
      <c r="AC53">
        <f>N54*(21-A54)</f>
        <v>-524.06718086112903</v>
      </c>
    </row>
    <row r="54" spans="1:38" ht="15.75" thickBot="1">
      <c r="A54" s="100">
        <v>32</v>
      </c>
      <c r="B54" s="100">
        <v>40</v>
      </c>
      <c r="C54" s="100">
        <v>16</v>
      </c>
      <c r="D54" s="100">
        <v>18</v>
      </c>
      <c r="E54" s="103" t="s">
        <v>141</v>
      </c>
      <c r="F54" s="100">
        <v>0</v>
      </c>
      <c r="G54" s="100">
        <v>0</v>
      </c>
      <c r="H54" s="98" t="e">
        <f>H53</f>
        <v>#REF!</v>
      </c>
      <c r="I54" s="97">
        <f t="shared" si="14"/>
        <v>28.410050684943215</v>
      </c>
      <c r="J54" s="100">
        <v>16</v>
      </c>
      <c r="K54" s="100">
        <v>300</v>
      </c>
      <c r="L54" s="98"/>
      <c r="M54" s="97">
        <f t="shared" si="15"/>
        <v>19.232420302432153</v>
      </c>
      <c r="N54" s="97">
        <f t="shared" si="16"/>
        <v>47.642470987375368</v>
      </c>
      <c r="O54" s="97">
        <f>$Q$45*N54*($AL$50-A54)</f>
        <v>1562.1966236760393</v>
      </c>
      <c r="AC54" s="99" t="e">
        <f>SUM(AC45:AC53)</f>
        <v>#REF!</v>
      </c>
      <c r="AD54" s="115" t="e">
        <f>O55-AC54</f>
        <v>#REF!</v>
      </c>
      <c r="AE54" s="115"/>
      <c r="AF54" s="115"/>
    </row>
    <row r="55" spans="1:38" ht="16.5" thickTop="1" thickBot="1">
      <c r="O55" s="99" t="e">
        <f>SUM(O46:O54)</f>
        <v>#REF!</v>
      </c>
      <c r="P55" s="89" t="s">
        <v>148</v>
      </c>
      <c r="Q55" s="102" t="e">
        <f>O55/$AD$9/Q45</f>
        <v>#REF!</v>
      </c>
      <c r="R55" t="s">
        <v>121</v>
      </c>
    </row>
    <row r="56" spans="1:38" ht="15.75" thickTop="1">
      <c r="AG56" s="146" t="s">
        <v>171</v>
      </c>
      <c r="AH56" s="146"/>
      <c r="AI56" s="146"/>
      <c r="AJ56" s="146"/>
      <c r="AK56" s="146"/>
    </row>
    <row r="57" spans="1:38" ht="18.75">
      <c r="A57" s="1" t="s">
        <v>172</v>
      </c>
      <c r="AG57" s="3" t="s">
        <v>17</v>
      </c>
      <c r="AH57" s="3" t="s">
        <v>128</v>
      </c>
      <c r="AI57" s="3" t="s">
        <v>129</v>
      </c>
      <c r="AJ57" s="3" t="s">
        <v>130</v>
      </c>
      <c r="AK57" s="3" t="s">
        <v>131</v>
      </c>
    </row>
    <row r="58" spans="1:38">
      <c r="AG58" s="111" t="s">
        <v>173</v>
      </c>
      <c r="AH58" s="112" t="s">
        <v>154</v>
      </c>
      <c r="AI58" s="127">
        <v>-34</v>
      </c>
      <c r="AJ58" s="114">
        <v>4000</v>
      </c>
      <c r="AK58" s="97">
        <f t="shared" ref="AK58:AK63" si="18">AH58-AI58+AJ58/1000</f>
        <v>41.765000000000001</v>
      </c>
    </row>
    <row r="59" spans="1:38" ht="14.45" customHeight="1">
      <c r="A59" s="144" t="s">
        <v>151</v>
      </c>
      <c r="B59" s="145" t="s">
        <v>132</v>
      </c>
      <c r="C59" s="146" t="s">
        <v>133</v>
      </c>
      <c r="D59" s="146"/>
      <c r="E59" s="146"/>
      <c r="F59" s="146"/>
      <c r="G59" s="146"/>
      <c r="H59" s="146"/>
      <c r="I59" s="146"/>
      <c r="J59" s="146" t="s">
        <v>72</v>
      </c>
      <c r="K59" s="146"/>
      <c r="L59" s="146"/>
      <c r="M59" s="146"/>
      <c r="N59" s="145" t="s">
        <v>109</v>
      </c>
      <c r="O59" s="145" t="s">
        <v>110</v>
      </c>
      <c r="Q59" t="s">
        <v>174</v>
      </c>
      <c r="AG59" s="111" t="s">
        <v>175</v>
      </c>
      <c r="AH59" s="112" t="s">
        <v>154</v>
      </c>
      <c r="AI59" s="127">
        <v>-33</v>
      </c>
      <c r="AJ59" s="114">
        <v>4000</v>
      </c>
      <c r="AK59" s="97">
        <f t="shared" si="18"/>
        <v>40.765000000000001</v>
      </c>
    </row>
    <row r="60" spans="1:38">
      <c r="A60" s="144"/>
      <c r="B60" s="145"/>
      <c r="C60" s="3" t="s">
        <v>136</v>
      </c>
      <c r="D60" s="3" t="s">
        <v>137</v>
      </c>
      <c r="F60" s="3" t="s">
        <v>136</v>
      </c>
      <c r="G60" s="3" t="s">
        <v>137</v>
      </c>
      <c r="H60" s="3" t="s">
        <v>138</v>
      </c>
      <c r="I60" s="3" t="s">
        <v>109</v>
      </c>
      <c r="J60" s="3" t="s">
        <v>136</v>
      </c>
      <c r="K60" s="3" t="s">
        <v>139</v>
      </c>
      <c r="L60" s="3" t="s">
        <v>138</v>
      </c>
      <c r="M60" s="3" t="s">
        <v>109</v>
      </c>
      <c r="N60" s="145"/>
      <c r="O60" s="145"/>
      <c r="Q60" s="5">
        <v>6</v>
      </c>
      <c r="AC60" s="104" t="e">
        <f>O61</f>
        <v>#REF!</v>
      </c>
      <c r="AG60" s="111" t="s">
        <v>176</v>
      </c>
      <c r="AH60" s="112" t="s">
        <v>154</v>
      </c>
      <c r="AI60" s="127">
        <v>-33</v>
      </c>
      <c r="AJ60" s="114">
        <v>4000</v>
      </c>
      <c r="AK60" s="97">
        <f t="shared" si="18"/>
        <v>40.765000000000001</v>
      </c>
    </row>
    <row r="61" spans="1:38">
      <c r="A61" s="100">
        <v>0</v>
      </c>
      <c r="B61" s="100">
        <v>40</v>
      </c>
      <c r="C61" s="100">
        <v>32</v>
      </c>
      <c r="D61" s="100" t="e">
        <f>#REF!</f>
        <v>#REF!</v>
      </c>
      <c r="E61" s="103" t="s">
        <v>141</v>
      </c>
      <c r="F61" s="100">
        <v>0</v>
      </c>
      <c r="G61" s="100">
        <v>0</v>
      </c>
      <c r="H61" s="98" t="e">
        <f>#REF!</f>
        <v>#REF!</v>
      </c>
      <c r="I61" s="97" t="e">
        <f>$C$13*((D61*PI()*((C61/1000)^2)/4)+(G61*PI()*((F61/1000)^2)/4))</f>
        <v>#REF!</v>
      </c>
      <c r="J61" s="100">
        <v>16</v>
      </c>
      <c r="K61" s="100">
        <v>300</v>
      </c>
      <c r="L61" s="98" t="e">
        <f>MAX(#REF!,#REF!)</f>
        <v>#REF!</v>
      </c>
      <c r="M61" s="97">
        <f>$C$13*$AM$5*PI()*((J61/1000)^2)/4*1000/K61</f>
        <v>19.232420302432153</v>
      </c>
      <c r="N61" s="97" t="e">
        <f>I61+M61</f>
        <v>#REF!</v>
      </c>
      <c r="O61" s="97" t="e">
        <f>$Q$60*N61*(A62-A61)</f>
        <v>#REF!</v>
      </c>
      <c r="AC61" s="104">
        <f>O62</f>
        <v>11912.095590355215</v>
      </c>
      <c r="AG61" s="111" t="s">
        <v>177</v>
      </c>
      <c r="AH61" s="112" t="s">
        <v>154</v>
      </c>
      <c r="AI61" s="127">
        <v>-26</v>
      </c>
      <c r="AJ61" s="114">
        <v>4000</v>
      </c>
      <c r="AK61" s="97">
        <f t="shared" si="18"/>
        <v>33.765000000000001</v>
      </c>
    </row>
    <row r="62" spans="1:38">
      <c r="A62" s="100">
        <v>12.4</v>
      </c>
      <c r="B62" s="100">
        <v>40</v>
      </c>
      <c r="C62" s="100">
        <v>32</v>
      </c>
      <c r="D62" s="100">
        <v>18</v>
      </c>
      <c r="E62" s="103" t="s">
        <v>141</v>
      </c>
      <c r="F62" s="100">
        <v>20</v>
      </c>
      <c r="G62" s="100">
        <v>18</v>
      </c>
      <c r="H62" s="98" t="e">
        <f>#REF!</f>
        <v>#REF!</v>
      </c>
      <c r="I62" s="97">
        <f>$C$13*((D62*PI()*((C62/1000)^2)/4)+(G62*PI()*((F62/1000)^2)/4))</f>
        <v>158.03090693499664</v>
      </c>
      <c r="J62" s="100">
        <v>16</v>
      </c>
      <c r="K62" s="100">
        <v>300</v>
      </c>
      <c r="L62" s="98" t="e">
        <f>MAX(#REF!,#REF!)</f>
        <v>#REF!</v>
      </c>
      <c r="M62" s="97">
        <f>$C$13*$AM$5*PI()*((J62/1000)^2)/4*1000/K62</f>
        <v>19.232420302432153</v>
      </c>
      <c r="N62" s="97">
        <f>I62+M62</f>
        <v>177.2633272374288</v>
      </c>
      <c r="O62" s="97">
        <f>$Q$60*N62*(A63-A62)</f>
        <v>11912.095590355215</v>
      </c>
      <c r="AC62" s="104">
        <f>O63</f>
        <v>6696.7802013271321</v>
      </c>
      <c r="AG62" s="111" t="s">
        <v>178</v>
      </c>
      <c r="AH62" s="112" t="s">
        <v>154</v>
      </c>
      <c r="AI62" s="127">
        <v>-22.5</v>
      </c>
      <c r="AJ62" s="114">
        <v>4000</v>
      </c>
      <c r="AK62" s="97">
        <f t="shared" si="18"/>
        <v>30.265000000000001</v>
      </c>
    </row>
    <row r="63" spans="1:38">
      <c r="A63" s="100">
        <v>23.6</v>
      </c>
      <c r="B63" s="100">
        <v>40</v>
      </c>
      <c r="C63" s="100">
        <v>32</v>
      </c>
      <c r="D63" s="100">
        <v>18</v>
      </c>
      <c r="E63" s="103" t="s">
        <v>141</v>
      </c>
      <c r="F63" s="100">
        <v>0</v>
      </c>
      <c r="G63" s="100">
        <v>0</v>
      </c>
      <c r="H63" s="98" t="e">
        <f>#REF!</f>
        <v>#REF!</v>
      </c>
      <c r="I63" s="97">
        <f>$C$13*((D63*PI()*((C63/1000)^2)/4)+(G63*PI()*((F63/1000)^2)/4))</f>
        <v>113.64020273977286</v>
      </c>
      <c r="J63" s="100">
        <v>16</v>
      </c>
      <c r="K63" s="100">
        <v>300</v>
      </c>
      <c r="L63" s="98" t="e">
        <f>MAX(#REF!,#REF!)</f>
        <v>#REF!</v>
      </c>
      <c r="M63" s="97">
        <f>$C$13*$AM$5*PI()*((J63/1000)^2)/4*1000/K63</f>
        <v>19.232420302432153</v>
      </c>
      <c r="N63" s="97">
        <f>I63+M63</f>
        <v>132.87262304220502</v>
      </c>
      <c r="O63" s="97">
        <f>$Q$60*N63*(A64-A63)</f>
        <v>6696.7802013271321</v>
      </c>
      <c r="AC63">
        <f>N64*(30-A64)</f>
        <v>-177.18579121493866</v>
      </c>
      <c r="AG63" s="111" t="s">
        <v>179</v>
      </c>
      <c r="AH63" s="112" t="s">
        <v>154</v>
      </c>
      <c r="AI63" s="127">
        <v>-20.5</v>
      </c>
      <c r="AJ63" s="114">
        <v>4000</v>
      </c>
      <c r="AK63" s="97">
        <f t="shared" si="18"/>
        <v>28.265000000000001</v>
      </c>
      <c r="AL63" s="104">
        <f>AVERAGE(AK58:AK63)</f>
        <v>35.931666666666665</v>
      </c>
    </row>
    <row r="64" spans="1:38" ht="15.75" thickBot="1">
      <c r="A64" s="100">
        <v>32</v>
      </c>
      <c r="B64" s="100">
        <v>40</v>
      </c>
      <c r="C64" s="100">
        <v>25</v>
      </c>
      <c r="D64" s="100">
        <v>18</v>
      </c>
      <c r="E64" s="103" t="s">
        <v>141</v>
      </c>
      <c r="F64" s="100">
        <v>0</v>
      </c>
      <c r="G64" s="100">
        <v>0</v>
      </c>
      <c r="H64" s="98" t="e">
        <f>MAX(#REF!)</f>
        <v>#REF!</v>
      </c>
      <c r="I64" s="97">
        <f>$C$13*((D64*PI()*((C64/1000)^2)/4)+(G64*PI()*((F64/1000)^2)/4))</f>
        <v>69.36047530503717</v>
      </c>
      <c r="J64" s="100">
        <v>16</v>
      </c>
      <c r="K64" s="100">
        <v>300</v>
      </c>
      <c r="L64" s="98"/>
      <c r="M64" s="97">
        <f>$C$13*$AM$5*PI()*((J64/1000)^2)/4*1000/K64</f>
        <v>19.232420302432153</v>
      </c>
      <c r="N64" s="97">
        <f>I64+M64</f>
        <v>88.59289560746933</v>
      </c>
      <c r="O64" s="97">
        <f>$Q$60*N64*($AL$63-A64)</f>
        <v>2089.9064073802001</v>
      </c>
      <c r="AC64" s="99" t="e">
        <f>SUM(AC60:AC63)</f>
        <v>#REF!</v>
      </c>
      <c r="AD64" s="115" t="e">
        <f>O65-AC64</f>
        <v>#REF!</v>
      </c>
    </row>
    <row r="65" spans="1:38" ht="16.5" thickTop="1" thickBot="1">
      <c r="O65" s="99" t="e">
        <f>SUM(O61:O64)</f>
        <v>#REF!</v>
      </c>
      <c r="P65" s="89" t="s">
        <v>148</v>
      </c>
      <c r="Q65" s="102" t="e">
        <f>O65/$AI$8/Q60</f>
        <v>#REF!</v>
      </c>
      <c r="R65" t="s">
        <v>121</v>
      </c>
    </row>
    <row r="66" spans="1:38" ht="15.75" thickTop="1">
      <c r="K66" s="104"/>
    </row>
    <row r="67" spans="1:38" ht="18.75">
      <c r="A67" s="1" t="s">
        <v>180</v>
      </c>
      <c r="AG67" s="146" t="s">
        <v>181</v>
      </c>
      <c r="AH67" s="146"/>
      <c r="AI67" s="146"/>
      <c r="AJ67" s="146"/>
      <c r="AK67" s="146"/>
    </row>
    <row r="68" spans="1:38">
      <c r="AG68" s="3" t="s">
        <v>17</v>
      </c>
      <c r="AH68" s="3" t="s">
        <v>128</v>
      </c>
      <c r="AI68" s="3" t="s">
        <v>129</v>
      </c>
      <c r="AJ68" s="3" t="s">
        <v>130</v>
      </c>
      <c r="AK68" s="3" t="s">
        <v>131</v>
      </c>
    </row>
    <row r="69" spans="1:38" ht="14.45" customHeight="1">
      <c r="A69" s="148" t="s">
        <v>151</v>
      </c>
      <c r="B69" s="150" t="s">
        <v>132</v>
      </c>
      <c r="C69" s="146" t="s">
        <v>133</v>
      </c>
      <c r="D69" s="146"/>
      <c r="E69" s="146"/>
      <c r="F69" s="146"/>
      <c r="G69" s="146"/>
      <c r="H69" s="146"/>
      <c r="I69" s="146"/>
      <c r="J69" s="152" t="s">
        <v>72</v>
      </c>
      <c r="K69" s="153"/>
      <c r="L69" s="153"/>
      <c r="M69" s="154"/>
      <c r="N69" s="150" t="s">
        <v>109</v>
      </c>
      <c r="O69" s="150" t="s">
        <v>110</v>
      </c>
      <c r="Q69" t="s">
        <v>182</v>
      </c>
      <c r="AG69" s="111" t="s">
        <v>183</v>
      </c>
      <c r="AH69" s="112" t="s">
        <v>135</v>
      </c>
      <c r="AI69" s="127">
        <v>-35</v>
      </c>
      <c r="AJ69" s="114">
        <v>3000</v>
      </c>
      <c r="AK69" s="97">
        <f>AH69-AI69+AJ69/1000</f>
        <v>41.965000000000003</v>
      </c>
    </row>
    <row r="70" spans="1:38">
      <c r="A70" s="149"/>
      <c r="B70" s="151"/>
      <c r="C70" s="3" t="s">
        <v>136</v>
      </c>
      <c r="D70" s="3" t="s">
        <v>137</v>
      </c>
      <c r="F70" s="3" t="s">
        <v>136</v>
      </c>
      <c r="G70" s="3" t="s">
        <v>137</v>
      </c>
      <c r="H70" s="3" t="s">
        <v>138</v>
      </c>
      <c r="I70" s="3" t="s">
        <v>109</v>
      </c>
      <c r="J70" s="3" t="s">
        <v>136</v>
      </c>
      <c r="K70" s="3" t="s">
        <v>139</v>
      </c>
      <c r="L70" s="3" t="s">
        <v>138</v>
      </c>
      <c r="M70" s="3" t="s">
        <v>109</v>
      </c>
      <c r="N70" s="151"/>
      <c r="O70" s="151"/>
      <c r="Q70" s="5">
        <v>11</v>
      </c>
      <c r="AC70" s="104">
        <f t="shared" ref="AC70:AC77" si="19">O71</f>
        <v>8148.4686388357659</v>
      </c>
      <c r="AD70" s="104"/>
      <c r="AE70" s="104"/>
      <c r="AF70" s="104"/>
      <c r="AG70" s="111" t="s">
        <v>184</v>
      </c>
      <c r="AH70" s="112" t="s">
        <v>135</v>
      </c>
      <c r="AI70" s="127">
        <v>-35</v>
      </c>
      <c r="AJ70" s="114">
        <v>3000</v>
      </c>
      <c r="AK70" s="97">
        <f t="shared" ref="AK70:AK79" si="20">AH70-AI70+AJ70/1000</f>
        <v>41.965000000000003</v>
      </c>
    </row>
    <row r="71" spans="1:38">
      <c r="A71" s="100">
        <v>0</v>
      </c>
      <c r="B71" s="100">
        <v>40</v>
      </c>
      <c r="C71" s="100">
        <v>40</v>
      </c>
      <c r="D71" s="100">
        <v>18</v>
      </c>
      <c r="E71" s="103" t="s">
        <v>141</v>
      </c>
      <c r="F71" s="100">
        <v>25</v>
      </c>
      <c r="G71" s="100">
        <v>18</v>
      </c>
      <c r="H71" s="98" t="e">
        <f>#REF!</f>
        <v>#REF!</v>
      </c>
      <c r="I71" s="97">
        <f t="shared" ref="I71:I79" si="21">$C$13*((D71*PI()*((C71/1000)^2)/4)+(G71*PI()*((F71/1000)^2)/4))</f>
        <v>246.9232920859323</v>
      </c>
      <c r="J71" s="100"/>
      <c r="K71" s="100">
        <v>300</v>
      </c>
      <c r="L71" s="98" t="e">
        <f>MAX(#REF!,#REF!)</f>
        <v>#REF!</v>
      </c>
      <c r="M71" s="97">
        <f t="shared" ref="M71:M79" si="22">$C$13*$AM$5*PI()*((J71/1000)^2)/4*1000/K71</f>
        <v>0</v>
      </c>
      <c r="N71" s="97">
        <f t="shared" ref="N71:N79" si="23">I71+M71</f>
        <v>246.9232920859323</v>
      </c>
      <c r="O71" s="97">
        <f>$Q$70*N71*(A72-A71)</f>
        <v>8148.4686388357659</v>
      </c>
      <c r="AC71" s="104">
        <f t="shared" si="19"/>
        <v>3906.381969179693</v>
      </c>
      <c r="AD71" s="104"/>
      <c r="AE71" s="104"/>
      <c r="AF71" s="104"/>
      <c r="AG71" s="111" t="s">
        <v>185</v>
      </c>
      <c r="AH71" s="112" t="s">
        <v>135</v>
      </c>
      <c r="AI71" s="127">
        <v>-35.5</v>
      </c>
      <c r="AJ71" s="114">
        <v>3000</v>
      </c>
      <c r="AK71" s="97">
        <f t="shared" si="20"/>
        <v>42.465000000000003</v>
      </c>
    </row>
    <row r="72" spans="1:38">
      <c r="A72" s="100">
        <v>3</v>
      </c>
      <c r="B72" s="100">
        <v>40</v>
      </c>
      <c r="C72" s="100">
        <v>40</v>
      </c>
      <c r="D72" s="100">
        <v>18</v>
      </c>
      <c r="E72" s="103" t="s">
        <v>141</v>
      </c>
      <c r="F72" s="100">
        <v>0</v>
      </c>
      <c r="G72" s="100">
        <v>0</v>
      </c>
      <c r="H72" s="98" t="e">
        <f>#REF!</f>
        <v>#REF!</v>
      </c>
      <c r="I72" s="97">
        <f t="shared" si="21"/>
        <v>177.56281678089513</v>
      </c>
      <c r="J72" s="100"/>
      <c r="K72" s="100">
        <v>300</v>
      </c>
      <c r="L72" s="98" t="e">
        <f>MAX(#REF!,#REF!)</f>
        <v>#REF!</v>
      </c>
      <c r="M72" s="97">
        <f t="shared" si="22"/>
        <v>0</v>
      </c>
      <c r="N72" s="97">
        <f t="shared" si="23"/>
        <v>177.56281678089513</v>
      </c>
      <c r="O72" s="97">
        <f t="shared" ref="O72:O78" si="24">$Q$70*N72*(A73-A72)</f>
        <v>3906.381969179693</v>
      </c>
      <c r="AC72" s="104">
        <f t="shared" si="19"/>
        <v>10742.550415244155</v>
      </c>
      <c r="AD72" s="104"/>
      <c r="AE72" s="104"/>
      <c r="AF72" s="104"/>
      <c r="AG72" s="111" t="s">
        <v>186</v>
      </c>
      <c r="AH72" s="112" t="s">
        <v>135</v>
      </c>
      <c r="AI72" s="127">
        <v>-36</v>
      </c>
      <c r="AJ72" s="114">
        <v>3000</v>
      </c>
      <c r="AK72" s="97">
        <f t="shared" si="20"/>
        <v>42.965000000000003</v>
      </c>
    </row>
    <row r="73" spans="1:38">
      <c r="A73" s="100">
        <v>5</v>
      </c>
      <c r="B73" s="100">
        <v>40</v>
      </c>
      <c r="C73" s="100">
        <v>40</v>
      </c>
      <c r="D73" s="100">
        <v>18</v>
      </c>
      <c r="E73" s="103" t="s">
        <v>141</v>
      </c>
      <c r="F73" s="100">
        <v>0</v>
      </c>
      <c r="G73" s="100">
        <v>0</v>
      </c>
      <c r="H73" s="98" t="e">
        <f>#REF!</f>
        <v>#REF!</v>
      </c>
      <c r="I73" s="97">
        <f t="shared" si="21"/>
        <v>177.56281678089513</v>
      </c>
      <c r="J73" s="100"/>
      <c r="K73" s="100">
        <v>300</v>
      </c>
      <c r="L73" s="98" t="e">
        <f>MAX(#REF!,#REF!)</f>
        <v>#REF!</v>
      </c>
      <c r="M73" s="97">
        <f t="shared" si="22"/>
        <v>0</v>
      </c>
      <c r="N73" s="97">
        <f t="shared" si="23"/>
        <v>177.56281678089513</v>
      </c>
      <c r="O73" s="97">
        <f t="shared" si="24"/>
        <v>10742.550415244155</v>
      </c>
      <c r="AC73" s="104">
        <f t="shared" si="19"/>
        <v>7812.763938359386</v>
      </c>
      <c r="AD73" s="104"/>
      <c r="AE73" s="104"/>
      <c r="AF73" s="104"/>
      <c r="AG73" s="111" t="s">
        <v>187</v>
      </c>
      <c r="AH73" s="112" t="s">
        <v>135</v>
      </c>
      <c r="AI73" s="127">
        <v>-37</v>
      </c>
      <c r="AJ73" s="114">
        <v>3000</v>
      </c>
      <c r="AK73" s="97">
        <f t="shared" si="20"/>
        <v>43.965000000000003</v>
      </c>
    </row>
    <row r="74" spans="1:38">
      <c r="A74" s="100">
        <v>10.5</v>
      </c>
      <c r="B74" s="100">
        <v>40</v>
      </c>
      <c r="C74" s="100">
        <v>40</v>
      </c>
      <c r="D74" s="100">
        <v>18</v>
      </c>
      <c r="E74" s="103" t="s">
        <v>141</v>
      </c>
      <c r="F74" s="100">
        <v>40</v>
      </c>
      <c r="G74" s="100">
        <v>18</v>
      </c>
      <c r="H74" s="98" t="e">
        <f>H73</f>
        <v>#REF!</v>
      </c>
      <c r="I74" s="97">
        <f t="shared" si="21"/>
        <v>355.12563356179027</v>
      </c>
      <c r="J74" s="100"/>
      <c r="K74" s="100">
        <v>240</v>
      </c>
      <c r="L74" s="98" t="e">
        <f>L73</f>
        <v>#REF!</v>
      </c>
      <c r="M74" s="97">
        <f t="shared" si="22"/>
        <v>0</v>
      </c>
      <c r="N74" s="97">
        <f t="shared" si="23"/>
        <v>355.12563356179027</v>
      </c>
      <c r="O74" s="97">
        <f t="shared" si="24"/>
        <v>7812.763938359386</v>
      </c>
      <c r="AC74" s="104">
        <f t="shared" si="19"/>
        <v>6836.1684460644628</v>
      </c>
      <c r="AD74" s="104"/>
      <c r="AE74" s="104"/>
      <c r="AF74" s="104"/>
      <c r="AG74" s="111" t="s">
        <v>188</v>
      </c>
      <c r="AH74" s="112" t="s">
        <v>135</v>
      </c>
      <c r="AI74" s="127">
        <v>-37</v>
      </c>
      <c r="AJ74" s="114">
        <v>3000</v>
      </c>
      <c r="AK74" s="97">
        <f t="shared" si="20"/>
        <v>43.965000000000003</v>
      </c>
    </row>
    <row r="75" spans="1:38">
      <c r="A75" s="100">
        <v>12.5</v>
      </c>
      <c r="B75" s="100">
        <v>40</v>
      </c>
      <c r="C75" s="100">
        <v>40</v>
      </c>
      <c r="D75" s="100">
        <v>18</v>
      </c>
      <c r="E75" s="103" t="s">
        <v>141</v>
      </c>
      <c r="F75" s="100">
        <v>0</v>
      </c>
      <c r="G75" s="100">
        <v>0</v>
      </c>
      <c r="H75" s="98" t="e">
        <f>H74</f>
        <v>#REF!</v>
      </c>
      <c r="I75" s="97">
        <f t="shared" si="21"/>
        <v>177.56281678089513</v>
      </c>
      <c r="J75" s="100"/>
      <c r="K75" s="100">
        <v>300</v>
      </c>
      <c r="L75" s="98" t="e">
        <f>L74</f>
        <v>#REF!</v>
      </c>
      <c r="M75" s="97">
        <f t="shared" si="22"/>
        <v>0</v>
      </c>
      <c r="N75" s="97">
        <f t="shared" si="23"/>
        <v>177.56281678089513</v>
      </c>
      <c r="O75" s="97">
        <f t="shared" si="24"/>
        <v>6836.1684460644628</v>
      </c>
      <c r="AC75" s="104">
        <f t="shared" si="19"/>
        <v>4804.8498220910224</v>
      </c>
      <c r="AD75" s="104"/>
      <c r="AE75" s="104"/>
      <c r="AF75" s="104"/>
      <c r="AG75" s="111" t="s">
        <v>189</v>
      </c>
      <c r="AH75" s="112" t="s">
        <v>135</v>
      </c>
      <c r="AI75" s="127">
        <v>-37.5</v>
      </c>
      <c r="AJ75" s="114">
        <v>3000</v>
      </c>
      <c r="AK75" s="97">
        <f t="shared" si="20"/>
        <v>44.465000000000003</v>
      </c>
    </row>
    <row r="76" spans="1:38">
      <c r="A76" s="100">
        <v>16</v>
      </c>
      <c r="B76" s="100">
        <v>40</v>
      </c>
      <c r="C76" s="100">
        <v>40</v>
      </c>
      <c r="D76" s="100">
        <v>18</v>
      </c>
      <c r="E76" s="103" t="s">
        <v>141</v>
      </c>
      <c r="F76" s="100">
        <v>32</v>
      </c>
      <c r="G76" s="100">
        <v>18</v>
      </c>
      <c r="H76" s="98" t="e">
        <f>#REF!</f>
        <v>#REF!</v>
      </c>
      <c r="I76" s="97">
        <f t="shared" si="21"/>
        <v>291.20301952066802</v>
      </c>
      <c r="J76" s="100"/>
      <c r="K76" s="100">
        <v>240</v>
      </c>
      <c r="L76" s="98" t="e">
        <f>MAX(#REF!,#REF!)</f>
        <v>#REF!</v>
      </c>
      <c r="M76" s="97">
        <f t="shared" si="22"/>
        <v>0</v>
      </c>
      <c r="N76" s="97">
        <f t="shared" si="23"/>
        <v>291.20301952066802</v>
      </c>
      <c r="O76" s="97">
        <f t="shared" si="24"/>
        <v>4804.8498220910224</v>
      </c>
      <c r="AC76" s="104">
        <f t="shared" si="19"/>
        <v>8125.2744958937601</v>
      </c>
      <c r="AG76" s="111" t="s">
        <v>190</v>
      </c>
      <c r="AH76" s="112" t="s">
        <v>135</v>
      </c>
      <c r="AI76" s="127">
        <v>-37.5</v>
      </c>
      <c r="AJ76" s="114">
        <v>3000</v>
      </c>
      <c r="AK76" s="97">
        <f t="shared" si="20"/>
        <v>44.465000000000003</v>
      </c>
    </row>
    <row r="77" spans="1:38">
      <c r="A77" s="100">
        <v>17.5</v>
      </c>
      <c r="B77" s="100">
        <v>40</v>
      </c>
      <c r="C77" s="100">
        <v>32</v>
      </c>
      <c r="D77" s="100">
        <v>18</v>
      </c>
      <c r="E77" s="103" t="s">
        <v>141</v>
      </c>
      <c r="F77" s="100">
        <v>0</v>
      </c>
      <c r="G77" s="100">
        <v>0</v>
      </c>
      <c r="H77" s="98" t="e">
        <f>H76</f>
        <v>#REF!</v>
      </c>
      <c r="I77" s="97">
        <f t="shared" si="21"/>
        <v>113.64020273977286</v>
      </c>
      <c r="J77" s="100"/>
      <c r="K77" s="100">
        <v>300</v>
      </c>
      <c r="L77" s="98" t="e">
        <f>L76</f>
        <v>#REF!</v>
      </c>
      <c r="M77" s="97">
        <f t="shared" si="22"/>
        <v>0</v>
      </c>
      <c r="N77" s="97">
        <f t="shared" si="23"/>
        <v>113.64020273977286</v>
      </c>
      <c r="O77" s="97">
        <f t="shared" si="24"/>
        <v>8125.2744958937601</v>
      </c>
      <c r="AC77" s="104">
        <f t="shared" si="19"/>
        <v>1250.0422301375027</v>
      </c>
      <c r="AG77" s="111" t="s">
        <v>191</v>
      </c>
      <c r="AH77" s="112" t="s">
        <v>135</v>
      </c>
      <c r="AI77" s="127">
        <v>-35</v>
      </c>
      <c r="AJ77" s="114">
        <v>3500</v>
      </c>
      <c r="AK77" s="97">
        <f t="shared" si="20"/>
        <v>42.465000000000003</v>
      </c>
    </row>
    <row r="78" spans="1:38">
      <c r="A78" s="100">
        <v>24</v>
      </c>
      <c r="B78" s="100">
        <v>40</v>
      </c>
      <c r="C78" s="100">
        <v>16</v>
      </c>
      <c r="D78" s="100">
        <v>18</v>
      </c>
      <c r="E78" s="103" t="s">
        <v>141</v>
      </c>
      <c r="F78" s="100">
        <v>32</v>
      </c>
      <c r="G78" s="100">
        <v>18</v>
      </c>
      <c r="H78" s="98" t="e">
        <f>MAX(#REF!)</f>
        <v>#REF!</v>
      </c>
      <c r="I78" s="97">
        <f t="shared" si="21"/>
        <v>142.05025342471609</v>
      </c>
      <c r="J78" s="100"/>
      <c r="K78" s="100">
        <v>300</v>
      </c>
      <c r="L78" s="98"/>
      <c r="M78" s="97">
        <f t="shared" si="22"/>
        <v>0</v>
      </c>
      <c r="N78" s="97">
        <f t="shared" si="23"/>
        <v>142.05025342471609</v>
      </c>
      <c r="O78" s="97">
        <f t="shared" si="24"/>
        <v>1250.0422301375027</v>
      </c>
      <c r="AC78">
        <f>N79*(21-A79)</f>
        <v>-107.95819260278424</v>
      </c>
      <c r="AG78" s="111" t="s">
        <v>192</v>
      </c>
      <c r="AH78" s="112" t="s">
        <v>135</v>
      </c>
      <c r="AI78" s="127">
        <v>-32.5</v>
      </c>
      <c r="AJ78" s="114">
        <v>3500</v>
      </c>
      <c r="AK78" s="97">
        <f t="shared" si="20"/>
        <v>39.965000000000003</v>
      </c>
    </row>
    <row r="79" spans="1:38" ht="15.75" thickBot="1">
      <c r="A79" s="100">
        <v>24.8</v>
      </c>
      <c r="B79" s="100">
        <v>40</v>
      </c>
      <c r="C79" s="100">
        <v>16</v>
      </c>
      <c r="D79" s="100">
        <v>18</v>
      </c>
      <c r="E79" s="103" t="s">
        <v>141</v>
      </c>
      <c r="F79" s="100">
        <v>0</v>
      </c>
      <c r="G79" s="100">
        <v>0</v>
      </c>
      <c r="H79" s="98" t="e">
        <f>H78</f>
        <v>#REF!</v>
      </c>
      <c r="I79" s="97">
        <f t="shared" si="21"/>
        <v>28.410050684943215</v>
      </c>
      <c r="J79" s="100"/>
      <c r="K79" s="100">
        <v>300</v>
      </c>
      <c r="L79" s="98"/>
      <c r="M79" s="97">
        <f t="shared" si="22"/>
        <v>0</v>
      </c>
      <c r="N79" s="97">
        <f t="shared" si="23"/>
        <v>28.410050684943215</v>
      </c>
      <c r="O79" s="97">
        <f>$Q$70*N79*(AL79-A79)</f>
        <v>5477.8839228173301</v>
      </c>
      <c r="AC79" s="99">
        <f>SUM(AC70:AC78)</f>
        <v>51518.541763202964</v>
      </c>
      <c r="AD79" s="115">
        <f>O80-AC79</f>
        <v>5585.8421154201133</v>
      </c>
      <c r="AE79" s="116"/>
      <c r="AF79" s="116"/>
      <c r="AG79" s="111" t="s">
        <v>193</v>
      </c>
      <c r="AH79" s="112" t="s">
        <v>135</v>
      </c>
      <c r="AI79" s="127">
        <v>-29.5</v>
      </c>
      <c r="AJ79" s="114">
        <v>3500</v>
      </c>
      <c r="AK79" s="97">
        <f t="shared" si="20"/>
        <v>36.965000000000003</v>
      </c>
      <c r="AL79" s="104">
        <f>AVERAGE(AK69:AK79)</f>
        <v>42.328636363636377</v>
      </c>
    </row>
    <row r="80" spans="1:38" ht="16.5" thickTop="1" thickBot="1">
      <c r="A80" s="104">
        <f>AL79</f>
        <v>42.328636363636377</v>
      </c>
      <c r="B80" t="s">
        <v>216</v>
      </c>
      <c r="O80" s="99">
        <f>SUM(O71:O79)</f>
        <v>57104.383878623077</v>
      </c>
      <c r="P80" s="89" t="s">
        <v>148</v>
      </c>
      <c r="Q80" s="102">
        <f>O80/$AD$9/Q70</f>
        <v>1.0200274934343436</v>
      </c>
      <c r="R80" t="s">
        <v>121</v>
      </c>
    </row>
    <row r="81" spans="1:38" ht="15.75" thickTop="1">
      <c r="AG81" s="146" t="s">
        <v>194</v>
      </c>
      <c r="AH81" s="146"/>
      <c r="AI81" s="146"/>
      <c r="AJ81" s="146"/>
      <c r="AK81" s="146"/>
    </row>
    <row r="82" spans="1:38" ht="18.75">
      <c r="A82" s="1" t="s">
        <v>195</v>
      </c>
      <c r="AG82" s="3" t="s">
        <v>17</v>
      </c>
      <c r="AH82" s="3" t="s">
        <v>128</v>
      </c>
      <c r="AI82" s="3" t="s">
        <v>129</v>
      </c>
      <c r="AJ82" s="3" t="s">
        <v>130</v>
      </c>
      <c r="AK82" s="3" t="s">
        <v>131</v>
      </c>
    </row>
    <row r="83" spans="1:38">
      <c r="AG83" s="111" t="s">
        <v>196</v>
      </c>
      <c r="AH83" s="112" t="s">
        <v>154</v>
      </c>
      <c r="AI83" s="127">
        <v>-34.5</v>
      </c>
      <c r="AJ83" s="114">
        <v>3500</v>
      </c>
      <c r="AK83" s="97">
        <f t="shared" ref="AK83:AK93" si="25">AH83-AI83+AJ83/1000</f>
        <v>41.765000000000001</v>
      </c>
    </row>
    <row r="84" spans="1:38">
      <c r="A84" s="144" t="s">
        <v>151</v>
      </c>
      <c r="B84" s="145" t="s">
        <v>132</v>
      </c>
      <c r="C84" s="146" t="s">
        <v>133</v>
      </c>
      <c r="D84" s="146"/>
      <c r="E84" s="146"/>
      <c r="F84" s="146"/>
      <c r="G84" s="146"/>
      <c r="H84" s="146"/>
      <c r="I84" s="146"/>
      <c r="J84" s="146" t="s">
        <v>72</v>
      </c>
      <c r="K84" s="146"/>
      <c r="L84" s="146"/>
      <c r="M84" s="146"/>
      <c r="N84" s="145" t="s">
        <v>109</v>
      </c>
      <c r="O84" s="145" t="s">
        <v>110</v>
      </c>
      <c r="Q84" t="s">
        <v>197</v>
      </c>
      <c r="AG84" s="111" t="s">
        <v>198</v>
      </c>
      <c r="AH84" s="112" t="s">
        <v>154</v>
      </c>
      <c r="AI84" s="127">
        <v>-35</v>
      </c>
      <c r="AJ84" s="114">
        <v>3500</v>
      </c>
      <c r="AK84" s="97">
        <f t="shared" si="25"/>
        <v>42.265000000000001</v>
      </c>
    </row>
    <row r="85" spans="1:38">
      <c r="A85" s="144"/>
      <c r="B85" s="145"/>
      <c r="C85" s="3" t="s">
        <v>136</v>
      </c>
      <c r="D85" s="3" t="s">
        <v>137</v>
      </c>
      <c r="F85" s="3" t="s">
        <v>136</v>
      </c>
      <c r="G85" s="3" t="s">
        <v>137</v>
      </c>
      <c r="H85" s="3" t="s">
        <v>138</v>
      </c>
      <c r="I85" s="3" t="s">
        <v>109</v>
      </c>
      <c r="J85" s="3" t="s">
        <v>136</v>
      </c>
      <c r="K85" s="3" t="s">
        <v>139</v>
      </c>
      <c r="L85" s="3" t="s">
        <v>138</v>
      </c>
      <c r="M85" s="3" t="s">
        <v>109</v>
      </c>
      <c r="N85" s="145"/>
      <c r="O85" s="145"/>
      <c r="Q85" s="5">
        <v>11</v>
      </c>
      <c r="AC85" s="104" t="e">
        <f>O86</f>
        <v>#REF!</v>
      </c>
      <c r="AG85" s="111" t="s">
        <v>199</v>
      </c>
      <c r="AH85" s="112" t="s">
        <v>154</v>
      </c>
      <c r="AI85" s="127">
        <v>-36</v>
      </c>
      <c r="AJ85" s="114">
        <v>3500</v>
      </c>
      <c r="AK85" s="97">
        <f t="shared" si="25"/>
        <v>43.265000000000001</v>
      </c>
    </row>
    <row r="86" spans="1:38">
      <c r="A86" s="100">
        <v>0</v>
      </c>
      <c r="B86" s="100">
        <v>40</v>
      </c>
      <c r="C86" s="100">
        <v>32</v>
      </c>
      <c r="D86" s="100" t="e">
        <f>#REF!</f>
        <v>#REF!</v>
      </c>
      <c r="E86" s="103" t="s">
        <v>141</v>
      </c>
      <c r="F86" s="100">
        <v>0</v>
      </c>
      <c r="G86" s="100">
        <v>0</v>
      </c>
      <c r="H86" s="98" t="e">
        <f>#REF!</f>
        <v>#REF!</v>
      </c>
      <c r="I86" s="97" t="e">
        <f>$C$13*((D86*PI()*((C86/1000)^2)/4)+(G86*PI()*((F86/1000)^2)/4))</f>
        <v>#REF!</v>
      </c>
      <c r="J86" s="100"/>
      <c r="K86" s="100">
        <v>300</v>
      </c>
      <c r="L86" s="98" t="e">
        <f>MAX(#REF!,#REF!)</f>
        <v>#REF!</v>
      </c>
      <c r="M86" s="97">
        <f>$C$13*$AM$5*PI()*((J86/1000)^2)/4*1000/K86</f>
        <v>0</v>
      </c>
      <c r="N86" s="97" t="e">
        <f>I86+M86</f>
        <v>#REF!</v>
      </c>
      <c r="O86" s="97" t="e">
        <f>$Q$85*N86*(A87-A86)</f>
        <v>#REF!</v>
      </c>
      <c r="AC86" s="104">
        <f>O87</f>
        <v>29188.608148147207</v>
      </c>
      <c r="AG86" s="111" t="s">
        <v>200</v>
      </c>
      <c r="AH86" s="112" t="s">
        <v>154</v>
      </c>
      <c r="AI86" s="127">
        <v>-36.5</v>
      </c>
      <c r="AJ86" s="114">
        <v>3500</v>
      </c>
      <c r="AK86" s="97">
        <f t="shared" si="25"/>
        <v>43.765000000000001</v>
      </c>
    </row>
    <row r="87" spans="1:38">
      <c r="A87" s="100">
        <v>12.25</v>
      </c>
      <c r="B87" s="100">
        <v>40</v>
      </c>
      <c r="C87" s="100">
        <v>32</v>
      </c>
      <c r="D87" s="100">
        <v>18</v>
      </c>
      <c r="E87" s="103" t="s">
        <v>141</v>
      </c>
      <c r="F87" s="100">
        <v>25</v>
      </c>
      <c r="G87" s="100">
        <v>18</v>
      </c>
      <c r="H87" s="98" t="e">
        <f>#REF!</f>
        <v>#REF!</v>
      </c>
      <c r="I87" s="97">
        <f>$C$13*((D87*PI()*((C87/1000)^2)/4)+(G87*PI()*((F87/1000)^2)/4))</f>
        <v>183.00067804481006</v>
      </c>
      <c r="J87" s="100"/>
      <c r="K87" s="100">
        <v>300</v>
      </c>
      <c r="L87" s="98" t="e">
        <f>MAX(#REF!,#REF!)</f>
        <v>#REF!</v>
      </c>
      <c r="M87" s="97">
        <f>$C$13*$AM$5*PI()*((J87/1000)^2)/4*1000/K87</f>
        <v>0</v>
      </c>
      <c r="N87" s="97">
        <f>I87+M87</f>
        <v>183.00067804481006</v>
      </c>
      <c r="O87" s="97">
        <f>$Q$85*N87*(A88-A87)</f>
        <v>29188.608148147207</v>
      </c>
      <c r="AC87">
        <f>N88*(30-A88)</f>
        <v>369.33065890426178</v>
      </c>
      <c r="AG87" s="111" t="s">
        <v>201</v>
      </c>
      <c r="AH87" s="112" t="s">
        <v>154</v>
      </c>
      <c r="AI87" s="127">
        <v>-37.5</v>
      </c>
      <c r="AJ87" s="114">
        <v>3500</v>
      </c>
      <c r="AK87" s="97">
        <f t="shared" si="25"/>
        <v>44.765000000000001</v>
      </c>
    </row>
    <row r="88" spans="1:38">
      <c r="A88" s="100">
        <v>26.75</v>
      </c>
      <c r="B88" s="100">
        <v>40</v>
      </c>
      <c r="C88" s="100">
        <v>32</v>
      </c>
      <c r="D88" s="100">
        <v>18</v>
      </c>
      <c r="E88" s="103" t="s">
        <v>141</v>
      </c>
      <c r="F88" s="100">
        <v>0</v>
      </c>
      <c r="G88" s="100">
        <v>0</v>
      </c>
      <c r="H88" s="98" t="e">
        <f>#REF!</f>
        <v>#REF!</v>
      </c>
      <c r="I88" s="97">
        <f>$C$13*((D88*PI()*((C88/1000)^2)/4)+(G88*PI()*((F88/1000)^2)/4))</f>
        <v>113.64020273977286</v>
      </c>
      <c r="J88" s="100"/>
      <c r="K88" s="100">
        <v>300</v>
      </c>
      <c r="L88" s="98"/>
      <c r="M88" s="97">
        <f>$C$13*$AM$5*PI()*((J88/1000)^2)/4*1000/K88</f>
        <v>0</v>
      </c>
      <c r="N88" s="97">
        <f>I88+M88</f>
        <v>113.64020273977286</v>
      </c>
      <c r="O88" s="97">
        <f>$Q$85*N88*(A89-A88)</f>
        <v>9062.8061684968852</v>
      </c>
      <c r="AC88">
        <f>N89*(30-A89)</f>
        <v>-277.44190122014868</v>
      </c>
      <c r="AG88" s="111" t="s">
        <v>202</v>
      </c>
      <c r="AH88" s="112" t="s">
        <v>154</v>
      </c>
      <c r="AI88" s="127">
        <v>-37</v>
      </c>
      <c r="AJ88" s="114">
        <v>3500</v>
      </c>
      <c r="AK88" s="97">
        <f t="shared" si="25"/>
        <v>44.265000000000001</v>
      </c>
    </row>
    <row r="89" spans="1:38" ht="15.75" thickBot="1">
      <c r="A89" s="100">
        <v>34</v>
      </c>
      <c r="B89" s="100">
        <v>40</v>
      </c>
      <c r="C89" s="100">
        <v>25</v>
      </c>
      <c r="D89" s="100">
        <v>18</v>
      </c>
      <c r="E89" s="103" t="s">
        <v>141</v>
      </c>
      <c r="F89" s="100">
        <v>0</v>
      </c>
      <c r="G89" s="100">
        <v>0</v>
      </c>
      <c r="H89" s="98" t="e">
        <f>MAX(#REF!)</f>
        <v>#REF!</v>
      </c>
      <c r="I89" s="97">
        <f>$C$13*((D89*PI()*((C89/1000)^2)/4)+(G89*PI()*((F89/1000)^2)/4))</f>
        <v>69.36047530503717</v>
      </c>
      <c r="J89" s="100"/>
      <c r="K89" s="100">
        <v>300</v>
      </c>
      <c r="L89" s="98"/>
      <c r="M89" s="97">
        <f>$C$13*$AM$5*PI()*((J89/1000)^2)/4*1000/K89</f>
        <v>0</v>
      </c>
      <c r="N89" s="97">
        <f>I89+M89</f>
        <v>69.36047530503717</v>
      </c>
      <c r="O89" s="97">
        <f>$Q$85*N89*($AL$93-A89)</f>
        <v>6548.6692759250755</v>
      </c>
      <c r="AC89" s="99" t="e">
        <f>SUM(AC85:AC88)</f>
        <v>#REF!</v>
      </c>
      <c r="AD89" s="115" t="e">
        <f>O90-AC89</f>
        <v>#REF!</v>
      </c>
      <c r="AG89" s="111" t="s">
        <v>203</v>
      </c>
      <c r="AH89" s="112" t="s">
        <v>154</v>
      </c>
      <c r="AI89" s="127">
        <v>-37</v>
      </c>
      <c r="AJ89" s="114">
        <v>3500</v>
      </c>
      <c r="AK89" s="97">
        <f t="shared" si="25"/>
        <v>44.265000000000001</v>
      </c>
    </row>
    <row r="90" spans="1:38" ht="16.5" thickTop="1" thickBot="1">
      <c r="A90" s="104">
        <f>AL93</f>
        <v>42.583181818181806</v>
      </c>
      <c r="B90" t="s">
        <v>216</v>
      </c>
      <c r="O90" s="99" t="e">
        <f>SUM(O86:O89)</f>
        <v>#REF!</v>
      </c>
      <c r="P90" s="89" t="s">
        <v>148</v>
      </c>
      <c r="Q90" s="102" t="e">
        <f>O90/$AI$8/Q85</f>
        <v>#REF!</v>
      </c>
      <c r="R90" t="s">
        <v>121</v>
      </c>
      <c r="AG90" s="111" t="s">
        <v>204</v>
      </c>
      <c r="AH90" s="112" t="s">
        <v>154</v>
      </c>
      <c r="AI90" s="127">
        <v>-36</v>
      </c>
      <c r="AJ90" s="114">
        <v>3500</v>
      </c>
      <c r="AK90" s="97">
        <f t="shared" si="25"/>
        <v>43.265000000000001</v>
      </c>
    </row>
    <row r="91" spans="1:38" ht="15.75" thickTop="1">
      <c r="AG91" s="111" t="s">
        <v>205</v>
      </c>
      <c r="AH91" s="112" t="s">
        <v>154</v>
      </c>
      <c r="AI91" s="127">
        <v>-35</v>
      </c>
      <c r="AJ91" s="114">
        <v>3500</v>
      </c>
      <c r="AK91" s="97">
        <f t="shared" si="25"/>
        <v>42.265000000000001</v>
      </c>
    </row>
    <row r="92" spans="1:38">
      <c r="AG92" s="111" t="s">
        <v>206</v>
      </c>
      <c r="AH92" s="112" t="s">
        <v>154</v>
      </c>
      <c r="AI92" s="127">
        <v>-32.5</v>
      </c>
      <c r="AJ92" s="114">
        <v>4000</v>
      </c>
      <c r="AK92" s="97">
        <f t="shared" si="25"/>
        <v>40.265000000000001</v>
      </c>
    </row>
    <row r="93" spans="1:38">
      <c r="AG93" s="111" t="s">
        <v>207</v>
      </c>
      <c r="AH93" s="112" t="s">
        <v>154</v>
      </c>
      <c r="AI93" s="127">
        <v>-30.5</v>
      </c>
      <c r="AJ93" s="114">
        <v>4000</v>
      </c>
      <c r="AK93" s="97">
        <f t="shared" si="25"/>
        <v>38.265000000000001</v>
      </c>
      <c r="AL93" s="104">
        <f>AVERAGE(AK83:AK93)</f>
        <v>42.583181818181806</v>
      </c>
    </row>
  </sheetData>
  <mergeCells count="55">
    <mergeCell ref="AG81:AK81"/>
    <mergeCell ref="A84:A85"/>
    <mergeCell ref="B84:B85"/>
    <mergeCell ref="C84:I84"/>
    <mergeCell ref="J84:M84"/>
    <mergeCell ref="N84:N85"/>
    <mergeCell ref="O84:O85"/>
    <mergeCell ref="AG67:AK67"/>
    <mergeCell ref="A69:A70"/>
    <mergeCell ref="B69:B70"/>
    <mergeCell ref="C69:I69"/>
    <mergeCell ref="J69:M69"/>
    <mergeCell ref="N69:N70"/>
    <mergeCell ref="O69:O70"/>
    <mergeCell ref="AG56:AK56"/>
    <mergeCell ref="A59:A60"/>
    <mergeCell ref="B59:B60"/>
    <mergeCell ref="C59:I59"/>
    <mergeCell ref="J59:M59"/>
    <mergeCell ref="N59:N60"/>
    <mergeCell ref="O59:O60"/>
    <mergeCell ref="AG43:AK43"/>
    <mergeCell ref="A44:A45"/>
    <mergeCell ref="B44:B45"/>
    <mergeCell ref="C44:I44"/>
    <mergeCell ref="J44:M44"/>
    <mergeCell ref="N44:N45"/>
    <mergeCell ref="O44:O45"/>
    <mergeCell ref="AF28:AJ28"/>
    <mergeCell ref="A30:A31"/>
    <mergeCell ref="B30:B31"/>
    <mergeCell ref="C30:I30"/>
    <mergeCell ref="J30:M30"/>
    <mergeCell ref="N30:N31"/>
    <mergeCell ref="O30:O31"/>
    <mergeCell ref="W30:X30"/>
    <mergeCell ref="AF16:AJ16"/>
    <mergeCell ref="A18:A19"/>
    <mergeCell ref="B18:B19"/>
    <mergeCell ref="C18:I18"/>
    <mergeCell ref="J18:M18"/>
    <mergeCell ref="N18:N19"/>
    <mergeCell ref="O18:O19"/>
    <mergeCell ref="W17:X17"/>
    <mergeCell ref="AH4:AH5"/>
    <mergeCell ref="AI4:AI5"/>
    <mergeCell ref="AB10:AC10"/>
    <mergeCell ref="AD10:AE10"/>
    <mergeCell ref="AF10:AG10"/>
    <mergeCell ref="AG4:AG5"/>
    <mergeCell ref="AA4:AA5"/>
    <mergeCell ref="AB4:AB5"/>
    <mergeCell ref="AC4:AC5"/>
    <mergeCell ref="AD4:AD5"/>
    <mergeCell ref="AF4:AF5"/>
  </mergeCells>
  <conditionalFormatting sqref="H20 L20 H32 L32 L22 H22:H25 H46:H51 L46:L54 H61:H64 H71:H79 L61:L64 L71:L79">
    <cfRule type="cellIs" dxfId="97" priority="27" operator="between">
      <formula>0</formula>
      <formula>1</formula>
    </cfRule>
    <cfRule type="cellIs" dxfId="96" priority="28" operator="greaterThan">
      <formula>1</formula>
    </cfRule>
  </conditionalFormatting>
  <conditionalFormatting sqref="H52:H54">
    <cfRule type="cellIs" dxfId="95" priority="25" operator="between">
      <formula>0</formula>
      <formula>1</formula>
    </cfRule>
    <cfRule type="cellIs" dxfId="94" priority="26" operator="greaterThan">
      <formula>1</formula>
    </cfRule>
  </conditionalFormatting>
  <conditionalFormatting sqref="H21">
    <cfRule type="cellIs" dxfId="93" priority="23" operator="between">
      <formula>0</formula>
      <formula>1</formula>
    </cfRule>
    <cfRule type="cellIs" dxfId="92" priority="24" operator="greaterThan">
      <formula>1</formula>
    </cfRule>
  </conditionalFormatting>
  <conditionalFormatting sqref="H86:H89 L86:L88">
    <cfRule type="cellIs" dxfId="91" priority="21" operator="between">
      <formula>0</formula>
      <formula>1</formula>
    </cfRule>
    <cfRule type="cellIs" dxfId="90" priority="22" operator="greaterThan">
      <formula>1</formula>
    </cfRule>
  </conditionalFormatting>
  <conditionalFormatting sqref="L89">
    <cfRule type="cellIs" dxfId="89" priority="19" operator="between">
      <formula>0</formula>
      <formula>1</formula>
    </cfRule>
    <cfRule type="cellIs" dxfId="88" priority="20" operator="greaterThan">
      <formula>1</formula>
    </cfRule>
  </conditionalFormatting>
  <conditionalFormatting sqref="L21">
    <cfRule type="cellIs" dxfId="87" priority="17" operator="between">
      <formula>0</formula>
      <formula>1</formula>
    </cfRule>
    <cfRule type="cellIs" dxfId="86" priority="18" operator="greaterThan">
      <formula>1</formula>
    </cfRule>
  </conditionalFormatting>
  <conditionalFormatting sqref="L23:L24">
    <cfRule type="cellIs" dxfId="85" priority="15" operator="between">
      <formula>0</formula>
      <formula>1</formula>
    </cfRule>
    <cfRule type="cellIs" dxfId="84" priority="16" operator="greaterThan">
      <formula>1</formula>
    </cfRule>
  </conditionalFormatting>
  <conditionalFormatting sqref="H39">
    <cfRule type="cellIs" dxfId="83" priority="3" operator="between">
      <formula>0</formula>
      <formula>1</formula>
    </cfRule>
    <cfRule type="cellIs" dxfId="82" priority="4" operator="greaterThan">
      <formula>1</formula>
    </cfRule>
  </conditionalFormatting>
  <conditionalFormatting sqref="L25">
    <cfRule type="cellIs" dxfId="81" priority="13" operator="between">
      <formula>0</formula>
      <formula>1</formula>
    </cfRule>
    <cfRule type="cellIs" dxfId="80" priority="14" operator="greaterThan">
      <formula>1</formula>
    </cfRule>
  </conditionalFormatting>
  <conditionalFormatting sqref="L33:L34">
    <cfRule type="cellIs" dxfId="79" priority="11" operator="between">
      <formula>0</formula>
      <formula>1</formula>
    </cfRule>
    <cfRule type="cellIs" dxfId="78" priority="12" operator="greaterThan">
      <formula>1</formula>
    </cfRule>
  </conditionalFormatting>
  <conditionalFormatting sqref="L35">
    <cfRule type="cellIs" dxfId="77" priority="9" operator="between">
      <formula>0</formula>
      <formula>1</formula>
    </cfRule>
    <cfRule type="cellIs" dxfId="76" priority="10" operator="greaterThan">
      <formula>1</formula>
    </cfRule>
  </conditionalFormatting>
  <conditionalFormatting sqref="L36:L39">
    <cfRule type="cellIs" dxfId="75" priority="7" operator="between">
      <formula>0</formula>
      <formula>1</formula>
    </cfRule>
    <cfRule type="cellIs" dxfId="74" priority="8" operator="greaterThan">
      <formula>1</formula>
    </cfRule>
  </conditionalFormatting>
  <conditionalFormatting sqref="H38">
    <cfRule type="cellIs" dxfId="73" priority="5" operator="between">
      <formula>0</formula>
      <formula>1</formula>
    </cfRule>
    <cfRule type="cellIs" dxfId="72" priority="6" operator="greaterThan">
      <formula>1</formula>
    </cfRule>
  </conditionalFormatting>
  <conditionalFormatting sqref="H33:H37">
    <cfRule type="cellIs" dxfId="71" priority="1" operator="between">
      <formula>0</formula>
      <formula>1</formula>
    </cfRule>
    <cfRule type="cellIs" dxfId="70" priority="2" operator="greaterThan">
      <formula>1</formula>
    </cfRule>
  </conditionalFormatting>
  <pageMargins left="0.7" right="0.7" top="0.75" bottom="0.75" header="0.3" footer="0.3"/>
  <pageSetup paperSize="9" scale="56" orientation="portrait" r:id="rId1"/>
  <rowBreaks count="1" manualBreakCount="1">
    <brk id="55" max="16383" man="1"/>
  </rowBreaks>
  <colBreaks count="1" manualBreakCount="1">
    <brk id="20" max="1048575" man="1"/>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3">
    <tabColor rgb="FFFF0000"/>
  </sheetPr>
  <dimension ref="A1:AL107"/>
  <sheetViews>
    <sheetView zoomScale="85" zoomScaleNormal="85" workbookViewId="0">
      <selection activeCell="AK25" sqref="AK25"/>
    </sheetView>
  </sheetViews>
  <sheetFormatPr defaultColWidth="8.85546875"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bestFit="1" customWidth="1"/>
    <col min="9" max="9" width="14.42578125" customWidth="1"/>
    <col min="10" max="10" width="13.85546875" customWidth="1"/>
    <col min="11" max="11" width="12" customWidth="1"/>
    <col min="12" max="12" width="11" customWidth="1"/>
    <col min="14" max="14" width="13.42578125" customWidth="1"/>
    <col min="15" max="15" width="12.42578125" customWidth="1"/>
    <col min="16" max="16" width="11.42578125" customWidth="1"/>
    <col min="17" max="17" width="10" customWidth="1"/>
    <col min="21" max="21" width="9.5703125" customWidth="1"/>
  </cols>
  <sheetData>
    <row r="1" spans="1:36" ht="36">
      <c r="A1" s="132" t="s">
        <v>217</v>
      </c>
    </row>
    <row r="3" spans="1:36" ht="18.75">
      <c r="A3" s="1" t="s">
        <v>104</v>
      </c>
    </row>
    <row r="4" spans="1:36" ht="18.75">
      <c r="A4" s="1" t="s">
        <v>105</v>
      </c>
      <c r="F4" s="1" t="s">
        <v>106</v>
      </c>
    </row>
    <row r="6" spans="1:36">
      <c r="A6" s="144" t="s">
        <v>107</v>
      </c>
      <c r="B6" s="145" t="s">
        <v>108</v>
      </c>
      <c r="C6" s="145" t="s">
        <v>109</v>
      </c>
      <c r="D6" s="145" t="s">
        <v>110</v>
      </c>
      <c r="F6" s="144" t="s">
        <v>107</v>
      </c>
      <c r="G6" s="145" t="s">
        <v>108</v>
      </c>
      <c r="H6" s="145" t="s">
        <v>109</v>
      </c>
      <c r="I6" s="145" t="s">
        <v>110</v>
      </c>
    </row>
    <row r="7" spans="1:36">
      <c r="A7" s="144"/>
      <c r="B7" s="145"/>
      <c r="C7" s="145"/>
      <c r="D7" s="145"/>
      <c r="F7" s="144"/>
      <c r="G7" s="145"/>
      <c r="H7" s="145"/>
      <c r="I7" s="145"/>
    </row>
    <row r="8" spans="1:36">
      <c r="A8" s="100">
        <v>0</v>
      </c>
      <c r="B8" s="101">
        <v>360</v>
      </c>
      <c r="C8" s="97">
        <f>B8*(PI()*1.2^2/4)</f>
        <v>407.15040790523722</v>
      </c>
      <c r="D8" s="97">
        <f>C8*(A9-A8)</f>
        <v>2035.7520395261861</v>
      </c>
      <c r="F8" s="100">
        <v>0</v>
      </c>
      <c r="G8" s="101">
        <v>180</v>
      </c>
      <c r="H8" s="97">
        <f>G8*(PI()*1.2^2/4)</f>
        <v>203.57520395261861</v>
      </c>
      <c r="I8" s="97">
        <f>H8*(F9-F8)</f>
        <v>5089.3800988154653</v>
      </c>
      <c r="M8" s="96"/>
    </row>
    <row r="9" spans="1:36">
      <c r="A9" s="100">
        <v>5</v>
      </c>
      <c r="B9" s="101">
        <v>180</v>
      </c>
      <c r="C9" s="97">
        <f>B9*(PI()*1.2^2/4)</f>
        <v>203.57520395261861</v>
      </c>
      <c r="D9" s="97">
        <f>C9*(A10-A9)</f>
        <v>3053.628059289279</v>
      </c>
      <c r="F9" s="100">
        <v>25</v>
      </c>
      <c r="G9" s="101">
        <v>0</v>
      </c>
      <c r="H9" s="97">
        <f>G9*(PI()*1.2^2/4)</f>
        <v>0</v>
      </c>
      <c r="I9" s="97">
        <f>H9*(F10-F9)</f>
        <v>0</v>
      </c>
    </row>
    <row r="10" spans="1:36" ht="15.75" thickBot="1">
      <c r="A10" s="100">
        <v>20</v>
      </c>
      <c r="B10" s="100">
        <v>0</v>
      </c>
      <c r="C10" s="97">
        <f>B10*(PI()*1.2^2/4)</f>
        <v>0</v>
      </c>
      <c r="D10" s="97">
        <f>C10*($C$15-A10)</f>
        <v>0</v>
      </c>
      <c r="I10" s="99">
        <f>SUM(I8:I9)</f>
        <v>5089.3800988154653</v>
      </c>
      <c r="J10" t="s">
        <v>111</v>
      </c>
      <c r="P10" s="96"/>
    </row>
    <row r="11" spans="1:36" ht="16.5" thickTop="1" thickBot="1">
      <c r="D11" s="99">
        <f>SUM(D8:D10)</f>
        <v>5089.3800988154653</v>
      </c>
      <c r="E11" t="s">
        <v>111</v>
      </c>
    </row>
    <row r="12" spans="1:36" ht="15.75" thickTop="1">
      <c r="G12" s="146" t="s">
        <v>112</v>
      </c>
      <c r="H12" s="146"/>
      <c r="I12" s="146"/>
      <c r="J12" s="146" t="s">
        <v>113</v>
      </c>
      <c r="K12" s="146"/>
      <c r="L12" s="146"/>
      <c r="M12" s="146" t="s">
        <v>218</v>
      </c>
      <c r="N12" s="146"/>
      <c r="O12" s="146"/>
    </row>
    <row r="13" spans="1:36">
      <c r="A13" t="s">
        <v>115</v>
      </c>
      <c r="C13" s="5">
        <v>7850</v>
      </c>
      <c r="D13" t="s">
        <v>116</v>
      </c>
      <c r="G13" s="3" t="s">
        <v>219</v>
      </c>
      <c r="H13" s="3" t="s">
        <v>220</v>
      </c>
      <c r="I13" s="3" t="s">
        <v>221</v>
      </c>
      <c r="J13" s="3" t="s">
        <v>219</v>
      </c>
      <c r="K13" s="3" t="s">
        <v>220</v>
      </c>
      <c r="L13" s="3" t="s">
        <v>221</v>
      </c>
      <c r="M13" s="3" t="s">
        <v>219</v>
      </c>
      <c r="N13" s="3" t="s">
        <v>220</v>
      </c>
      <c r="O13" s="3" t="s">
        <v>221</v>
      </c>
    </row>
    <row r="14" spans="1:36">
      <c r="A14" t="s">
        <v>119</v>
      </c>
      <c r="C14" s="5">
        <v>1.2</v>
      </c>
      <c r="D14" t="s">
        <v>4</v>
      </c>
      <c r="F14" s="3" t="s">
        <v>117</v>
      </c>
      <c r="G14" s="128">
        <f>25*I10</f>
        <v>127234.50247038664</v>
      </c>
      <c r="H14" s="129" t="s">
        <v>118</v>
      </c>
      <c r="I14" s="130" t="s">
        <v>118</v>
      </c>
      <c r="J14" s="128">
        <f>25*D11</f>
        <v>127234.50247038664</v>
      </c>
      <c r="K14" s="130" t="s">
        <v>118</v>
      </c>
      <c r="L14" s="130" t="s">
        <v>118</v>
      </c>
      <c r="M14" s="128">
        <f>25*D11+25*I10</f>
        <v>254469.00494077327</v>
      </c>
      <c r="N14" s="130" t="s">
        <v>118</v>
      </c>
      <c r="O14" s="130" t="s">
        <v>118</v>
      </c>
      <c r="P14" s="96"/>
      <c r="Q14" s="96"/>
      <c r="R14" s="96"/>
    </row>
    <row r="15" spans="1:36">
      <c r="A15" t="s">
        <v>122</v>
      </c>
      <c r="C15">
        <f>AJ16</f>
        <v>37.571521739130453</v>
      </c>
      <c r="D15" t="s">
        <v>4</v>
      </c>
      <c r="F15" s="3" t="s">
        <v>222</v>
      </c>
      <c r="G15" s="105" t="e">
        <f>'ss_ IFIR Summary (03.07)'!G12</f>
        <v>#REF!</v>
      </c>
      <c r="H15" s="107" t="e">
        <f>G15/G14</f>
        <v>#REF!</v>
      </c>
      <c r="I15" s="130" t="s">
        <v>118</v>
      </c>
      <c r="J15" s="105" t="e">
        <f>'ss_ IFIR Summary (03.07)'!I12</f>
        <v>#REF!</v>
      </c>
      <c r="K15" s="107" t="e">
        <f>J15/J14</f>
        <v>#REF!</v>
      </c>
      <c r="L15" s="130" t="s">
        <v>118</v>
      </c>
      <c r="M15" s="105" t="e">
        <f>'ss_ IFIR Summary (03.07)'!K12</f>
        <v>#REF!</v>
      </c>
      <c r="N15" s="107" t="e">
        <f>M15/M14</f>
        <v>#REF!</v>
      </c>
      <c r="O15" s="130" t="s">
        <v>118</v>
      </c>
      <c r="R15" s="117"/>
    </row>
    <row r="16" spans="1:36">
      <c r="A16" t="s">
        <v>123</v>
      </c>
      <c r="C16" s="121">
        <f>PI()*(C14-2*(0.085+0.016/2))+0.47</f>
        <v>3.6555749507400499</v>
      </c>
      <c r="D16" t="s">
        <v>4</v>
      </c>
      <c r="F16" s="3" t="s">
        <v>120</v>
      </c>
      <c r="G16" s="105" t="e">
        <f>Q42+O72+O104</f>
        <v>#REF!</v>
      </c>
      <c r="H16" s="107" t="e">
        <f>G16/G14</f>
        <v>#REF!</v>
      </c>
      <c r="I16" s="107" t="e">
        <f>G16/G15</f>
        <v>#REF!</v>
      </c>
      <c r="J16" s="105" t="e">
        <f>Q28+O57+O87</f>
        <v>#REF!</v>
      </c>
      <c r="K16" s="107" t="e">
        <f>J16/J14</f>
        <v>#REF!</v>
      </c>
      <c r="L16" s="107" t="e">
        <f>J16/J15</f>
        <v>#REF!</v>
      </c>
      <c r="M16" s="105" t="e">
        <f>Q28+Q42+O57+O72+O87+O104</f>
        <v>#REF!</v>
      </c>
      <c r="N16" s="107" t="e">
        <f>M16/M14</f>
        <v>#REF!</v>
      </c>
      <c r="O16" s="107" t="e">
        <f>M16/M15</f>
        <v>#REF!</v>
      </c>
      <c r="R16" s="117"/>
      <c r="AH16" t="s">
        <v>124</v>
      </c>
      <c r="AJ16" s="104">
        <f>AVERAGE(AJ20:AJ27,AJ32:AJ39,AK47:AK50,AK60:AK63,AK75:AK85,AK91:AK101)</f>
        <v>37.571521739130453</v>
      </c>
    </row>
    <row r="17" spans="1:37" ht="14.1" customHeight="1">
      <c r="G17" s="119"/>
      <c r="J17" s="119"/>
      <c r="M17" s="119"/>
    </row>
    <row r="18" spans="1:37" ht="18" customHeight="1">
      <c r="A18" s="1" t="s">
        <v>125</v>
      </c>
      <c r="P18" s="146" t="s">
        <v>126</v>
      </c>
      <c r="Q18" s="146"/>
      <c r="T18" t="s">
        <v>197</v>
      </c>
      <c r="AF18" s="146" t="s">
        <v>127</v>
      </c>
      <c r="AG18" s="146"/>
      <c r="AH18" s="146"/>
      <c r="AI18" s="146"/>
      <c r="AJ18" s="146"/>
    </row>
    <row r="19" spans="1:37">
      <c r="P19" s="3" t="s">
        <v>17</v>
      </c>
      <c r="Q19" s="3" t="s">
        <v>110</v>
      </c>
      <c r="T19" s="5">
        <v>8</v>
      </c>
      <c r="AF19" s="3" t="s">
        <v>17</v>
      </c>
      <c r="AG19" s="3" t="s">
        <v>128</v>
      </c>
      <c r="AH19" s="3" t="s">
        <v>129</v>
      </c>
      <c r="AI19" s="3" t="s">
        <v>130</v>
      </c>
      <c r="AJ19" s="3" t="s">
        <v>131</v>
      </c>
    </row>
    <row r="20" spans="1:37">
      <c r="A20" s="144" t="s">
        <v>107</v>
      </c>
      <c r="B20" s="145" t="s">
        <v>132</v>
      </c>
      <c r="C20" s="146" t="s">
        <v>133</v>
      </c>
      <c r="D20" s="146"/>
      <c r="E20" s="146"/>
      <c r="F20" s="146"/>
      <c r="G20" s="146"/>
      <c r="H20" s="146"/>
      <c r="I20" s="146"/>
      <c r="J20" s="146" t="s">
        <v>72</v>
      </c>
      <c r="K20" s="146"/>
      <c r="L20" s="146"/>
      <c r="M20" s="146"/>
      <c r="N20" s="145" t="s">
        <v>109</v>
      </c>
      <c r="O20" s="145" t="s">
        <v>110</v>
      </c>
      <c r="P20" s="111" t="s">
        <v>134</v>
      </c>
      <c r="Q20" s="3" t="e">
        <f>IF($A$25&gt;AJ20,$N$24*(AJ20-$A$24)+SUM($O$22:$O$23),IF($A$26&gt;AJ20,$N$25*(AJ20-$A$25)+SUM($O$22:$O$24),IF($A$27&gt;AJ20,$N$26*(AJ20-$A$26)+SUM($O$22:$O$25),$N$26*($A$27-$A$26)+SUM($O$22:$O$25))))</f>
        <v>#REF!</v>
      </c>
      <c r="AF20" s="111" t="s">
        <v>134</v>
      </c>
      <c r="AG20" s="112" t="s">
        <v>135</v>
      </c>
      <c r="AH20" s="127">
        <v>-35.5</v>
      </c>
      <c r="AI20" s="114">
        <v>500</v>
      </c>
      <c r="AJ20" s="97">
        <f>AG20-AH20+AI20/1000</f>
        <v>39.965000000000003</v>
      </c>
    </row>
    <row r="21" spans="1:37">
      <c r="A21" s="144"/>
      <c r="B21" s="145"/>
      <c r="C21" s="3" t="s">
        <v>136</v>
      </c>
      <c r="D21" s="3" t="s">
        <v>137</v>
      </c>
      <c r="F21" s="3" t="s">
        <v>136</v>
      </c>
      <c r="G21" s="3" t="s">
        <v>137</v>
      </c>
      <c r="H21" s="3" t="s">
        <v>138</v>
      </c>
      <c r="I21" s="3" t="s">
        <v>109</v>
      </c>
      <c r="J21" s="3" t="s">
        <v>136</v>
      </c>
      <c r="K21" s="3" t="s">
        <v>139</v>
      </c>
      <c r="L21" s="3" t="s">
        <v>138</v>
      </c>
      <c r="M21" s="3" t="s">
        <v>109</v>
      </c>
      <c r="N21" s="145"/>
      <c r="O21" s="145"/>
      <c r="P21" s="111" t="s">
        <v>140</v>
      </c>
      <c r="Q21" s="3" t="e">
        <f t="shared" ref="Q21:Q27" si="0">IF($A$25&gt;AJ21,$N$24*(AJ21-$A$24)+SUM($O$22:$O$23),IF($A$26&gt;AJ21,$N$25*(AJ21-$A$25)+SUM($O$22:$O$24),IF($A$27&gt;AJ21,$N$26*(AJ21-$A$26)+SUM($O$22:$O$25),$N$26*($A$27-$A$26)+SUM($O$22:$O$25))))</f>
        <v>#REF!</v>
      </c>
      <c r="T21" t="s">
        <v>223</v>
      </c>
      <c r="AF21" s="111" t="s">
        <v>140</v>
      </c>
      <c r="AG21" s="112" t="s">
        <v>135</v>
      </c>
      <c r="AH21" s="127">
        <v>-35</v>
      </c>
      <c r="AI21" s="114">
        <v>500</v>
      </c>
      <c r="AJ21" s="97">
        <f t="shared" ref="AJ21:AJ26" si="1">AG21-AH21+AI21/1000</f>
        <v>39.465000000000003</v>
      </c>
    </row>
    <row r="22" spans="1:37">
      <c r="A22" s="100">
        <v>0</v>
      </c>
      <c r="B22" s="100">
        <v>40</v>
      </c>
      <c r="C22" s="100">
        <v>40</v>
      </c>
      <c r="D22" s="100">
        <v>18</v>
      </c>
      <c r="E22" s="103" t="s">
        <v>141</v>
      </c>
      <c r="F22" s="133">
        <v>40</v>
      </c>
      <c r="G22" s="100">
        <v>18</v>
      </c>
      <c r="H22" s="98"/>
      <c r="I22" s="97">
        <f t="shared" ref="I22:I27" si="2">$C$13*((D22*PI()*((C22/1000)^2)/4)+(G22*PI()*((F22/1000)^2)/4))</f>
        <v>355.12563356179027</v>
      </c>
      <c r="J22" s="100" t="e">
        <f>#REF!</f>
        <v>#REF!</v>
      </c>
      <c r="K22" s="100" t="e">
        <f>#REF!</f>
        <v>#REF!</v>
      </c>
      <c r="L22" s="98"/>
      <c r="M22" s="97" t="e">
        <f t="shared" ref="M22:M27" si="3">$C$13*$C$16*PI()*((J22/1000)^2)/4*1000/K22</f>
        <v>#REF!</v>
      </c>
      <c r="N22" s="97" t="e">
        <f t="shared" ref="N22:N27" si="4">I22+M22</f>
        <v>#REF!</v>
      </c>
      <c r="O22" s="97" t="e">
        <f>N22*(A23-A22)</f>
        <v>#REF!</v>
      </c>
      <c r="P22" s="111" t="s">
        <v>142</v>
      </c>
      <c r="Q22" s="3" t="e">
        <f t="shared" si="0"/>
        <v>#REF!</v>
      </c>
      <c r="T22" s="96" t="e">
        <f>Q28/T19</f>
        <v>#REF!</v>
      </c>
      <c r="U22" t="s">
        <v>111</v>
      </c>
      <c r="AC22" s="104" t="e">
        <f>O22</f>
        <v>#REF!</v>
      </c>
      <c r="AF22" s="111" t="s">
        <v>142</v>
      </c>
      <c r="AG22" s="112" t="s">
        <v>135</v>
      </c>
      <c r="AH22" s="127">
        <v>-34.5</v>
      </c>
      <c r="AI22" s="114">
        <v>500</v>
      </c>
      <c r="AJ22" s="97">
        <f t="shared" si="1"/>
        <v>38.965000000000003</v>
      </c>
    </row>
    <row r="23" spans="1:37">
      <c r="A23" s="133">
        <v>3.5</v>
      </c>
      <c r="B23" s="100">
        <v>40</v>
      </c>
      <c r="C23" s="100">
        <v>40</v>
      </c>
      <c r="D23" s="100">
        <v>18</v>
      </c>
      <c r="E23" s="103" t="s">
        <v>141</v>
      </c>
      <c r="F23" s="100">
        <v>0</v>
      </c>
      <c r="G23" s="100">
        <v>0</v>
      </c>
      <c r="H23" s="98"/>
      <c r="I23" s="97">
        <f t="shared" si="2"/>
        <v>177.56281678089513</v>
      </c>
      <c r="J23" s="100">
        <v>25</v>
      </c>
      <c r="K23" s="100">
        <v>150</v>
      </c>
      <c r="L23" s="98"/>
      <c r="M23" s="97">
        <f t="shared" si="3"/>
        <v>93.90830225796951</v>
      </c>
      <c r="N23" s="97">
        <f t="shared" si="4"/>
        <v>271.47111903886463</v>
      </c>
      <c r="O23" s="97">
        <f>N23*(A24-A23)</f>
        <v>407.20667855829697</v>
      </c>
      <c r="P23" s="111" t="s">
        <v>143</v>
      </c>
      <c r="Q23" s="3" t="e">
        <f t="shared" si="0"/>
        <v>#REF!</v>
      </c>
      <c r="AC23" s="104">
        <f>O23</f>
        <v>407.20667855829697</v>
      </c>
      <c r="AF23" s="111" t="s">
        <v>143</v>
      </c>
      <c r="AG23" s="112" t="s">
        <v>135</v>
      </c>
      <c r="AH23" s="127">
        <v>-34.5</v>
      </c>
      <c r="AI23" s="114">
        <v>500</v>
      </c>
      <c r="AJ23" s="97">
        <f t="shared" si="1"/>
        <v>38.965000000000003</v>
      </c>
    </row>
    <row r="24" spans="1:37">
      <c r="A24" s="133">
        <v>5</v>
      </c>
      <c r="B24" s="100">
        <v>40</v>
      </c>
      <c r="C24" s="100">
        <v>32</v>
      </c>
      <c r="D24" s="100">
        <v>18</v>
      </c>
      <c r="E24" s="103" t="s">
        <v>141</v>
      </c>
      <c r="F24" s="100">
        <v>25</v>
      </c>
      <c r="G24" s="100">
        <v>18</v>
      </c>
      <c r="H24" s="98"/>
      <c r="I24" s="97">
        <f t="shared" si="2"/>
        <v>183.00067804481006</v>
      </c>
      <c r="J24" s="100">
        <v>16</v>
      </c>
      <c r="K24" s="100">
        <v>300</v>
      </c>
      <c r="L24" s="98"/>
      <c r="M24" s="97">
        <f t="shared" si="3"/>
        <v>19.232420302432153</v>
      </c>
      <c r="N24" s="97">
        <f t="shared" si="4"/>
        <v>202.23309834724222</v>
      </c>
      <c r="O24" s="97">
        <f>N24*(A25-A24)</f>
        <v>707.81584421534774</v>
      </c>
      <c r="P24" s="111" t="s">
        <v>144</v>
      </c>
      <c r="Q24" s="3" t="e">
        <f t="shared" si="0"/>
        <v>#REF!</v>
      </c>
      <c r="AC24" s="104">
        <f>O24</f>
        <v>707.81584421534774</v>
      </c>
      <c r="AF24" s="111" t="s">
        <v>144</v>
      </c>
      <c r="AG24" s="112" t="s">
        <v>135</v>
      </c>
      <c r="AH24" s="127">
        <v>-22</v>
      </c>
      <c r="AI24" s="114">
        <v>1000</v>
      </c>
      <c r="AJ24" s="97">
        <f t="shared" si="1"/>
        <v>26.965</v>
      </c>
    </row>
    <row r="25" spans="1:37">
      <c r="A25" s="100">
        <v>8.5</v>
      </c>
      <c r="B25" s="100">
        <v>40</v>
      </c>
      <c r="C25" s="100">
        <v>25</v>
      </c>
      <c r="D25" s="100">
        <v>18</v>
      </c>
      <c r="E25" s="103" t="s">
        <v>141</v>
      </c>
      <c r="F25" s="100">
        <v>0</v>
      </c>
      <c r="G25" s="100">
        <v>0</v>
      </c>
      <c r="H25" s="98"/>
      <c r="I25" s="97">
        <f t="shared" si="2"/>
        <v>69.36047530503717</v>
      </c>
      <c r="J25" s="100">
        <v>16</v>
      </c>
      <c r="K25" s="100">
        <v>240</v>
      </c>
      <c r="L25" s="98"/>
      <c r="M25" s="97">
        <f t="shared" si="3"/>
        <v>24.04052537804019</v>
      </c>
      <c r="N25" s="97">
        <f t="shared" si="4"/>
        <v>93.401000683077356</v>
      </c>
      <c r="O25" s="97">
        <f>N25*(A26-A25)</f>
        <v>915.32980669415815</v>
      </c>
      <c r="P25" s="111" t="s">
        <v>145</v>
      </c>
      <c r="Q25" s="3" t="e">
        <f t="shared" si="0"/>
        <v>#REF!</v>
      </c>
      <c r="AC25" s="104">
        <f>O25</f>
        <v>915.32980669415815</v>
      </c>
      <c r="AF25" s="111" t="s">
        <v>145</v>
      </c>
      <c r="AG25" s="112" t="s">
        <v>135</v>
      </c>
      <c r="AH25" s="127">
        <v>-22</v>
      </c>
      <c r="AI25" s="114">
        <v>1000</v>
      </c>
      <c r="AJ25" s="97">
        <f t="shared" si="1"/>
        <v>26.965</v>
      </c>
    </row>
    <row r="26" spans="1:37">
      <c r="A26" s="100">
        <v>18.3</v>
      </c>
      <c r="B26" s="100">
        <v>40</v>
      </c>
      <c r="C26" s="100">
        <v>16</v>
      </c>
      <c r="D26" s="100">
        <v>18</v>
      </c>
      <c r="E26" s="103" t="s">
        <v>141</v>
      </c>
      <c r="F26" s="100">
        <v>0</v>
      </c>
      <c r="G26" s="100">
        <v>0</v>
      </c>
      <c r="H26" s="98"/>
      <c r="I26" s="97">
        <f t="shared" si="2"/>
        <v>28.410050684943215</v>
      </c>
      <c r="J26" s="100">
        <v>16</v>
      </c>
      <c r="K26" s="100">
        <v>300</v>
      </c>
      <c r="L26" s="98"/>
      <c r="M26" s="97">
        <f t="shared" si="3"/>
        <v>19.232420302432153</v>
      </c>
      <c r="N26" s="97">
        <f t="shared" si="4"/>
        <v>47.642470987375368</v>
      </c>
      <c r="O26" s="97">
        <f>IF(A27&gt;AK27,N26*(AK27-A26),N26*(A27-A26))</f>
        <v>557.41691055229182</v>
      </c>
      <c r="P26" s="111" t="s">
        <v>146</v>
      </c>
      <c r="Q26" s="3" t="e">
        <f t="shared" si="0"/>
        <v>#REF!</v>
      </c>
      <c r="AC26">
        <f>N26*(21-A26)</f>
        <v>128.63467166591346</v>
      </c>
      <c r="AF26" s="111" t="s">
        <v>146</v>
      </c>
      <c r="AG26" s="112" t="s">
        <v>135</v>
      </c>
      <c r="AH26" s="127">
        <v>-19</v>
      </c>
      <c r="AI26" s="114">
        <v>1000</v>
      </c>
      <c r="AJ26" s="97">
        <f t="shared" si="1"/>
        <v>23.965</v>
      </c>
    </row>
    <row r="27" spans="1:37">
      <c r="A27" s="100">
        <v>30</v>
      </c>
      <c r="B27" s="100">
        <v>40</v>
      </c>
      <c r="C27" s="100">
        <v>0</v>
      </c>
      <c r="D27" s="100">
        <v>0</v>
      </c>
      <c r="E27" s="103" t="s">
        <v>141</v>
      </c>
      <c r="F27" s="100">
        <v>0</v>
      </c>
      <c r="G27" s="100">
        <v>0</v>
      </c>
      <c r="H27" s="98"/>
      <c r="I27" s="97">
        <f t="shared" si="2"/>
        <v>0</v>
      </c>
      <c r="J27" s="100">
        <v>0</v>
      </c>
      <c r="K27" s="100">
        <v>300</v>
      </c>
      <c r="L27" s="98"/>
      <c r="M27" s="97">
        <f t="shared" si="3"/>
        <v>0</v>
      </c>
      <c r="N27" s="97">
        <f t="shared" si="4"/>
        <v>0</v>
      </c>
      <c r="O27" s="97">
        <f>IF(A27&gt;AK27,0,N27*(AK27-A27))</f>
        <v>0</v>
      </c>
      <c r="P27" s="111" t="s">
        <v>147</v>
      </c>
      <c r="Q27" s="3" t="e">
        <f t="shared" si="0"/>
        <v>#REF!</v>
      </c>
      <c r="AF27" s="111" t="s">
        <v>147</v>
      </c>
      <c r="AG27" s="112" t="s">
        <v>135</v>
      </c>
      <c r="AH27" s="127">
        <v>-16</v>
      </c>
      <c r="AI27" s="114">
        <v>1000</v>
      </c>
      <c r="AJ27" s="97">
        <f>AG27-AH27+AI27/1000</f>
        <v>20.965</v>
      </c>
      <c r="AK27" s="104">
        <f>AVERAGE(AJ20:AJ27)</f>
        <v>32.027500000000003</v>
      </c>
    </row>
    <row r="28" spans="1:37" ht="15.75" thickBot="1">
      <c r="Q28" s="99" t="e">
        <f>SUM(Q20:Q27)</f>
        <v>#REF!</v>
      </c>
      <c r="R28" s="89" t="s">
        <v>148</v>
      </c>
      <c r="S28" s="102" t="e">
        <f>Q28/$D$11/8</f>
        <v>#REF!</v>
      </c>
      <c r="T28" t="s">
        <v>121</v>
      </c>
      <c r="V28" s="96"/>
      <c r="AC28" s="99" t="e">
        <f>SUM(AC22:AC26)</f>
        <v>#REF!</v>
      </c>
      <c r="AD28" s="115" t="e">
        <f>O28-AC28</f>
        <v>#REF!</v>
      </c>
    </row>
    <row r="29" spans="1:37" ht="15.75" thickTop="1">
      <c r="Q29" s="110"/>
      <c r="R29" s="89" t="s">
        <v>148</v>
      </c>
      <c r="S29" s="102" t="e">
        <f>Q28/'ss_ IFIR Summary (03.07)'!Q26</f>
        <v>#REF!</v>
      </c>
      <c r="T29" t="s">
        <v>224</v>
      </c>
    </row>
    <row r="30" spans="1:37" ht="18.75">
      <c r="A30" s="1" t="s">
        <v>149</v>
      </c>
      <c r="Q30" s="110"/>
      <c r="AF30" s="146" t="s">
        <v>150</v>
      </c>
      <c r="AG30" s="146"/>
      <c r="AH30" s="146"/>
      <c r="AI30" s="146"/>
      <c r="AJ30" s="146"/>
    </row>
    <row r="31" spans="1:37">
      <c r="Q31" s="110"/>
      <c r="AF31" s="3" t="s">
        <v>17</v>
      </c>
      <c r="AG31" s="3" t="s">
        <v>128</v>
      </c>
      <c r="AH31" s="3" t="s">
        <v>129</v>
      </c>
      <c r="AI31" s="3" t="s">
        <v>130</v>
      </c>
      <c r="AJ31" s="3" t="s">
        <v>131</v>
      </c>
    </row>
    <row r="32" spans="1:37" ht="14.45" customHeight="1">
      <c r="A32" s="144" t="s">
        <v>151</v>
      </c>
      <c r="B32" s="145" t="s">
        <v>132</v>
      </c>
      <c r="C32" s="146" t="s">
        <v>133</v>
      </c>
      <c r="D32" s="146"/>
      <c r="E32" s="146"/>
      <c r="F32" s="146"/>
      <c r="G32" s="146"/>
      <c r="H32" s="146"/>
      <c r="I32" s="146"/>
      <c r="J32" s="146" t="s">
        <v>72</v>
      </c>
      <c r="K32" s="146"/>
      <c r="L32" s="146"/>
      <c r="M32" s="146"/>
      <c r="N32" s="145" t="s">
        <v>109</v>
      </c>
      <c r="O32" s="145" t="s">
        <v>110</v>
      </c>
      <c r="P32" s="146" t="s">
        <v>152</v>
      </c>
      <c r="Q32" s="146"/>
      <c r="T32" t="s">
        <v>197</v>
      </c>
      <c r="AF32" s="111" t="s">
        <v>153</v>
      </c>
      <c r="AG32" s="112" t="s">
        <v>154</v>
      </c>
      <c r="AH32" s="127">
        <v>-35</v>
      </c>
      <c r="AI32" s="114">
        <v>1000</v>
      </c>
      <c r="AJ32" s="97">
        <f t="shared" ref="AJ32:AJ39" si="5">AG32-AH32+AI32/1000</f>
        <v>39.765000000000001</v>
      </c>
    </row>
    <row r="33" spans="1:37">
      <c r="A33" s="144"/>
      <c r="B33" s="145"/>
      <c r="C33" s="3" t="s">
        <v>136</v>
      </c>
      <c r="D33" s="3" t="s">
        <v>137</v>
      </c>
      <c r="F33" s="3" t="s">
        <v>136</v>
      </c>
      <c r="G33" s="3" t="s">
        <v>137</v>
      </c>
      <c r="H33" s="3" t="s">
        <v>138</v>
      </c>
      <c r="I33" s="3" t="s">
        <v>109</v>
      </c>
      <c r="J33" s="3" t="s">
        <v>136</v>
      </c>
      <c r="K33" s="3" t="s">
        <v>139</v>
      </c>
      <c r="L33" s="3" t="s">
        <v>138</v>
      </c>
      <c r="M33" s="3" t="s">
        <v>109</v>
      </c>
      <c r="N33" s="145"/>
      <c r="O33" s="145"/>
      <c r="P33" s="3" t="s">
        <v>17</v>
      </c>
      <c r="Q33" s="3" t="s">
        <v>110</v>
      </c>
      <c r="T33" s="5">
        <v>8</v>
      </c>
      <c r="AF33" s="111" t="s">
        <v>155</v>
      </c>
      <c r="AG33" s="112" t="s">
        <v>154</v>
      </c>
      <c r="AH33" s="127">
        <v>-35</v>
      </c>
      <c r="AI33" s="114">
        <v>1000</v>
      </c>
      <c r="AJ33" s="97">
        <f t="shared" si="5"/>
        <v>39.765000000000001</v>
      </c>
    </row>
    <row r="34" spans="1:37">
      <c r="A34" s="100">
        <v>0</v>
      </c>
      <c r="B34" s="100">
        <v>40</v>
      </c>
      <c r="C34" s="133">
        <v>32</v>
      </c>
      <c r="D34" s="100">
        <v>18</v>
      </c>
      <c r="E34" s="103" t="s">
        <v>141</v>
      </c>
      <c r="F34" s="100">
        <v>0</v>
      </c>
      <c r="G34" s="100">
        <v>0</v>
      </c>
      <c r="H34" s="98"/>
      <c r="I34" s="97">
        <f t="shared" ref="I34:I41" si="6">$C$13*((D34*PI()*((C34/1000)^2)/4)+(G34*PI()*((F34/1000)^2)/4))</f>
        <v>113.64020273977286</v>
      </c>
      <c r="J34" s="100">
        <v>16</v>
      </c>
      <c r="K34" s="100">
        <v>300</v>
      </c>
      <c r="L34" s="98"/>
      <c r="M34" s="97">
        <f>$C$13*$C$16*PI()*((J34/1000)^2)/4*1000/K34</f>
        <v>19.232420302432153</v>
      </c>
      <c r="N34" s="97">
        <f t="shared" ref="N34:N41" si="7">I34+M34</f>
        <v>132.87262304220502</v>
      </c>
      <c r="O34" s="97">
        <f t="shared" ref="O34:O39" si="8">N34*(A35-A34)</f>
        <v>465.05418064771754</v>
      </c>
      <c r="P34" s="111" t="s">
        <v>153</v>
      </c>
      <c r="Q34" s="3">
        <f>IF($A$39&gt;AJ32,$N$38*(AJ32-$A$38)+SUM($O$34:$O$37),IF($A$40&gt;AJ32,$N$39*(AJ32-$A$39)+SUM($O$34:$O$38),IF($A$41&gt;AJ32,$N$40*(AJ32-$A$40)+SUM($O$34:$O$39),$N$40*($A$41-$A$40)+SUM($O$34:$O$39))))</f>
        <v>2547.4450701141141</v>
      </c>
      <c r="U34" s="122"/>
      <c r="AC34" s="104">
        <f t="shared" ref="AC34:AC40" si="9">O34</f>
        <v>465.05418064771754</v>
      </c>
      <c r="AF34" s="111" t="s">
        <v>156</v>
      </c>
      <c r="AG34" s="112" t="s">
        <v>154</v>
      </c>
      <c r="AH34" s="127">
        <v>-34.5</v>
      </c>
      <c r="AI34" s="114">
        <v>1000</v>
      </c>
      <c r="AJ34" s="97">
        <f t="shared" si="5"/>
        <v>39.265000000000001</v>
      </c>
    </row>
    <row r="35" spans="1:37">
      <c r="A35" s="100">
        <v>3.5</v>
      </c>
      <c r="B35" s="100">
        <v>40</v>
      </c>
      <c r="C35" s="133">
        <v>32</v>
      </c>
      <c r="D35" s="100">
        <v>18</v>
      </c>
      <c r="E35" s="103" t="s">
        <v>141</v>
      </c>
      <c r="F35" s="100">
        <v>20</v>
      </c>
      <c r="G35" s="100">
        <v>18</v>
      </c>
      <c r="H35" s="98"/>
      <c r="I35" s="97">
        <f t="shared" si="6"/>
        <v>158.03090693499664</v>
      </c>
      <c r="J35" s="100">
        <v>16</v>
      </c>
      <c r="K35" s="100">
        <v>240</v>
      </c>
      <c r="L35" s="98"/>
      <c r="M35" s="97">
        <f t="shared" ref="M35:M41" si="10">$C$13*$C$16*PI()*((J35/1000)^2)/4*1000/K35</f>
        <v>24.04052537804019</v>
      </c>
      <c r="N35" s="97">
        <f t="shared" si="7"/>
        <v>182.07143231303684</v>
      </c>
      <c r="O35" s="97">
        <f t="shared" si="8"/>
        <v>182.07143231303684</v>
      </c>
      <c r="P35" s="111" t="s">
        <v>155</v>
      </c>
      <c r="Q35" s="3">
        <f t="shared" ref="Q35:Q41" si="11">IF($A$39&gt;AJ33,$N$38*(AJ33-$A$38)+SUM($O$34:$O$37),IF($A$40&gt;AJ33,$N$39*(AJ33-$A$39)+SUM($O$34:$O$38),IF($A$41&gt;AJ33,$N$40*(AJ33-$A$40)+SUM($O$34:$O$39),$N$40*($A$41-$A$40)+SUM($O$34:$O$39))))</f>
        <v>2547.4450701141141</v>
      </c>
      <c r="T35" t="s">
        <v>223</v>
      </c>
      <c r="U35" s="122"/>
      <c r="AC35" s="104">
        <f t="shared" si="9"/>
        <v>182.07143231303684</v>
      </c>
      <c r="AF35" s="111" t="s">
        <v>157</v>
      </c>
      <c r="AG35" s="112" t="s">
        <v>154</v>
      </c>
      <c r="AH35" s="127">
        <v>-34.5</v>
      </c>
      <c r="AI35" s="114">
        <v>1000</v>
      </c>
      <c r="AJ35" s="97">
        <f t="shared" si="5"/>
        <v>39.265000000000001</v>
      </c>
    </row>
    <row r="36" spans="1:37">
      <c r="A36" s="100">
        <v>4.5</v>
      </c>
      <c r="B36" s="100">
        <v>40</v>
      </c>
      <c r="C36" s="100">
        <v>20</v>
      </c>
      <c r="D36" s="100">
        <v>18</v>
      </c>
      <c r="E36" s="103" t="s">
        <v>141</v>
      </c>
      <c r="F36" s="100">
        <v>0</v>
      </c>
      <c r="G36" s="100">
        <v>0</v>
      </c>
      <c r="H36" s="98"/>
      <c r="I36" s="97">
        <f t="shared" si="6"/>
        <v>44.390704195223783</v>
      </c>
      <c r="J36" s="100">
        <v>16</v>
      </c>
      <c r="K36" s="100">
        <v>300</v>
      </c>
      <c r="L36" s="98"/>
      <c r="M36" s="97">
        <f t="shared" si="10"/>
        <v>19.232420302432153</v>
      </c>
      <c r="N36" s="97">
        <f t="shared" si="7"/>
        <v>63.623124497655937</v>
      </c>
      <c r="O36" s="97">
        <f t="shared" si="8"/>
        <v>636.23124497655931</v>
      </c>
      <c r="P36" s="111" t="s">
        <v>156</v>
      </c>
      <c r="Q36" s="3">
        <f t="shared" si="11"/>
        <v>2547.4450701141141</v>
      </c>
      <c r="T36" s="96">
        <f>Q42/T33</f>
        <v>2184.5285473677823</v>
      </c>
      <c r="U36" t="s">
        <v>111</v>
      </c>
      <c r="AC36" s="104">
        <f t="shared" si="9"/>
        <v>636.23124497655931</v>
      </c>
      <c r="AF36" s="111" t="s">
        <v>158</v>
      </c>
      <c r="AG36" s="112" t="s">
        <v>154</v>
      </c>
      <c r="AH36" s="127">
        <v>-19</v>
      </c>
      <c r="AI36" s="114">
        <v>1500</v>
      </c>
      <c r="AJ36" s="97">
        <f t="shared" si="5"/>
        <v>24.265000000000001</v>
      </c>
    </row>
    <row r="37" spans="1:37">
      <c r="A37" s="100">
        <v>14.5</v>
      </c>
      <c r="B37" s="100">
        <v>40</v>
      </c>
      <c r="C37" s="100">
        <v>20</v>
      </c>
      <c r="D37" s="100">
        <v>18</v>
      </c>
      <c r="E37" s="103" t="s">
        <v>141</v>
      </c>
      <c r="F37" s="100">
        <v>20</v>
      </c>
      <c r="G37" s="100">
        <v>18</v>
      </c>
      <c r="H37" s="98"/>
      <c r="I37" s="97">
        <f t="shared" si="6"/>
        <v>88.781408390447567</v>
      </c>
      <c r="J37" s="100">
        <v>16</v>
      </c>
      <c r="K37" s="100">
        <v>240</v>
      </c>
      <c r="L37" s="98"/>
      <c r="M37" s="97">
        <f t="shared" si="10"/>
        <v>24.04052537804019</v>
      </c>
      <c r="N37" s="97">
        <f t="shared" si="7"/>
        <v>112.82193376848775</v>
      </c>
      <c r="O37" s="97">
        <f t="shared" si="8"/>
        <v>112.82193376848775</v>
      </c>
      <c r="P37" s="111" t="s">
        <v>157</v>
      </c>
      <c r="Q37" s="3">
        <f t="shared" si="11"/>
        <v>2547.4450701141141</v>
      </c>
      <c r="U37" s="122"/>
      <c r="AC37" s="104">
        <f t="shared" si="9"/>
        <v>112.82193376848775</v>
      </c>
      <c r="AF37" s="111" t="s">
        <v>159</v>
      </c>
      <c r="AG37" s="112" t="s">
        <v>154</v>
      </c>
      <c r="AH37" s="127">
        <v>-19</v>
      </c>
      <c r="AI37" s="114">
        <v>1500</v>
      </c>
      <c r="AJ37" s="97">
        <f t="shared" si="5"/>
        <v>24.265000000000001</v>
      </c>
    </row>
    <row r="38" spans="1:37">
      <c r="A38" s="100">
        <v>15.5</v>
      </c>
      <c r="B38" s="100">
        <v>40</v>
      </c>
      <c r="C38" s="100">
        <v>20</v>
      </c>
      <c r="D38" s="100">
        <v>18</v>
      </c>
      <c r="E38" s="103" t="s">
        <v>141</v>
      </c>
      <c r="F38" s="100">
        <v>0</v>
      </c>
      <c r="G38" s="100">
        <v>0</v>
      </c>
      <c r="H38" s="98"/>
      <c r="I38" s="97">
        <f t="shared" si="6"/>
        <v>44.390704195223783</v>
      </c>
      <c r="J38" s="100">
        <v>16</v>
      </c>
      <c r="K38" s="100">
        <v>300</v>
      </c>
      <c r="L38" s="98"/>
      <c r="M38" s="97">
        <f t="shared" si="10"/>
        <v>19.232420302432153</v>
      </c>
      <c r="N38" s="97">
        <f t="shared" si="7"/>
        <v>63.623124497655937</v>
      </c>
      <c r="O38" s="97">
        <f t="shared" si="8"/>
        <v>159.05781124413983</v>
      </c>
      <c r="P38" s="111" t="s">
        <v>158</v>
      </c>
      <c r="Q38" s="3">
        <f t="shared" si="11"/>
        <v>1893.0757311025136</v>
      </c>
      <c r="U38" s="122"/>
      <c r="AC38" s="104">
        <f t="shared" si="9"/>
        <v>159.05781124413983</v>
      </c>
      <c r="AF38" s="111" t="s">
        <v>160</v>
      </c>
      <c r="AG38" s="112" t="s">
        <v>154</v>
      </c>
      <c r="AH38" s="127">
        <v>-17</v>
      </c>
      <c r="AI38" s="114">
        <v>1500</v>
      </c>
      <c r="AJ38" s="97">
        <f t="shared" si="5"/>
        <v>22.265000000000001</v>
      </c>
    </row>
    <row r="39" spans="1:37">
      <c r="A39" s="100">
        <v>18</v>
      </c>
      <c r="B39" s="100">
        <v>40</v>
      </c>
      <c r="C39" s="100">
        <v>20</v>
      </c>
      <c r="D39" s="100">
        <v>18</v>
      </c>
      <c r="E39" s="103" t="s">
        <v>141</v>
      </c>
      <c r="F39" s="100">
        <v>16</v>
      </c>
      <c r="G39" s="100">
        <v>18</v>
      </c>
      <c r="H39" s="98"/>
      <c r="I39" s="97">
        <f t="shared" si="6"/>
        <v>72.800754880167005</v>
      </c>
      <c r="J39" s="100">
        <v>16</v>
      </c>
      <c r="K39" s="100">
        <v>240</v>
      </c>
      <c r="L39" s="98"/>
      <c r="M39" s="97">
        <f t="shared" si="10"/>
        <v>24.04052537804019</v>
      </c>
      <c r="N39" s="97">
        <f t="shared" si="7"/>
        <v>96.841280258207192</v>
      </c>
      <c r="O39" s="97">
        <f t="shared" si="8"/>
        <v>77.473024206565825</v>
      </c>
      <c r="P39" s="111" t="s">
        <v>159</v>
      </c>
      <c r="Q39" s="3">
        <f t="shared" si="11"/>
        <v>1893.0757311025136</v>
      </c>
      <c r="U39" s="122"/>
      <c r="AC39" s="104">
        <f t="shared" si="9"/>
        <v>77.473024206565825</v>
      </c>
      <c r="AF39" s="111" t="s">
        <v>161</v>
      </c>
      <c r="AG39" s="112" t="s">
        <v>154</v>
      </c>
      <c r="AH39" s="127">
        <v>-15</v>
      </c>
      <c r="AI39" s="114">
        <v>1500</v>
      </c>
      <c r="AJ39" s="97">
        <f t="shared" si="5"/>
        <v>20.265000000000001</v>
      </c>
      <c r="AK39" s="104">
        <f>AVERAGE(AJ32:AJ39)</f>
        <v>31.139999999999993</v>
      </c>
    </row>
    <row r="40" spans="1:37">
      <c r="A40" s="100">
        <v>18.8</v>
      </c>
      <c r="B40" s="100">
        <v>40</v>
      </c>
      <c r="C40" s="100">
        <v>16</v>
      </c>
      <c r="D40" s="100">
        <v>18</v>
      </c>
      <c r="E40" s="103" t="s">
        <v>141</v>
      </c>
      <c r="F40" s="100">
        <v>0</v>
      </c>
      <c r="G40" s="100">
        <v>0</v>
      </c>
      <c r="H40" s="98"/>
      <c r="I40" s="97">
        <f t="shared" si="6"/>
        <v>28.410050684943215</v>
      </c>
      <c r="J40" s="100">
        <v>16</v>
      </c>
      <c r="K40" s="100">
        <v>300</v>
      </c>
      <c r="L40" s="98"/>
      <c r="M40" s="97">
        <f t="shared" si="10"/>
        <v>19.232420302432153</v>
      </c>
      <c r="N40" s="97">
        <f>I40+M40</f>
        <v>47.642470987375368</v>
      </c>
      <c r="O40" s="97">
        <f>IF(A41&gt;AK39,N40*(AK39-A40),N40*(A41-A40))</f>
        <v>587.90809198421175</v>
      </c>
      <c r="P40" s="111" t="s">
        <v>160</v>
      </c>
      <c r="Q40" s="3">
        <f t="shared" si="11"/>
        <v>1797.7907891277628</v>
      </c>
      <c r="U40" s="122"/>
      <c r="AC40" s="104">
        <f t="shared" si="9"/>
        <v>587.90809198421175</v>
      </c>
    </row>
    <row r="41" spans="1:37">
      <c r="A41" s="100">
        <v>38</v>
      </c>
      <c r="B41" s="100">
        <v>40</v>
      </c>
      <c r="C41" s="100">
        <v>0</v>
      </c>
      <c r="D41" s="100">
        <v>0</v>
      </c>
      <c r="E41" s="103" t="s">
        <v>141</v>
      </c>
      <c r="F41" s="100">
        <v>0</v>
      </c>
      <c r="G41" s="100">
        <v>0</v>
      </c>
      <c r="H41" s="98"/>
      <c r="I41" s="97">
        <f t="shared" si="6"/>
        <v>0</v>
      </c>
      <c r="J41" s="100">
        <v>16</v>
      </c>
      <c r="K41" s="100">
        <v>300</v>
      </c>
      <c r="L41" s="98"/>
      <c r="M41" s="97">
        <f t="shared" si="10"/>
        <v>19.232420302432153</v>
      </c>
      <c r="N41" s="97">
        <f t="shared" si="7"/>
        <v>19.232420302432153</v>
      </c>
      <c r="O41" s="97">
        <f>IF(A41&gt;AK39,0,N41*(AK39-A41))</f>
        <v>0</v>
      </c>
      <c r="P41" s="111" t="s">
        <v>161</v>
      </c>
      <c r="Q41" s="3">
        <f t="shared" si="11"/>
        <v>1702.5058471530122</v>
      </c>
      <c r="U41" s="122"/>
      <c r="AC41">
        <f>N41*(30-A41)</f>
        <v>-153.85936241945723</v>
      </c>
    </row>
    <row r="42" spans="1:37" ht="15.75" thickBot="1">
      <c r="Q42" s="99">
        <f>SUM(Q34:Q41)</f>
        <v>17476.228378942258</v>
      </c>
      <c r="R42" s="89" t="s">
        <v>148</v>
      </c>
      <c r="S42" s="102">
        <f>Q42/$I$10/8</f>
        <v>0.42923273659128414</v>
      </c>
      <c r="T42" t="s">
        <v>121</v>
      </c>
      <c r="V42" s="96"/>
      <c r="AC42" s="99">
        <f>SUM(AC34:AC40)</f>
        <v>2220.6177191407187</v>
      </c>
      <c r="AD42" s="115">
        <f>O42-AC42</f>
        <v>-2220.6177191407187</v>
      </c>
    </row>
    <row r="43" spans="1:37" ht="15.75" thickTop="1">
      <c r="O43" s="104"/>
      <c r="R43" s="89" t="s">
        <v>148</v>
      </c>
      <c r="S43" s="102">
        <f>Q42/'ss_ IFIR Summary (03.07)'!Q40</f>
        <v>0.94513837899850495</v>
      </c>
      <c r="T43" t="s">
        <v>224</v>
      </c>
    </row>
    <row r="44" spans="1:37" ht="18.75">
      <c r="A44" s="1" t="s">
        <v>162</v>
      </c>
    </row>
    <row r="45" spans="1:37">
      <c r="AG45" s="146" t="s">
        <v>163</v>
      </c>
      <c r="AH45" s="146"/>
      <c r="AI45" s="146"/>
      <c r="AJ45" s="146"/>
      <c r="AK45" s="146"/>
    </row>
    <row r="46" spans="1:37" ht="14.45" customHeight="1">
      <c r="A46" s="144" t="s">
        <v>151</v>
      </c>
      <c r="B46" s="145" t="s">
        <v>132</v>
      </c>
      <c r="C46" s="146" t="s">
        <v>133</v>
      </c>
      <c r="D46" s="146"/>
      <c r="E46" s="146"/>
      <c r="F46" s="146"/>
      <c r="G46" s="146"/>
      <c r="H46" s="146"/>
      <c r="I46" s="146"/>
      <c r="J46" s="146" t="s">
        <v>72</v>
      </c>
      <c r="K46" s="146"/>
      <c r="L46" s="146"/>
      <c r="M46" s="146"/>
      <c r="N46" s="145" t="s">
        <v>109</v>
      </c>
      <c r="O46" s="145" t="s">
        <v>110</v>
      </c>
      <c r="Q46" t="s">
        <v>164</v>
      </c>
      <c r="AG46" s="3" t="s">
        <v>17</v>
      </c>
      <c r="AH46" s="3" t="s">
        <v>128</v>
      </c>
      <c r="AI46" s="3" t="s">
        <v>129</v>
      </c>
      <c r="AJ46" s="3" t="s">
        <v>130</v>
      </c>
      <c r="AK46" s="3" t="s">
        <v>131</v>
      </c>
    </row>
    <row r="47" spans="1:37">
      <c r="A47" s="144"/>
      <c r="B47" s="145"/>
      <c r="C47" s="3" t="s">
        <v>136</v>
      </c>
      <c r="D47" s="3" t="s">
        <v>137</v>
      </c>
      <c r="F47" s="3" t="s">
        <v>136</v>
      </c>
      <c r="G47" s="3" t="s">
        <v>137</v>
      </c>
      <c r="H47" s="3" t="s">
        <v>138</v>
      </c>
      <c r="I47" s="3" t="s">
        <v>109</v>
      </c>
      <c r="J47" s="3" t="s">
        <v>136</v>
      </c>
      <c r="K47" s="3" t="s">
        <v>139</v>
      </c>
      <c r="L47" s="3" t="s">
        <v>138</v>
      </c>
      <c r="M47" s="3" t="s">
        <v>109</v>
      </c>
      <c r="N47" s="145"/>
      <c r="O47" s="145"/>
      <c r="Q47" s="5">
        <v>4</v>
      </c>
      <c r="AC47" s="104">
        <f t="shared" ref="AC47:AC54" si="12">O48</f>
        <v>7723.3836960998678</v>
      </c>
      <c r="AD47" s="104"/>
      <c r="AE47" s="104"/>
      <c r="AF47" s="104"/>
      <c r="AG47" s="111" t="s">
        <v>165</v>
      </c>
      <c r="AH47" s="112" t="s">
        <v>135</v>
      </c>
      <c r="AI47" s="127">
        <v>-33.5</v>
      </c>
      <c r="AJ47" s="114">
        <v>3500</v>
      </c>
      <c r="AK47" s="97">
        <f t="shared" ref="AK47:AK48" si="13">AH47-AI47+AJ47/1000</f>
        <v>40.965000000000003</v>
      </c>
    </row>
    <row r="48" spans="1:37">
      <c r="A48" s="100">
        <v>0</v>
      </c>
      <c r="B48" s="100">
        <v>40</v>
      </c>
      <c r="C48" s="100">
        <v>40</v>
      </c>
      <c r="D48" s="100">
        <v>18</v>
      </c>
      <c r="E48" s="103" t="s">
        <v>141</v>
      </c>
      <c r="F48" s="133">
        <v>40</v>
      </c>
      <c r="G48" s="100">
        <v>18</v>
      </c>
      <c r="H48" s="98"/>
      <c r="I48" s="97">
        <f>$C$13*((D48*PI()*((C48/1000)^2)/4)+(G48*PI()*((F48/1000)^2)/4))</f>
        <v>355.12563356179027</v>
      </c>
      <c r="J48" s="100">
        <v>25</v>
      </c>
      <c r="K48" s="100">
        <v>150</v>
      </c>
      <c r="L48" s="98"/>
      <c r="M48" s="97">
        <f>$C$13*$C$16*PI()*((J48/1000)^2)/4*1000/K48</f>
        <v>93.90830225796951</v>
      </c>
      <c r="N48" s="97">
        <f>I48+M48</f>
        <v>449.03393581975979</v>
      </c>
      <c r="O48" s="97">
        <f>$Q$47*N48*(A49-A48)</f>
        <v>7723.3836960998678</v>
      </c>
      <c r="AC48" s="104" t="e">
        <f t="shared" si="12"/>
        <v>#REF!</v>
      </c>
      <c r="AD48" s="104"/>
      <c r="AE48" s="104"/>
      <c r="AF48" s="104"/>
      <c r="AG48" s="111" t="s">
        <v>166</v>
      </c>
      <c r="AH48" s="112" t="s">
        <v>135</v>
      </c>
      <c r="AI48" s="127">
        <v>-33</v>
      </c>
      <c r="AJ48" s="114">
        <v>3500</v>
      </c>
      <c r="AK48" s="97">
        <f t="shared" si="13"/>
        <v>40.465000000000003</v>
      </c>
    </row>
    <row r="49" spans="1:38">
      <c r="A49" s="100">
        <v>4.3</v>
      </c>
      <c r="B49" s="100">
        <v>40</v>
      </c>
      <c r="C49" s="100">
        <v>40</v>
      </c>
      <c r="D49" s="100" t="e">
        <f>#REF!</f>
        <v>#REF!</v>
      </c>
      <c r="E49" s="103" t="s">
        <v>141</v>
      </c>
      <c r="F49" s="133">
        <v>0</v>
      </c>
      <c r="G49" s="133">
        <v>0</v>
      </c>
      <c r="H49" s="98"/>
      <c r="I49" s="97" t="e">
        <f>$C$13*((D49*PI()*((C49/1000)^2)/4)+(G49*PI()*((F49/1000)^2)/4))</f>
        <v>#REF!</v>
      </c>
      <c r="J49" s="100">
        <v>25</v>
      </c>
      <c r="K49" s="100">
        <v>150</v>
      </c>
      <c r="L49" s="98"/>
      <c r="M49" s="97">
        <f t="shared" ref="M49:M56" si="14">$C$13*$C$16*PI()*((J49/1000)^2)/4*1000/K49</f>
        <v>93.90830225796951</v>
      </c>
      <c r="N49" s="97" t="e">
        <f t="shared" ref="N49:N55" si="15">I49+M49</f>
        <v>#REF!</v>
      </c>
      <c r="O49" s="97" t="e">
        <f t="shared" ref="O49:O55" si="16">$Q$47*N49*(A50-A49)</f>
        <v>#REF!</v>
      </c>
      <c r="Q49" t="s">
        <v>223</v>
      </c>
      <c r="AC49" s="104">
        <f t="shared" si="12"/>
        <v>1862.6126389386011</v>
      </c>
      <c r="AD49" s="104"/>
      <c r="AE49" s="104"/>
      <c r="AF49" s="104"/>
      <c r="AG49" s="111" t="s">
        <v>169</v>
      </c>
      <c r="AH49" s="112" t="s">
        <v>135</v>
      </c>
      <c r="AI49" s="127">
        <v>-27</v>
      </c>
      <c r="AJ49" s="114">
        <v>3500</v>
      </c>
      <c r="AK49" s="97">
        <f>AH49-AI49+AJ49/1000</f>
        <v>34.465000000000003</v>
      </c>
    </row>
    <row r="50" spans="1:38">
      <c r="A50" s="100">
        <v>6</v>
      </c>
      <c r="B50" s="100">
        <v>40</v>
      </c>
      <c r="C50" s="100">
        <v>40</v>
      </c>
      <c r="D50" s="100">
        <v>18</v>
      </c>
      <c r="E50" s="103" t="s">
        <v>141</v>
      </c>
      <c r="F50" s="133">
        <v>32</v>
      </c>
      <c r="G50" s="133">
        <v>18</v>
      </c>
      <c r="H50" s="98"/>
      <c r="I50" s="97">
        <f>$C$13*((D50*PI()*((C50/1000)^2)/4)+(G50*PI()*((F50/1000)^2)/4))</f>
        <v>291.20301952066802</v>
      </c>
      <c r="J50" s="100">
        <v>16</v>
      </c>
      <c r="K50" s="100">
        <v>300</v>
      </c>
      <c r="L50" s="98"/>
      <c r="M50" s="97">
        <f t="shared" si="14"/>
        <v>19.232420302432153</v>
      </c>
      <c r="N50" s="97">
        <f t="shared" si="15"/>
        <v>310.43543982310018</v>
      </c>
      <c r="O50" s="97">
        <f t="shared" si="16"/>
        <v>1862.6126389386011</v>
      </c>
      <c r="Q50" s="96" t="e">
        <f>O57/Q47</f>
        <v>#REF!</v>
      </c>
      <c r="R50" t="s">
        <v>111</v>
      </c>
      <c r="AC50" s="104">
        <f t="shared" si="12"/>
        <v>826.08436870687842</v>
      </c>
      <c r="AD50" s="104"/>
      <c r="AE50" s="104"/>
      <c r="AF50" s="104"/>
      <c r="AG50" s="111" t="s">
        <v>170</v>
      </c>
      <c r="AH50" s="112" t="s">
        <v>135</v>
      </c>
      <c r="AI50" s="127">
        <v>-24.5</v>
      </c>
      <c r="AJ50" s="114">
        <v>3500</v>
      </c>
      <c r="AK50" s="97">
        <f>AH50-AI50+AJ50/1000</f>
        <v>31.965</v>
      </c>
      <c r="AL50" s="104">
        <f>AVERAGE(AK47:AK50)</f>
        <v>36.965000000000003</v>
      </c>
    </row>
    <row r="51" spans="1:38">
      <c r="A51" s="100">
        <v>7.5</v>
      </c>
      <c r="B51" s="100">
        <v>40</v>
      </c>
      <c r="C51" s="100">
        <v>32</v>
      </c>
      <c r="D51" s="100">
        <v>18</v>
      </c>
      <c r="E51" s="103" t="s">
        <v>141</v>
      </c>
      <c r="F51" s="100">
        <v>0</v>
      </c>
      <c r="G51" s="100">
        <v>0</v>
      </c>
      <c r="H51" s="98"/>
      <c r="I51" s="97">
        <f t="shared" ref="I51:I55" si="17">$C$13*((D51*PI()*((C51/1000)^2)/4)+(G51*PI()*((F51/1000)^2)/4))</f>
        <v>113.64020273977286</v>
      </c>
      <c r="J51" s="100">
        <v>16</v>
      </c>
      <c r="K51" s="100">
        <v>240</v>
      </c>
      <c r="L51" s="98"/>
      <c r="M51" s="97">
        <f t="shared" si="14"/>
        <v>24.04052537804019</v>
      </c>
      <c r="N51" s="97">
        <f t="shared" si="15"/>
        <v>137.68072811781306</v>
      </c>
      <c r="O51" s="97">
        <f t="shared" si="16"/>
        <v>826.08436870687842</v>
      </c>
      <c r="AC51" s="104">
        <f t="shared" si="12"/>
        <v>2657.4524608441006</v>
      </c>
      <c r="AD51" s="104"/>
      <c r="AE51" s="104"/>
      <c r="AF51" s="104"/>
    </row>
    <row r="52" spans="1:38">
      <c r="A52" s="100">
        <v>9</v>
      </c>
      <c r="B52" s="100">
        <v>40</v>
      </c>
      <c r="C52" s="100">
        <v>32</v>
      </c>
      <c r="D52" s="100">
        <v>18</v>
      </c>
      <c r="E52" s="103" t="s">
        <v>141</v>
      </c>
      <c r="F52" s="100">
        <v>0</v>
      </c>
      <c r="G52" s="100">
        <v>0</v>
      </c>
      <c r="H52" s="98"/>
      <c r="I52" s="97">
        <f t="shared" si="17"/>
        <v>113.64020273977286</v>
      </c>
      <c r="J52" s="100">
        <v>16</v>
      </c>
      <c r="K52" s="100">
        <v>300</v>
      </c>
      <c r="L52" s="98"/>
      <c r="M52" s="97">
        <f t="shared" si="14"/>
        <v>19.232420302432153</v>
      </c>
      <c r="N52" s="97">
        <f t="shared" si="15"/>
        <v>132.87262304220502</v>
      </c>
      <c r="O52" s="97">
        <f t="shared" si="16"/>
        <v>2657.4524608441006</v>
      </c>
      <c r="AC52" s="104">
        <f t="shared" si="12"/>
        <v>1652.1687374137568</v>
      </c>
      <c r="AD52" s="104"/>
      <c r="AE52" s="104"/>
      <c r="AF52" s="104"/>
    </row>
    <row r="53" spans="1:38">
      <c r="A53" s="100">
        <v>14</v>
      </c>
      <c r="B53" s="100">
        <v>40</v>
      </c>
      <c r="C53" s="100">
        <v>32</v>
      </c>
      <c r="D53" s="100">
        <v>18</v>
      </c>
      <c r="E53" s="103" t="s">
        <v>141</v>
      </c>
      <c r="F53" s="100">
        <v>0</v>
      </c>
      <c r="G53" s="100">
        <v>0</v>
      </c>
      <c r="H53" s="98"/>
      <c r="I53" s="97">
        <f t="shared" si="17"/>
        <v>113.64020273977286</v>
      </c>
      <c r="J53" s="100">
        <v>16</v>
      </c>
      <c r="K53" s="100">
        <v>240</v>
      </c>
      <c r="L53" s="98"/>
      <c r="M53" s="97">
        <f t="shared" si="14"/>
        <v>24.04052537804019</v>
      </c>
      <c r="N53" s="97">
        <f t="shared" si="15"/>
        <v>137.68072811781306</v>
      </c>
      <c r="O53" s="97">
        <f t="shared" si="16"/>
        <v>1652.1687374137568</v>
      </c>
      <c r="AC53" s="104">
        <f t="shared" si="12"/>
        <v>2657.4524608441006</v>
      </c>
    </row>
    <row r="54" spans="1:38">
      <c r="A54" s="100">
        <v>17</v>
      </c>
      <c r="B54" s="100">
        <v>40</v>
      </c>
      <c r="C54" s="100">
        <v>32</v>
      </c>
      <c r="D54" s="100">
        <v>18</v>
      </c>
      <c r="E54" s="103" t="s">
        <v>141</v>
      </c>
      <c r="F54" s="100">
        <v>0</v>
      </c>
      <c r="G54" s="100">
        <v>0</v>
      </c>
      <c r="H54" s="98"/>
      <c r="I54" s="97">
        <f t="shared" si="17"/>
        <v>113.64020273977286</v>
      </c>
      <c r="J54" s="100">
        <v>16</v>
      </c>
      <c r="K54" s="100">
        <v>300</v>
      </c>
      <c r="L54" s="98"/>
      <c r="M54" s="97">
        <f t="shared" si="14"/>
        <v>19.232420302432153</v>
      </c>
      <c r="N54" s="97">
        <f t="shared" si="15"/>
        <v>132.87262304220502</v>
      </c>
      <c r="O54" s="97">
        <f t="shared" si="16"/>
        <v>2657.4524608441006</v>
      </c>
      <c r="AC54" s="104">
        <f t="shared" si="12"/>
        <v>516.10455592687481</v>
      </c>
    </row>
    <row r="55" spans="1:38">
      <c r="A55" s="100">
        <v>22</v>
      </c>
      <c r="B55" s="100">
        <v>40</v>
      </c>
      <c r="C55" s="100">
        <v>32</v>
      </c>
      <c r="D55" s="100">
        <v>18</v>
      </c>
      <c r="E55" s="103" t="s">
        <v>141</v>
      </c>
      <c r="F55" s="100">
        <v>16</v>
      </c>
      <c r="G55" s="100">
        <v>18</v>
      </c>
      <c r="H55" s="98"/>
      <c r="I55" s="97">
        <f t="shared" si="17"/>
        <v>142.05025342471609</v>
      </c>
      <c r="J55" s="100">
        <v>16</v>
      </c>
      <c r="K55" s="100">
        <v>300</v>
      </c>
      <c r="L55" s="98"/>
      <c r="M55" s="97">
        <f t="shared" si="14"/>
        <v>19.232420302432153</v>
      </c>
      <c r="N55" s="97">
        <f t="shared" si="15"/>
        <v>161.28267372714825</v>
      </c>
      <c r="O55" s="97">
        <f t="shared" si="16"/>
        <v>516.10455592687481</v>
      </c>
      <c r="AC55">
        <f>N56*(21-A56)</f>
        <v>-85.756447777275696</v>
      </c>
    </row>
    <row r="56" spans="1:38" ht="15.75" thickBot="1">
      <c r="A56" s="100">
        <v>22.8</v>
      </c>
      <c r="B56" s="100">
        <v>40</v>
      </c>
      <c r="C56" s="100">
        <v>16</v>
      </c>
      <c r="D56" s="100">
        <v>18</v>
      </c>
      <c r="E56" s="103" t="s">
        <v>141</v>
      </c>
      <c r="F56" s="100">
        <v>0</v>
      </c>
      <c r="G56" s="100">
        <v>0</v>
      </c>
      <c r="H56" s="98"/>
      <c r="I56" s="97">
        <f>$C$13*((D56*PI()*((C56/1000)^2)/4)+(G56*PI()*((F56/1000)^2)/4))</f>
        <v>28.410050684943215</v>
      </c>
      <c r="J56" s="100">
        <v>16</v>
      </c>
      <c r="K56" s="100">
        <v>300</v>
      </c>
      <c r="L56" s="98"/>
      <c r="M56" s="97">
        <f t="shared" si="14"/>
        <v>19.232420302432153</v>
      </c>
      <c r="N56" s="97">
        <f>I56+M56</f>
        <v>47.642470987375368</v>
      </c>
      <c r="O56" s="97">
        <f>$Q$47*N56*($AL$50-A56)</f>
        <v>2699.4224061446889</v>
      </c>
      <c r="AC56" s="99" t="e">
        <f>SUM(AC47:AC55)</f>
        <v>#REF!</v>
      </c>
      <c r="AD56" s="115" t="e">
        <f>O57-AC56</f>
        <v>#REF!</v>
      </c>
      <c r="AE56" s="115"/>
      <c r="AF56" s="115"/>
    </row>
    <row r="57" spans="1:38" ht="16.5" thickTop="1" thickBot="1">
      <c r="O57" s="99" t="e">
        <f>SUM(O48:O56)</f>
        <v>#REF!</v>
      </c>
      <c r="P57" s="89" t="s">
        <v>148</v>
      </c>
      <c r="Q57" s="102" t="e">
        <f>O57/$D$11/Q47</f>
        <v>#REF!</v>
      </c>
      <c r="R57" t="s">
        <v>121</v>
      </c>
    </row>
    <row r="58" spans="1:38" ht="15.75" thickTop="1">
      <c r="P58" s="89" t="s">
        <v>148</v>
      </c>
      <c r="Q58" s="102" t="e">
        <f>(O57/Q47)/('ss_ IFIR Summary (03.07)'!O55/'ss_ IFIR Summary (03.07)'!Q45)</f>
        <v>#REF!</v>
      </c>
      <c r="R58" t="s">
        <v>224</v>
      </c>
      <c r="AG58" s="146" t="s">
        <v>171</v>
      </c>
      <c r="AH58" s="146"/>
      <c r="AI58" s="146"/>
      <c r="AJ58" s="146"/>
      <c r="AK58" s="146"/>
    </row>
    <row r="59" spans="1:38" ht="18.75">
      <c r="A59" s="1" t="s">
        <v>172</v>
      </c>
      <c r="AG59" s="3" t="s">
        <v>17</v>
      </c>
      <c r="AH59" s="3" t="s">
        <v>128</v>
      </c>
      <c r="AI59" s="3" t="s">
        <v>129</v>
      </c>
      <c r="AJ59" s="3" t="s">
        <v>130</v>
      </c>
      <c r="AK59" s="3" t="s">
        <v>131</v>
      </c>
    </row>
    <row r="60" spans="1:38">
      <c r="AG60" s="111" t="s">
        <v>173</v>
      </c>
      <c r="AH60" s="112" t="s">
        <v>154</v>
      </c>
      <c r="AI60" s="127">
        <v>-34</v>
      </c>
      <c r="AJ60" s="114">
        <v>4000</v>
      </c>
      <c r="AK60" s="97">
        <f t="shared" ref="AK60:AK61" si="18">AH60-AI60+AJ60/1000</f>
        <v>41.765000000000001</v>
      </c>
    </row>
    <row r="61" spans="1:38" ht="14.45" customHeight="1">
      <c r="A61" s="144" t="s">
        <v>151</v>
      </c>
      <c r="B61" s="145" t="s">
        <v>132</v>
      </c>
      <c r="C61" s="146" t="s">
        <v>133</v>
      </c>
      <c r="D61" s="146"/>
      <c r="E61" s="146"/>
      <c r="F61" s="146"/>
      <c r="G61" s="146"/>
      <c r="H61" s="146"/>
      <c r="I61" s="146"/>
      <c r="J61" s="146" t="s">
        <v>72</v>
      </c>
      <c r="K61" s="146"/>
      <c r="L61" s="146"/>
      <c r="M61" s="146"/>
      <c r="N61" s="145" t="s">
        <v>109</v>
      </c>
      <c r="O61" s="145" t="s">
        <v>110</v>
      </c>
      <c r="Q61" t="s">
        <v>174</v>
      </c>
      <c r="AG61" s="111" t="s">
        <v>175</v>
      </c>
      <c r="AH61" s="112" t="s">
        <v>154</v>
      </c>
      <c r="AI61" s="127">
        <v>-33</v>
      </c>
      <c r="AJ61" s="114">
        <v>4000</v>
      </c>
      <c r="AK61" s="97">
        <f t="shared" si="18"/>
        <v>40.765000000000001</v>
      </c>
    </row>
    <row r="62" spans="1:38">
      <c r="A62" s="144"/>
      <c r="B62" s="145"/>
      <c r="C62" s="3" t="s">
        <v>136</v>
      </c>
      <c r="D62" s="3" t="s">
        <v>137</v>
      </c>
      <c r="F62" s="3" t="s">
        <v>136</v>
      </c>
      <c r="G62" s="3" t="s">
        <v>137</v>
      </c>
      <c r="H62" s="3" t="s">
        <v>138</v>
      </c>
      <c r="I62" s="3" t="s">
        <v>109</v>
      </c>
      <c r="J62" s="3" t="s">
        <v>136</v>
      </c>
      <c r="K62" s="3" t="s">
        <v>139</v>
      </c>
      <c r="L62" s="3" t="s">
        <v>138</v>
      </c>
      <c r="M62" s="3" t="s">
        <v>109</v>
      </c>
      <c r="N62" s="145"/>
      <c r="O62" s="145"/>
      <c r="Q62" s="5">
        <v>4</v>
      </c>
      <c r="AC62" s="104" t="e">
        <f>O63</f>
        <v>#REF!</v>
      </c>
      <c r="AG62" s="111" t="s">
        <v>178</v>
      </c>
      <c r="AH62" s="112" t="s">
        <v>154</v>
      </c>
      <c r="AI62" s="127">
        <v>-22.5</v>
      </c>
      <c r="AJ62" s="114">
        <v>4000</v>
      </c>
      <c r="AK62" s="97">
        <f>AH62-AI62+AJ62/1000</f>
        <v>30.265000000000001</v>
      </c>
    </row>
    <row r="63" spans="1:38">
      <c r="A63" s="100">
        <v>0</v>
      </c>
      <c r="B63" s="100">
        <v>40</v>
      </c>
      <c r="C63" s="133">
        <v>32</v>
      </c>
      <c r="D63" s="100" t="e">
        <f>#REF!</f>
        <v>#REF!</v>
      </c>
      <c r="E63" s="103" t="s">
        <v>141</v>
      </c>
      <c r="F63" s="100">
        <v>0</v>
      </c>
      <c r="G63" s="100">
        <v>0</v>
      </c>
      <c r="H63" s="98"/>
      <c r="I63" s="97" t="e">
        <f>$C$13*((D63*PI()*((C63/1000)^2)/4)+(G63*PI()*((F63/1000)^2)/4))</f>
        <v>#REF!</v>
      </c>
      <c r="J63" s="100">
        <v>16</v>
      </c>
      <c r="K63" s="100">
        <v>300</v>
      </c>
      <c r="L63" s="98"/>
      <c r="M63" s="97">
        <f>$C$13*$C$16*PI()*((J63/1000)^2)/4*1000/K63</f>
        <v>19.232420302432153</v>
      </c>
      <c r="N63" s="97" t="e">
        <f>I63+M63</f>
        <v>#REF!</v>
      </c>
      <c r="O63" s="97" t="e">
        <f>$Q$62*N63*(A64-A63)</f>
        <v>#REF!</v>
      </c>
      <c r="AC63" s="104">
        <f>O64</f>
        <v>797.23573825323012</v>
      </c>
      <c r="AG63" s="111" t="s">
        <v>179</v>
      </c>
      <c r="AH63" s="112" t="s">
        <v>154</v>
      </c>
      <c r="AI63" s="127">
        <v>-20.5</v>
      </c>
      <c r="AJ63" s="114">
        <v>4000</v>
      </c>
      <c r="AK63" s="97">
        <f>AH63-AI63+AJ63/1000</f>
        <v>28.265000000000001</v>
      </c>
      <c r="AL63" s="104">
        <f>AVERAGE(AK60:AK63)</f>
        <v>35.265000000000001</v>
      </c>
    </row>
    <row r="64" spans="1:38">
      <c r="A64" s="100">
        <v>10.5</v>
      </c>
      <c r="B64" s="100">
        <v>40</v>
      </c>
      <c r="C64" s="133">
        <v>32</v>
      </c>
      <c r="D64" s="100">
        <v>18</v>
      </c>
      <c r="E64" s="103" t="s">
        <v>141</v>
      </c>
      <c r="F64" s="100">
        <v>0</v>
      </c>
      <c r="G64" s="100">
        <v>0</v>
      </c>
      <c r="H64" s="98"/>
      <c r="I64" s="97">
        <f>$C$13*((D64*PI()*((C64/1000)^2)/4)+(G64*PI()*((F64/1000)^2)/4))</f>
        <v>113.64020273977286</v>
      </c>
      <c r="J64" s="100">
        <v>16</v>
      </c>
      <c r="K64" s="100">
        <v>300</v>
      </c>
      <c r="L64" s="98"/>
      <c r="M64" s="97">
        <f t="shared" ref="M64:M71" si="19">$C$13*$C$16*PI()*((J64/1000)^2)/4*1000/K64</f>
        <v>19.232420302432153</v>
      </c>
      <c r="N64" s="97">
        <f>I64+M64</f>
        <v>132.87262304220502</v>
      </c>
      <c r="O64" s="97">
        <f>$Q$62*N64*(A65-A64)</f>
        <v>797.23573825323012</v>
      </c>
      <c r="Q64" t="s">
        <v>223</v>
      </c>
      <c r="AC64" s="104">
        <f>O65</f>
        <v>425.19239373505644</v>
      </c>
    </row>
    <row r="65" spans="1:38">
      <c r="A65" s="100">
        <v>12</v>
      </c>
      <c r="B65" s="100">
        <v>40</v>
      </c>
      <c r="C65" s="133">
        <v>32</v>
      </c>
      <c r="D65" s="100">
        <v>18</v>
      </c>
      <c r="E65" s="103" t="s">
        <v>141</v>
      </c>
      <c r="F65" s="100">
        <v>0</v>
      </c>
      <c r="G65" s="100">
        <v>0</v>
      </c>
      <c r="H65" s="98"/>
      <c r="I65" s="97">
        <f>$C$13*((D65*PI()*((C65/1000)^2)/4)+(G65*PI()*((F65/1000)^2)/4))</f>
        <v>113.64020273977286</v>
      </c>
      <c r="J65" s="100">
        <v>16</v>
      </c>
      <c r="K65" s="100">
        <v>300</v>
      </c>
      <c r="L65" s="98"/>
      <c r="M65" s="97">
        <f t="shared" si="19"/>
        <v>19.232420302432153</v>
      </c>
      <c r="N65" s="97">
        <f>I65+M65</f>
        <v>132.87262304220502</v>
      </c>
      <c r="O65" s="97">
        <f>$Q$62*N65*(A66-A65)</f>
        <v>425.19239373505644</v>
      </c>
      <c r="Q65" s="96" t="e">
        <f>O72/Q62</f>
        <v>#REF!</v>
      </c>
      <c r="R65" t="s">
        <v>111</v>
      </c>
      <c r="AC65">
        <f>N71*(30-A71)</f>
        <v>-177.18579121493866</v>
      </c>
    </row>
    <row r="66" spans="1:38" ht="15.75" thickBot="1">
      <c r="A66" s="100">
        <v>12.8</v>
      </c>
      <c r="B66" s="100">
        <v>40</v>
      </c>
      <c r="C66" s="133">
        <v>32</v>
      </c>
      <c r="D66" s="100">
        <v>18</v>
      </c>
      <c r="E66" s="103" t="s">
        <v>141</v>
      </c>
      <c r="F66" s="100">
        <v>0</v>
      </c>
      <c r="G66" s="100">
        <v>0</v>
      </c>
      <c r="H66" s="98"/>
      <c r="I66" s="97">
        <f t="shared" ref="I66:I70" si="20">$C$13*((D66*PI()*((C66/1000)^2)/4)+(G66*PI()*((F66/1000)^2)/4))</f>
        <v>113.64020273977286</v>
      </c>
      <c r="J66" s="100">
        <v>16</v>
      </c>
      <c r="K66" s="100">
        <v>300</v>
      </c>
      <c r="L66" s="98"/>
      <c r="M66" s="97">
        <f t="shared" si="19"/>
        <v>19.232420302432153</v>
      </c>
      <c r="N66" s="97">
        <f t="shared" ref="N66:N70" si="21">I66+M66</f>
        <v>132.87262304220502</v>
      </c>
      <c r="O66" s="97">
        <f t="shared" ref="O66:O70" si="22">$Q$62*N66*(A67-A66)</f>
        <v>637.78859060258367</v>
      </c>
      <c r="AC66" s="99" t="e">
        <f>SUM(AC62:AC65)</f>
        <v>#REF!</v>
      </c>
      <c r="AD66" s="115" t="e">
        <f>O72-AC66</f>
        <v>#REF!</v>
      </c>
      <c r="AG66" s="104"/>
      <c r="AH66" s="104"/>
      <c r="AI66" s="104"/>
      <c r="AJ66" s="104"/>
      <c r="AK66" s="104"/>
      <c r="AL66" s="104"/>
    </row>
    <row r="67" spans="1:38" ht="15.75" thickTop="1">
      <c r="A67" s="100">
        <v>14</v>
      </c>
      <c r="B67" s="100">
        <v>40</v>
      </c>
      <c r="C67" s="133">
        <v>32</v>
      </c>
      <c r="D67" s="100">
        <v>18</v>
      </c>
      <c r="E67" s="103" t="s">
        <v>141</v>
      </c>
      <c r="F67" s="133">
        <v>20</v>
      </c>
      <c r="G67" s="133">
        <v>18</v>
      </c>
      <c r="H67" s="98"/>
      <c r="I67" s="97">
        <f t="shared" si="20"/>
        <v>158.03090693499664</v>
      </c>
      <c r="J67" s="100">
        <v>16</v>
      </c>
      <c r="K67" s="100">
        <v>300</v>
      </c>
      <c r="L67" s="98"/>
      <c r="M67" s="97">
        <f t="shared" si="19"/>
        <v>19.232420302432153</v>
      </c>
      <c r="N67" s="97">
        <f t="shared" si="21"/>
        <v>177.2633272374288</v>
      </c>
      <c r="O67" s="97">
        <f t="shared" si="22"/>
        <v>6381.4797805474363</v>
      </c>
      <c r="AG67" s="104"/>
      <c r="AH67" s="104"/>
      <c r="AI67" s="104"/>
      <c r="AJ67" s="104"/>
      <c r="AK67" s="104"/>
      <c r="AL67" s="104"/>
    </row>
    <row r="68" spans="1:38">
      <c r="A68" s="100">
        <v>23</v>
      </c>
      <c r="B68" s="100">
        <v>40</v>
      </c>
      <c r="C68" s="133">
        <v>32</v>
      </c>
      <c r="D68" s="100">
        <v>18</v>
      </c>
      <c r="E68" s="103" t="s">
        <v>141</v>
      </c>
      <c r="F68" s="100">
        <v>0</v>
      </c>
      <c r="G68" s="100">
        <v>0</v>
      </c>
      <c r="H68" s="98"/>
      <c r="I68" s="97">
        <f t="shared" si="20"/>
        <v>113.64020273977286</v>
      </c>
      <c r="J68" s="100">
        <v>16</v>
      </c>
      <c r="K68" s="100">
        <v>300</v>
      </c>
      <c r="L68" s="98"/>
      <c r="M68" s="97">
        <f t="shared" si="19"/>
        <v>19.232420302432153</v>
      </c>
      <c r="N68" s="97">
        <f t="shared" si="21"/>
        <v>132.87262304220502</v>
      </c>
      <c r="O68" s="97">
        <f t="shared" si="22"/>
        <v>637.78859060258367</v>
      </c>
      <c r="AG68" s="104"/>
      <c r="AH68" s="104"/>
      <c r="AI68" s="104"/>
      <c r="AJ68" s="104"/>
      <c r="AK68" s="104"/>
      <c r="AL68" s="104"/>
    </row>
    <row r="69" spans="1:38">
      <c r="A69" s="100">
        <v>24.2</v>
      </c>
      <c r="B69" s="100">
        <v>40</v>
      </c>
      <c r="C69" s="133">
        <v>25</v>
      </c>
      <c r="D69" s="100">
        <v>18</v>
      </c>
      <c r="E69" s="103" t="s">
        <v>141</v>
      </c>
      <c r="F69" s="100">
        <v>0</v>
      </c>
      <c r="G69" s="100">
        <v>0</v>
      </c>
      <c r="H69" s="98"/>
      <c r="I69" s="97">
        <f t="shared" si="20"/>
        <v>69.36047530503717</v>
      </c>
      <c r="J69" s="100">
        <v>16</v>
      </c>
      <c r="K69" s="100">
        <v>300</v>
      </c>
      <c r="L69" s="98"/>
      <c r="M69" s="97">
        <f t="shared" si="19"/>
        <v>19.232420302432153</v>
      </c>
      <c r="N69" s="97">
        <f t="shared" si="21"/>
        <v>88.59289560746933</v>
      </c>
      <c r="O69" s="97">
        <f t="shared" si="22"/>
        <v>2409.7267605231659</v>
      </c>
      <c r="AG69" s="104"/>
      <c r="AH69" s="104"/>
      <c r="AI69" s="104"/>
      <c r="AJ69" s="104"/>
      <c r="AK69" s="104"/>
      <c r="AL69" s="104"/>
    </row>
    <row r="70" spans="1:38">
      <c r="A70" s="100">
        <v>31</v>
      </c>
      <c r="B70" s="100">
        <v>40</v>
      </c>
      <c r="C70" s="133">
        <v>25</v>
      </c>
      <c r="D70" s="100">
        <v>18</v>
      </c>
      <c r="E70" s="103" t="s">
        <v>141</v>
      </c>
      <c r="F70" s="100">
        <v>0</v>
      </c>
      <c r="G70" s="100">
        <v>0</v>
      </c>
      <c r="H70" s="98"/>
      <c r="I70" s="97">
        <f t="shared" si="20"/>
        <v>69.36047530503717</v>
      </c>
      <c r="J70" s="100">
        <v>16</v>
      </c>
      <c r="K70" s="100">
        <v>300</v>
      </c>
      <c r="L70" s="98"/>
      <c r="M70" s="97">
        <f t="shared" si="19"/>
        <v>19.232420302432153</v>
      </c>
      <c r="N70" s="97">
        <f t="shared" si="21"/>
        <v>88.59289560746933</v>
      </c>
      <c r="O70" s="97">
        <f t="shared" si="22"/>
        <v>354.37158242987732</v>
      </c>
      <c r="AL70" s="104"/>
    </row>
    <row r="71" spans="1:38">
      <c r="A71" s="100">
        <v>32</v>
      </c>
      <c r="B71" s="100">
        <v>40</v>
      </c>
      <c r="C71" s="133">
        <v>25</v>
      </c>
      <c r="D71" s="100">
        <v>18</v>
      </c>
      <c r="E71" s="103" t="s">
        <v>141</v>
      </c>
      <c r="F71" s="100">
        <v>0</v>
      </c>
      <c r="G71" s="100">
        <v>0</v>
      </c>
      <c r="H71" s="98"/>
      <c r="I71" s="97">
        <f>$C$13*((D71*PI()*((C71/1000)^2)/4)+(G71*PI()*((F71/1000)^2)/4))</f>
        <v>69.36047530503717</v>
      </c>
      <c r="J71" s="100">
        <v>16</v>
      </c>
      <c r="K71" s="100">
        <v>300</v>
      </c>
      <c r="L71" s="98"/>
      <c r="M71" s="97">
        <f t="shared" si="19"/>
        <v>19.232420302432153</v>
      </c>
      <c r="N71" s="97">
        <f>I71+M71</f>
        <v>88.59289560746933</v>
      </c>
      <c r="O71" s="97">
        <f>$Q$62*N71*($AL$63-A71)</f>
        <v>1157.0232166335497</v>
      </c>
    </row>
    <row r="72" spans="1:38" ht="15.75" thickBot="1">
      <c r="O72" s="99" t="e">
        <f>SUM(O63:O71)</f>
        <v>#REF!</v>
      </c>
      <c r="P72" s="89" t="s">
        <v>148</v>
      </c>
      <c r="Q72" s="102" t="e">
        <f>O72/$I$10/Q62</f>
        <v>#REF!</v>
      </c>
      <c r="R72" t="s">
        <v>121</v>
      </c>
      <c r="AG72" s="146" t="s">
        <v>181</v>
      </c>
      <c r="AH72" s="146"/>
      <c r="AI72" s="146"/>
      <c r="AJ72" s="146"/>
      <c r="AK72" s="146"/>
    </row>
    <row r="73" spans="1:38" ht="15.75" thickTop="1">
      <c r="K73" s="104"/>
      <c r="P73" s="89" t="s">
        <v>148</v>
      </c>
      <c r="Q73" s="102" t="e">
        <f>(O72/Q62)/('ss_ IFIR Summary (03.07)'!O65/'ss_ IFIR Summary (03.07)'!Q60)</f>
        <v>#REF!</v>
      </c>
      <c r="R73" t="s">
        <v>224</v>
      </c>
      <c r="AG73" s="3" t="s">
        <v>17</v>
      </c>
      <c r="AH73" s="3" t="s">
        <v>128</v>
      </c>
      <c r="AI73" s="3" t="s">
        <v>129</v>
      </c>
      <c r="AJ73" s="3" t="s">
        <v>130</v>
      </c>
      <c r="AK73" s="3" t="s">
        <v>131</v>
      </c>
    </row>
    <row r="74" spans="1:38" ht="18.75">
      <c r="A74" s="1" t="s">
        <v>180</v>
      </c>
      <c r="AG74" s="111" t="s">
        <v>167</v>
      </c>
      <c r="AH74" s="112" t="s">
        <v>135</v>
      </c>
      <c r="AI74" s="127">
        <v>-34.5</v>
      </c>
      <c r="AJ74" s="114">
        <v>3000</v>
      </c>
      <c r="AK74" s="97">
        <f t="shared" ref="AK74" si="23">AH74-AI74+AJ74/1000</f>
        <v>41.465000000000003</v>
      </c>
    </row>
    <row r="75" spans="1:38">
      <c r="AG75" s="111" t="s">
        <v>183</v>
      </c>
      <c r="AH75" s="112" t="s">
        <v>135</v>
      </c>
      <c r="AI75" s="127">
        <v>-35</v>
      </c>
      <c r="AJ75" s="114">
        <v>3000</v>
      </c>
      <c r="AK75" s="97">
        <f>AH75-AI75+AJ75/1000</f>
        <v>41.965000000000003</v>
      </c>
    </row>
    <row r="76" spans="1:38" ht="14.45" customHeight="1">
      <c r="A76" s="148" t="s">
        <v>151</v>
      </c>
      <c r="B76" s="150" t="s">
        <v>132</v>
      </c>
      <c r="C76" s="146" t="s">
        <v>133</v>
      </c>
      <c r="D76" s="146"/>
      <c r="E76" s="146"/>
      <c r="F76" s="146"/>
      <c r="G76" s="146"/>
      <c r="H76" s="146"/>
      <c r="I76" s="146"/>
      <c r="J76" s="152" t="s">
        <v>72</v>
      </c>
      <c r="K76" s="153"/>
      <c r="L76" s="153"/>
      <c r="M76" s="154"/>
      <c r="N76" s="150" t="s">
        <v>109</v>
      </c>
      <c r="O76" s="150" t="s">
        <v>110</v>
      </c>
      <c r="Q76" t="s">
        <v>182</v>
      </c>
      <c r="AG76" s="111" t="s">
        <v>184</v>
      </c>
      <c r="AH76" s="112" t="s">
        <v>135</v>
      </c>
      <c r="AI76" s="127">
        <v>-35</v>
      </c>
      <c r="AJ76" s="114">
        <v>3000</v>
      </c>
      <c r="AK76" s="97">
        <f t="shared" ref="AK76:AK86" si="24">AH76-AI76+AJ76/1000</f>
        <v>41.965000000000003</v>
      </c>
    </row>
    <row r="77" spans="1:38">
      <c r="A77" s="149"/>
      <c r="B77" s="151"/>
      <c r="C77" s="3" t="s">
        <v>136</v>
      </c>
      <c r="D77" s="3" t="s">
        <v>137</v>
      </c>
      <c r="F77" s="3" t="s">
        <v>136</v>
      </c>
      <c r="G77" s="3" t="s">
        <v>137</v>
      </c>
      <c r="H77" s="3" t="s">
        <v>138</v>
      </c>
      <c r="I77" s="3" t="s">
        <v>109</v>
      </c>
      <c r="J77" s="3" t="s">
        <v>136</v>
      </c>
      <c r="K77" s="3" t="s">
        <v>139</v>
      </c>
      <c r="L77" s="3" t="s">
        <v>138</v>
      </c>
      <c r="M77" s="3" t="s">
        <v>109</v>
      </c>
      <c r="N77" s="151"/>
      <c r="O77" s="151"/>
      <c r="Q77" s="5">
        <v>13</v>
      </c>
      <c r="AC77" s="104">
        <f t="shared" ref="AC77:AC84" si="25">O78</f>
        <v>13371.423666278724</v>
      </c>
      <c r="AD77" s="104"/>
      <c r="AE77" s="104"/>
      <c r="AF77" s="104"/>
      <c r="AG77" s="111" t="s">
        <v>185</v>
      </c>
      <c r="AH77" s="112" t="s">
        <v>135</v>
      </c>
      <c r="AI77" s="127">
        <v>-35.5</v>
      </c>
      <c r="AJ77" s="114">
        <v>3000</v>
      </c>
      <c r="AK77" s="97">
        <f t="shared" si="24"/>
        <v>42.465000000000003</v>
      </c>
    </row>
    <row r="78" spans="1:38">
      <c r="A78" s="100">
        <v>0</v>
      </c>
      <c r="B78" s="100">
        <v>40</v>
      </c>
      <c r="C78" s="100">
        <v>40</v>
      </c>
      <c r="D78" s="100">
        <v>18</v>
      </c>
      <c r="E78" s="103" t="s">
        <v>141</v>
      </c>
      <c r="F78" s="100">
        <v>25</v>
      </c>
      <c r="G78" s="100">
        <v>18</v>
      </c>
      <c r="H78" s="98" t="e">
        <f>#REF!</f>
        <v>#REF!</v>
      </c>
      <c r="I78" s="97">
        <f>$C$13*((D78*PI()*((C78/1000)^2)/4)+(G78*PI()*((F78/1000)^2)/4))</f>
        <v>246.9232920859323</v>
      </c>
      <c r="J78" s="100">
        <v>25</v>
      </c>
      <c r="K78" s="100">
        <v>300</v>
      </c>
      <c r="L78" s="98" t="e">
        <f>MAX(#REF!,#REF!)</f>
        <v>#REF!</v>
      </c>
      <c r="M78" s="97">
        <f>$C$13*$C$16*PI()*((J78/1000)^2)/4*1000/K78</f>
        <v>46.954151128984755</v>
      </c>
      <c r="N78" s="97">
        <f t="shared" ref="N78:N86" si="26">I78+M78</f>
        <v>293.87744321491704</v>
      </c>
      <c r="O78" s="97">
        <f>$Q$77*N78*(A79-A78)</f>
        <v>13371.423666278724</v>
      </c>
      <c r="AC78" s="104">
        <f t="shared" si="25"/>
        <v>4378.080874242658</v>
      </c>
      <c r="AD78" s="104"/>
      <c r="AE78" s="104"/>
      <c r="AF78" s="104"/>
      <c r="AG78" s="111" t="s">
        <v>186</v>
      </c>
      <c r="AH78" s="112" t="s">
        <v>135</v>
      </c>
      <c r="AI78" s="127">
        <v>-36</v>
      </c>
      <c r="AJ78" s="114">
        <v>3000</v>
      </c>
      <c r="AK78" s="97">
        <f t="shared" si="24"/>
        <v>42.965000000000003</v>
      </c>
    </row>
    <row r="79" spans="1:38">
      <c r="A79" s="133">
        <v>3.5</v>
      </c>
      <c r="B79" s="100">
        <v>40</v>
      </c>
      <c r="C79" s="100">
        <v>40</v>
      </c>
      <c r="D79" s="100">
        <v>18</v>
      </c>
      <c r="E79" s="103" t="s">
        <v>141</v>
      </c>
      <c r="F79" s="100">
        <v>0</v>
      </c>
      <c r="G79" s="100">
        <v>0</v>
      </c>
      <c r="H79" s="98" t="e">
        <f>#REF!</f>
        <v>#REF!</v>
      </c>
      <c r="I79" s="97">
        <f t="shared" ref="I79:I86" si="27">$C$13*((D79*PI()*((C79/1000)^2)/4)+(G79*PI()*((F79/1000)^2)/4))</f>
        <v>177.56281678089513</v>
      </c>
      <c r="J79" s="100">
        <v>25</v>
      </c>
      <c r="K79" s="100">
        <v>300</v>
      </c>
      <c r="L79" s="98" t="e">
        <f>MAX(#REF!,#REF!)</f>
        <v>#REF!</v>
      </c>
      <c r="M79" s="97">
        <f t="shared" ref="M79:M86" si="28">$C$13*$C$16*PI()*((J79/1000)^2)/4*1000/K79</f>
        <v>46.954151128984755</v>
      </c>
      <c r="N79" s="97">
        <f t="shared" si="26"/>
        <v>224.5169679098799</v>
      </c>
      <c r="O79" s="97">
        <f t="shared" ref="O79:O85" si="29">$Q$77*N79*(A80-A79)</f>
        <v>4378.080874242658</v>
      </c>
      <c r="Q79" t="s">
        <v>223</v>
      </c>
      <c r="AC79" s="104">
        <f t="shared" si="25"/>
        <v>2017.8303588501512</v>
      </c>
      <c r="AD79" s="104"/>
      <c r="AE79" s="104"/>
      <c r="AF79" s="104"/>
      <c r="AG79" s="111" t="s">
        <v>187</v>
      </c>
      <c r="AH79" s="112" t="s">
        <v>135</v>
      </c>
      <c r="AI79" s="127">
        <v>-37</v>
      </c>
      <c r="AJ79" s="114">
        <v>3000</v>
      </c>
      <c r="AK79" s="97">
        <f t="shared" si="24"/>
        <v>43.965000000000003</v>
      </c>
    </row>
    <row r="80" spans="1:38">
      <c r="A80" s="133">
        <v>5</v>
      </c>
      <c r="B80" s="100">
        <v>40</v>
      </c>
      <c r="C80" s="100">
        <v>40</v>
      </c>
      <c r="D80" s="100">
        <v>18</v>
      </c>
      <c r="E80" s="103" t="s">
        <v>141</v>
      </c>
      <c r="F80" s="100">
        <v>32</v>
      </c>
      <c r="G80" s="100">
        <v>18</v>
      </c>
      <c r="H80" s="98" t="e">
        <f>#REF!</f>
        <v>#REF!</v>
      </c>
      <c r="I80" s="97">
        <f t="shared" si="27"/>
        <v>291.20301952066802</v>
      </c>
      <c r="J80" s="100">
        <v>16</v>
      </c>
      <c r="K80" s="100">
        <v>300</v>
      </c>
      <c r="L80" s="98" t="e">
        <f>MAX(#REF!,#REF!)</f>
        <v>#REF!</v>
      </c>
      <c r="M80" s="97">
        <f t="shared" si="28"/>
        <v>19.232420302432153</v>
      </c>
      <c r="N80" s="97">
        <f t="shared" si="26"/>
        <v>310.43543982310018</v>
      </c>
      <c r="O80" s="97">
        <f t="shared" si="29"/>
        <v>2017.8303588501512</v>
      </c>
      <c r="Q80" s="96">
        <f>O87/Q77</f>
        <v>5570.926231160488</v>
      </c>
      <c r="R80" t="s">
        <v>111</v>
      </c>
      <c r="AC80" s="104">
        <f t="shared" si="25"/>
        <v>2326.8043051910404</v>
      </c>
      <c r="AD80" s="104"/>
      <c r="AE80" s="104"/>
      <c r="AF80" s="104"/>
      <c r="AG80" s="111" t="s">
        <v>188</v>
      </c>
      <c r="AH80" s="112" t="s">
        <v>135</v>
      </c>
      <c r="AI80" s="127">
        <v>-37</v>
      </c>
      <c r="AJ80" s="114">
        <v>3000</v>
      </c>
      <c r="AK80" s="97">
        <f t="shared" si="24"/>
        <v>43.965000000000003</v>
      </c>
    </row>
    <row r="81" spans="1:38">
      <c r="A81" s="100">
        <v>5.5</v>
      </c>
      <c r="B81" s="100">
        <v>40</v>
      </c>
      <c r="C81" s="133">
        <v>32</v>
      </c>
      <c r="D81" s="100">
        <v>18</v>
      </c>
      <c r="E81" s="103" t="s">
        <v>141</v>
      </c>
      <c r="F81" s="100">
        <v>0</v>
      </c>
      <c r="G81" s="100">
        <v>0</v>
      </c>
      <c r="H81" s="98" t="e">
        <f>H80</f>
        <v>#REF!</v>
      </c>
      <c r="I81" s="97">
        <f t="shared" si="27"/>
        <v>113.64020273977286</v>
      </c>
      <c r="J81" s="100">
        <v>16</v>
      </c>
      <c r="K81" s="100">
        <v>240</v>
      </c>
      <c r="L81" s="98" t="e">
        <f>L80</f>
        <v>#REF!</v>
      </c>
      <c r="M81" s="97">
        <f t="shared" si="28"/>
        <v>24.04052537804019</v>
      </c>
      <c r="N81" s="97">
        <f t="shared" si="26"/>
        <v>137.68072811781306</v>
      </c>
      <c r="O81" s="97">
        <f t="shared" si="29"/>
        <v>2326.8043051910404</v>
      </c>
      <c r="AC81" s="104">
        <f t="shared" si="25"/>
        <v>23073.600493193131</v>
      </c>
      <c r="AD81" s="104"/>
      <c r="AE81" s="104"/>
      <c r="AF81" s="104"/>
      <c r="AG81" s="111" t="s">
        <v>189</v>
      </c>
      <c r="AH81" s="112" t="s">
        <v>135</v>
      </c>
      <c r="AI81" s="127">
        <v>-37.5</v>
      </c>
      <c r="AJ81" s="114">
        <v>3000</v>
      </c>
      <c r="AK81" s="97">
        <f t="shared" si="24"/>
        <v>44.465000000000003</v>
      </c>
    </row>
    <row r="82" spans="1:38">
      <c r="A82" s="100">
        <v>6.8</v>
      </c>
      <c r="B82" s="100">
        <v>40</v>
      </c>
      <c r="C82" s="133">
        <v>32</v>
      </c>
      <c r="D82" s="100">
        <v>18</v>
      </c>
      <c r="E82" s="103" t="s">
        <v>141</v>
      </c>
      <c r="F82" s="134">
        <v>32</v>
      </c>
      <c r="G82" s="100">
        <v>18</v>
      </c>
      <c r="H82" s="98" t="e">
        <f>H81</f>
        <v>#REF!</v>
      </c>
      <c r="I82" s="97">
        <f t="shared" si="27"/>
        <v>227.28040547954572</v>
      </c>
      <c r="J82" s="100">
        <v>16</v>
      </c>
      <c r="K82" s="100">
        <v>300</v>
      </c>
      <c r="L82" s="98" t="e">
        <f>L81</f>
        <v>#REF!</v>
      </c>
      <c r="M82" s="97">
        <f t="shared" si="28"/>
        <v>19.232420302432153</v>
      </c>
      <c r="N82" s="97">
        <f t="shared" si="26"/>
        <v>246.51282578197788</v>
      </c>
      <c r="O82" s="97">
        <f t="shared" si="29"/>
        <v>23073.600493193131</v>
      </c>
      <c r="AC82" s="104">
        <f t="shared" si="25"/>
        <v>894.92473276578494</v>
      </c>
      <c r="AD82" s="104"/>
      <c r="AE82" s="104"/>
      <c r="AF82" s="104"/>
      <c r="AG82" s="111" t="s">
        <v>190</v>
      </c>
      <c r="AH82" s="112" t="s">
        <v>135</v>
      </c>
      <c r="AI82" s="127">
        <v>-37.5</v>
      </c>
      <c r="AJ82" s="114">
        <v>3000</v>
      </c>
      <c r="AK82" s="97">
        <f t="shared" si="24"/>
        <v>44.465000000000003</v>
      </c>
    </row>
    <row r="83" spans="1:38">
      <c r="A83" s="100">
        <v>14</v>
      </c>
      <c r="B83" s="100">
        <v>40</v>
      </c>
      <c r="C83" s="100">
        <v>32</v>
      </c>
      <c r="D83" s="100">
        <v>18</v>
      </c>
      <c r="E83" s="103" t="s">
        <v>141</v>
      </c>
      <c r="F83" s="100">
        <v>0</v>
      </c>
      <c r="G83" s="100">
        <v>0</v>
      </c>
      <c r="H83" s="98" t="e">
        <f>#REF!</f>
        <v>#REF!</v>
      </c>
      <c r="I83" s="97">
        <f t="shared" si="27"/>
        <v>113.64020273977286</v>
      </c>
      <c r="J83" s="100">
        <v>16</v>
      </c>
      <c r="K83" s="100">
        <v>240</v>
      </c>
      <c r="L83" s="98" t="e">
        <f>MAX(#REF!,#REF!)</f>
        <v>#REF!</v>
      </c>
      <c r="M83" s="97">
        <f t="shared" si="28"/>
        <v>24.04052537804019</v>
      </c>
      <c r="N83" s="97">
        <f t="shared" si="26"/>
        <v>137.68072811781306</v>
      </c>
      <c r="O83" s="97">
        <f t="shared" si="29"/>
        <v>894.92473276578494</v>
      </c>
      <c r="AC83" s="104">
        <f t="shared" si="25"/>
        <v>12955.080746614989</v>
      </c>
      <c r="AG83" s="111" t="s">
        <v>191</v>
      </c>
      <c r="AH83" s="112" t="s">
        <v>135</v>
      </c>
      <c r="AI83" s="127">
        <v>-35</v>
      </c>
      <c r="AJ83" s="114">
        <v>3500</v>
      </c>
      <c r="AK83" s="97">
        <f t="shared" si="24"/>
        <v>42.465000000000003</v>
      </c>
    </row>
    <row r="84" spans="1:38">
      <c r="A84" s="100">
        <v>14.5</v>
      </c>
      <c r="B84" s="100">
        <v>40</v>
      </c>
      <c r="C84" s="100">
        <v>32</v>
      </c>
      <c r="D84" s="100">
        <v>18</v>
      </c>
      <c r="E84" s="103" t="s">
        <v>141</v>
      </c>
      <c r="F84" s="100">
        <v>0</v>
      </c>
      <c r="G84" s="100">
        <v>0</v>
      </c>
      <c r="H84" s="98" t="e">
        <f>H83</f>
        <v>#REF!</v>
      </c>
      <c r="I84" s="97">
        <f t="shared" si="27"/>
        <v>113.64020273977286</v>
      </c>
      <c r="J84" s="100">
        <v>16</v>
      </c>
      <c r="K84" s="100">
        <v>300</v>
      </c>
      <c r="L84" s="98" t="e">
        <f>L83</f>
        <v>#REF!</v>
      </c>
      <c r="M84" s="97">
        <f t="shared" si="28"/>
        <v>19.232420302432153</v>
      </c>
      <c r="N84" s="97">
        <f t="shared" si="26"/>
        <v>132.87262304220502</v>
      </c>
      <c r="O84" s="97">
        <f t="shared" si="29"/>
        <v>12955.080746614989</v>
      </c>
      <c r="AC84" s="104">
        <f t="shared" si="25"/>
        <v>1677.3398067623432</v>
      </c>
      <c r="AG84" s="111" t="s">
        <v>192</v>
      </c>
      <c r="AH84" s="112" t="s">
        <v>135</v>
      </c>
      <c r="AI84" s="127">
        <v>-32.5</v>
      </c>
      <c r="AJ84" s="114">
        <v>3500</v>
      </c>
      <c r="AK84" s="97">
        <f t="shared" si="24"/>
        <v>39.965000000000003</v>
      </c>
    </row>
    <row r="85" spans="1:38">
      <c r="A85" s="100">
        <v>22</v>
      </c>
      <c r="B85" s="100">
        <v>40</v>
      </c>
      <c r="C85" s="100">
        <v>32</v>
      </c>
      <c r="D85" s="100">
        <v>18</v>
      </c>
      <c r="E85" s="103" t="s">
        <v>141</v>
      </c>
      <c r="F85" s="100">
        <v>16</v>
      </c>
      <c r="G85" s="100">
        <v>18</v>
      </c>
      <c r="H85" s="98" t="e">
        <f>MAX(#REF!)</f>
        <v>#REF!</v>
      </c>
      <c r="I85" s="97">
        <f t="shared" si="27"/>
        <v>142.05025342471609</v>
      </c>
      <c r="J85" s="100">
        <v>16</v>
      </c>
      <c r="K85" s="100">
        <v>300</v>
      </c>
      <c r="L85" s="98"/>
      <c r="M85" s="97">
        <f t="shared" si="28"/>
        <v>19.232420302432153</v>
      </c>
      <c r="N85" s="97">
        <f t="shared" si="26"/>
        <v>161.28267372714825</v>
      </c>
      <c r="O85" s="97">
        <f t="shared" si="29"/>
        <v>1677.3398067623432</v>
      </c>
      <c r="AC85">
        <f>N86*(21-A86)</f>
        <v>-85.756447777275696</v>
      </c>
      <c r="AG85" s="111" t="s">
        <v>193</v>
      </c>
      <c r="AH85" s="112" t="s">
        <v>135</v>
      </c>
      <c r="AI85" s="127">
        <v>-29.5</v>
      </c>
      <c r="AJ85" s="114">
        <v>3500</v>
      </c>
      <c r="AK85" s="97">
        <f t="shared" si="24"/>
        <v>36.965000000000003</v>
      </c>
    </row>
    <row r="86" spans="1:38" ht="15.75" thickBot="1">
      <c r="A86" s="100">
        <v>22.8</v>
      </c>
      <c r="B86" s="100">
        <v>40</v>
      </c>
      <c r="C86" s="100">
        <v>16</v>
      </c>
      <c r="D86" s="100">
        <v>18</v>
      </c>
      <c r="E86" s="103" t="s">
        <v>141</v>
      </c>
      <c r="F86" s="100">
        <v>0</v>
      </c>
      <c r="G86" s="100">
        <v>0</v>
      </c>
      <c r="H86" s="98" t="e">
        <f>H85</f>
        <v>#REF!</v>
      </c>
      <c r="I86" s="97">
        <f t="shared" si="27"/>
        <v>28.410050684943215</v>
      </c>
      <c r="J86" s="100">
        <v>16</v>
      </c>
      <c r="K86" s="100">
        <v>300</v>
      </c>
      <c r="L86" s="98"/>
      <c r="M86" s="97">
        <f t="shared" si="28"/>
        <v>19.232420302432153</v>
      </c>
      <c r="N86" s="97">
        <f t="shared" si="26"/>
        <v>47.642470987375368</v>
      </c>
      <c r="O86" s="97">
        <f>$Q$77*N86*(AL86-A86)</f>
        <v>11726.956021187518</v>
      </c>
      <c r="AC86" s="99">
        <f>SUM(AC77:AC85)</f>
        <v>60609.328536121553</v>
      </c>
      <c r="AD86" s="115">
        <f>O87-AC86</f>
        <v>11812.71246896479</v>
      </c>
      <c r="AE86" s="116"/>
      <c r="AF86" s="116"/>
      <c r="AG86" s="111" t="s">
        <v>168</v>
      </c>
      <c r="AH86" s="112" t="s">
        <v>135</v>
      </c>
      <c r="AI86" s="127">
        <v>-28</v>
      </c>
      <c r="AJ86" s="114">
        <v>3500</v>
      </c>
      <c r="AK86" s="97">
        <f t="shared" si="24"/>
        <v>35.465000000000003</v>
      </c>
      <c r="AL86" s="104">
        <f>AVERAGE(AK74:AK86)</f>
        <v>41.734230769230784</v>
      </c>
    </row>
    <row r="87" spans="1:38" ht="16.5" thickTop="1" thickBot="1">
      <c r="O87" s="99">
        <f>SUM(O78:O86)</f>
        <v>72422.041005086343</v>
      </c>
      <c r="P87" s="89" t="s">
        <v>148</v>
      </c>
      <c r="Q87" s="102">
        <f>O87/$D$11/Q77</f>
        <v>1.0946178361598695</v>
      </c>
      <c r="R87" t="s">
        <v>121</v>
      </c>
    </row>
    <row r="88" spans="1:38" ht="15.75" thickTop="1">
      <c r="P88" s="89" t="s">
        <v>148</v>
      </c>
      <c r="Q88" s="102">
        <f>(O87/Q77)/('ss_ IFIR Summary (03.07)'!O80/'ss_ IFIR Summary (03.07)'!Q70)</f>
        <v>0.90424977633456605</v>
      </c>
      <c r="R88" t="s">
        <v>224</v>
      </c>
      <c r="AG88" s="146" t="s">
        <v>194</v>
      </c>
      <c r="AH88" s="146"/>
      <c r="AI88" s="146"/>
      <c r="AJ88" s="146"/>
      <c r="AK88" s="146"/>
    </row>
    <row r="89" spans="1:38" ht="18.75">
      <c r="A89" s="1" t="s">
        <v>195</v>
      </c>
      <c r="AG89" s="3" t="s">
        <v>17</v>
      </c>
      <c r="AH89" s="3" t="s">
        <v>128</v>
      </c>
      <c r="AI89" s="3" t="s">
        <v>129</v>
      </c>
      <c r="AJ89" s="3" t="s">
        <v>130</v>
      </c>
      <c r="AK89" s="3" t="s">
        <v>131</v>
      </c>
    </row>
    <row r="90" spans="1:38">
      <c r="AG90" s="111" t="s">
        <v>176</v>
      </c>
      <c r="AH90" s="112" t="s">
        <v>154</v>
      </c>
      <c r="AI90" s="127">
        <v>-33</v>
      </c>
      <c r="AJ90" s="114">
        <v>4000</v>
      </c>
      <c r="AK90" s="97">
        <f>AH90-AI90+AJ90/1000</f>
        <v>40.765000000000001</v>
      </c>
    </row>
    <row r="91" spans="1:38">
      <c r="A91" s="144" t="s">
        <v>151</v>
      </c>
      <c r="B91" s="145" t="s">
        <v>132</v>
      </c>
      <c r="C91" s="146" t="s">
        <v>133</v>
      </c>
      <c r="D91" s="146"/>
      <c r="E91" s="146"/>
      <c r="F91" s="146"/>
      <c r="G91" s="146"/>
      <c r="H91" s="146"/>
      <c r="I91" s="146"/>
      <c r="J91" s="146" t="s">
        <v>72</v>
      </c>
      <c r="K91" s="146"/>
      <c r="L91" s="146"/>
      <c r="M91" s="146"/>
      <c r="N91" s="145" t="s">
        <v>109</v>
      </c>
      <c r="O91" s="145" t="s">
        <v>110</v>
      </c>
      <c r="Q91" t="s">
        <v>197</v>
      </c>
      <c r="AG91" s="111" t="s">
        <v>196</v>
      </c>
      <c r="AH91" s="112" t="s">
        <v>154</v>
      </c>
      <c r="AI91" s="127">
        <v>-34.5</v>
      </c>
      <c r="AJ91" s="114">
        <v>3500</v>
      </c>
      <c r="AK91" s="97">
        <f t="shared" ref="AK91:AK101" si="30">AH91-AI91+AJ91/1000</f>
        <v>41.765000000000001</v>
      </c>
    </row>
    <row r="92" spans="1:38">
      <c r="A92" s="144"/>
      <c r="B92" s="145"/>
      <c r="C92" s="3" t="s">
        <v>136</v>
      </c>
      <c r="D92" s="3" t="s">
        <v>137</v>
      </c>
      <c r="F92" s="3" t="s">
        <v>136</v>
      </c>
      <c r="G92" s="3" t="s">
        <v>137</v>
      </c>
      <c r="H92" s="3" t="s">
        <v>138</v>
      </c>
      <c r="I92" s="3" t="s">
        <v>109</v>
      </c>
      <c r="J92" s="3" t="s">
        <v>136</v>
      </c>
      <c r="K92" s="3" t="s">
        <v>139</v>
      </c>
      <c r="L92" s="3" t="s">
        <v>138</v>
      </c>
      <c r="M92" s="3" t="s">
        <v>109</v>
      </c>
      <c r="N92" s="145"/>
      <c r="O92" s="145"/>
      <c r="Q92" s="5">
        <v>13</v>
      </c>
      <c r="AC92" s="104">
        <f>O93</f>
        <v>12092.930250419564</v>
      </c>
      <c r="AG92" s="111" t="s">
        <v>198</v>
      </c>
      <c r="AH92" s="112" t="s">
        <v>154</v>
      </c>
      <c r="AI92" s="127">
        <v>-35</v>
      </c>
      <c r="AJ92" s="114">
        <v>3500</v>
      </c>
      <c r="AK92" s="97">
        <f t="shared" si="30"/>
        <v>42.265000000000001</v>
      </c>
    </row>
    <row r="93" spans="1:38">
      <c r="A93" s="100">
        <v>0</v>
      </c>
      <c r="B93" s="100">
        <v>40</v>
      </c>
      <c r="C93" s="100">
        <v>25</v>
      </c>
      <c r="D93" s="100">
        <f>'[4]Max permutation (Zone D, top)'!$Q$47</f>
        <v>18</v>
      </c>
      <c r="E93" s="103" t="s">
        <v>141</v>
      </c>
      <c r="F93" s="100">
        <v>0</v>
      </c>
      <c r="G93" s="100">
        <v>0</v>
      </c>
      <c r="H93" s="98" t="e">
        <f>#REF!</f>
        <v>#REF!</v>
      </c>
      <c r="I93" s="97">
        <f>$C$13*((D93*PI()*((C93/1000)^2)/4)+(G93*PI()*((F93/1000)^2)/4))</f>
        <v>69.36047530503717</v>
      </c>
      <c r="J93" s="100">
        <v>16</v>
      </c>
      <c r="K93" s="100">
        <v>300</v>
      </c>
      <c r="L93" s="98" t="e">
        <f>MAX(#REF!,#REF!)</f>
        <v>#REF!</v>
      </c>
      <c r="M93" s="97">
        <f>$C$13*$C$16*PI()*((J93/1000)^2)/4*1000/K93</f>
        <v>19.232420302432153</v>
      </c>
      <c r="N93" s="97">
        <f>I93+M93</f>
        <v>88.59289560746933</v>
      </c>
      <c r="O93" s="97">
        <f>$Q$92*N93*(A94-A93)</f>
        <v>12092.930250419564</v>
      </c>
      <c r="AC93" s="104">
        <f>O94</f>
        <v>3080.0907327938767</v>
      </c>
      <c r="AG93" s="111" t="s">
        <v>199</v>
      </c>
      <c r="AH93" s="112" t="s">
        <v>154</v>
      </c>
      <c r="AI93" s="127">
        <v>-36</v>
      </c>
      <c r="AJ93" s="114">
        <v>3500</v>
      </c>
      <c r="AK93" s="97">
        <f t="shared" si="30"/>
        <v>43.265000000000001</v>
      </c>
    </row>
    <row r="94" spans="1:38">
      <c r="A94" s="100">
        <v>10.5</v>
      </c>
      <c r="B94" s="100">
        <v>40</v>
      </c>
      <c r="C94" s="100">
        <v>25</v>
      </c>
      <c r="D94" s="100">
        <v>18</v>
      </c>
      <c r="E94" s="103" t="s">
        <v>141</v>
      </c>
      <c r="F94" s="100">
        <v>25</v>
      </c>
      <c r="G94" s="100">
        <v>18</v>
      </c>
      <c r="H94" s="98" t="e">
        <f>#REF!</f>
        <v>#REF!</v>
      </c>
      <c r="I94" s="97">
        <f>$C$13*((D94*PI()*((C94/1000)^2)/4)+(G94*PI()*((F94/1000)^2)/4))</f>
        <v>138.72095061007434</v>
      </c>
      <c r="J94" s="100">
        <v>16</v>
      </c>
      <c r="K94" s="100">
        <v>300</v>
      </c>
      <c r="L94" s="98" t="e">
        <f>MAX(#REF!,#REF!)</f>
        <v>#REF!</v>
      </c>
      <c r="M94" s="97">
        <f t="shared" ref="M94:M103" si="31">$C$13*$C$16*PI()*((J94/1000)^2)/4*1000/K94</f>
        <v>19.232420302432153</v>
      </c>
      <c r="N94" s="97">
        <f>I94+M94</f>
        <v>157.9533709125065</v>
      </c>
      <c r="O94" s="97">
        <f>$Q$92*N94*(A95-A94)</f>
        <v>3080.0907327938767</v>
      </c>
      <c r="Q94" t="s">
        <v>223</v>
      </c>
      <c r="AC94">
        <f>N95*(30-A95)</f>
        <v>1594.672120934448</v>
      </c>
      <c r="AG94" s="111" t="s">
        <v>200</v>
      </c>
      <c r="AH94" s="112" t="s">
        <v>154</v>
      </c>
      <c r="AI94" s="127">
        <v>-36.5</v>
      </c>
      <c r="AJ94" s="114">
        <v>3500</v>
      </c>
      <c r="AK94" s="97">
        <f t="shared" si="30"/>
        <v>43.765000000000001</v>
      </c>
    </row>
    <row r="95" spans="1:38">
      <c r="A95" s="100">
        <v>12</v>
      </c>
      <c r="B95" s="100">
        <v>40</v>
      </c>
      <c r="C95" s="100">
        <v>25</v>
      </c>
      <c r="D95" s="100">
        <v>18</v>
      </c>
      <c r="E95" s="103" t="s">
        <v>141</v>
      </c>
      <c r="F95" s="100">
        <v>0</v>
      </c>
      <c r="G95" s="100">
        <v>0</v>
      </c>
      <c r="H95" s="98" t="e">
        <f>#REF!</f>
        <v>#REF!</v>
      </c>
      <c r="I95" s="97">
        <f>$C$13*((D95*PI()*((C95/1000)^2)/4)+(G95*PI()*((F95/1000)^2)/4))</f>
        <v>69.36047530503717</v>
      </c>
      <c r="J95" s="100">
        <v>16</v>
      </c>
      <c r="K95" s="100">
        <v>300</v>
      </c>
      <c r="L95" s="98"/>
      <c r="M95" s="97">
        <f t="shared" si="31"/>
        <v>19.232420302432153</v>
      </c>
      <c r="N95" s="97">
        <f>I95+M95</f>
        <v>88.59289560746933</v>
      </c>
      <c r="O95" s="97">
        <f>$Q$92*N95*(A96-A95)</f>
        <v>921.36611431768188</v>
      </c>
      <c r="Q95" s="96">
        <f>O104/Q92</f>
        <v>4966.3065915140232</v>
      </c>
      <c r="R95" t="s">
        <v>111</v>
      </c>
      <c r="AC95">
        <f>N103*(30-A96)</f>
        <v>819.45050098285628</v>
      </c>
      <c r="AG95" s="111" t="s">
        <v>201</v>
      </c>
      <c r="AH95" s="112" t="s">
        <v>154</v>
      </c>
      <c r="AI95" s="127">
        <v>-37.5</v>
      </c>
      <c r="AJ95" s="114">
        <v>3500</v>
      </c>
      <c r="AK95" s="97">
        <f t="shared" si="30"/>
        <v>44.765000000000001</v>
      </c>
    </row>
    <row r="96" spans="1:38" ht="15.75" thickBot="1">
      <c r="A96" s="100">
        <v>12.8</v>
      </c>
      <c r="B96" s="100">
        <v>40</v>
      </c>
      <c r="C96" s="100">
        <v>25</v>
      </c>
      <c r="D96" s="100">
        <v>18</v>
      </c>
      <c r="E96" s="103" t="s">
        <v>141</v>
      </c>
      <c r="F96" s="100">
        <v>32</v>
      </c>
      <c r="G96" s="100">
        <v>18</v>
      </c>
      <c r="H96" s="98" t="e">
        <f>#REF!</f>
        <v>#REF!</v>
      </c>
      <c r="I96" s="97">
        <f t="shared" ref="I96:I102" si="32">$C$13*((D96*PI()*((C96/1000)^2)/4)+(G96*PI()*((F96/1000)^2)/4))</f>
        <v>183.00067804481006</v>
      </c>
      <c r="J96" s="100">
        <v>16</v>
      </c>
      <c r="K96" s="100">
        <v>300</v>
      </c>
      <c r="L96" s="98"/>
      <c r="M96" s="97">
        <f t="shared" si="31"/>
        <v>19.232420302432153</v>
      </c>
      <c r="N96" s="97">
        <f t="shared" ref="N96:N102" si="33">I96+M96</f>
        <v>202.23309834724222</v>
      </c>
      <c r="O96" s="97">
        <f t="shared" ref="O96:O102" si="34">$Q$92*N96*(A97-A96)</f>
        <v>3154.8363342169769</v>
      </c>
      <c r="AC96" s="99">
        <f>SUM(AC92:AC95)</f>
        <v>17587.143605130746</v>
      </c>
      <c r="AD96" s="115">
        <f>O104-AC96</f>
        <v>46974.84208455155</v>
      </c>
      <c r="AG96" s="111" t="s">
        <v>202</v>
      </c>
      <c r="AH96" s="112" t="s">
        <v>154</v>
      </c>
      <c r="AI96" s="127">
        <v>-37</v>
      </c>
      <c r="AJ96" s="114">
        <v>3500</v>
      </c>
      <c r="AK96" s="97">
        <f t="shared" si="30"/>
        <v>44.265000000000001</v>
      </c>
    </row>
    <row r="97" spans="1:38" ht="15.75" thickTop="1">
      <c r="A97" s="100">
        <v>14</v>
      </c>
      <c r="B97" s="100">
        <v>40</v>
      </c>
      <c r="C97" s="100">
        <v>32</v>
      </c>
      <c r="D97" s="100">
        <v>18</v>
      </c>
      <c r="E97" s="103" t="s">
        <v>141</v>
      </c>
      <c r="F97" s="100">
        <v>20</v>
      </c>
      <c r="G97" s="100">
        <v>18</v>
      </c>
      <c r="H97" s="98" t="e">
        <f>#REF!</f>
        <v>#REF!</v>
      </c>
      <c r="I97" s="97">
        <f t="shared" si="32"/>
        <v>158.03090693499664</v>
      </c>
      <c r="J97" s="100">
        <v>16</v>
      </c>
      <c r="K97" s="100">
        <v>300</v>
      </c>
      <c r="L97" s="98"/>
      <c r="M97" s="97">
        <f t="shared" si="31"/>
        <v>19.232420302432153</v>
      </c>
      <c r="N97" s="97">
        <f t="shared" si="33"/>
        <v>177.2633272374288</v>
      </c>
      <c r="O97" s="97">
        <f t="shared" si="34"/>
        <v>14517.866500745418</v>
      </c>
      <c r="AG97" s="111" t="s">
        <v>203</v>
      </c>
      <c r="AH97" s="112" t="s">
        <v>154</v>
      </c>
      <c r="AI97" s="127">
        <v>-37</v>
      </c>
      <c r="AJ97" s="114">
        <v>3500</v>
      </c>
      <c r="AK97" s="97">
        <f t="shared" si="30"/>
        <v>44.265000000000001</v>
      </c>
    </row>
    <row r="98" spans="1:38">
      <c r="A98" s="100">
        <v>20.3</v>
      </c>
      <c r="B98" s="100">
        <v>40</v>
      </c>
      <c r="C98" s="100">
        <v>32</v>
      </c>
      <c r="D98" s="100">
        <v>18</v>
      </c>
      <c r="E98" s="103" t="s">
        <v>141</v>
      </c>
      <c r="F98" s="100">
        <v>32</v>
      </c>
      <c r="G98" s="100">
        <v>18</v>
      </c>
      <c r="H98" s="98" t="e">
        <f>#REF!</f>
        <v>#REF!</v>
      </c>
      <c r="I98" s="97">
        <f t="shared" si="32"/>
        <v>227.28040547954572</v>
      </c>
      <c r="J98" s="100">
        <v>16</v>
      </c>
      <c r="K98" s="100">
        <v>300</v>
      </c>
      <c r="L98" s="98"/>
      <c r="M98" s="97">
        <f t="shared" si="31"/>
        <v>19.232420302432153</v>
      </c>
      <c r="N98" s="97">
        <f t="shared" si="33"/>
        <v>246.51282578197788</v>
      </c>
      <c r="O98" s="97">
        <f t="shared" si="34"/>
        <v>4807.0001027485687</v>
      </c>
      <c r="AG98" s="111" t="s">
        <v>204</v>
      </c>
      <c r="AH98" s="112" t="s">
        <v>154</v>
      </c>
      <c r="AI98" s="127">
        <v>-36</v>
      </c>
      <c r="AJ98" s="114">
        <v>3500</v>
      </c>
      <c r="AK98" s="97">
        <f t="shared" si="30"/>
        <v>43.265000000000001</v>
      </c>
    </row>
    <row r="99" spans="1:38">
      <c r="A99" s="100">
        <v>21.8</v>
      </c>
      <c r="B99" s="100">
        <v>40</v>
      </c>
      <c r="C99" s="100">
        <v>32</v>
      </c>
      <c r="D99" s="100">
        <v>18</v>
      </c>
      <c r="E99" s="103" t="s">
        <v>141</v>
      </c>
      <c r="F99" s="100">
        <v>0</v>
      </c>
      <c r="G99" s="100">
        <v>0</v>
      </c>
      <c r="H99" s="98" t="e">
        <f>#REF!</f>
        <v>#REF!</v>
      </c>
      <c r="I99" s="97">
        <f t="shared" si="32"/>
        <v>113.64020273977286</v>
      </c>
      <c r="J99" s="100">
        <v>16</v>
      </c>
      <c r="K99" s="100">
        <v>300</v>
      </c>
      <c r="L99" s="98"/>
      <c r="M99" s="97">
        <f t="shared" si="31"/>
        <v>19.232420302432153</v>
      </c>
      <c r="N99" s="97">
        <f t="shared" si="33"/>
        <v>132.87262304220502</v>
      </c>
      <c r="O99" s="97">
        <f t="shared" si="34"/>
        <v>10709.533417201725</v>
      </c>
      <c r="AG99" s="111" t="s">
        <v>205</v>
      </c>
      <c r="AH99" s="112" t="s">
        <v>154</v>
      </c>
      <c r="AI99" s="127">
        <v>-35</v>
      </c>
      <c r="AJ99" s="114">
        <v>3500</v>
      </c>
      <c r="AK99" s="97">
        <f t="shared" si="30"/>
        <v>42.265000000000001</v>
      </c>
    </row>
    <row r="100" spans="1:38">
      <c r="A100" s="100">
        <v>28</v>
      </c>
      <c r="B100" s="100">
        <v>40</v>
      </c>
      <c r="C100" s="100">
        <v>32</v>
      </c>
      <c r="D100" s="100">
        <v>18</v>
      </c>
      <c r="E100" s="103" t="s">
        <v>141</v>
      </c>
      <c r="F100" s="100">
        <v>25</v>
      </c>
      <c r="G100" s="100">
        <v>18</v>
      </c>
      <c r="H100" s="98" t="e">
        <f>#REF!</f>
        <v>#REF!</v>
      </c>
      <c r="I100" s="97">
        <f t="shared" si="32"/>
        <v>183.00067804481006</v>
      </c>
      <c r="J100" s="100">
        <v>16</v>
      </c>
      <c r="K100" s="100">
        <v>300</v>
      </c>
      <c r="L100" s="98"/>
      <c r="M100" s="97">
        <f t="shared" si="31"/>
        <v>19.232420302432153</v>
      </c>
      <c r="N100" s="97">
        <f t="shared" si="33"/>
        <v>202.23309834724222</v>
      </c>
      <c r="O100" s="97">
        <f t="shared" si="34"/>
        <v>3154.8363342169769</v>
      </c>
      <c r="AG100" s="111" t="s">
        <v>206</v>
      </c>
      <c r="AH100" s="112" t="s">
        <v>154</v>
      </c>
      <c r="AI100" s="127">
        <v>-32.5</v>
      </c>
      <c r="AJ100" s="114">
        <v>4000</v>
      </c>
      <c r="AK100" s="97">
        <f t="shared" si="30"/>
        <v>40.265000000000001</v>
      </c>
    </row>
    <row r="101" spans="1:38">
      <c r="A101" s="100">
        <v>29.2</v>
      </c>
      <c r="B101" s="100">
        <v>40</v>
      </c>
      <c r="C101" s="100">
        <v>25</v>
      </c>
      <c r="D101" s="100">
        <v>18</v>
      </c>
      <c r="E101" s="103" t="s">
        <v>141</v>
      </c>
      <c r="F101" s="100">
        <v>0</v>
      </c>
      <c r="G101" s="100">
        <v>0</v>
      </c>
      <c r="H101" s="98" t="e">
        <f>#REF!</f>
        <v>#REF!</v>
      </c>
      <c r="I101" s="97">
        <f t="shared" si="32"/>
        <v>69.36047530503717</v>
      </c>
      <c r="J101" s="100">
        <v>16</v>
      </c>
      <c r="K101" s="100">
        <v>300</v>
      </c>
      <c r="L101" s="98"/>
      <c r="M101" s="97">
        <f t="shared" si="31"/>
        <v>19.232420302432153</v>
      </c>
      <c r="N101" s="97">
        <f t="shared" si="33"/>
        <v>88.59289560746933</v>
      </c>
      <c r="O101" s="97">
        <f t="shared" si="34"/>
        <v>7831.6119717002894</v>
      </c>
      <c r="AG101" s="111" t="s">
        <v>207</v>
      </c>
      <c r="AH101" s="112" t="s">
        <v>154</v>
      </c>
      <c r="AI101" s="127">
        <v>-30.5</v>
      </c>
      <c r="AJ101" s="114">
        <v>4000</v>
      </c>
      <c r="AK101" s="97">
        <f t="shared" si="30"/>
        <v>38.265000000000001</v>
      </c>
    </row>
    <row r="102" spans="1:38">
      <c r="A102" s="100">
        <v>36</v>
      </c>
      <c r="B102" s="100">
        <v>40</v>
      </c>
      <c r="C102" s="100">
        <v>25</v>
      </c>
      <c r="D102" s="100">
        <v>18</v>
      </c>
      <c r="E102" s="103" t="s">
        <v>141</v>
      </c>
      <c r="F102" s="100">
        <v>16</v>
      </c>
      <c r="G102" s="100">
        <v>18</v>
      </c>
      <c r="H102" s="98" t="e">
        <f>#REF!</f>
        <v>#REF!</v>
      </c>
      <c r="I102" s="97">
        <f t="shared" si="32"/>
        <v>97.770525989980385</v>
      </c>
      <c r="J102" s="100">
        <v>16</v>
      </c>
      <c r="K102" s="100">
        <v>300</v>
      </c>
      <c r="L102" s="98"/>
      <c r="M102" s="97">
        <f t="shared" si="31"/>
        <v>19.232420302432153</v>
      </c>
      <c r="N102" s="97">
        <f t="shared" si="33"/>
        <v>117.00294629241253</v>
      </c>
      <c r="O102" s="97">
        <f t="shared" si="34"/>
        <v>1216.8306414410861</v>
      </c>
      <c r="AG102" s="111" t="s">
        <v>177</v>
      </c>
      <c r="AH102" s="112" t="s">
        <v>154</v>
      </c>
      <c r="AI102" s="127">
        <v>-26</v>
      </c>
      <c r="AJ102" s="114">
        <v>4000</v>
      </c>
      <c r="AK102" s="97">
        <f>AH102-AI102+AJ102/1000</f>
        <v>33.765000000000001</v>
      </c>
      <c r="AL102" s="104">
        <f>AVERAGE(AK90:AK102)</f>
        <v>41.764999999999993</v>
      </c>
    </row>
    <row r="103" spans="1:38">
      <c r="A103" s="100">
        <v>36.799999999999997</v>
      </c>
      <c r="B103" s="100">
        <v>40</v>
      </c>
      <c r="C103" s="100">
        <v>16</v>
      </c>
      <c r="D103" s="100">
        <v>18</v>
      </c>
      <c r="E103" s="103" t="s">
        <v>141</v>
      </c>
      <c r="F103" s="100">
        <v>0</v>
      </c>
      <c r="G103" s="100">
        <v>0</v>
      </c>
      <c r="H103" s="98" t="e">
        <f>MAX(#REF!)</f>
        <v>#REF!</v>
      </c>
      <c r="I103" s="97">
        <f>$C$13*((D103*PI()*((C103/1000)^2)/4)+(G103*PI()*((F103/1000)^2)/4))</f>
        <v>28.410050684943215</v>
      </c>
      <c r="J103" s="100">
        <v>16</v>
      </c>
      <c r="K103" s="100">
        <v>300</v>
      </c>
      <c r="L103" s="98"/>
      <c r="M103" s="97">
        <f t="shared" si="31"/>
        <v>19.232420302432153</v>
      </c>
      <c r="N103" s="97">
        <f>I103+M103</f>
        <v>47.642470987375368</v>
      </c>
      <c r="O103" s="97">
        <f>$Q$92*N103*($AL$102-A103)</f>
        <v>3075.0832898801409</v>
      </c>
    </row>
    <row r="104" spans="1:38" ht="15.75" thickBot="1">
      <c r="O104" s="99">
        <f>SUM(O93:O103)</f>
        <v>64561.985689682297</v>
      </c>
      <c r="P104" s="89" t="s">
        <v>148</v>
      </c>
      <c r="Q104" s="102">
        <f>O104/$I$10/Q92</f>
        <v>0.97581758388804818</v>
      </c>
      <c r="R104" t="s">
        <v>121</v>
      </c>
    </row>
    <row r="105" spans="1:38" ht="15.75" thickTop="1">
      <c r="P105" s="89" t="s">
        <v>148</v>
      </c>
      <c r="Q105" s="102" t="e">
        <f>(O104/Q92)/('ss_ IFIR Summary (03.07)'!O90/'ss_ IFIR Summary (03.07)'!Q85)</f>
        <v>#REF!</v>
      </c>
      <c r="R105" t="s">
        <v>224</v>
      </c>
    </row>
    <row r="106" spans="1:38">
      <c r="A106" t="s">
        <v>225</v>
      </c>
      <c r="D106" s="110">
        <f>T19+T33+Q47+Q62+Q77+Q92</f>
        <v>50</v>
      </c>
    </row>
    <row r="107" spans="1:38">
      <c r="A107" t="s">
        <v>226</v>
      </c>
      <c r="D107" s="131" t="e">
        <f>Q28+Q42+O57+O72+O87+O104</f>
        <v>#REF!</v>
      </c>
      <c r="E107" t="s">
        <v>111</v>
      </c>
    </row>
  </sheetData>
  <mergeCells count="55">
    <mergeCell ref="A6:A7"/>
    <mergeCell ref="B6:B7"/>
    <mergeCell ref="C6:C7"/>
    <mergeCell ref="D6:D7"/>
    <mergeCell ref="F6:F7"/>
    <mergeCell ref="H6:H7"/>
    <mergeCell ref="I6:I7"/>
    <mergeCell ref="G12:I12"/>
    <mergeCell ref="J12:L12"/>
    <mergeCell ref="M12:O12"/>
    <mergeCell ref="G6:G7"/>
    <mergeCell ref="AF18:AJ18"/>
    <mergeCell ref="A20:A21"/>
    <mergeCell ref="B20:B21"/>
    <mergeCell ref="C20:I20"/>
    <mergeCell ref="J20:M20"/>
    <mergeCell ref="N20:N21"/>
    <mergeCell ref="O20:O21"/>
    <mergeCell ref="P18:Q18"/>
    <mergeCell ref="AF30:AJ30"/>
    <mergeCell ref="A32:A33"/>
    <mergeCell ref="B32:B33"/>
    <mergeCell ref="C32:I32"/>
    <mergeCell ref="J32:M32"/>
    <mergeCell ref="N32:N33"/>
    <mergeCell ref="O32:O33"/>
    <mergeCell ref="P32:Q32"/>
    <mergeCell ref="AG45:AK45"/>
    <mergeCell ref="A46:A47"/>
    <mergeCell ref="B46:B47"/>
    <mergeCell ref="C46:I46"/>
    <mergeCell ref="J46:M46"/>
    <mergeCell ref="N46:N47"/>
    <mergeCell ref="O46:O47"/>
    <mergeCell ref="AG58:AK58"/>
    <mergeCell ref="A61:A62"/>
    <mergeCell ref="B61:B62"/>
    <mergeCell ref="C61:I61"/>
    <mergeCell ref="J61:M61"/>
    <mergeCell ref="N61:N62"/>
    <mergeCell ref="O61:O62"/>
    <mergeCell ref="AG72:AK72"/>
    <mergeCell ref="A76:A77"/>
    <mergeCell ref="B76:B77"/>
    <mergeCell ref="C76:I76"/>
    <mergeCell ref="J76:M76"/>
    <mergeCell ref="N76:N77"/>
    <mergeCell ref="O76:O77"/>
    <mergeCell ref="AG88:AK88"/>
    <mergeCell ref="A91:A92"/>
    <mergeCell ref="B91:B92"/>
    <mergeCell ref="C91:I91"/>
    <mergeCell ref="J91:M91"/>
    <mergeCell ref="N91:N92"/>
    <mergeCell ref="O91:O92"/>
  </mergeCells>
  <conditionalFormatting sqref="H22 L22 H34 L34 L24 H24:H27 H48:H53 L48:L56 H78:H86 L78:L86 H63:H71 L63:L71 H93:H103">
    <cfRule type="cellIs" dxfId="69" priority="27" operator="between">
      <formula>0</formula>
      <formula>1</formula>
    </cfRule>
    <cfRule type="cellIs" dxfId="68" priority="28" operator="greaterThan">
      <formula>1</formula>
    </cfRule>
  </conditionalFormatting>
  <conditionalFormatting sqref="H54:H56">
    <cfRule type="cellIs" dxfId="67" priority="25" operator="between">
      <formula>0</formula>
      <formula>1</formula>
    </cfRule>
    <cfRule type="cellIs" dxfId="66" priority="26" operator="greaterThan">
      <formula>1</formula>
    </cfRule>
  </conditionalFormatting>
  <conditionalFormatting sqref="H23">
    <cfRule type="cellIs" dxfId="65" priority="23" operator="between">
      <formula>0</formula>
      <formula>1</formula>
    </cfRule>
    <cfRule type="cellIs" dxfId="64" priority="24" operator="greaterThan">
      <formula>1</formula>
    </cfRule>
  </conditionalFormatting>
  <conditionalFormatting sqref="L93:L102">
    <cfRule type="cellIs" dxfId="63" priority="21" operator="between">
      <formula>0</formula>
      <formula>1</formula>
    </cfRule>
    <cfRule type="cellIs" dxfId="62" priority="22" operator="greaterThan">
      <formula>1</formula>
    </cfRule>
  </conditionalFormatting>
  <conditionalFormatting sqref="L103">
    <cfRule type="cellIs" dxfId="61" priority="19" operator="between">
      <formula>0</formula>
      <formula>1</formula>
    </cfRule>
    <cfRule type="cellIs" dxfId="60" priority="20" operator="greaterThan">
      <formula>1</formula>
    </cfRule>
  </conditionalFormatting>
  <conditionalFormatting sqref="L23">
    <cfRule type="cellIs" dxfId="59" priority="17" operator="between">
      <formula>0</formula>
      <formula>1</formula>
    </cfRule>
    <cfRule type="cellIs" dxfId="58" priority="18" operator="greaterThan">
      <formula>1</formula>
    </cfRule>
  </conditionalFormatting>
  <conditionalFormatting sqref="L25:L26">
    <cfRule type="cellIs" dxfId="57" priority="15" operator="between">
      <formula>0</formula>
      <formula>1</formula>
    </cfRule>
    <cfRule type="cellIs" dxfId="56" priority="16" operator="greaterThan">
      <formula>1</formula>
    </cfRule>
  </conditionalFormatting>
  <conditionalFormatting sqref="H41">
    <cfRule type="cellIs" dxfId="55" priority="3" operator="between">
      <formula>0</formula>
      <formula>1</formula>
    </cfRule>
    <cfRule type="cellIs" dxfId="54" priority="4" operator="greaterThan">
      <formula>1</formula>
    </cfRule>
  </conditionalFormatting>
  <conditionalFormatting sqref="L27">
    <cfRule type="cellIs" dxfId="53" priority="13" operator="between">
      <formula>0</formula>
      <formula>1</formula>
    </cfRule>
    <cfRule type="cellIs" dxfId="52" priority="14" operator="greaterThan">
      <formula>1</formula>
    </cfRule>
  </conditionalFormatting>
  <conditionalFormatting sqref="L35:L36">
    <cfRule type="cellIs" dxfId="51" priority="11" operator="between">
      <formula>0</formula>
      <formula>1</formula>
    </cfRule>
    <cfRule type="cellIs" dxfId="50" priority="12" operator="greaterThan">
      <formula>1</formula>
    </cfRule>
  </conditionalFormatting>
  <conditionalFormatting sqref="L37">
    <cfRule type="cellIs" dxfId="49" priority="9" operator="between">
      <formula>0</formula>
      <formula>1</formula>
    </cfRule>
    <cfRule type="cellIs" dxfId="48" priority="10" operator="greaterThan">
      <formula>1</formula>
    </cfRule>
  </conditionalFormatting>
  <conditionalFormatting sqref="L38:L41">
    <cfRule type="cellIs" dxfId="47" priority="7" operator="between">
      <formula>0</formula>
      <formula>1</formula>
    </cfRule>
    <cfRule type="cellIs" dxfId="46" priority="8" operator="greaterThan">
      <formula>1</formula>
    </cfRule>
  </conditionalFormatting>
  <conditionalFormatting sqref="H40">
    <cfRule type="cellIs" dxfId="45" priority="5" operator="between">
      <formula>0</formula>
      <formula>1</formula>
    </cfRule>
    <cfRule type="cellIs" dxfId="44" priority="6" operator="greaterThan">
      <formula>1</formula>
    </cfRule>
  </conditionalFormatting>
  <conditionalFormatting sqref="H35:H39">
    <cfRule type="cellIs" dxfId="43" priority="1" operator="between">
      <formula>0</formula>
      <formula>1</formula>
    </cfRule>
    <cfRule type="cellIs" dxfId="42" priority="2" operator="greaterThan">
      <formula>1</formula>
    </cfRule>
  </conditionalFormatting>
  <pageMargins left="0.7" right="0.7" top="0.75" bottom="0.75" header="0.3" footer="0.3"/>
  <pageSetup paperSize="9" scale="57" orientation="landscape" r:id="rId1"/>
  <rowBreaks count="1" manualBreakCount="1">
    <brk id="57" max="16383" man="1"/>
  </rowBreaks>
  <colBreaks count="1" manualBreakCount="1">
    <brk id="20"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4">
    <tabColor rgb="FFFF0000"/>
  </sheetPr>
  <dimension ref="A1:AL105"/>
  <sheetViews>
    <sheetView topLeftCell="A91" zoomScale="70" zoomScaleNormal="70" workbookViewId="0">
      <selection activeCell="AK25" sqref="AK25"/>
    </sheetView>
  </sheetViews>
  <sheetFormatPr defaultColWidth="8.85546875"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bestFit="1" customWidth="1"/>
    <col min="9" max="9" width="14.42578125" customWidth="1"/>
    <col min="10" max="10" width="13.85546875" customWidth="1"/>
    <col min="11" max="11" width="12" customWidth="1"/>
    <col min="12" max="12" width="11" customWidth="1"/>
    <col min="14" max="14" width="13.42578125" customWidth="1"/>
    <col min="15" max="15" width="12.42578125" customWidth="1"/>
    <col min="16" max="16" width="11.42578125" customWidth="1"/>
    <col min="17" max="17" width="10" customWidth="1"/>
    <col min="21" max="21" width="9.5703125" customWidth="1"/>
  </cols>
  <sheetData>
    <row r="1" spans="1:36" ht="18.75">
      <c r="A1" s="1" t="s">
        <v>104</v>
      </c>
    </row>
    <row r="2" spans="1:36" ht="18.75">
      <c r="A2" s="1" t="s">
        <v>105</v>
      </c>
      <c r="F2" s="1" t="s">
        <v>106</v>
      </c>
    </row>
    <row r="4" spans="1:36">
      <c r="A4" s="144" t="s">
        <v>107</v>
      </c>
      <c r="B4" s="145" t="s">
        <v>108</v>
      </c>
      <c r="C4" s="145" t="s">
        <v>109</v>
      </c>
      <c r="D4" s="145" t="s">
        <v>110</v>
      </c>
      <c r="F4" s="144" t="s">
        <v>107</v>
      </c>
      <c r="G4" s="145" t="s">
        <v>108</v>
      </c>
      <c r="H4" s="145" t="s">
        <v>109</v>
      </c>
      <c r="I4" s="145" t="s">
        <v>110</v>
      </c>
    </row>
    <row r="5" spans="1:36">
      <c r="A5" s="144"/>
      <c r="B5" s="145"/>
      <c r="C5" s="145"/>
      <c r="D5" s="145"/>
      <c r="F5" s="144"/>
      <c r="G5" s="145"/>
      <c r="H5" s="145"/>
      <c r="I5" s="145"/>
    </row>
    <row r="6" spans="1:36">
      <c r="A6" s="100">
        <v>0</v>
      </c>
      <c r="B6" s="101">
        <v>360</v>
      </c>
      <c r="C6" s="97">
        <f>B6*(PI()*1.2^2/4)</f>
        <v>407.15040790523722</v>
      </c>
      <c r="D6" s="97">
        <f>C6*(A7-A6)</f>
        <v>2035.7520395261861</v>
      </c>
      <c r="F6" s="100">
        <v>0</v>
      </c>
      <c r="G6" s="101">
        <v>180</v>
      </c>
      <c r="H6" s="97">
        <f>G6*(PI()*1.2^2/4)</f>
        <v>203.57520395261861</v>
      </c>
      <c r="I6" s="97">
        <f>H6*(F7-F6)</f>
        <v>5089.3800988154653</v>
      </c>
    </row>
    <row r="7" spans="1:36">
      <c r="A7" s="100">
        <v>5</v>
      </c>
      <c r="B7" s="101">
        <v>180</v>
      </c>
      <c r="C7" s="97">
        <f>B7*(PI()*1.2^2/4)</f>
        <v>203.57520395261861</v>
      </c>
      <c r="D7" s="97">
        <f>C7*(A8-A7)</f>
        <v>3053.628059289279</v>
      </c>
      <c r="F7" s="100">
        <v>25</v>
      </c>
      <c r="G7" s="101">
        <v>0</v>
      </c>
      <c r="H7" s="97">
        <f>G7*(PI()*1.2^2/4)</f>
        <v>0</v>
      </c>
      <c r="I7" s="97">
        <f>H7*(F8-F7)</f>
        <v>0</v>
      </c>
    </row>
    <row r="8" spans="1:36" ht="15.75" thickBot="1">
      <c r="A8" s="100">
        <v>20</v>
      </c>
      <c r="B8" s="100">
        <v>0</v>
      </c>
      <c r="C8" s="97">
        <f>B8*(PI()*1.2^2/4)</f>
        <v>0</v>
      </c>
      <c r="D8" s="97">
        <f>C8*($C$13-A8)</f>
        <v>0</v>
      </c>
      <c r="I8" s="99">
        <f>SUM(I6:I7)</f>
        <v>5089.3800988154653</v>
      </c>
      <c r="J8" t="s">
        <v>111</v>
      </c>
      <c r="P8" s="96"/>
    </row>
    <row r="9" spans="1:36" ht="16.5" thickTop="1" thickBot="1">
      <c r="D9" s="99">
        <f>SUM(D6:D8)</f>
        <v>5089.3800988154653</v>
      </c>
      <c r="E9" t="s">
        <v>111</v>
      </c>
    </row>
    <row r="10" spans="1:36" ht="15.75" thickTop="1">
      <c r="G10" s="146" t="s">
        <v>112</v>
      </c>
      <c r="H10" s="146"/>
      <c r="I10" s="146"/>
      <c r="J10" s="146" t="s">
        <v>113</v>
      </c>
      <c r="K10" s="146"/>
      <c r="L10" s="146"/>
      <c r="M10" s="146" t="s">
        <v>218</v>
      </c>
      <c r="N10" s="146"/>
      <c r="O10" s="146"/>
    </row>
    <row r="11" spans="1:36">
      <c r="A11" t="s">
        <v>115</v>
      </c>
      <c r="C11" s="5">
        <v>7850</v>
      </c>
      <c r="D11" t="s">
        <v>116</v>
      </c>
      <c r="G11" s="3" t="s">
        <v>219</v>
      </c>
      <c r="H11" s="3" t="s">
        <v>220</v>
      </c>
      <c r="I11" s="3" t="s">
        <v>221</v>
      </c>
      <c r="J11" s="3" t="s">
        <v>219</v>
      </c>
      <c r="K11" s="3" t="s">
        <v>220</v>
      </c>
      <c r="L11" s="3" t="s">
        <v>221</v>
      </c>
      <c r="M11" s="3" t="s">
        <v>219</v>
      </c>
      <c r="N11" s="3" t="s">
        <v>220</v>
      </c>
      <c r="O11" s="3" t="s">
        <v>221</v>
      </c>
    </row>
    <row r="12" spans="1:36">
      <c r="A12" t="s">
        <v>119</v>
      </c>
      <c r="C12" s="5">
        <v>1.2</v>
      </c>
      <c r="D12" t="s">
        <v>4</v>
      </c>
      <c r="F12" s="3" t="s">
        <v>117</v>
      </c>
      <c r="G12" s="128">
        <f>25*I8</f>
        <v>127234.50247038664</v>
      </c>
      <c r="H12" s="129" t="s">
        <v>118</v>
      </c>
      <c r="I12" s="130" t="s">
        <v>118</v>
      </c>
      <c r="J12" s="128">
        <f>25*D9</f>
        <v>127234.50247038664</v>
      </c>
      <c r="K12" s="130" t="s">
        <v>118</v>
      </c>
      <c r="L12" s="130" t="s">
        <v>118</v>
      </c>
      <c r="M12" s="128">
        <f>25*D9+25*I8</f>
        <v>254469.00494077327</v>
      </c>
      <c r="N12" s="130" t="s">
        <v>118</v>
      </c>
      <c r="O12" s="130" t="s">
        <v>118</v>
      </c>
      <c r="P12" s="96"/>
      <c r="Q12" s="96"/>
      <c r="R12" s="96"/>
    </row>
    <row r="13" spans="1:36">
      <c r="A13" t="s">
        <v>122</v>
      </c>
      <c r="C13">
        <f>AJ14</f>
        <v>37.571521739130453</v>
      </c>
      <c r="D13" t="s">
        <v>4</v>
      </c>
      <c r="F13" s="3" t="s">
        <v>222</v>
      </c>
      <c r="G13" s="105" t="e">
        <f>'ss_ IFIR Summary (03.07)'!G12</f>
        <v>#REF!</v>
      </c>
      <c r="H13" s="107" t="e">
        <f>G13/G12</f>
        <v>#REF!</v>
      </c>
      <c r="I13" s="130" t="s">
        <v>118</v>
      </c>
      <c r="J13" s="105" t="e">
        <f>'ss_ IFIR Summary (03.07)'!I12</f>
        <v>#REF!</v>
      </c>
      <c r="K13" s="107" t="e">
        <f>J13/J12</f>
        <v>#REF!</v>
      </c>
      <c r="L13" s="130" t="s">
        <v>118</v>
      </c>
      <c r="M13" s="105" t="e">
        <f>'ss_ IFIR Summary (03.07)'!K12</f>
        <v>#REF!</v>
      </c>
      <c r="N13" s="107" t="e">
        <f>M13/M12</f>
        <v>#REF!</v>
      </c>
      <c r="O13" s="130" t="s">
        <v>118</v>
      </c>
      <c r="R13" s="117"/>
    </row>
    <row r="14" spans="1:36">
      <c r="A14" t="s">
        <v>123</v>
      </c>
      <c r="C14" s="121">
        <f>PI()*(C12-2*(0.085+0.016/2))+0.47</f>
        <v>3.6555749507400499</v>
      </c>
      <c r="D14" t="s">
        <v>4</v>
      </c>
      <c r="F14" s="3" t="s">
        <v>120</v>
      </c>
      <c r="G14" s="105" t="e">
        <f>Q40+O70+O102</f>
        <v>#REF!</v>
      </c>
      <c r="H14" s="107" t="e">
        <f>G14/G12</f>
        <v>#REF!</v>
      </c>
      <c r="I14" s="107" t="e">
        <f>G14/G13</f>
        <v>#REF!</v>
      </c>
      <c r="J14" s="105" t="e">
        <f>Q26+O55+O85</f>
        <v>#REF!</v>
      </c>
      <c r="K14" s="107" t="e">
        <f>J14/J12</f>
        <v>#REF!</v>
      </c>
      <c r="L14" s="107" t="e">
        <f>J14/J13</f>
        <v>#REF!</v>
      </c>
      <c r="M14" s="105" t="e">
        <f>Q26+Q40+O55+O70+O85+O102</f>
        <v>#REF!</v>
      </c>
      <c r="N14" s="107" t="e">
        <f>M14/M12</f>
        <v>#REF!</v>
      </c>
      <c r="O14" s="107" t="e">
        <f>M14/M13</f>
        <v>#REF!</v>
      </c>
      <c r="R14" s="117"/>
      <c r="AH14" t="s">
        <v>124</v>
      </c>
      <c r="AJ14" s="104">
        <f>AVERAGE(AJ18:AJ25,AJ30:AJ37,AK45:AK48,AK58:AK61,AK73:AK83,AK89:AK99)</f>
        <v>37.571521739130453</v>
      </c>
    </row>
    <row r="15" spans="1:36" ht="14.1" customHeight="1">
      <c r="G15" s="119"/>
      <c r="J15" s="119"/>
      <c r="M15" s="119"/>
    </row>
    <row r="16" spans="1:36" ht="18" customHeight="1">
      <c r="A16" s="1" t="s">
        <v>125</v>
      </c>
      <c r="P16" s="146" t="s">
        <v>126</v>
      </c>
      <c r="Q16" s="146"/>
      <c r="T16" t="s">
        <v>197</v>
      </c>
      <c r="AF16" s="146" t="s">
        <v>127</v>
      </c>
      <c r="AG16" s="146"/>
      <c r="AH16" s="146"/>
      <c r="AI16" s="146"/>
      <c r="AJ16" s="146"/>
    </row>
    <row r="17" spans="1:37">
      <c r="P17" s="3" t="s">
        <v>17</v>
      </c>
      <c r="Q17" s="3" t="s">
        <v>110</v>
      </c>
      <c r="T17" s="5">
        <v>8</v>
      </c>
      <c r="AF17" s="3" t="s">
        <v>17</v>
      </c>
      <c r="AG17" s="3" t="s">
        <v>128</v>
      </c>
      <c r="AH17" s="3" t="s">
        <v>129</v>
      </c>
      <c r="AI17" s="3" t="s">
        <v>130</v>
      </c>
      <c r="AJ17" s="3" t="s">
        <v>131</v>
      </c>
    </row>
    <row r="18" spans="1:37">
      <c r="A18" s="144" t="s">
        <v>107</v>
      </c>
      <c r="B18" s="145" t="s">
        <v>132</v>
      </c>
      <c r="C18" s="146" t="s">
        <v>133</v>
      </c>
      <c r="D18" s="146"/>
      <c r="E18" s="146"/>
      <c r="F18" s="146"/>
      <c r="G18" s="146"/>
      <c r="H18" s="146"/>
      <c r="I18" s="146"/>
      <c r="J18" s="146" t="s">
        <v>72</v>
      </c>
      <c r="K18" s="146"/>
      <c r="L18" s="146"/>
      <c r="M18" s="146"/>
      <c r="N18" s="145" t="s">
        <v>109</v>
      </c>
      <c r="O18" s="145" t="s">
        <v>110</v>
      </c>
      <c r="P18" s="111" t="s">
        <v>134</v>
      </c>
      <c r="Q18" s="3" t="e">
        <f>IF($A$23&gt;AJ18,$N$22*(AJ18-$A$22)+SUM($O$20:$O$21),IF($A$24&gt;AJ18,$N$23*(AJ18-$A$23)+SUM($O$20:$O$22),IF($A$25&gt;AJ18,$N$24*(AJ18-$A$24)+SUM($O$20:$O$23),$N$24*($A$25-$A$24)+SUM($O$20:$O$23))))</f>
        <v>#REF!</v>
      </c>
      <c r="AF18" s="111" t="s">
        <v>134</v>
      </c>
      <c r="AG18" s="112" t="s">
        <v>135</v>
      </c>
      <c r="AH18" s="127">
        <v>-35.5</v>
      </c>
      <c r="AI18" s="114">
        <v>500</v>
      </c>
      <c r="AJ18" s="97">
        <f>AG18-AH18+AI18/1000</f>
        <v>39.965000000000003</v>
      </c>
    </row>
    <row r="19" spans="1:37">
      <c r="A19" s="144"/>
      <c r="B19" s="145"/>
      <c r="C19" s="3" t="s">
        <v>136</v>
      </c>
      <c r="D19" s="3" t="s">
        <v>137</v>
      </c>
      <c r="F19" s="3" t="s">
        <v>136</v>
      </c>
      <c r="G19" s="3" t="s">
        <v>137</v>
      </c>
      <c r="H19" s="3" t="s">
        <v>138</v>
      </c>
      <c r="I19" s="3" t="s">
        <v>109</v>
      </c>
      <c r="J19" s="3" t="s">
        <v>136</v>
      </c>
      <c r="K19" s="3" t="s">
        <v>139</v>
      </c>
      <c r="L19" s="3" t="s">
        <v>138</v>
      </c>
      <c r="M19" s="3" t="s">
        <v>109</v>
      </c>
      <c r="N19" s="145"/>
      <c r="O19" s="145"/>
      <c r="P19" s="111" t="s">
        <v>140</v>
      </c>
      <c r="Q19" s="3" t="e">
        <f t="shared" ref="Q19:Q25" si="0">IF($A$23&gt;AJ19,$N$22*(AJ19-$A$22)+SUM($O$20:$O$21),IF($A$24&gt;AJ19,$N$23*(AJ19-$A$23)+SUM($O$20:$O$22),IF($A$25&gt;AJ19,$N$24*(AJ19-$A$24)+SUM($O$20:$O$23),$N$24*($A$25-$A$24)+SUM($O$20:$O$23))))</f>
        <v>#REF!</v>
      </c>
      <c r="T19" t="s">
        <v>223</v>
      </c>
      <c r="AF19" s="111" t="s">
        <v>140</v>
      </c>
      <c r="AG19" s="112" t="s">
        <v>135</v>
      </c>
      <c r="AH19" s="127">
        <v>-35</v>
      </c>
      <c r="AI19" s="114">
        <v>500</v>
      </c>
      <c r="AJ19" s="97">
        <f t="shared" ref="AJ19:AJ24" si="1">AG19-AH19+AI19/1000</f>
        <v>39.465000000000003</v>
      </c>
    </row>
    <row r="20" spans="1:37">
      <c r="A20" s="100">
        <v>0</v>
      </c>
      <c r="B20" s="100">
        <v>40</v>
      </c>
      <c r="C20" s="100">
        <v>40</v>
      </c>
      <c r="D20" s="100">
        <v>18</v>
      </c>
      <c r="E20" s="103" t="s">
        <v>141</v>
      </c>
      <c r="F20" s="100">
        <v>32</v>
      </c>
      <c r="G20" s="100">
        <v>18</v>
      </c>
      <c r="H20" s="98" t="e">
        <f>#REF!</f>
        <v>#REF!</v>
      </c>
      <c r="I20" s="97">
        <f t="shared" ref="I20:I25" si="2">$C$11*((D20*PI()*((C20/1000)^2)/4)+(G20*PI()*((F20/1000)^2)/4))</f>
        <v>291.20301952066802</v>
      </c>
      <c r="J20" s="100" t="e">
        <f>#REF!</f>
        <v>#REF!</v>
      </c>
      <c r="K20" s="100" t="e">
        <f>#REF!</f>
        <v>#REF!</v>
      </c>
      <c r="L20" s="98" t="e">
        <f>MAX(#REF!,#REF!,#REF!,#REF!)</f>
        <v>#REF!</v>
      </c>
      <c r="M20" s="97" t="e">
        <f>$C$11*$C$14*PI()*((J20/1000)^2)/4*1000/K20</f>
        <v>#REF!</v>
      </c>
      <c r="N20" s="97" t="e">
        <f t="shared" ref="N20:N25" si="3">I20+M20</f>
        <v>#REF!</v>
      </c>
      <c r="O20" s="97" t="e">
        <f>N20*(A21-A20)</f>
        <v>#REF!</v>
      </c>
      <c r="P20" s="111" t="s">
        <v>142</v>
      </c>
      <c r="Q20" s="3" t="e">
        <f t="shared" si="0"/>
        <v>#REF!</v>
      </c>
      <c r="T20" s="96" t="e">
        <f>Q26/T17</f>
        <v>#REF!</v>
      </c>
      <c r="U20" t="s">
        <v>111</v>
      </c>
      <c r="AC20" s="104" t="e">
        <f>O20</f>
        <v>#REF!</v>
      </c>
      <c r="AF20" s="111" t="s">
        <v>142</v>
      </c>
      <c r="AG20" s="112" t="s">
        <v>135</v>
      </c>
      <c r="AH20" s="127">
        <v>-34.5</v>
      </c>
      <c r="AI20" s="114">
        <v>500</v>
      </c>
      <c r="AJ20" s="97">
        <f t="shared" si="1"/>
        <v>38.965000000000003</v>
      </c>
    </row>
    <row r="21" spans="1:37">
      <c r="A21" s="100">
        <v>4.3</v>
      </c>
      <c r="B21" s="100">
        <v>40</v>
      </c>
      <c r="C21" s="100">
        <v>32</v>
      </c>
      <c r="D21" s="100">
        <v>18</v>
      </c>
      <c r="E21" s="103" t="s">
        <v>141</v>
      </c>
      <c r="F21" s="100">
        <v>0</v>
      </c>
      <c r="G21" s="100">
        <v>0</v>
      </c>
      <c r="H21" s="98" t="e">
        <f>#REF!</f>
        <v>#REF!</v>
      </c>
      <c r="I21" s="97">
        <f t="shared" si="2"/>
        <v>113.64020273977286</v>
      </c>
      <c r="J21" s="100">
        <v>25</v>
      </c>
      <c r="K21" s="100">
        <v>150</v>
      </c>
      <c r="L21" s="98" t="e">
        <f>MAX(#REF!,#REF!)</f>
        <v>#REF!</v>
      </c>
      <c r="M21" s="97">
        <f t="shared" ref="M21:M25" si="4">$C$11*$C$14*PI()*((J21/1000)^2)/4*1000/K21</f>
        <v>93.90830225796951</v>
      </c>
      <c r="N21" s="97">
        <f t="shared" si="3"/>
        <v>207.54850499774238</v>
      </c>
      <c r="O21" s="97">
        <f>N21*(A22-A21)</f>
        <v>664.15521599277565</v>
      </c>
      <c r="P21" s="111" t="s">
        <v>143</v>
      </c>
      <c r="Q21" s="3" t="e">
        <f t="shared" si="0"/>
        <v>#REF!</v>
      </c>
      <c r="AC21" s="104">
        <f>O21</f>
        <v>664.15521599277565</v>
      </c>
      <c r="AF21" s="111" t="s">
        <v>143</v>
      </c>
      <c r="AG21" s="112" t="s">
        <v>135</v>
      </c>
      <c r="AH21" s="127">
        <v>-34.5</v>
      </c>
      <c r="AI21" s="114">
        <v>500</v>
      </c>
      <c r="AJ21" s="97">
        <f t="shared" si="1"/>
        <v>38.965000000000003</v>
      </c>
    </row>
    <row r="22" spans="1:37">
      <c r="A22" s="100">
        <v>7.5</v>
      </c>
      <c r="B22" s="100">
        <v>40</v>
      </c>
      <c r="C22" s="100">
        <v>32</v>
      </c>
      <c r="D22" s="100">
        <v>18</v>
      </c>
      <c r="E22" s="103" t="s">
        <v>141</v>
      </c>
      <c r="F22" s="100">
        <v>25</v>
      </c>
      <c r="G22" s="100">
        <v>18</v>
      </c>
      <c r="H22" s="98" t="e">
        <f>H21</f>
        <v>#REF!</v>
      </c>
      <c r="I22" s="97">
        <f t="shared" si="2"/>
        <v>183.00067804481006</v>
      </c>
      <c r="J22" s="100">
        <v>16</v>
      </c>
      <c r="K22" s="100">
        <v>300</v>
      </c>
      <c r="L22" s="98" t="e">
        <f>MAX(#REF!,#REF!)</f>
        <v>#REF!</v>
      </c>
      <c r="M22" s="97">
        <f t="shared" si="4"/>
        <v>19.232420302432153</v>
      </c>
      <c r="N22" s="97">
        <f t="shared" si="3"/>
        <v>202.23309834724222</v>
      </c>
      <c r="O22" s="97">
        <f>N22*(A23-A22)</f>
        <v>202.23309834724222</v>
      </c>
      <c r="P22" s="111" t="s">
        <v>144</v>
      </c>
      <c r="Q22" s="3" t="e">
        <f t="shared" si="0"/>
        <v>#REF!</v>
      </c>
      <c r="AC22" s="104">
        <f>O22</f>
        <v>202.23309834724222</v>
      </c>
      <c r="AF22" s="111" t="s">
        <v>144</v>
      </c>
      <c r="AG22" s="112" t="s">
        <v>135</v>
      </c>
      <c r="AH22" s="127">
        <v>-22</v>
      </c>
      <c r="AI22" s="114">
        <v>1000</v>
      </c>
      <c r="AJ22" s="97">
        <f t="shared" si="1"/>
        <v>26.965</v>
      </c>
    </row>
    <row r="23" spans="1:37">
      <c r="A23" s="100">
        <v>8.5</v>
      </c>
      <c r="B23" s="100">
        <v>40</v>
      </c>
      <c r="C23" s="100">
        <v>25</v>
      </c>
      <c r="D23" s="100">
        <v>18</v>
      </c>
      <c r="E23" s="103" t="s">
        <v>141</v>
      </c>
      <c r="F23" s="100">
        <v>0</v>
      </c>
      <c r="G23" s="100">
        <v>0</v>
      </c>
      <c r="H23" s="98" t="e">
        <f>#REF!</f>
        <v>#REF!</v>
      </c>
      <c r="I23" s="97">
        <f t="shared" si="2"/>
        <v>69.36047530503717</v>
      </c>
      <c r="J23" s="100">
        <v>16</v>
      </c>
      <c r="K23" s="100">
        <v>240</v>
      </c>
      <c r="L23" s="98" t="e">
        <f>MAX(#REF!,#REF!)</f>
        <v>#REF!</v>
      </c>
      <c r="M23" s="97">
        <f t="shared" si="4"/>
        <v>24.04052537804019</v>
      </c>
      <c r="N23" s="97">
        <f t="shared" si="3"/>
        <v>93.401000683077356</v>
      </c>
      <c r="O23" s="97">
        <f>N23*(A24-A23)</f>
        <v>915.32980669415815</v>
      </c>
      <c r="P23" s="111" t="s">
        <v>145</v>
      </c>
      <c r="Q23" s="3" t="e">
        <f t="shared" si="0"/>
        <v>#REF!</v>
      </c>
      <c r="AC23" s="104">
        <f>O23</f>
        <v>915.32980669415815</v>
      </c>
      <c r="AF23" s="111" t="s">
        <v>145</v>
      </c>
      <c r="AG23" s="112" t="s">
        <v>135</v>
      </c>
      <c r="AH23" s="127">
        <v>-22</v>
      </c>
      <c r="AI23" s="114">
        <v>1000</v>
      </c>
      <c r="AJ23" s="97">
        <f t="shared" si="1"/>
        <v>26.965</v>
      </c>
    </row>
    <row r="24" spans="1:37">
      <c r="A24" s="100">
        <v>18.3</v>
      </c>
      <c r="B24" s="100">
        <v>40</v>
      </c>
      <c r="C24" s="100">
        <v>16</v>
      </c>
      <c r="D24" s="100">
        <v>18</v>
      </c>
      <c r="E24" s="103" t="s">
        <v>141</v>
      </c>
      <c r="F24" s="100">
        <v>0</v>
      </c>
      <c r="G24" s="100">
        <v>0</v>
      </c>
      <c r="H24" s="98" t="e">
        <f>H23</f>
        <v>#REF!</v>
      </c>
      <c r="I24" s="97">
        <f t="shared" si="2"/>
        <v>28.410050684943215</v>
      </c>
      <c r="J24" s="100">
        <v>16</v>
      </c>
      <c r="K24" s="100">
        <v>300</v>
      </c>
      <c r="L24" s="98" t="e">
        <f>MAX(#REF!,#REF!)</f>
        <v>#REF!</v>
      </c>
      <c r="M24" s="97">
        <f t="shared" si="4"/>
        <v>19.232420302432153</v>
      </c>
      <c r="N24" s="97">
        <f t="shared" si="3"/>
        <v>47.642470987375368</v>
      </c>
      <c r="O24" s="97">
        <f>IF(A25&gt;AK25,N24*(AK25-A24),N24*(A25-A24))</f>
        <v>557.41691055229182</v>
      </c>
      <c r="P24" s="111" t="s">
        <v>146</v>
      </c>
      <c r="Q24" s="3" t="e">
        <f t="shared" si="0"/>
        <v>#REF!</v>
      </c>
      <c r="AC24">
        <f>N24*(21-A24)</f>
        <v>128.63467166591346</v>
      </c>
      <c r="AF24" s="111" t="s">
        <v>146</v>
      </c>
      <c r="AG24" s="112" t="s">
        <v>135</v>
      </c>
      <c r="AH24" s="127">
        <v>-19</v>
      </c>
      <c r="AI24" s="114">
        <v>1000</v>
      </c>
      <c r="AJ24" s="97">
        <f t="shared" si="1"/>
        <v>23.965</v>
      </c>
    </row>
    <row r="25" spans="1:37">
      <c r="A25" s="100">
        <v>30</v>
      </c>
      <c r="B25" s="100">
        <v>40</v>
      </c>
      <c r="C25" s="100">
        <v>0</v>
      </c>
      <c r="D25" s="100">
        <v>0</v>
      </c>
      <c r="E25" s="103" t="s">
        <v>141</v>
      </c>
      <c r="F25" s="100">
        <v>0</v>
      </c>
      <c r="G25" s="100">
        <v>0</v>
      </c>
      <c r="H25" s="98"/>
      <c r="I25" s="97">
        <f t="shared" si="2"/>
        <v>0</v>
      </c>
      <c r="J25" s="100">
        <v>0</v>
      </c>
      <c r="K25" s="100">
        <v>300</v>
      </c>
      <c r="L25" s="98"/>
      <c r="M25" s="97">
        <f t="shared" si="4"/>
        <v>0</v>
      </c>
      <c r="N25" s="97">
        <f t="shared" si="3"/>
        <v>0</v>
      </c>
      <c r="O25" s="97">
        <f>IF(A25&gt;AK25,0,N25*(AK25-A25))</f>
        <v>0</v>
      </c>
      <c r="P25" s="111" t="s">
        <v>147</v>
      </c>
      <c r="Q25" s="3" t="e">
        <f t="shared" si="0"/>
        <v>#REF!</v>
      </c>
      <c r="AF25" s="111" t="s">
        <v>147</v>
      </c>
      <c r="AG25" s="112" t="s">
        <v>135</v>
      </c>
      <c r="AH25" s="127">
        <v>-16</v>
      </c>
      <c r="AI25" s="114">
        <v>1000</v>
      </c>
      <c r="AJ25" s="97">
        <f>AG25-AH25+AI25/1000</f>
        <v>20.965</v>
      </c>
      <c r="AK25" s="104">
        <f>AVERAGE(AJ18:AJ25)</f>
        <v>32.027500000000003</v>
      </c>
    </row>
    <row r="26" spans="1:37" ht="15.75" thickBot="1">
      <c r="Q26" s="99" t="e">
        <f>SUM(Q18:Q25)</f>
        <v>#REF!</v>
      </c>
      <c r="R26" s="89" t="s">
        <v>148</v>
      </c>
      <c r="S26" s="102" t="e">
        <f>Q26/$D$9/8</f>
        <v>#REF!</v>
      </c>
      <c r="T26" t="s">
        <v>121</v>
      </c>
      <c r="V26" s="96"/>
      <c r="AC26" s="99" t="e">
        <f>SUM(AC20:AC24)</f>
        <v>#REF!</v>
      </c>
      <c r="AD26" s="115" t="e">
        <f>O26-AC26</f>
        <v>#REF!</v>
      </c>
    </row>
    <row r="27" spans="1:37" ht="15.75" thickTop="1">
      <c r="Q27" s="110"/>
      <c r="R27" s="89" t="s">
        <v>148</v>
      </c>
      <c r="S27" s="102" t="e">
        <f>Q26/'ss_ IFIR Summary (03.07)'!Q26</f>
        <v>#REF!</v>
      </c>
      <c r="T27" t="s">
        <v>224</v>
      </c>
    </row>
    <row r="28" spans="1:37" ht="18.75">
      <c r="A28" s="1" t="s">
        <v>149</v>
      </c>
      <c r="Q28" s="110"/>
      <c r="AF28" s="146" t="s">
        <v>150</v>
      </c>
      <c r="AG28" s="146"/>
      <c r="AH28" s="146"/>
      <c r="AI28" s="146"/>
      <c r="AJ28" s="146"/>
    </row>
    <row r="29" spans="1:37">
      <c r="Q29" s="110"/>
      <c r="AF29" s="3" t="s">
        <v>17</v>
      </c>
      <c r="AG29" s="3" t="s">
        <v>128</v>
      </c>
      <c r="AH29" s="3" t="s">
        <v>129</v>
      </c>
      <c r="AI29" s="3" t="s">
        <v>130</v>
      </c>
      <c r="AJ29" s="3" t="s">
        <v>131</v>
      </c>
    </row>
    <row r="30" spans="1:37" ht="14.45" customHeight="1">
      <c r="A30" s="144" t="s">
        <v>151</v>
      </c>
      <c r="B30" s="145" t="s">
        <v>132</v>
      </c>
      <c r="C30" s="146" t="s">
        <v>133</v>
      </c>
      <c r="D30" s="146"/>
      <c r="E30" s="146"/>
      <c r="F30" s="146"/>
      <c r="G30" s="146"/>
      <c r="H30" s="146"/>
      <c r="I30" s="146"/>
      <c r="J30" s="146" t="s">
        <v>72</v>
      </c>
      <c r="K30" s="146"/>
      <c r="L30" s="146"/>
      <c r="M30" s="146"/>
      <c r="N30" s="145" t="s">
        <v>109</v>
      </c>
      <c r="O30" s="145" t="s">
        <v>110</v>
      </c>
      <c r="P30" s="146" t="s">
        <v>152</v>
      </c>
      <c r="Q30" s="146"/>
      <c r="T30" t="s">
        <v>197</v>
      </c>
      <c r="AF30" s="111" t="s">
        <v>153</v>
      </c>
      <c r="AG30" s="112" t="s">
        <v>154</v>
      </c>
      <c r="AH30" s="127">
        <v>-35</v>
      </c>
      <c r="AI30" s="114">
        <v>1000</v>
      </c>
      <c r="AJ30" s="97">
        <f t="shared" ref="AJ30:AJ37" si="5">AG30-AH30+AI30/1000</f>
        <v>39.765000000000001</v>
      </c>
    </row>
    <row r="31" spans="1:37">
      <c r="A31" s="144"/>
      <c r="B31" s="145"/>
      <c r="C31" s="3" t="s">
        <v>136</v>
      </c>
      <c r="D31" s="3" t="s">
        <v>137</v>
      </c>
      <c r="F31" s="3" t="s">
        <v>136</v>
      </c>
      <c r="G31" s="3" t="s">
        <v>137</v>
      </c>
      <c r="H31" s="3" t="s">
        <v>138</v>
      </c>
      <c r="I31" s="3" t="s">
        <v>109</v>
      </c>
      <c r="J31" s="3" t="s">
        <v>136</v>
      </c>
      <c r="K31" s="3" t="s">
        <v>139</v>
      </c>
      <c r="L31" s="3" t="s">
        <v>138</v>
      </c>
      <c r="M31" s="3" t="s">
        <v>109</v>
      </c>
      <c r="N31" s="145"/>
      <c r="O31" s="145"/>
      <c r="P31" s="3" t="s">
        <v>17</v>
      </c>
      <c r="Q31" s="3" t="s">
        <v>110</v>
      </c>
      <c r="T31" s="5">
        <v>8</v>
      </c>
      <c r="AF31" s="111" t="s">
        <v>155</v>
      </c>
      <c r="AG31" s="112" t="s">
        <v>154</v>
      </c>
      <c r="AH31" s="127">
        <v>-35</v>
      </c>
      <c r="AI31" s="114">
        <v>1000</v>
      </c>
      <c r="AJ31" s="97">
        <f t="shared" si="5"/>
        <v>39.765000000000001</v>
      </c>
    </row>
    <row r="32" spans="1:37">
      <c r="A32" s="100">
        <v>0</v>
      </c>
      <c r="B32" s="100">
        <v>40</v>
      </c>
      <c r="C32" s="100">
        <v>25</v>
      </c>
      <c r="D32" s="100">
        <v>18</v>
      </c>
      <c r="E32" s="103" t="s">
        <v>141</v>
      </c>
      <c r="F32" s="100">
        <v>0</v>
      </c>
      <c r="G32" s="100">
        <v>0</v>
      </c>
      <c r="H32" s="98" t="e">
        <f>#REF!</f>
        <v>#REF!</v>
      </c>
      <c r="I32" s="97">
        <f t="shared" ref="I32:I39" si="6">$C$11*((D32*PI()*((C32/1000)^2)/4)+(G32*PI()*((F32/1000)^2)/4))</f>
        <v>69.36047530503717</v>
      </c>
      <c r="J32" s="100">
        <v>16</v>
      </c>
      <c r="K32" s="100">
        <v>300</v>
      </c>
      <c r="L32" s="98" t="e">
        <f>MAX(#REF!,#REF!)</f>
        <v>#REF!</v>
      </c>
      <c r="M32" s="97">
        <f>$C$11*$C$14*PI()*((J32/1000)^2)/4*1000/K32</f>
        <v>19.232420302432153</v>
      </c>
      <c r="N32" s="97">
        <f t="shared" ref="N32:N39" si="7">I32+M32</f>
        <v>88.59289560746933</v>
      </c>
      <c r="O32" s="97">
        <f t="shared" ref="O32:O37" si="8">N32*(A33-A32)</f>
        <v>310.07513462614264</v>
      </c>
      <c r="P32" s="111" t="s">
        <v>153</v>
      </c>
      <c r="Q32" s="3">
        <f>IF($A$37&gt;AJ30,$N$36*(AJ30-$A$36)+SUM($O$32:$O$35),IF($A$38&gt;AJ30,$N$37*(AJ30-$A$37)+SUM($O$32:$O$36),IF($A$39&gt;AJ30,$N$38*(AJ30-$A$38)+SUM($O$32:$O$37),$N$38*($A$39-$A$38)+SUM($O$32:$O$37))))</f>
        <v>2348.1862966578037</v>
      </c>
      <c r="U32" s="122"/>
      <c r="AC32" s="104">
        <f t="shared" ref="AC32:AC38" si="9">O32</f>
        <v>310.07513462614264</v>
      </c>
      <c r="AF32" s="111" t="s">
        <v>156</v>
      </c>
      <c r="AG32" s="112" t="s">
        <v>154</v>
      </c>
      <c r="AH32" s="127">
        <v>-34.5</v>
      </c>
      <c r="AI32" s="114">
        <v>1000</v>
      </c>
      <c r="AJ32" s="97">
        <f t="shared" si="5"/>
        <v>39.265000000000001</v>
      </c>
    </row>
    <row r="33" spans="1:38">
      <c r="A33" s="100">
        <v>3.5</v>
      </c>
      <c r="B33" s="100">
        <v>40</v>
      </c>
      <c r="C33" s="100">
        <v>25</v>
      </c>
      <c r="D33" s="100">
        <v>18</v>
      </c>
      <c r="E33" s="103" t="s">
        <v>141</v>
      </c>
      <c r="F33" s="100">
        <v>20</v>
      </c>
      <c r="G33" s="100">
        <v>18</v>
      </c>
      <c r="H33" s="98" t="e">
        <f>#REF!</f>
        <v>#REF!</v>
      </c>
      <c r="I33" s="97">
        <f t="shared" si="6"/>
        <v>113.75117950026096</v>
      </c>
      <c r="J33" s="100">
        <v>16</v>
      </c>
      <c r="K33" s="100">
        <v>240</v>
      </c>
      <c r="L33" s="98" t="e">
        <f>L32</f>
        <v>#REF!</v>
      </c>
      <c r="M33" s="97">
        <f t="shared" ref="M33:M39" si="10">$C$11*$C$14*PI()*((J33/1000)^2)/4*1000/K33</f>
        <v>24.04052537804019</v>
      </c>
      <c r="N33" s="97">
        <f t="shared" si="7"/>
        <v>137.79170487830115</v>
      </c>
      <c r="O33" s="97">
        <f t="shared" si="8"/>
        <v>137.79170487830115</v>
      </c>
      <c r="P33" s="111" t="s">
        <v>155</v>
      </c>
      <c r="Q33" s="3">
        <f t="shared" ref="Q33:Q39" si="11">IF($A$37&gt;AJ31,$N$36*(AJ31-$A$36)+SUM($O$32:$O$35),IF($A$38&gt;AJ31,$N$37*(AJ31-$A$37)+SUM($O$32:$O$36),IF($A$39&gt;AJ31,$N$38*(AJ31-$A$38)+SUM($O$32:$O$37),$N$38*($A$39-$A$38)+SUM($O$32:$O$37))))</f>
        <v>2348.1862966578037</v>
      </c>
      <c r="T33" t="s">
        <v>223</v>
      </c>
      <c r="U33" s="122"/>
      <c r="AC33" s="104">
        <f t="shared" si="9"/>
        <v>137.79170487830115</v>
      </c>
      <c r="AF33" s="111" t="s">
        <v>157</v>
      </c>
      <c r="AG33" s="112" t="s">
        <v>154</v>
      </c>
      <c r="AH33" s="127">
        <v>-34.5</v>
      </c>
      <c r="AI33" s="114">
        <v>1000</v>
      </c>
      <c r="AJ33" s="97">
        <f t="shared" si="5"/>
        <v>39.265000000000001</v>
      </c>
    </row>
    <row r="34" spans="1:38">
      <c r="A34" s="100">
        <v>4.5</v>
      </c>
      <c r="B34" s="100">
        <v>40</v>
      </c>
      <c r="C34" s="100">
        <v>20</v>
      </c>
      <c r="D34" s="100">
        <v>18</v>
      </c>
      <c r="E34" s="103" t="s">
        <v>141</v>
      </c>
      <c r="F34" s="100">
        <v>0</v>
      </c>
      <c r="G34" s="100">
        <v>0</v>
      </c>
      <c r="H34" s="98" t="e">
        <f>H33</f>
        <v>#REF!</v>
      </c>
      <c r="I34" s="97">
        <f t="shared" si="6"/>
        <v>44.390704195223783</v>
      </c>
      <c r="J34" s="100">
        <v>16</v>
      </c>
      <c r="K34" s="100">
        <v>300</v>
      </c>
      <c r="L34" s="98" t="e">
        <f>L32</f>
        <v>#REF!</v>
      </c>
      <c r="M34" s="97">
        <f t="shared" si="10"/>
        <v>19.232420302432153</v>
      </c>
      <c r="N34" s="97">
        <f t="shared" si="7"/>
        <v>63.623124497655937</v>
      </c>
      <c r="O34" s="97">
        <f t="shared" si="8"/>
        <v>636.23124497655931</v>
      </c>
      <c r="P34" s="111" t="s">
        <v>156</v>
      </c>
      <c r="Q34" s="3">
        <f t="shared" si="11"/>
        <v>2348.1862966578037</v>
      </c>
      <c r="T34" s="96">
        <f>Q40/T31</f>
        <v>1985.2697739114715</v>
      </c>
      <c r="U34" t="s">
        <v>111</v>
      </c>
      <c r="AC34" s="104">
        <f t="shared" si="9"/>
        <v>636.23124497655931</v>
      </c>
      <c r="AF34" s="111" t="s">
        <v>158</v>
      </c>
      <c r="AG34" s="112" t="s">
        <v>154</v>
      </c>
      <c r="AH34" s="127">
        <v>-19</v>
      </c>
      <c r="AI34" s="114">
        <v>1500</v>
      </c>
      <c r="AJ34" s="97">
        <f t="shared" si="5"/>
        <v>24.265000000000001</v>
      </c>
    </row>
    <row r="35" spans="1:38">
      <c r="A35" s="100">
        <v>14.5</v>
      </c>
      <c r="B35" s="100">
        <v>40</v>
      </c>
      <c r="C35" s="100">
        <v>20</v>
      </c>
      <c r="D35" s="100">
        <v>18</v>
      </c>
      <c r="E35" s="103" t="s">
        <v>141</v>
      </c>
      <c r="F35" s="100">
        <v>20</v>
      </c>
      <c r="G35" s="100">
        <v>18</v>
      </c>
      <c r="H35" s="98" t="e">
        <f>#REF!</f>
        <v>#REF!</v>
      </c>
      <c r="I35" s="97">
        <f t="shared" si="6"/>
        <v>88.781408390447567</v>
      </c>
      <c r="J35" s="100">
        <v>16</v>
      </c>
      <c r="K35" s="100">
        <v>240</v>
      </c>
      <c r="L35" s="98" t="e">
        <f>MAX(#REF!,#REF!)</f>
        <v>#REF!</v>
      </c>
      <c r="M35" s="97">
        <f t="shared" si="10"/>
        <v>24.04052537804019</v>
      </c>
      <c r="N35" s="97">
        <f t="shared" si="7"/>
        <v>112.82193376848775</v>
      </c>
      <c r="O35" s="97">
        <f t="shared" si="8"/>
        <v>112.82193376848775</v>
      </c>
      <c r="P35" s="111" t="s">
        <v>157</v>
      </c>
      <c r="Q35" s="3">
        <f t="shared" si="11"/>
        <v>2348.1862966578037</v>
      </c>
      <c r="U35" s="122"/>
      <c r="AC35" s="104">
        <f t="shared" si="9"/>
        <v>112.82193376848775</v>
      </c>
      <c r="AF35" s="111" t="s">
        <v>159</v>
      </c>
      <c r="AG35" s="112" t="s">
        <v>154</v>
      </c>
      <c r="AH35" s="127">
        <v>-19</v>
      </c>
      <c r="AI35" s="114">
        <v>1500</v>
      </c>
      <c r="AJ35" s="97">
        <f t="shared" si="5"/>
        <v>24.265000000000001</v>
      </c>
    </row>
    <row r="36" spans="1:38">
      <c r="A36" s="100">
        <v>15.5</v>
      </c>
      <c r="B36" s="100">
        <v>40</v>
      </c>
      <c r="C36" s="100">
        <v>20</v>
      </c>
      <c r="D36" s="100">
        <v>18</v>
      </c>
      <c r="E36" s="103" t="s">
        <v>141</v>
      </c>
      <c r="F36" s="100">
        <v>0</v>
      </c>
      <c r="G36" s="100">
        <v>0</v>
      </c>
      <c r="H36" s="98" t="e">
        <f>H35</f>
        <v>#REF!</v>
      </c>
      <c r="I36" s="97">
        <f t="shared" si="6"/>
        <v>44.390704195223783</v>
      </c>
      <c r="J36" s="100">
        <v>16</v>
      </c>
      <c r="K36" s="100">
        <v>300</v>
      </c>
      <c r="L36" s="98" t="e">
        <f>L35</f>
        <v>#REF!</v>
      </c>
      <c r="M36" s="97">
        <f t="shared" si="10"/>
        <v>19.232420302432153</v>
      </c>
      <c r="N36" s="97">
        <f t="shared" si="7"/>
        <v>63.623124497655937</v>
      </c>
      <c r="O36" s="97">
        <f t="shared" si="8"/>
        <v>159.05781124413983</v>
      </c>
      <c r="P36" s="111" t="s">
        <v>158</v>
      </c>
      <c r="Q36" s="3">
        <f t="shared" si="11"/>
        <v>1693.816957646203</v>
      </c>
      <c r="U36" s="122"/>
      <c r="AC36" s="104">
        <f t="shared" si="9"/>
        <v>159.05781124413983</v>
      </c>
      <c r="AF36" s="111" t="s">
        <v>160</v>
      </c>
      <c r="AG36" s="112" t="s">
        <v>154</v>
      </c>
      <c r="AH36" s="127">
        <v>-17</v>
      </c>
      <c r="AI36" s="114">
        <v>1500</v>
      </c>
      <c r="AJ36" s="97">
        <f t="shared" si="5"/>
        <v>22.265000000000001</v>
      </c>
    </row>
    <row r="37" spans="1:38">
      <c r="A37" s="100">
        <v>18</v>
      </c>
      <c r="B37" s="100">
        <v>40</v>
      </c>
      <c r="C37" s="100">
        <v>20</v>
      </c>
      <c r="D37" s="100">
        <v>18</v>
      </c>
      <c r="E37" s="103" t="s">
        <v>141</v>
      </c>
      <c r="F37" s="100">
        <v>16</v>
      </c>
      <c r="G37" s="100">
        <v>18</v>
      </c>
      <c r="H37" s="98" t="e">
        <f>#REF!</f>
        <v>#REF!</v>
      </c>
      <c r="I37" s="97">
        <f t="shared" si="6"/>
        <v>72.800754880167005</v>
      </c>
      <c r="J37" s="100">
        <v>16</v>
      </c>
      <c r="K37" s="100">
        <v>240</v>
      </c>
      <c r="L37" s="98" t="e">
        <f>MAX(#REF!,#REF!)</f>
        <v>#REF!</v>
      </c>
      <c r="M37" s="97">
        <f t="shared" si="10"/>
        <v>24.04052537804019</v>
      </c>
      <c r="N37" s="97">
        <f t="shared" si="7"/>
        <v>96.841280258207192</v>
      </c>
      <c r="O37" s="97">
        <f t="shared" si="8"/>
        <v>77.473024206565825</v>
      </c>
      <c r="P37" s="111" t="s">
        <v>159</v>
      </c>
      <c r="Q37" s="3">
        <f t="shared" si="11"/>
        <v>1693.816957646203</v>
      </c>
      <c r="U37" s="122"/>
      <c r="AC37" s="104">
        <f t="shared" si="9"/>
        <v>77.473024206565825</v>
      </c>
      <c r="AF37" s="111" t="s">
        <v>161</v>
      </c>
      <c r="AG37" s="112" t="s">
        <v>154</v>
      </c>
      <c r="AH37" s="127">
        <v>-15</v>
      </c>
      <c r="AI37" s="114">
        <v>1500</v>
      </c>
      <c r="AJ37" s="97">
        <f t="shared" si="5"/>
        <v>20.265000000000001</v>
      </c>
      <c r="AK37" s="104">
        <f>AVERAGE(AJ30:AJ37)</f>
        <v>31.139999999999993</v>
      </c>
    </row>
    <row r="38" spans="1:38">
      <c r="A38" s="100">
        <v>18.8</v>
      </c>
      <c r="B38" s="100">
        <v>40</v>
      </c>
      <c r="C38" s="100">
        <v>16</v>
      </c>
      <c r="D38" s="100">
        <v>18</v>
      </c>
      <c r="E38" s="103" t="s">
        <v>141</v>
      </c>
      <c r="F38" s="100">
        <v>0</v>
      </c>
      <c r="G38" s="100">
        <v>0</v>
      </c>
      <c r="H38" s="98" t="e">
        <f>H37</f>
        <v>#REF!</v>
      </c>
      <c r="I38" s="97">
        <f t="shared" si="6"/>
        <v>28.410050684943215</v>
      </c>
      <c r="J38" s="100">
        <v>16</v>
      </c>
      <c r="K38" s="100">
        <v>300</v>
      </c>
      <c r="L38" s="98" t="e">
        <f>L37</f>
        <v>#REF!</v>
      </c>
      <c r="M38" s="97">
        <f t="shared" si="10"/>
        <v>19.232420302432153</v>
      </c>
      <c r="N38" s="97">
        <f t="shared" si="7"/>
        <v>47.642470987375368</v>
      </c>
      <c r="O38" s="97">
        <f>IF(A39&gt;AK37,N38*(AK37-A38),N38*(A39-A38))</f>
        <v>587.90809198421175</v>
      </c>
      <c r="P38" s="111" t="s">
        <v>160</v>
      </c>
      <c r="Q38" s="3">
        <f t="shared" si="11"/>
        <v>1598.5320156714522</v>
      </c>
      <c r="U38" s="122"/>
      <c r="AC38" s="104">
        <f t="shared" si="9"/>
        <v>587.90809198421175</v>
      </c>
    </row>
    <row r="39" spans="1:38">
      <c r="A39" s="100">
        <v>38</v>
      </c>
      <c r="B39" s="100">
        <v>40</v>
      </c>
      <c r="C39" s="100">
        <v>0</v>
      </c>
      <c r="D39" s="100">
        <v>0</v>
      </c>
      <c r="E39" s="103" t="s">
        <v>141</v>
      </c>
      <c r="F39" s="100">
        <v>0</v>
      </c>
      <c r="G39" s="100">
        <v>0</v>
      </c>
      <c r="H39" s="98" t="e">
        <f>H38</f>
        <v>#REF!</v>
      </c>
      <c r="I39" s="97">
        <f t="shared" si="6"/>
        <v>0</v>
      </c>
      <c r="J39" s="100">
        <v>16</v>
      </c>
      <c r="K39" s="100">
        <v>300</v>
      </c>
      <c r="L39" s="98" t="e">
        <f>L38</f>
        <v>#REF!</v>
      </c>
      <c r="M39" s="97">
        <f t="shared" si="10"/>
        <v>19.232420302432153</v>
      </c>
      <c r="N39" s="97">
        <f t="shared" si="7"/>
        <v>19.232420302432153</v>
      </c>
      <c r="O39" s="97">
        <f>IF(A39&gt;AK37,0,N39*(AK37-A39))</f>
        <v>0</v>
      </c>
      <c r="P39" s="111" t="s">
        <v>161</v>
      </c>
      <c r="Q39" s="3">
        <f t="shared" si="11"/>
        <v>1503.2470736967016</v>
      </c>
      <c r="U39" s="122"/>
      <c r="AC39">
        <f>N39*(30-A39)</f>
        <v>-153.85936241945723</v>
      </c>
    </row>
    <row r="40" spans="1:38" ht="15.75" thickBot="1">
      <c r="Q40" s="99">
        <f>SUM(Q32:Q39)</f>
        <v>15882.158191291772</v>
      </c>
      <c r="R40" s="89" t="s">
        <v>148</v>
      </c>
      <c r="S40" s="102">
        <f>Q40/$I$8/8</f>
        <v>0.39008086159128413</v>
      </c>
      <c r="T40" t="s">
        <v>121</v>
      </c>
      <c r="V40" s="96"/>
      <c r="AC40" s="99">
        <f>SUM(AC32:AC38)</f>
        <v>2021.3589456844084</v>
      </c>
      <c r="AD40" s="115">
        <f>O40-AC40</f>
        <v>-2021.3589456844084</v>
      </c>
    </row>
    <row r="41" spans="1:38" ht="15.75" thickTop="1">
      <c r="O41" s="104"/>
      <c r="R41" s="89" t="s">
        <v>148</v>
      </c>
      <c r="S41" s="102">
        <f>Q40/'ss_ IFIR Summary (03.07)'!Q40</f>
        <v>0.85892887884221258</v>
      </c>
      <c r="T41" t="s">
        <v>224</v>
      </c>
    </row>
    <row r="42" spans="1:38" ht="18.75">
      <c r="A42" s="1" t="s">
        <v>162</v>
      </c>
    </row>
    <row r="43" spans="1:38">
      <c r="AG43" s="146" t="s">
        <v>163</v>
      </c>
      <c r="AH43" s="146"/>
      <c r="AI43" s="146"/>
      <c r="AJ43" s="146"/>
      <c r="AK43" s="146"/>
    </row>
    <row r="44" spans="1:38" ht="14.45" customHeight="1">
      <c r="A44" s="144" t="s">
        <v>151</v>
      </c>
      <c r="B44" s="145" t="s">
        <v>132</v>
      </c>
      <c r="C44" s="146" t="s">
        <v>133</v>
      </c>
      <c r="D44" s="146"/>
      <c r="E44" s="146"/>
      <c r="F44" s="146"/>
      <c r="G44" s="146"/>
      <c r="H44" s="146"/>
      <c r="I44" s="146"/>
      <c r="J44" s="146" t="s">
        <v>72</v>
      </c>
      <c r="K44" s="146"/>
      <c r="L44" s="146"/>
      <c r="M44" s="146"/>
      <c r="N44" s="145" t="s">
        <v>109</v>
      </c>
      <c r="O44" s="145" t="s">
        <v>110</v>
      </c>
      <c r="Q44" t="s">
        <v>164</v>
      </c>
      <c r="AG44" s="3" t="s">
        <v>17</v>
      </c>
      <c r="AH44" s="3" t="s">
        <v>128</v>
      </c>
      <c r="AI44" s="3" t="s">
        <v>129</v>
      </c>
      <c r="AJ44" s="3" t="s">
        <v>130</v>
      </c>
      <c r="AK44" s="3" t="s">
        <v>131</v>
      </c>
    </row>
    <row r="45" spans="1:38">
      <c r="A45" s="144"/>
      <c r="B45" s="145"/>
      <c r="C45" s="3" t="s">
        <v>136</v>
      </c>
      <c r="D45" s="3" t="s">
        <v>137</v>
      </c>
      <c r="F45" s="3" t="s">
        <v>136</v>
      </c>
      <c r="G45" s="3" t="s">
        <v>137</v>
      </c>
      <c r="H45" s="3" t="s">
        <v>138</v>
      </c>
      <c r="I45" s="3" t="s">
        <v>109</v>
      </c>
      <c r="J45" s="3" t="s">
        <v>136</v>
      </c>
      <c r="K45" s="3" t="s">
        <v>139</v>
      </c>
      <c r="L45" s="3" t="s">
        <v>138</v>
      </c>
      <c r="M45" s="3" t="s">
        <v>109</v>
      </c>
      <c r="N45" s="145"/>
      <c r="O45" s="145"/>
      <c r="Q45" s="5">
        <v>4</v>
      </c>
      <c r="AC45" s="104">
        <f t="shared" ref="AC45:AC52" si="12">O46</f>
        <v>6623.9147345925658</v>
      </c>
      <c r="AD45" s="104"/>
      <c r="AE45" s="104"/>
      <c r="AF45" s="104"/>
      <c r="AG45" s="111" t="s">
        <v>165</v>
      </c>
      <c r="AH45" s="112" t="s">
        <v>135</v>
      </c>
      <c r="AI45" s="127">
        <v>-33.5</v>
      </c>
      <c r="AJ45" s="114">
        <v>3500</v>
      </c>
      <c r="AK45" s="97">
        <f t="shared" ref="AK45:AK46" si="13">AH45-AI45+AJ45/1000</f>
        <v>40.965000000000003</v>
      </c>
    </row>
    <row r="46" spans="1:38">
      <c r="A46" s="100">
        <v>0</v>
      </c>
      <c r="B46" s="100">
        <v>40</v>
      </c>
      <c r="C46" s="100">
        <v>40</v>
      </c>
      <c r="D46" s="100">
        <v>18</v>
      </c>
      <c r="E46" s="103" t="s">
        <v>141</v>
      </c>
      <c r="F46" s="100">
        <v>32</v>
      </c>
      <c r="G46" s="100">
        <v>18</v>
      </c>
      <c r="H46" s="98" t="e">
        <f>#REF!</f>
        <v>#REF!</v>
      </c>
      <c r="I46" s="97">
        <f>$C$11*((D46*PI()*((C46/1000)^2)/4)+(G46*PI()*((F46/1000)^2)/4))</f>
        <v>291.20301952066802</v>
      </c>
      <c r="J46" s="100">
        <v>25</v>
      </c>
      <c r="K46" s="100">
        <v>150</v>
      </c>
      <c r="L46" s="98" t="e">
        <f>MAX(#REF!,#REF!)</f>
        <v>#REF!</v>
      </c>
      <c r="M46" s="97">
        <f>$C$11*$C$14*PI()*((J46/1000)^2)/4*1000/K46</f>
        <v>93.90830225796951</v>
      </c>
      <c r="N46" s="97">
        <f>I46+M46</f>
        <v>385.11132177863755</v>
      </c>
      <c r="O46" s="97">
        <f>$Q$45*N46*(A47-A46)</f>
        <v>6623.9147345925658</v>
      </c>
      <c r="AC46" s="104" t="e">
        <f t="shared" si="12"/>
        <v>#REF!</v>
      </c>
      <c r="AD46" s="104"/>
      <c r="AE46" s="104"/>
      <c r="AF46" s="104"/>
      <c r="AG46" s="111" t="s">
        <v>166</v>
      </c>
      <c r="AH46" s="112" t="s">
        <v>135</v>
      </c>
      <c r="AI46" s="127">
        <v>-33</v>
      </c>
      <c r="AJ46" s="114">
        <v>3500</v>
      </c>
      <c r="AK46" s="97">
        <f t="shared" si="13"/>
        <v>40.465000000000003</v>
      </c>
    </row>
    <row r="47" spans="1:38">
      <c r="A47" s="100">
        <v>4.3</v>
      </c>
      <c r="B47" s="100">
        <v>40</v>
      </c>
      <c r="C47" s="100">
        <v>40</v>
      </c>
      <c r="D47" s="100" t="e">
        <f>#REF!</f>
        <v>#REF!</v>
      </c>
      <c r="E47" s="103" t="s">
        <v>141</v>
      </c>
      <c r="F47" s="100">
        <v>0</v>
      </c>
      <c r="G47" s="100">
        <v>0</v>
      </c>
      <c r="H47" s="98" t="e">
        <f>#REF!</f>
        <v>#REF!</v>
      </c>
      <c r="I47" s="97" t="e">
        <f>$C$11*((D47*PI()*((C47/1000)^2)/4)+(G47*PI()*((F47/1000)^2)/4))</f>
        <v>#REF!</v>
      </c>
      <c r="J47" s="100">
        <v>25</v>
      </c>
      <c r="K47" s="100">
        <v>150</v>
      </c>
      <c r="L47" s="98" t="e">
        <f>MAX(#REF!,#REF!)</f>
        <v>#REF!</v>
      </c>
      <c r="M47" s="97">
        <f t="shared" ref="M47:M54" si="14">$C$11*$C$14*PI()*((J47/1000)^2)/4*1000/K47</f>
        <v>93.90830225796951</v>
      </c>
      <c r="N47" s="97" t="e">
        <f t="shared" ref="N47:N54" si="15">I47+M47</f>
        <v>#REF!</v>
      </c>
      <c r="O47" s="97" t="e">
        <f t="shared" ref="O47:O53" si="16">$Q$45*N47*(A48-A47)</f>
        <v>#REF!</v>
      </c>
      <c r="Q47" t="s">
        <v>223</v>
      </c>
      <c r="AC47" s="104">
        <f t="shared" si="12"/>
        <v>1862.6126389386011</v>
      </c>
      <c r="AD47" s="104"/>
      <c r="AE47" s="104"/>
      <c r="AF47" s="104"/>
      <c r="AG47" s="111" t="s">
        <v>169</v>
      </c>
      <c r="AH47" s="112" t="s">
        <v>135</v>
      </c>
      <c r="AI47" s="127">
        <v>-27</v>
      </c>
      <c r="AJ47" s="114">
        <v>3500</v>
      </c>
      <c r="AK47" s="97">
        <f>AH47-AI47+AJ47/1000</f>
        <v>34.465000000000003</v>
      </c>
    </row>
    <row r="48" spans="1:38">
      <c r="A48" s="100">
        <v>5</v>
      </c>
      <c r="B48" s="100">
        <v>40</v>
      </c>
      <c r="C48" s="100">
        <v>40</v>
      </c>
      <c r="D48" s="100">
        <v>18</v>
      </c>
      <c r="E48" s="103" t="s">
        <v>141</v>
      </c>
      <c r="F48" s="100">
        <v>32</v>
      </c>
      <c r="G48" s="100">
        <v>18</v>
      </c>
      <c r="H48" s="98" t="e">
        <f>H47</f>
        <v>#REF!</v>
      </c>
      <c r="I48" s="97">
        <f>$C$11*((D48*PI()*((C48/1000)^2)/4)+(G48*PI()*((F48/1000)^2)/4))</f>
        <v>291.20301952066802</v>
      </c>
      <c r="J48" s="100">
        <v>16</v>
      </c>
      <c r="K48" s="100">
        <v>300</v>
      </c>
      <c r="L48" s="98" t="e">
        <f>MAX(#REF!,#REF!)</f>
        <v>#REF!</v>
      </c>
      <c r="M48" s="97">
        <f t="shared" si="14"/>
        <v>19.232420302432153</v>
      </c>
      <c r="N48" s="97">
        <f t="shared" si="15"/>
        <v>310.43543982310018</v>
      </c>
      <c r="O48" s="97">
        <f t="shared" si="16"/>
        <v>1862.6126389386011</v>
      </c>
      <c r="Q48" s="96" t="e">
        <f>O55/Q45</f>
        <v>#REF!</v>
      </c>
      <c r="R48" t="s">
        <v>111</v>
      </c>
      <c r="AC48" s="104">
        <f t="shared" si="12"/>
        <v>165.21687374137557</v>
      </c>
      <c r="AD48" s="104"/>
      <c r="AE48" s="104"/>
      <c r="AF48" s="104"/>
      <c r="AG48" s="111" t="s">
        <v>170</v>
      </c>
      <c r="AH48" s="112" t="s">
        <v>135</v>
      </c>
      <c r="AI48" s="127">
        <v>-24.5</v>
      </c>
      <c r="AJ48" s="114">
        <v>3500</v>
      </c>
      <c r="AK48" s="97">
        <f>AH48-AI48+AJ48/1000</f>
        <v>31.965</v>
      </c>
      <c r="AL48" s="104">
        <f>AVERAGE(AK45:AK48)</f>
        <v>36.965000000000003</v>
      </c>
    </row>
    <row r="49" spans="1:38">
      <c r="A49" s="100">
        <v>6.5</v>
      </c>
      <c r="B49" s="100">
        <v>40</v>
      </c>
      <c r="C49" s="100">
        <v>32</v>
      </c>
      <c r="D49" s="100">
        <v>18</v>
      </c>
      <c r="E49" s="103" t="s">
        <v>141</v>
      </c>
      <c r="F49" s="100">
        <v>0</v>
      </c>
      <c r="G49" s="100">
        <v>0</v>
      </c>
      <c r="H49" s="98" t="e">
        <f>H48</f>
        <v>#REF!</v>
      </c>
      <c r="I49" s="97">
        <f t="shared" ref="I49:I54" si="17">$C$11*((D49*PI()*((C49/1000)^2)/4)+(G49*PI()*((F49/1000)^2)/4))</f>
        <v>113.64020273977286</v>
      </c>
      <c r="J49" s="100">
        <v>16</v>
      </c>
      <c r="K49" s="100">
        <v>240</v>
      </c>
      <c r="L49" s="98" t="e">
        <f>L48</f>
        <v>#REF!</v>
      </c>
      <c r="M49" s="97">
        <f t="shared" si="14"/>
        <v>24.04052537804019</v>
      </c>
      <c r="N49" s="97">
        <f t="shared" si="15"/>
        <v>137.68072811781306</v>
      </c>
      <c r="O49" s="97">
        <f t="shared" si="16"/>
        <v>165.21687374137557</v>
      </c>
      <c r="AC49" s="104">
        <f t="shared" si="12"/>
        <v>3826.7315436155045</v>
      </c>
      <c r="AD49" s="104"/>
      <c r="AE49" s="104"/>
      <c r="AF49" s="104"/>
    </row>
    <row r="50" spans="1:38">
      <c r="A50" s="100">
        <v>6.8</v>
      </c>
      <c r="B50" s="100">
        <v>40</v>
      </c>
      <c r="C50" s="100">
        <v>32</v>
      </c>
      <c r="D50" s="100">
        <v>18</v>
      </c>
      <c r="E50" s="103" t="s">
        <v>141</v>
      </c>
      <c r="F50" s="100">
        <v>0</v>
      </c>
      <c r="G50" s="100">
        <v>0</v>
      </c>
      <c r="H50" s="98" t="e">
        <f>H49</f>
        <v>#REF!</v>
      </c>
      <c r="I50" s="97">
        <f t="shared" si="17"/>
        <v>113.64020273977286</v>
      </c>
      <c r="J50" s="100">
        <v>16</v>
      </c>
      <c r="K50" s="100">
        <v>300</v>
      </c>
      <c r="L50" s="98" t="e">
        <f>L49</f>
        <v>#REF!</v>
      </c>
      <c r="M50" s="97">
        <f t="shared" si="14"/>
        <v>19.232420302432153</v>
      </c>
      <c r="N50" s="97">
        <f t="shared" si="15"/>
        <v>132.87262304220502</v>
      </c>
      <c r="O50" s="97">
        <f t="shared" si="16"/>
        <v>3826.7315436155045</v>
      </c>
      <c r="AC50" s="104">
        <f t="shared" si="12"/>
        <v>1652.1687374137568</v>
      </c>
      <c r="AD50" s="104"/>
      <c r="AE50" s="104"/>
      <c r="AF50" s="104"/>
    </row>
    <row r="51" spans="1:38">
      <c r="A51" s="100">
        <v>14</v>
      </c>
      <c r="B51" s="100">
        <v>40</v>
      </c>
      <c r="C51" s="100">
        <v>32</v>
      </c>
      <c r="D51" s="100">
        <v>18</v>
      </c>
      <c r="E51" s="103" t="s">
        <v>141</v>
      </c>
      <c r="F51" s="100">
        <v>0</v>
      </c>
      <c r="G51" s="100">
        <v>0</v>
      </c>
      <c r="H51" s="98" t="e">
        <f>#REF!</f>
        <v>#REF!</v>
      </c>
      <c r="I51" s="97">
        <f t="shared" si="17"/>
        <v>113.64020273977286</v>
      </c>
      <c r="J51" s="100">
        <v>16</v>
      </c>
      <c r="K51" s="100">
        <v>240</v>
      </c>
      <c r="L51" s="98" t="e">
        <f>MAX(#REF!,#REF!)</f>
        <v>#REF!</v>
      </c>
      <c r="M51" s="97">
        <f t="shared" si="14"/>
        <v>24.04052537804019</v>
      </c>
      <c r="N51" s="97">
        <f t="shared" si="15"/>
        <v>137.68072811781306</v>
      </c>
      <c r="O51" s="97">
        <f t="shared" si="16"/>
        <v>1652.1687374137568</v>
      </c>
      <c r="AC51" s="104">
        <f t="shared" si="12"/>
        <v>2657.4524608441006</v>
      </c>
    </row>
    <row r="52" spans="1:38">
      <c r="A52" s="100">
        <v>17</v>
      </c>
      <c r="B52" s="100">
        <v>40</v>
      </c>
      <c r="C52" s="100">
        <v>32</v>
      </c>
      <c r="D52" s="100">
        <v>18</v>
      </c>
      <c r="E52" s="103" t="s">
        <v>141</v>
      </c>
      <c r="F52" s="100">
        <v>0</v>
      </c>
      <c r="G52" s="100">
        <v>0</v>
      </c>
      <c r="H52" s="98" t="e">
        <f>H51</f>
        <v>#REF!</v>
      </c>
      <c r="I52" s="97">
        <f t="shared" si="17"/>
        <v>113.64020273977286</v>
      </c>
      <c r="J52" s="100">
        <v>16</v>
      </c>
      <c r="K52" s="100">
        <v>300</v>
      </c>
      <c r="L52" s="98" t="e">
        <f>L51</f>
        <v>#REF!</v>
      </c>
      <c r="M52" s="97">
        <f t="shared" si="14"/>
        <v>19.232420302432153</v>
      </c>
      <c r="N52" s="97">
        <f t="shared" si="15"/>
        <v>132.87262304220502</v>
      </c>
      <c r="O52" s="97">
        <f t="shared" si="16"/>
        <v>2657.4524608441006</v>
      </c>
      <c r="AC52" s="104">
        <f t="shared" si="12"/>
        <v>516.10455592687481</v>
      </c>
    </row>
    <row r="53" spans="1:38">
      <c r="A53" s="100">
        <v>22</v>
      </c>
      <c r="B53" s="100">
        <v>40</v>
      </c>
      <c r="C53" s="100">
        <v>32</v>
      </c>
      <c r="D53" s="100">
        <v>18</v>
      </c>
      <c r="E53" s="103" t="s">
        <v>141</v>
      </c>
      <c r="F53" s="100">
        <v>16</v>
      </c>
      <c r="G53" s="100">
        <v>18</v>
      </c>
      <c r="H53" s="98" t="e">
        <f>MAX(#REF!)</f>
        <v>#REF!</v>
      </c>
      <c r="I53" s="97">
        <f t="shared" si="17"/>
        <v>142.05025342471609</v>
      </c>
      <c r="J53" s="100">
        <v>16</v>
      </c>
      <c r="K53" s="100">
        <v>300</v>
      </c>
      <c r="L53" s="98"/>
      <c r="M53" s="97">
        <f t="shared" si="14"/>
        <v>19.232420302432153</v>
      </c>
      <c r="N53" s="97">
        <f t="shared" si="15"/>
        <v>161.28267372714825</v>
      </c>
      <c r="O53" s="97">
        <f t="shared" si="16"/>
        <v>516.10455592687481</v>
      </c>
      <c r="AC53">
        <f>N54*(21-A54)</f>
        <v>-85.756447777275696</v>
      </c>
    </row>
    <row r="54" spans="1:38" ht="15.75" thickBot="1">
      <c r="A54" s="100">
        <v>22.8</v>
      </c>
      <c r="B54" s="100">
        <v>40</v>
      </c>
      <c r="C54" s="100">
        <v>16</v>
      </c>
      <c r="D54" s="100">
        <v>18</v>
      </c>
      <c r="E54" s="103" t="s">
        <v>141</v>
      </c>
      <c r="F54" s="100">
        <v>0</v>
      </c>
      <c r="G54" s="100">
        <v>0</v>
      </c>
      <c r="H54" s="98" t="e">
        <f>H53</f>
        <v>#REF!</v>
      </c>
      <c r="I54" s="97">
        <f t="shared" si="17"/>
        <v>28.410050684943215</v>
      </c>
      <c r="J54" s="100">
        <v>16</v>
      </c>
      <c r="K54" s="100">
        <v>300</v>
      </c>
      <c r="L54" s="98"/>
      <c r="M54" s="97">
        <f t="shared" si="14"/>
        <v>19.232420302432153</v>
      </c>
      <c r="N54" s="97">
        <f t="shared" si="15"/>
        <v>47.642470987375368</v>
      </c>
      <c r="O54" s="97">
        <f>$Q$45*N54*($AL$48-A54)</f>
        <v>2699.4224061446889</v>
      </c>
      <c r="AC54" s="99" t="e">
        <f>SUM(AC45:AC53)</f>
        <v>#REF!</v>
      </c>
      <c r="AD54" s="115" t="e">
        <f>O55-AC54</f>
        <v>#REF!</v>
      </c>
      <c r="AE54" s="115"/>
      <c r="AF54" s="115"/>
    </row>
    <row r="55" spans="1:38" ht="16.5" thickTop="1" thickBot="1">
      <c r="O55" s="99" t="e">
        <f>SUM(O46:O54)</f>
        <v>#REF!</v>
      </c>
      <c r="P55" s="89" t="s">
        <v>148</v>
      </c>
      <c r="Q55" s="102" t="e">
        <f>O55/$D$9/Q45</f>
        <v>#REF!</v>
      </c>
      <c r="R55" t="s">
        <v>121</v>
      </c>
    </row>
    <row r="56" spans="1:38" ht="15.75" thickTop="1">
      <c r="P56" s="89" t="s">
        <v>148</v>
      </c>
      <c r="Q56" s="102" t="e">
        <f>(O55/Q45)/('ss_ IFIR Summary (03.07)'!O55/'ss_ IFIR Summary (03.07)'!Q45)</f>
        <v>#REF!</v>
      </c>
      <c r="R56" t="s">
        <v>224</v>
      </c>
      <c r="AG56" s="146" t="s">
        <v>171</v>
      </c>
      <c r="AH56" s="146"/>
      <c r="AI56" s="146"/>
      <c r="AJ56" s="146"/>
      <c r="AK56" s="146"/>
    </row>
    <row r="57" spans="1:38" ht="18.75">
      <c r="A57" s="1" t="s">
        <v>172</v>
      </c>
      <c r="AG57" s="3" t="s">
        <v>17</v>
      </c>
      <c r="AH57" s="3" t="s">
        <v>128</v>
      </c>
      <c r="AI57" s="3" t="s">
        <v>129</v>
      </c>
      <c r="AJ57" s="3" t="s">
        <v>130</v>
      </c>
      <c r="AK57" s="3" t="s">
        <v>131</v>
      </c>
    </row>
    <row r="58" spans="1:38">
      <c r="AG58" s="111" t="s">
        <v>173</v>
      </c>
      <c r="AH58" s="112" t="s">
        <v>154</v>
      </c>
      <c r="AI58" s="127">
        <v>-34</v>
      </c>
      <c r="AJ58" s="114">
        <v>4000</v>
      </c>
      <c r="AK58" s="97">
        <f t="shared" ref="AK58:AK59" si="18">AH58-AI58+AJ58/1000</f>
        <v>41.765000000000001</v>
      </c>
    </row>
    <row r="59" spans="1:38" ht="14.45" customHeight="1">
      <c r="A59" s="144" t="s">
        <v>151</v>
      </c>
      <c r="B59" s="145" t="s">
        <v>132</v>
      </c>
      <c r="C59" s="146" t="s">
        <v>133</v>
      </c>
      <c r="D59" s="146"/>
      <c r="E59" s="146"/>
      <c r="F59" s="146"/>
      <c r="G59" s="146"/>
      <c r="H59" s="146"/>
      <c r="I59" s="146"/>
      <c r="J59" s="146" t="s">
        <v>72</v>
      </c>
      <c r="K59" s="146"/>
      <c r="L59" s="146"/>
      <c r="M59" s="146"/>
      <c r="N59" s="145" t="s">
        <v>109</v>
      </c>
      <c r="O59" s="145" t="s">
        <v>110</v>
      </c>
      <c r="Q59" t="s">
        <v>174</v>
      </c>
      <c r="AG59" s="111" t="s">
        <v>175</v>
      </c>
      <c r="AH59" s="112" t="s">
        <v>154</v>
      </c>
      <c r="AI59" s="127">
        <v>-33</v>
      </c>
      <c r="AJ59" s="114">
        <v>4000</v>
      </c>
      <c r="AK59" s="97">
        <f t="shared" si="18"/>
        <v>40.765000000000001</v>
      </c>
    </row>
    <row r="60" spans="1:38">
      <c r="A60" s="144"/>
      <c r="B60" s="145"/>
      <c r="C60" s="3" t="s">
        <v>136</v>
      </c>
      <c r="D60" s="3" t="s">
        <v>137</v>
      </c>
      <c r="F60" s="3" t="s">
        <v>136</v>
      </c>
      <c r="G60" s="3" t="s">
        <v>137</v>
      </c>
      <c r="H60" s="3" t="s">
        <v>138</v>
      </c>
      <c r="I60" s="3" t="s">
        <v>109</v>
      </c>
      <c r="J60" s="3" t="s">
        <v>136</v>
      </c>
      <c r="K60" s="3" t="s">
        <v>139</v>
      </c>
      <c r="L60" s="3" t="s">
        <v>138</v>
      </c>
      <c r="M60" s="3" t="s">
        <v>109</v>
      </c>
      <c r="N60" s="145"/>
      <c r="O60" s="145"/>
      <c r="Q60" s="5">
        <v>4</v>
      </c>
      <c r="AC60" s="104" t="e">
        <f>O61</f>
        <v>#REF!</v>
      </c>
      <c r="AG60" s="111" t="s">
        <v>178</v>
      </c>
      <c r="AH60" s="112" t="s">
        <v>154</v>
      </c>
      <c r="AI60" s="127">
        <v>-22.5</v>
      </c>
      <c r="AJ60" s="114">
        <v>4000</v>
      </c>
      <c r="AK60" s="97">
        <f>AH60-AI60+AJ60/1000</f>
        <v>30.265000000000001</v>
      </c>
    </row>
    <row r="61" spans="1:38">
      <c r="A61" s="100">
        <v>0</v>
      </c>
      <c r="B61" s="100">
        <v>40</v>
      </c>
      <c r="C61" s="100">
        <v>25</v>
      </c>
      <c r="D61" s="100" t="e">
        <f>#REF!</f>
        <v>#REF!</v>
      </c>
      <c r="E61" s="103" t="s">
        <v>141</v>
      </c>
      <c r="F61" s="100">
        <v>0</v>
      </c>
      <c r="G61" s="100">
        <v>0</v>
      </c>
      <c r="H61" s="98" t="e">
        <f>#REF!</f>
        <v>#REF!</v>
      </c>
      <c r="I61" s="97" t="e">
        <f>$C$11*((D61*PI()*((C61/1000)^2)/4)+(G61*PI()*((F61/1000)^2)/4))</f>
        <v>#REF!</v>
      </c>
      <c r="J61" s="100">
        <v>16</v>
      </c>
      <c r="K61" s="100">
        <v>300</v>
      </c>
      <c r="L61" s="98" t="e">
        <f>MAX(#REF!,#REF!)</f>
        <v>#REF!</v>
      </c>
      <c r="M61" s="97">
        <f>$C$11*$C$14*PI()*((J61/1000)^2)/4*1000/K61</f>
        <v>19.232420302432153</v>
      </c>
      <c r="N61" s="97" t="e">
        <f>I61+M61</f>
        <v>#REF!</v>
      </c>
      <c r="O61" s="97" t="e">
        <f>$Q$60*N61*(A62-A61)</f>
        <v>#REF!</v>
      </c>
      <c r="AC61" s="104">
        <f>O62</f>
        <v>947.720225475039</v>
      </c>
      <c r="AG61" s="111" t="s">
        <v>179</v>
      </c>
      <c r="AH61" s="112" t="s">
        <v>154</v>
      </c>
      <c r="AI61" s="127">
        <v>-20.5</v>
      </c>
      <c r="AJ61" s="114">
        <v>4000</v>
      </c>
      <c r="AK61" s="97">
        <f>AH61-AI61+AJ61/1000</f>
        <v>28.265000000000001</v>
      </c>
      <c r="AL61" s="104">
        <f>AVERAGE(AK58:AK61)</f>
        <v>35.265000000000001</v>
      </c>
    </row>
    <row r="62" spans="1:38">
      <c r="A62" s="100">
        <v>10.5</v>
      </c>
      <c r="B62" s="100">
        <v>40</v>
      </c>
      <c r="C62" s="100">
        <v>25</v>
      </c>
      <c r="D62" s="100">
        <v>18</v>
      </c>
      <c r="E62" s="103" t="s">
        <v>141</v>
      </c>
      <c r="F62" s="100">
        <v>25</v>
      </c>
      <c r="G62" s="100">
        <v>18</v>
      </c>
      <c r="H62" s="98" t="e">
        <f>#REF!</f>
        <v>#REF!</v>
      </c>
      <c r="I62" s="97">
        <f>$C$11*((D62*PI()*((C62/1000)^2)/4)+(G62*PI()*((F62/1000)^2)/4))</f>
        <v>138.72095061007434</v>
      </c>
      <c r="J62" s="100">
        <v>16</v>
      </c>
      <c r="K62" s="100">
        <v>300</v>
      </c>
      <c r="L62" s="98" t="e">
        <f>MAX(#REF!,#REF!)</f>
        <v>#REF!</v>
      </c>
      <c r="M62" s="97">
        <f t="shared" ref="M62:M69" si="19">$C$11*$C$14*PI()*((J62/1000)^2)/4*1000/K62</f>
        <v>19.232420302432153</v>
      </c>
      <c r="N62" s="97">
        <f>I62+M62</f>
        <v>157.9533709125065</v>
      </c>
      <c r="O62" s="97">
        <f>$Q$60*N62*(A63-A62)</f>
        <v>947.720225475039</v>
      </c>
      <c r="Q62" t="s">
        <v>223</v>
      </c>
      <c r="AC62" s="104">
        <f>O63</f>
        <v>283.49726594390211</v>
      </c>
    </row>
    <row r="63" spans="1:38">
      <c r="A63" s="100">
        <v>12</v>
      </c>
      <c r="B63" s="100">
        <v>40</v>
      </c>
      <c r="C63" s="100">
        <v>25</v>
      </c>
      <c r="D63" s="100">
        <v>18</v>
      </c>
      <c r="E63" s="103" t="s">
        <v>141</v>
      </c>
      <c r="F63" s="100">
        <v>0</v>
      </c>
      <c r="G63" s="100">
        <v>0</v>
      </c>
      <c r="H63" s="98" t="e">
        <f>#REF!</f>
        <v>#REF!</v>
      </c>
      <c r="I63" s="97">
        <f>$C$11*((D63*PI()*((C63/1000)^2)/4)+(G63*PI()*((F63/1000)^2)/4))</f>
        <v>69.36047530503717</v>
      </c>
      <c r="J63" s="100">
        <v>16</v>
      </c>
      <c r="K63" s="100">
        <v>300</v>
      </c>
      <c r="L63" s="98" t="e">
        <f>MAX(#REF!,#REF!)</f>
        <v>#REF!</v>
      </c>
      <c r="M63" s="97">
        <f t="shared" si="19"/>
        <v>19.232420302432153</v>
      </c>
      <c r="N63" s="97">
        <f>I63+M63</f>
        <v>88.59289560746933</v>
      </c>
      <c r="O63" s="97">
        <f>$Q$60*N63*(A64-A63)</f>
        <v>283.49726594390211</v>
      </c>
      <c r="Q63" s="96" t="e">
        <f>O70/Q60</f>
        <v>#REF!</v>
      </c>
      <c r="R63" t="s">
        <v>111</v>
      </c>
      <c r="AC63">
        <f>N69*(30-A69)</f>
        <v>-127.24624899531187</v>
      </c>
    </row>
    <row r="64" spans="1:38" ht="15.75" thickBot="1">
      <c r="A64" s="100">
        <v>12.8</v>
      </c>
      <c r="B64" s="100">
        <v>40</v>
      </c>
      <c r="C64" s="100">
        <v>25</v>
      </c>
      <c r="D64" s="100">
        <v>18</v>
      </c>
      <c r="E64" s="103" t="s">
        <v>141</v>
      </c>
      <c r="F64" s="100">
        <v>32</v>
      </c>
      <c r="G64" s="100">
        <v>18</v>
      </c>
      <c r="H64" s="98" t="e">
        <f>#REF!</f>
        <v>#REF!</v>
      </c>
      <c r="I64" s="97">
        <f t="shared" ref="I64:I68" si="20">$C$11*((D64*PI()*((C64/1000)^2)/4)+(G64*PI()*((F64/1000)^2)/4))</f>
        <v>183.00067804481006</v>
      </c>
      <c r="J64" s="100">
        <v>16</v>
      </c>
      <c r="K64" s="100">
        <v>300</v>
      </c>
      <c r="L64" s="98" t="e">
        <f>MAX(#REF!,#REF!)</f>
        <v>#REF!</v>
      </c>
      <c r="M64" s="97">
        <f t="shared" si="19"/>
        <v>19.232420302432153</v>
      </c>
      <c r="N64" s="97">
        <f t="shared" ref="N64:N68" si="21">I64+M64</f>
        <v>202.23309834724222</v>
      </c>
      <c r="O64" s="97">
        <f t="shared" ref="O64:O68" si="22">$Q$60*N64*(A65-A64)</f>
        <v>970.71887206676206</v>
      </c>
      <c r="AC64" s="99" t="e">
        <f>SUM(AC60:AC63)</f>
        <v>#REF!</v>
      </c>
      <c r="AD64" s="115" t="e">
        <f>O70-AC64</f>
        <v>#REF!</v>
      </c>
      <c r="AG64" s="104"/>
      <c r="AH64" s="104"/>
      <c r="AI64" s="104"/>
      <c r="AJ64" s="104"/>
      <c r="AK64" s="104"/>
      <c r="AL64" s="104"/>
    </row>
    <row r="65" spans="1:38" ht="15.75" thickTop="1">
      <c r="A65" s="100">
        <v>14</v>
      </c>
      <c r="B65" s="100">
        <v>40</v>
      </c>
      <c r="C65" s="100">
        <v>32</v>
      </c>
      <c r="D65" s="100">
        <v>18</v>
      </c>
      <c r="E65" s="103" t="s">
        <v>141</v>
      </c>
      <c r="F65" s="100">
        <v>0</v>
      </c>
      <c r="G65" s="100">
        <v>0</v>
      </c>
      <c r="H65" s="98" t="e">
        <f>#REF!</f>
        <v>#REF!</v>
      </c>
      <c r="I65" s="97">
        <f t="shared" si="20"/>
        <v>113.64020273977286</v>
      </c>
      <c r="J65" s="100">
        <v>16</v>
      </c>
      <c r="K65" s="100">
        <v>300</v>
      </c>
      <c r="L65" s="98" t="e">
        <f>MAX(#REF!,#REF!)</f>
        <v>#REF!</v>
      </c>
      <c r="M65" s="97">
        <f t="shared" si="19"/>
        <v>19.232420302432153</v>
      </c>
      <c r="N65" s="97">
        <f t="shared" si="21"/>
        <v>132.87262304220502</v>
      </c>
      <c r="O65" s="97">
        <f t="shared" si="22"/>
        <v>4783.414429519381</v>
      </c>
      <c r="AG65" s="104"/>
      <c r="AH65" s="104"/>
      <c r="AI65" s="104"/>
      <c r="AJ65" s="104"/>
      <c r="AK65" s="104"/>
      <c r="AL65" s="104"/>
    </row>
    <row r="66" spans="1:38">
      <c r="A66" s="100">
        <v>23</v>
      </c>
      <c r="B66" s="100">
        <v>40</v>
      </c>
      <c r="C66" s="100">
        <v>32</v>
      </c>
      <c r="D66" s="100">
        <v>18</v>
      </c>
      <c r="E66" s="103" t="s">
        <v>141</v>
      </c>
      <c r="F66" s="100">
        <v>25</v>
      </c>
      <c r="G66" s="100">
        <v>18</v>
      </c>
      <c r="H66" s="98" t="e">
        <f>#REF!</f>
        <v>#REF!</v>
      </c>
      <c r="I66" s="97">
        <f t="shared" si="20"/>
        <v>183.00067804481006</v>
      </c>
      <c r="J66" s="100">
        <v>16</v>
      </c>
      <c r="K66" s="100">
        <v>300</v>
      </c>
      <c r="L66" s="98" t="e">
        <f>MAX(#REF!,#REF!)</f>
        <v>#REF!</v>
      </c>
      <c r="M66" s="97">
        <f t="shared" si="19"/>
        <v>19.232420302432153</v>
      </c>
      <c r="N66" s="97">
        <f t="shared" si="21"/>
        <v>202.23309834724222</v>
      </c>
      <c r="O66" s="97">
        <f t="shared" si="22"/>
        <v>970.71887206676206</v>
      </c>
      <c r="AG66" s="104"/>
      <c r="AH66" s="104"/>
      <c r="AI66" s="104"/>
      <c r="AJ66" s="104"/>
      <c r="AK66" s="104"/>
      <c r="AL66" s="104"/>
    </row>
    <row r="67" spans="1:38">
      <c r="A67" s="100">
        <v>24.2</v>
      </c>
      <c r="B67" s="100">
        <v>40</v>
      </c>
      <c r="C67" s="100">
        <v>25</v>
      </c>
      <c r="D67" s="100">
        <v>18</v>
      </c>
      <c r="E67" s="103" t="s">
        <v>141</v>
      </c>
      <c r="F67" s="100">
        <v>0</v>
      </c>
      <c r="G67" s="100">
        <v>0</v>
      </c>
      <c r="H67" s="98" t="e">
        <f>#REF!</f>
        <v>#REF!</v>
      </c>
      <c r="I67" s="97">
        <f t="shared" si="20"/>
        <v>69.36047530503717</v>
      </c>
      <c r="J67" s="100">
        <v>16</v>
      </c>
      <c r="K67" s="100">
        <v>300</v>
      </c>
      <c r="L67" s="98" t="e">
        <f>MAX(#REF!,#REF!)</f>
        <v>#REF!</v>
      </c>
      <c r="M67" s="97">
        <f t="shared" si="19"/>
        <v>19.232420302432153</v>
      </c>
      <c r="N67" s="97">
        <f t="shared" si="21"/>
        <v>88.59289560746933</v>
      </c>
      <c r="O67" s="97">
        <f t="shared" si="22"/>
        <v>2409.7267605231659</v>
      </c>
      <c r="AG67" s="104"/>
      <c r="AH67" s="104"/>
      <c r="AI67" s="104"/>
      <c r="AJ67" s="104"/>
      <c r="AK67" s="104"/>
      <c r="AL67" s="104"/>
    </row>
    <row r="68" spans="1:38">
      <c r="A68" s="100">
        <v>31</v>
      </c>
      <c r="B68" s="100">
        <v>40</v>
      </c>
      <c r="C68" s="100">
        <v>25</v>
      </c>
      <c r="D68" s="100">
        <v>18</v>
      </c>
      <c r="E68" s="103" t="s">
        <v>141</v>
      </c>
      <c r="F68" s="100">
        <v>20</v>
      </c>
      <c r="G68" s="100">
        <v>18</v>
      </c>
      <c r="H68" s="98" t="e">
        <f>#REF!</f>
        <v>#REF!</v>
      </c>
      <c r="I68" s="97">
        <f t="shared" si="20"/>
        <v>113.75117950026096</v>
      </c>
      <c r="J68" s="100">
        <v>16</v>
      </c>
      <c r="K68" s="100">
        <v>300</v>
      </c>
      <c r="L68" s="98" t="e">
        <f>MAX(#REF!,#REF!)</f>
        <v>#REF!</v>
      </c>
      <c r="M68" s="97">
        <f t="shared" si="19"/>
        <v>19.232420302432153</v>
      </c>
      <c r="N68" s="97">
        <f t="shared" si="21"/>
        <v>132.98359980269311</v>
      </c>
      <c r="O68" s="97">
        <f t="shared" si="22"/>
        <v>531.93439921077243</v>
      </c>
      <c r="AL68" s="104"/>
    </row>
    <row r="69" spans="1:38">
      <c r="A69" s="100">
        <v>32</v>
      </c>
      <c r="B69" s="100">
        <v>40</v>
      </c>
      <c r="C69" s="100">
        <v>20</v>
      </c>
      <c r="D69" s="100">
        <v>18</v>
      </c>
      <c r="E69" s="103" t="s">
        <v>141</v>
      </c>
      <c r="F69" s="100">
        <v>0</v>
      </c>
      <c r="G69" s="100">
        <v>0</v>
      </c>
      <c r="H69" s="98" t="e">
        <f>MAX(#REF!)</f>
        <v>#REF!</v>
      </c>
      <c r="I69" s="97">
        <f>$C$11*((D69*PI()*((C69/1000)^2)/4)+(G69*PI()*((F69/1000)^2)/4))</f>
        <v>44.390704195223783</v>
      </c>
      <c r="J69" s="100">
        <v>16</v>
      </c>
      <c r="K69" s="100">
        <v>300</v>
      </c>
      <c r="L69" s="98"/>
      <c r="M69" s="97">
        <f t="shared" si="19"/>
        <v>19.232420302432153</v>
      </c>
      <c r="N69" s="97">
        <f>I69+M69</f>
        <v>63.623124497655937</v>
      </c>
      <c r="O69" s="97">
        <f>$Q$60*N69*($AL$61-A69)</f>
        <v>830.91800593938672</v>
      </c>
    </row>
    <row r="70" spans="1:38" ht="15.75" thickBot="1">
      <c r="O70" s="99" t="e">
        <f>SUM(O61:O69)</f>
        <v>#REF!</v>
      </c>
      <c r="P70" s="89" t="s">
        <v>148</v>
      </c>
      <c r="Q70" s="102" t="e">
        <f>O70/$I$8/Q60</f>
        <v>#REF!</v>
      </c>
      <c r="R70" t="s">
        <v>121</v>
      </c>
      <c r="AG70" s="146" t="s">
        <v>181</v>
      </c>
      <c r="AH70" s="146"/>
      <c r="AI70" s="146"/>
      <c r="AJ70" s="146"/>
      <c r="AK70" s="146"/>
    </row>
    <row r="71" spans="1:38" ht="15.75" thickTop="1">
      <c r="K71" s="104"/>
      <c r="P71" s="89" t="s">
        <v>148</v>
      </c>
      <c r="Q71" s="102" t="e">
        <f>(O70/Q60)/('ss_ IFIR Summary (03.07)'!O65/'ss_ IFIR Summary (03.07)'!Q60)</f>
        <v>#REF!</v>
      </c>
      <c r="R71" t="s">
        <v>224</v>
      </c>
      <c r="AG71" s="3" t="s">
        <v>17</v>
      </c>
      <c r="AH71" s="3" t="s">
        <v>128</v>
      </c>
      <c r="AI71" s="3" t="s">
        <v>129</v>
      </c>
      <c r="AJ71" s="3" t="s">
        <v>130</v>
      </c>
      <c r="AK71" s="3" t="s">
        <v>131</v>
      </c>
    </row>
    <row r="72" spans="1:38" ht="18.75">
      <c r="A72" s="1" t="s">
        <v>180</v>
      </c>
      <c r="AG72" s="111" t="s">
        <v>167</v>
      </c>
      <c r="AH72" s="112" t="s">
        <v>135</v>
      </c>
      <c r="AI72" s="127">
        <v>-34.5</v>
      </c>
      <c r="AJ72" s="114">
        <v>3000</v>
      </c>
      <c r="AK72" s="97">
        <f t="shared" ref="AK72" si="23">AH72-AI72+AJ72/1000</f>
        <v>41.465000000000003</v>
      </c>
    </row>
    <row r="73" spans="1:38">
      <c r="AG73" s="111" t="s">
        <v>183</v>
      </c>
      <c r="AH73" s="112" t="s">
        <v>135</v>
      </c>
      <c r="AI73" s="127">
        <v>-35</v>
      </c>
      <c r="AJ73" s="114">
        <v>3000</v>
      </c>
      <c r="AK73" s="97">
        <f>AH73-AI73+AJ73/1000</f>
        <v>41.965000000000003</v>
      </c>
    </row>
    <row r="74" spans="1:38" ht="14.45" customHeight="1">
      <c r="A74" s="148" t="s">
        <v>151</v>
      </c>
      <c r="B74" s="150" t="s">
        <v>132</v>
      </c>
      <c r="C74" s="146" t="s">
        <v>133</v>
      </c>
      <c r="D74" s="146"/>
      <c r="E74" s="146"/>
      <c r="F74" s="146"/>
      <c r="G74" s="146"/>
      <c r="H74" s="146"/>
      <c r="I74" s="146"/>
      <c r="J74" s="152" t="s">
        <v>72</v>
      </c>
      <c r="K74" s="153"/>
      <c r="L74" s="153"/>
      <c r="M74" s="154"/>
      <c r="N74" s="150" t="s">
        <v>109</v>
      </c>
      <c r="O74" s="150" t="s">
        <v>110</v>
      </c>
      <c r="Q74" t="s">
        <v>182</v>
      </c>
      <c r="AG74" s="111" t="s">
        <v>184</v>
      </c>
      <c r="AH74" s="112" t="s">
        <v>135</v>
      </c>
      <c r="AI74" s="127">
        <v>-35</v>
      </c>
      <c r="AJ74" s="114">
        <v>3000</v>
      </c>
      <c r="AK74" s="97">
        <f t="shared" ref="AK74:AK84" si="24">AH74-AI74+AJ74/1000</f>
        <v>41.965000000000003</v>
      </c>
    </row>
    <row r="75" spans="1:38">
      <c r="A75" s="149"/>
      <c r="B75" s="151"/>
      <c r="C75" s="3" t="s">
        <v>136</v>
      </c>
      <c r="D75" s="3" t="s">
        <v>137</v>
      </c>
      <c r="F75" s="3" t="s">
        <v>136</v>
      </c>
      <c r="G75" s="3" t="s">
        <v>137</v>
      </c>
      <c r="H75" s="3" t="s">
        <v>138</v>
      </c>
      <c r="I75" s="3" t="s">
        <v>109</v>
      </c>
      <c r="J75" s="3" t="s">
        <v>136</v>
      </c>
      <c r="K75" s="3" t="s">
        <v>139</v>
      </c>
      <c r="L75" s="3" t="s">
        <v>138</v>
      </c>
      <c r="M75" s="3" t="s">
        <v>109</v>
      </c>
      <c r="N75" s="151"/>
      <c r="O75" s="151"/>
      <c r="Q75" s="5">
        <v>13</v>
      </c>
      <c r="AC75" s="104">
        <f t="shared" ref="AC75:AC82" si="25">O76</f>
        <v>11461.220285381763</v>
      </c>
      <c r="AD75" s="104"/>
      <c r="AE75" s="104"/>
      <c r="AF75" s="104"/>
      <c r="AG75" s="111" t="s">
        <v>185</v>
      </c>
      <c r="AH75" s="112" t="s">
        <v>135</v>
      </c>
      <c r="AI75" s="127">
        <v>-35.5</v>
      </c>
      <c r="AJ75" s="114">
        <v>3000</v>
      </c>
      <c r="AK75" s="97">
        <f t="shared" si="24"/>
        <v>42.465000000000003</v>
      </c>
    </row>
    <row r="76" spans="1:38">
      <c r="A76" s="100">
        <v>0</v>
      </c>
      <c r="B76" s="100">
        <v>40</v>
      </c>
      <c r="C76" s="100">
        <v>40</v>
      </c>
      <c r="D76" s="100">
        <v>18</v>
      </c>
      <c r="E76" s="103" t="s">
        <v>141</v>
      </c>
      <c r="F76" s="100">
        <v>25</v>
      </c>
      <c r="G76" s="100">
        <v>18</v>
      </c>
      <c r="H76" s="98" t="e">
        <f>#REF!</f>
        <v>#REF!</v>
      </c>
      <c r="I76" s="97">
        <f>$C$11*((D76*PI()*((C76/1000)^2)/4)+(G76*PI()*((F76/1000)^2)/4))</f>
        <v>246.9232920859323</v>
      </c>
      <c r="J76" s="100">
        <v>25</v>
      </c>
      <c r="K76" s="100">
        <v>300</v>
      </c>
      <c r="L76" s="98" t="e">
        <f>MAX(#REF!,#REF!)</f>
        <v>#REF!</v>
      </c>
      <c r="M76" s="97">
        <f>$C$11*$C$14*PI()*((J76/1000)^2)/4*1000/K76</f>
        <v>46.954151128984755</v>
      </c>
      <c r="N76" s="97">
        <f>I76+M76</f>
        <v>293.87744321491704</v>
      </c>
      <c r="O76" s="97">
        <f>$Q$75*N76*(A77-A76)</f>
        <v>11461.220285381763</v>
      </c>
      <c r="AC76" s="104">
        <f t="shared" si="25"/>
        <v>4378.080874242658</v>
      </c>
      <c r="AD76" s="104"/>
      <c r="AE76" s="104"/>
      <c r="AF76" s="104"/>
      <c r="AG76" s="111" t="s">
        <v>186</v>
      </c>
      <c r="AH76" s="112" t="s">
        <v>135</v>
      </c>
      <c r="AI76" s="127">
        <v>-36</v>
      </c>
      <c r="AJ76" s="114">
        <v>3000</v>
      </c>
      <c r="AK76" s="97">
        <f t="shared" si="24"/>
        <v>42.965000000000003</v>
      </c>
    </row>
    <row r="77" spans="1:38">
      <c r="A77" s="100">
        <v>3</v>
      </c>
      <c r="B77" s="100">
        <v>40</v>
      </c>
      <c r="C77" s="100">
        <v>40</v>
      </c>
      <c r="D77" s="100">
        <v>18</v>
      </c>
      <c r="E77" s="103" t="s">
        <v>141</v>
      </c>
      <c r="F77" s="100">
        <v>0</v>
      </c>
      <c r="G77" s="100">
        <v>0</v>
      </c>
      <c r="H77" s="98" t="e">
        <f>#REF!</f>
        <v>#REF!</v>
      </c>
      <c r="I77" s="97">
        <f t="shared" ref="I77:I84" si="26">$C$11*((D77*PI()*((C77/1000)^2)/4)+(G77*PI()*((F77/1000)^2)/4))</f>
        <v>177.56281678089513</v>
      </c>
      <c r="J77" s="100">
        <v>25</v>
      </c>
      <c r="K77" s="100">
        <v>300</v>
      </c>
      <c r="L77" s="98" t="e">
        <f>MAX(#REF!,#REF!)</f>
        <v>#REF!</v>
      </c>
      <c r="M77" s="97">
        <f t="shared" ref="M77:M84" si="27">$C$11*$C$14*PI()*((J77/1000)^2)/4*1000/K77</f>
        <v>46.954151128984755</v>
      </c>
      <c r="N77" s="97">
        <f t="shared" ref="N77:N84" si="28">I77+M77</f>
        <v>224.5169679098799</v>
      </c>
      <c r="O77" s="97">
        <f t="shared" ref="O77:O83" si="29">$Q$75*N77*(A78-A77)</f>
        <v>4378.080874242658</v>
      </c>
      <c r="Q77" t="s">
        <v>223</v>
      </c>
      <c r="AC77" s="104">
        <f t="shared" si="25"/>
        <v>3460.024261048738</v>
      </c>
      <c r="AD77" s="104"/>
      <c r="AE77" s="104"/>
      <c r="AF77" s="104"/>
      <c r="AG77" s="111" t="s">
        <v>187</v>
      </c>
      <c r="AH77" s="112" t="s">
        <v>135</v>
      </c>
      <c r="AI77" s="127">
        <v>-37</v>
      </c>
      <c r="AJ77" s="114">
        <v>3000</v>
      </c>
      <c r="AK77" s="97">
        <f t="shared" si="24"/>
        <v>43.965000000000003</v>
      </c>
    </row>
    <row r="78" spans="1:38">
      <c r="A78" s="100">
        <v>4.5</v>
      </c>
      <c r="B78" s="100">
        <v>40</v>
      </c>
      <c r="C78" s="100">
        <v>40</v>
      </c>
      <c r="D78" s="100">
        <v>18</v>
      </c>
      <c r="E78" s="103" t="s">
        <v>141</v>
      </c>
      <c r="F78" s="100">
        <v>25</v>
      </c>
      <c r="G78" s="100">
        <v>18</v>
      </c>
      <c r="H78" s="98" t="e">
        <f>#REF!</f>
        <v>#REF!</v>
      </c>
      <c r="I78" s="97">
        <f t="shared" si="26"/>
        <v>246.9232920859323</v>
      </c>
      <c r="J78" s="100">
        <v>16</v>
      </c>
      <c r="K78" s="100">
        <v>300</v>
      </c>
      <c r="L78" s="98" t="e">
        <f>MAX(#REF!,#REF!)</f>
        <v>#REF!</v>
      </c>
      <c r="M78" s="97">
        <f t="shared" si="27"/>
        <v>19.232420302432153</v>
      </c>
      <c r="N78" s="97">
        <f t="shared" si="28"/>
        <v>266.15571238836446</v>
      </c>
      <c r="O78" s="97">
        <f t="shared" si="29"/>
        <v>3460.024261048738</v>
      </c>
      <c r="Q78" s="96">
        <f>O85/Q75</f>
        <v>5158.5478188345896</v>
      </c>
      <c r="R78" t="s">
        <v>111</v>
      </c>
      <c r="AC78" s="104">
        <f t="shared" si="25"/>
        <v>1578.4769115440072</v>
      </c>
      <c r="AD78" s="104"/>
      <c r="AE78" s="104"/>
      <c r="AF78" s="104"/>
      <c r="AG78" s="111" t="s">
        <v>188</v>
      </c>
      <c r="AH78" s="112" t="s">
        <v>135</v>
      </c>
      <c r="AI78" s="127">
        <v>-37</v>
      </c>
      <c r="AJ78" s="114">
        <v>3000</v>
      </c>
      <c r="AK78" s="97">
        <f t="shared" si="24"/>
        <v>43.965000000000003</v>
      </c>
    </row>
    <row r="79" spans="1:38">
      <c r="A79" s="100">
        <v>5.5</v>
      </c>
      <c r="B79" s="100">
        <v>40</v>
      </c>
      <c r="C79" s="100">
        <v>25</v>
      </c>
      <c r="D79" s="100">
        <v>18</v>
      </c>
      <c r="E79" s="103" t="s">
        <v>141</v>
      </c>
      <c r="F79" s="100">
        <v>0</v>
      </c>
      <c r="G79" s="100">
        <v>0</v>
      </c>
      <c r="H79" s="98" t="e">
        <f>H78</f>
        <v>#REF!</v>
      </c>
      <c r="I79" s="97">
        <f t="shared" si="26"/>
        <v>69.36047530503717</v>
      </c>
      <c r="J79" s="100">
        <v>16</v>
      </c>
      <c r="K79" s="100">
        <v>240</v>
      </c>
      <c r="L79" s="98" t="e">
        <f>L78</f>
        <v>#REF!</v>
      </c>
      <c r="M79" s="97">
        <f t="shared" si="27"/>
        <v>24.04052537804019</v>
      </c>
      <c r="N79" s="97">
        <f t="shared" si="28"/>
        <v>93.401000683077356</v>
      </c>
      <c r="O79" s="97">
        <f t="shared" si="29"/>
        <v>1578.4769115440072</v>
      </c>
      <c r="AC79" s="104">
        <f t="shared" si="25"/>
        <v>18929.018005301874</v>
      </c>
      <c r="AD79" s="104"/>
      <c r="AE79" s="104"/>
      <c r="AF79" s="104"/>
      <c r="AG79" s="111" t="s">
        <v>189</v>
      </c>
      <c r="AH79" s="112" t="s">
        <v>135</v>
      </c>
      <c r="AI79" s="127">
        <v>-37.5</v>
      </c>
      <c r="AJ79" s="114">
        <v>3000</v>
      </c>
      <c r="AK79" s="97">
        <f t="shared" si="24"/>
        <v>44.465000000000003</v>
      </c>
    </row>
    <row r="80" spans="1:38">
      <c r="A80" s="100">
        <v>6.8</v>
      </c>
      <c r="B80" s="100">
        <v>40</v>
      </c>
      <c r="C80" s="100">
        <v>25</v>
      </c>
      <c r="D80" s="100">
        <v>18</v>
      </c>
      <c r="E80" s="103" t="s">
        <v>141</v>
      </c>
      <c r="F80" s="100">
        <v>32</v>
      </c>
      <c r="G80" s="100">
        <v>18</v>
      </c>
      <c r="H80" s="98" t="e">
        <f>H79</f>
        <v>#REF!</v>
      </c>
      <c r="I80" s="97">
        <f t="shared" si="26"/>
        <v>183.00067804481006</v>
      </c>
      <c r="J80" s="100">
        <v>16</v>
      </c>
      <c r="K80" s="100">
        <v>300</v>
      </c>
      <c r="L80" s="98" t="e">
        <f>L79</f>
        <v>#REF!</v>
      </c>
      <c r="M80" s="97">
        <f t="shared" si="27"/>
        <v>19.232420302432153</v>
      </c>
      <c r="N80" s="97">
        <f t="shared" si="28"/>
        <v>202.23309834724222</v>
      </c>
      <c r="O80" s="97">
        <f t="shared" si="29"/>
        <v>18929.018005301874</v>
      </c>
      <c r="AC80" s="104">
        <f t="shared" si="25"/>
        <v>894.92473276578494</v>
      </c>
      <c r="AD80" s="104"/>
      <c r="AE80" s="104"/>
      <c r="AF80" s="104"/>
      <c r="AG80" s="111" t="s">
        <v>190</v>
      </c>
      <c r="AH80" s="112" t="s">
        <v>135</v>
      </c>
      <c r="AI80" s="127">
        <v>-37.5</v>
      </c>
      <c r="AJ80" s="114">
        <v>3000</v>
      </c>
      <c r="AK80" s="97">
        <f t="shared" si="24"/>
        <v>44.465000000000003</v>
      </c>
    </row>
    <row r="81" spans="1:38">
      <c r="A81" s="100">
        <v>14</v>
      </c>
      <c r="B81" s="100">
        <v>40</v>
      </c>
      <c r="C81" s="100">
        <v>32</v>
      </c>
      <c r="D81" s="100">
        <v>18</v>
      </c>
      <c r="E81" s="103" t="s">
        <v>141</v>
      </c>
      <c r="F81" s="100">
        <v>0</v>
      </c>
      <c r="G81" s="100">
        <v>0</v>
      </c>
      <c r="H81" s="98" t="e">
        <f>#REF!</f>
        <v>#REF!</v>
      </c>
      <c r="I81" s="97">
        <f t="shared" si="26"/>
        <v>113.64020273977286</v>
      </c>
      <c r="J81" s="100">
        <v>16</v>
      </c>
      <c r="K81" s="100">
        <v>240</v>
      </c>
      <c r="L81" s="98" t="e">
        <f>MAX(#REF!,#REF!)</f>
        <v>#REF!</v>
      </c>
      <c r="M81" s="97">
        <f t="shared" si="27"/>
        <v>24.04052537804019</v>
      </c>
      <c r="N81" s="97">
        <f t="shared" si="28"/>
        <v>137.68072811781306</v>
      </c>
      <c r="O81" s="97">
        <f t="shared" si="29"/>
        <v>894.92473276578494</v>
      </c>
      <c r="AC81" s="104">
        <f t="shared" si="25"/>
        <v>12955.080746614989</v>
      </c>
      <c r="AG81" s="111" t="s">
        <v>191</v>
      </c>
      <c r="AH81" s="112" t="s">
        <v>135</v>
      </c>
      <c r="AI81" s="127">
        <v>-35</v>
      </c>
      <c r="AJ81" s="114">
        <v>3500</v>
      </c>
      <c r="AK81" s="97">
        <f t="shared" si="24"/>
        <v>42.465000000000003</v>
      </c>
    </row>
    <row r="82" spans="1:38">
      <c r="A82" s="100">
        <v>14.5</v>
      </c>
      <c r="B82" s="100">
        <v>40</v>
      </c>
      <c r="C82" s="100">
        <v>32</v>
      </c>
      <c r="D82" s="100">
        <v>18</v>
      </c>
      <c r="E82" s="103" t="s">
        <v>141</v>
      </c>
      <c r="F82" s="100">
        <v>0</v>
      </c>
      <c r="G82" s="100">
        <v>0</v>
      </c>
      <c r="H82" s="98" t="e">
        <f>H81</f>
        <v>#REF!</v>
      </c>
      <c r="I82" s="97">
        <f t="shared" si="26"/>
        <v>113.64020273977286</v>
      </c>
      <c r="J82" s="100">
        <v>16</v>
      </c>
      <c r="K82" s="100">
        <v>300</v>
      </c>
      <c r="L82" s="98" t="e">
        <f>L81</f>
        <v>#REF!</v>
      </c>
      <c r="M82" s="97">
        <f t="shared" si="27"/>
        <v>19.232420302432153</v>
      </c>
      <c r="N82" s="97">
        <f t="shared" si="28"/>
        <v>132.87262304220502</v>
      </c>
      <c r="O82" s="97">
        <f t="shared" si="29"/>
        <v>12955.080746614989</v>
      </c>
      <c r="AC82" s="104">
        <f t="shared" si="25"/>
        <v>1677.3398067623432</v>
      </c>
      <c r="AG82" s="111" t="s">
        <v>192</v>
      </c>
      <c r="AH82" s="112" t="s">
        <v>135</v>
      </c>
      <c r="AI82" s="127">
        <v>-32.5</v>
      </c>
      <c r="AJ82" s="114">
        <v>3500</v>
      </c>
      <c r="AK82" s="97">
        <f t="shared" si="24"/>
        <v>39.965000000000003</v>
      </c>
    </row>
    <row r="83" spans="1:38">
      <c r="A83" s="100">
        <v>22</v>
      </c>
      <c r="B83" s="100">
        <v>40</v>
      </c>
      <c r="C83" s="100">
        <v>32</v>
      </c>
      <c r="D83" s="100">
        <v>18</v>
      </c>
      <c r="E83" s="103" t="s">
        <v>141</v>
      </c>
      <c r="F83" s="100">
        <v>16</v>
      </c>
      <c r="G83" s="100">
        <v>18</v>
      </c>
      <c r="H83" s="98" t="e">
        <f>MAX(#REF!)</f>
        <v>#REF!</v>
      </c>
      <c r="I83" s="97">
        <f t="shared" si="26"/>
        <v>142.05025342471609</v>
      </c>
      <c r="J83" s="100">
        <v>16</v>
      </c>
      <c r="K83" s="100">
        <v>300</v>
      </c>
      <c r="L83" s="98"/>
      <c r="M83" s="97">
        <f t="shared" si="27"/>
        <v>19.232420302432153</v>
      </c>
      <c r="N83" s="97">
        <f t="shared" si="28"/>
        <v>161.28267372714825</v>
      </c>
      <c r="O83" s="97">
        <f t="shared" si="29"/>
        <v>1677.3398067623432</v>
      </c>
      <c r="AC83">
        <f>N84*(21-A84)</f>
        <v>-85.756447777275696</v>
      </c>
      <c r="AG83" s="111" t="s">
        <v>193</v>
      </c>
      <c r="AH83" s="112" t="s">
        <v>135</v>
      </c>
      <c r="AI83" s="127">
        <v>-29.5</v>
      </c>
      <c r="AJ83" s="114">
        <v>3500</v>
      </c>
      <c r="AK83" s="97">
        <f t="shared" si="24"/>
        <v>36.965000000000003</v>
      </c>
    </row>
    <row r="84" spans="1:38" ht="15.75" thickBot="1">
      <c r="A84" s="100">
        <v>22.8</v>
      </c>
      <c r="B84" s="100">
        <v>40</v>
      </c>
      <c r="C84" s="100">
        <v>16</v>
      </c>
      <c r="D84" s="100">
        <v>18</v>
      </c>
      <c r="E84" s="103" t="s">
        <v>141</v>
      </c>
      <c r="F84" s="100">
        <v>0</v>
      </c>
      <c r="G84" s="100">
        <v>0</v>
      </c>
      <c r="H84" s="98" t="e">
        <f>H83</f>
        <v>#REF!</v>
      </c>
      <c r="I84" s="97">
        <f t="shared" si="26"/>
        <v>28.410050684943215</v>
      </c>
      <c r="J84" s="100">
        <v>16</v>
      </c>
      <c r="K84" s="100">
        <v>300</v>
      </c>
      <c r="L84" s="98"/>
      <c r="M84" s="97">
        <f t="shared" si="27"/>
        <v>19.232420302432153</v>
      </c>
      <c r="N84" s="97">
        <f t="shared" si="28"/>
        <v>47.642470987375368</v>
      </c>
      <c r="O84" s="97">
        <f>$Q$75*N84*(AL84-A84)</f>
        <v>11726.956021187518</v>
      </c>
      <c r="AC84" s="99">
        <f>SUM(AC75:AC83)</f>
        <v>55248.409175884881</v>
      </c>
      <c r="AD84" s="115">
        <f>O85-AC84</f>
        <v>11812.71246896479</v>
      </c>
      <c r="AE84" s="116"/>
      <c r="AF84" s="116"/>
      <c r="AG84" s="111" t="s">
        <v>168</v>
      </c>
      <c r="AH84" s="112" t="s">
        <v>135</v>
      </c>
      <c r="AI84" s="127">
        <v>-28</v>
      </c>
      <c r="AJ84" s="114">
        <v>3500</v>
      </c>
      <c r="AK84" s="97">
        <f t="shared" si="24"/>
        <v>35.465000000000003</v>
      </c>
      <c r="AL84" s="104">
        <f>AVERAGE(AK72:AK84)</f>
        <v>41.734230769230784</v>
      </c>
    </row>
    <row r="85" spans="1:38" ht="16.5" thickTop="1" thickBot="1">
      <c r="O85" s="99">
        <f>SUM(O76:O84)</f>
        <v>67061.121644849671</v>
      </c>
      <c r="P85" s="89" t="s">
        <v>148</v>
      </c>
      <c r="Q85" s="102">
        <f>O85/$D$9/Q75</f>
        <v>1.0135905982017777</v>
      </c>
      <c r="R85" t="s">
        <v>121</v>
      </c>
    </row>
    <row r="86" spans="1:38" ht="15.75" thickTop="1">
      <c r="P86" s="89" t="s">
        <v>148</v>
      </c>
      <c r="Q86" s="102">
        <f>(O85/Q75)/('ss_ IFIR Summary (03.07)'!O80/'ss_ IFIR Summary (03.07)'!Q70)</f>
        <v>0.83731421272484674</v>
      </c>
      <c r="R86" t="s">
        <v>224</v>
      </c>
      <c r="AG86" s="146" t="s">
        <v>194</v>
      </c>
      <c r="AH86" s="146"/>
      <c r="AI86" s="146"/>
      <c r="AJ86" s="146"/>
      <c r="AK86" s="146"/>
    </row>
    <row r="87" spans="1:38" ht="18.75">
      <c r="A87" s="1" t="s">
        <v>195</v>
      </c>
      <c r="AG87" s="3" t="s">
        <v>17</v>
      </c>
      <c r="AH87" s="3" t="s">
        <v>128</v>
      </c>
      <c r="AI87" s="3" t="s">
        <v>129</v>
      </c>
      <c r="AJ87" s="3" t="s">
        <v>130</v>
      </c>
      <c r="AK87" s="3" t="s">
        <v>131</v>
      </c>
    </row>
    <row r="88" spans="1:38">
      <c r="AG88" s="111" t="s">
        <v>176</v>
      </c>
      <c r="AH88" s="112" t="s">
        <v>154</v>
      </c>
      <c r="AI88" s="127">
        <v>-33</v>
      </c>
      <c r="AJ88" s="114">
        <v>4000</v>
      </c>
      <c r="AK88" s="97">
        <f>AH88-AI88+AJ88/1000</f>
        <v>40.765000000000001</v>
      </c>
    </row>
    <row r="89" spans="1:38">
      <c r="A89" s="144" t="s">
        <v>151</v>
      </c>
      <c r="B89" s="145" t="s">
        <v>132</v>
      </c>
      <c r="C89" s="146" t="s">
        <v>133</v>
      </c>
      <c r="D89" s="146"/>
      <c r="E89" s="146"/>
      <c r="F89" s="146"/>
      <c r="G89" s="146"/>
      <c r="H89" s="146"/>
      <c r="I89" s="146"/>
      <c r="J89" s="146" t="s">
        <v>72</v>
      </c>
      <c r="K89" s="146"/>
      <c r="L89" s="146"/>
      <c r="M89" s="146"/>
      <c r="N89" s="145" t="s">
        <v>109</v>
      </c>
      <c r="O89" s="145" t="s">
        <v>110</v>
      </c>
      <c r="Q89" t="s">
        <v>197</v>
      </c>
      <c r="AG89" s="111" t="s">
        <v>196</v>
      </c>
      <c r="AH89" s="112" t="s">
        <v>154</v>
      </c>
      <c r="AI89" s="127">
        <v>-34.5</v>
      </c>
      <c r="AJ89" s="114">
        <v>3500</v>
      </c>
      <c r="AK89" s="97">
        <f t="shared" ref="AK89:AK99" si="30">AH89-AI89+AJ89/1000</f>
        <v>41.765000000000001</v>
      </c>
    </row>
    <row r="90" spans="1:38">
      <c r="A90" s="144"/>
      <c r="B90" s="145"/>
      <c r="C90" s="3" t="s">
        <v>136</v>
      </c>
      <c r="D90" s="3" t="s">
        <v>137</v>
      </c>
      <c r="F90" s="3" t="s">
        <v>136</v>
      </c>
      <c r="G90" s="3" t="s">
        <v>137</v>
      </c>
      <c r="H90" s="3" t="s">
        <v>138</v>
      </c>
      <c r="I90" s="3" t="s">
        <v>109</v>
      </c>
      <c r="J90" s="3" t="s">
        <v>136</v>
      </c>
      <c r="K90" s="3" t="s">
        <v>139</v>
      </c>
      <c r="L90" s="3" t="s">
        <v>138</v>
      </c>
      <c r="M90" s="3" t="s">
        <v>109</v>
      </c>
      <c r="N90" s="145"/>
      <c r="O90" s="145"/>
      <c r="Q90" s="5">
        <v>13</v>
      </c>
      <c r="AC90" s="104">
        <f>O91</f>
        <v>12092.930250419564</v>
      </c>
      <c r="AG90" s="111" t="s">
        <v>198</v>
      </c>
      <c r="AH90" s="112" t="s">
        <v>154</v>
      </c>
      <c r="AI90" s="127">
        <v>-35</v>
      </c>
      <c r="AJ90" s="114">
        <v>3500</v>
      </c>
      <c r="AK90" s="97">
        <f t="shared" si="30"/>
        <v>42.265000000000001</v>
      </c>
    </row>
    <row r="91" spans="1:38">
      <c r="A91" s="100">
        <v>0</v>
      </c>
      <c r="B91" s="100">
        <v>40</v>
      </c>
      <c r="C91" s="100">
        <v>25</v>
      </c>
      <c r="D91" s="100">
        <f>'[4]Max permutation (Zone D, top)'!$Q$47</f>
        <v>18</v>
      </c>
      <c r="E91" s="103" t="s">
        <v>141</v>
      </c>
      <c r="F91" s="100">
        <v>0</v>
      </c>
      <c r="G91" s="100">
        <v>0</v>
      </c>
      <c r="H91" s="98" t="e">
        <f>#REF!</f>
        <v>#REF!</v>
      </c>
      <c r="I91" s="97">
        <f>$C$11*((D91*PI()*((C91/1000)^2)/4)+(G91*PI()*((F91/1000)^2)/4))</f>
        <v>69.36047530503717</v>
      </c>
      <c r="J91" s="100">
        <v>16</v>
      </c>
      <c r="K91" s="100">
        <v>300</v>
      </c>
      <c r="L91" s="98" t="e">
        <f>MAX(#REF!,#REF!)</f>
        <v>#REF!</v>
      </c>
      <c r="M91" s="97">
        <f>$C$11*$C$14*PI()*((J91/1000)^2)/4*1000/K91</f>
        <v>19.232420302432153</v>
      </c>
      <c r="N91" s="97">
        <f>I91+M91</f>
        <v>88.59289560746933</v>
      </c>
      <c r="O91" s="97">
        <f>$Q$90*N91*(A92-A91)</f>
        <v>12092.930250419564</v>
      </c>
      <c r="AC91" s="104">
        <f>O92</f>
        <v>3080.0907327938767</v>
      </c>
      <c r="AG91" s="111" t="s">
        <v>199</v>
      </c>
      <c r="AH91" s="112" t="s">
        <v>154</v>
      </c>
      <c r="AI91" s="127">
        <v>-36</v>
      </c>
      <c r="AJ91" s="114">
        <v>3500</v>
      </c>
      <c r="AK91" s="97">
        <f t="shared" si="30"/>
        <v>43.265000000000001</v>
      </c>
    </row>
    <row r="92" spans="1:38">
      <c r="A92" s="100">
        <v>10.5</v>
      </c>
      <c r="B92" s="100">
        <v>40</v>
      </c>
      <c r="C92" s="100">
        <v>25</v>
      </c>
      <c r="D92" s="100">
        <v>18</v>
      </c>
      <c r="E92" s="103" t="s">
        <v>141</v>
      </c>
      <c r="F92" s="100">
        <v>25</v>
      </c>
      <c r="G92" s="100">
        <v>18</v>
      </c>
      <c r="H92" s="98" t="e">
        <f>#REF!</f>
        <v>#REF!</v>
      </c>
      <c r="I92" s="97">
        <f>$C$11*((D92*PI()*((C92/1000)^2)/4)+(G92*PI()*((F92/1000)^2)/4))</f>
        <v>138.72095061007434</v>
      </c>
      <c r="J92" s="100">
        <v>16</v>
      </c>
      <c r="K92" s="100">
        <v>300</v>
      </c>
      <c r="L92" s="98" t="e">
        <f>MAX(#REF!,#REF!)</f>
        <v>#REF!</v>
      </c>
      <c r="M92" s="97">
        <f t="shared" ref="M92:M101" si="31">$C$11*$C$14*PI()*((J92/1000)^2)/4*1000/K92</f>
        <v>19.232420302432153</v>
      </c>
      <c r="N92" s="97">
        <f>I92+M92</f>
        <v>157.9533709125065</v>
      </c>
      <c r="O92" s="97">
        <f>$Q$90*N92*(A93-A92)</f>
        <v>3080.0907327938767</v>
      </c>
      <c r="Q92" t="s">
        <v>223</v>
      </c>
      <c r="AC92">
        <f>N93*(30-A93)</f>
        <v>1594.672120934448</v>
      </c>
      <c r="AG92" s="111" t="s">
        <v>200</v>
      </c>
      <c r="AH92" s="112" t="s">
        <v>154</v>
      </c>
      <c r="AI92" s="127">
        <v>-36.5</v>
      </c>
      <c r="AJ92" s="114">
        <v>3500</v>
      </c>
      <c r="AK92" s="97">
        <f t="shared" si="30"/>
        <v>43.765000000000001</v>
      </c>
    </row>
    <row r="93" spans="1:38">
      <c r="A93" s="100">
        <v>12</v>
      </c>
      <c r="B93" s="100">
        <v>40</v>
      </c>
      <c r="C93" s="100">
        <v>25</v>
      </c>
      <c r="D93" s="100">
        <v>18</v>
      </c>
      <c r="E93" s="103" t="s">
        <v>141</v>
      </c>
      <c r="F93" s="100">
        <v>0</v>
      </c>
      <c r="G93" s="100">
        <v>0</v>
      </c>
      <c r="H93" s="98" t="e">
        <f>#REF!</f>
        <v>#REF!</v>
      </c>
      <c r="I93" s="97">
        <f>$C$11*((D93*PI()*((C93/1000)^2)/4)+(G93*PI()*((F93/1000)^2)/4))</f>
        <v>69.36047530503717</v>
      </c>
      <c r="J93" s="100">
        <v>16</v>
      </c>
      <c r="K93" s="100">
        <v>300</v>
      </c>
      <c r="L93" s="98"/>
      <c r="M93" s="97">
        <f t="shared" si="31"/>
        <v>19.232420302432153</v>
      </c>
      <c r="N93" s="97">
        <f>I93+M93</f>
        <v>88.59289560746933</v>
      </c>
      <c r="O93" s="97">
        <f>$Q$90*N93*(A94-A93)</f>
        <v>921.36611431768188</v>
      </c>
      <c r="Q93" s="96">
        <f>O102/Q90</f>
        <v>4686.645155084113</v>
      </c>
      <c r="R93" t="s">
        <v>111</v>
      </c>
      <c r="AC93">
        <f>N101*(30-A94)</f>
        <v>819.45050098285628</v>
      </c>
      <c r="AG93" s="111" t="s">
        <v>201</v>
      </c>
      <c r="AH93" s="112" t="s">
        <v>154</v>
      </c>
      <c r="AI93" s="127">
        <v>-37.5</v>
      </c>
      <c r="AJ93" s="114">
        <v>3500</v>
      </c>
      <c r="AK93" s="97">
        <f t="shared" si="30"/>
        <v>44.765000000000001</v>
      </c>
    </row>
    <row r="94" spans="1:38" ht="15.75" thickBot="1">
      <c r="A94" s="100">
        <v>12.8</v>
      </c>
      <c r="B94" s="100">
        <v>40</v>
      </c>
      <c r="C94" s="100">
        <v>25</v>
      </c>
      <c r="D94" s="100">
        <v>18</v>
      </c>
      <c r="E94" s="103" t="s">
        <v>141</v>
      </c>
      <c r="F94" s="100">
        <v>32</v>
      </c>
      <c r="G94" s="100">
        <v>18</v>
      </c>
      <c r="H94" s="98" t="e">
        <f>#REF!</f>
        <v>#REF!</v>
      </c>
      <c r="I94" s="97">
        <f t="shared" ref="I94:I100" si="32">$C$11*((D94*PI()*((C94/1000)^2)/4)+(G94*PI()*((F94/1000)^2)/4))</f>
        <v>183.00067804481006</v>
      </c>
      <c r="J94" s="100">
        <v>16</v>
      </c>
      <c r="K94" s="100">
        <v>300</v>
      </c>
      <c r="L94" s="98"/>
      <c r="M94" s="97">
        <f t="shared" si="31"/>
        <v>19.232420302432153</v>
      </c>
      <c r="N94" s="97">
        <f t="shared" ref="N94:N100" si="33">I94+M94</f>
        <v>202.23309834724222</v>
      </c>
      <c r="O94" s="97">
        <f t="shared" ref="O94:O100" si="34">$Q$90*N94*(A95-A94)</f>
        <v>3154.8363342169769</v>
      </c>
      <c r="AC94" s="99">
        <f>SUM(AC90:AC93)</f>
        <v>17587.143605130746</v>
      </c>
      <c r="AD94" s="115">
        <f>O102-AC94</f>
        <v>43339.243410962721</v>
      </c>
      <c r="AG94" s="111" t="s">
        <v>202</v>
      </c>
      <c r="AH94" s="112" t="s">
        <v>154</v>
      </c>
      <c r="AI94" s="127">
        <v>-37</v>
      </c>
      <c r="AJ94" s="114">
        <v>3500</v>
      </c>
      <c r="AK94" s="97">
        <f t="shared" si="30"/>
        <v>44.265000000000001</v>
      </c>
    </row>
    <row r="95" spans="1:38" ht="15.75" thickTop="1">
      <c r="A95" s="100">
        <v>14</v>
      </c>
      <c r="B95" s="100">
        <v>40</v>
      </c>
      <c r="C95" s="100">
        <v>32</v>
      </c>
      <c r="D95" s="100">
        <v>18</v>
      </c>
      <c r="E95" s="103" t="s">
        <v>141</v>
      </c>
      <c r="F95" s="100">
        <v>0</v>
      </c>
      <c r="G95" s="100">
        <v>0</v>
      </c>
      <c r="H95" s="98" t="e">
        <f>#REF!</f>
        <v>#REF!</v>
      </c>
      <c r="I95" s="97">
        <f t="shared" si="32"/>
        <v>113.64020273977286</v>
      </c>
      <c r="J95" s="100">
        <v>16</v>
      </c>
      <c r="K95" s="100">
        <v>300</v>
      </c>
      <c r="L95" s="98"/>
      <c r="M95" s="97">
        <f t="shared" si="31"/>
        <v>19.232420302432153</v>
      </c>
      <c r="N95" s="97">
        <f t="shared" si="33"/>
        <v>132.87262304220502</v>
      </c>
      <c r="O95" s="97">
        <f t="shared" si="34"/>
        <v>10882.267827156593</v>
      </c>
      <c r="AG95" s="111" t="s">
        <v>203</v>
      </c>
      <c r="AH95" s="112" t="s">
        <v>154</v>
      </c>
      <c r="AI95" s="127">
        <v>-37</v>
      </c>
      <c r="AJ95" s="114">
        <v>3500</v>
      </c>
      <c r="AK95" s="97">
        <f t="shared" si="30"/>
        <v>44.265000000000001</v>
      </c>
    </row>
    <row r="96" spans="1:38">
      <c r="A96" s="100">
        <v>20.3</v>
      </c>
      <c r="B96" s="100">
        <v>40</v>
      </c>
      <c r="C96" s="100">
        <v>32</v>
      </c>
      <c r="D96" s="100">
        <v>18</v>
      </c>
      <c r="E96" s="103" t="s">
        <v>141</v>
      </c>
      <c r="F96" s="100">
        <v>32</v>
      </c>
      <c r="G96" s="100">
        <v>18</v>
      </c>
      <c r="H96" s="98" t="e">
        <f>#REF!</f>
        <v>#REF!</v>
      </c>
      <c r="I96" s="97">
        <f t="shared" si="32"/>
        <v>227.28040547954572</v>
      </c>
      <c r="J96" s="100">
        <v>16</v>
      </c>
      <c r="K96" s="100">
        <v>300</v>
      </c>
      <c r="L96" s="98"/>
      <c r="M96" s="97">
        <f t="shared" si="31"/>
        <v>19.232420302432153</v>
      </c>
      <c r="N96" s="97">
        <f t="shared" si="33"/>
        <v>246.51282578197788</v>
      </c>
      <c r="O96" s="97">
        <f t="shared" si="34"/>
        <v>4807.0001027485687</v>
      </c>
      <c r="AG96" s="111" t="s">
        <v>204</v>
      </c>
      <c r="AH96" s="112" t="s">
        <v>154</v>
      </c>
      <c r="AI96" s="127">
        <v>-36</v>
      </c>
      <c r="AJ96" s="114">
        <v>3500</v>
      </c>
      <c r="AK96" s="97">
        <f t="shared" si="30"/>
        <v>43.265000000000001</v>
      </c>
    </row>
    <row r="97" spans="1:38">
      <c r="A97" s="100">
        <v>21.8</v>
      </c>
      <c r="B97" s="100">
        <v>40</v>
      </c>
      <c r="C97" s="100">
        <v>32</v>
      </c>
      <c r="D97" s="100">
        <v>18</v>
      </c>
      <c r="E97" s="103" t="s">
        <v>141</v>
      </c>
      <c r="F97" s="100">
        <v>0</v>
      </c>
      <c r="G97" s="100">
        <v>0</v>
      </c>
      <c r="H97" s="98" t="e">
        <f>#REF!</f>
        <v>#REF!</v>
      </c>
      <c r="I97" s="97">
        <f t="shared" si="32"/>
        <v>113.64020273977286</v>
      </c>
      <c r="J97" s="100">
        <v>16</v>
      </c>
      <c r="K97" s="100">
        <v>300</v>
      </c>
      <c r="L97" s="98"/>
      <c r="M97" s="97">
        <f t="shared" si="31"/>
        <v>19.232420302432153</v>
      </c>
      <c r="N97" s="97">
        <f t="shared" si="33"/>
        <v>132.87262304220502</v>
      </c>
      <c r="O97" s="97">
        <f t="shared" si="34"/>
        <v>10709.533417201725</v>
      </c>
      <c r="AG97" s="111" t="s">
        <v>205</v>
      </c>
      <c r="AH97" s="112" t="s">
        <v>154</v>
      </c>
      <c r="AI97" s="127">
        <v>-35</v>
      </c>
      <c r="AJ97" s="114">
        <v>3500</v>
      </c>
      <c r="AK97" s="97">
        <f t="shared" si="30"/>
        <v>42.265000000000001</v>
      </c>
    </row>
    <row r="98" spans="1:38">
      <c r="A98" s="100">
        <v>28</v>
      </c>
      <c r="B98" s="100">
        <v>40</v>
      </c>
      <c r="C98" s="100">
        <v>32</v>
      </c>
      <c r="D98" s="100">
        <v>18</v>
      </c>
      <c r="E98" s="103" t="s">
        <v>141</v>
      </c>
      <c r="F98" s="100">
        <v>25</v>
      </c>
      <c r="G98" s="100">
        <v>18</v>
      </c>
      <c r="H98" s="98" t="e">
        <f>#REF!</f>
        <v>#REF!</v>
      </c>
      <c r="I98" s="97">
        <f t="shared" si="32"/>
        <v>183.00067804481006</v>
      </c>
      <c r="J98" s="100">
        <v>16</v>
      </c>
      <c r="K98" s="100">
        <v>300</v>
      </c>
      <c r="L98" s="98"/>
      <c r="M98" s="97">
        <f t="shared" si="31"/>
        <v>19.232420302432153</v>
      </c>
      <c r="N98" s="97">
        <f t="shared" si="33"/>
        <v>202.23309834724222</v>
      </c>
      <c r="O98" s="97">
        <f t="shared" si="34"/>
        <v>3154.8363342169769</v>
      </c>
      <c r="AG98" s="111" t="s">
        <v>206</v>
      </c>
      <c r="AH98" s="112" t="s">
        <v>154</v>
      </c>
      <c r="AI98" s="127">
        <v>-32.5</v>
      </c>
      <c r="AJ98" s="114">
        <v>4000</v>
      </c>
      <c r="AK98" s="97">
        <f t="shared" si="30"/>
        <v>40.265000000000001</v>
      </c>
    </row>
    <row r="99" spans="1:38">
      <c r="A99" s="100">
        <v>29.2</v>
      </c>
      <c r="B99" s="100">
        <v>40</v>
      </c>
      <c r="C99" s="100">
        <v>25</v>
      </c>
      <c r="D99" s="100">
        <v>18</v>
      </c>
      <c r="E99" s="103" t="s">
        <v>141</v>
      </c>
      <c r="F99" s="100">
        <v>0</v>
      </c>
      <c r="G99" s="100">
        <v>0</v>
      </c>
      <c r="H99" s="98" t="e">
        <f>#REF!</f>
        <v>#REF!</v>
      </c>
      <c r="I99" s="97">
        <f t="shared" si="32"/>
        <v>69.36047530503717</v>
      </c>
      <c r="J99" s="100">
        <v>16</v>
      </c>
      <c r="K99" s="100">
        <v>300</v>
      </c>
      <c r="L99" s="98"/>
      <c r="M99" s="97">
        <f t="shared" si="31"/>
        <v>19.232420302432153</v>
      </c>
      <c r="N99" s="97">
        <f t="shared" si="33"/>
        <v>88.59289560746933</v>
      </c>
      <c r="O99" s="97">
        <f t="shared" si="34"/>
        <v>7831.6119717002894</v>
      </c>
      <c r="AG99" s="111" t="s">
        <v>207</v>
      </c>
      <c r="AH99" s="112" t="s">
        <v>154</v>
      </c>
      <c r="AI99" s="127">
        <v>-30.5</v>
      </c>
      <c r="AJ99" s="114">
        <v>4000</v>
      </c>
      <c r="AK99" s="97">
        <f t="shared" si="30"/>
        <v>38.265000000000001</v>
      </c>
    </row>
    <row r="100" spans="1:38">
      <c r="A100" s="100">
        <v>36</v>
      </c>
      <c r="B100" s="100">
        <v>40</v>
      </c>
      <c r="C100" s="100">
        <v>25</v>
      </c>
      <c r="D100" s="100">
        <v>18</v>
      </c>
      <c r="E100" s="103" t="s">
        <v>141</v>
      </c>
      <c r="F100" s="100">
        <v>16</v>
      </c>
      <c r="G100" s="100">
        <v>18</v>
      </c>
      <c r="H100" s="98" t="e">
        <f>#REF!</f>
        <v>#REF!</v>
      </c>
      <c r="I100" s="97">
        <f t="shared" si="32"/>
        <v>97.770525989980385</v>
      </c>
      <c r="J100" s="100">
        <v>16</v>
      </c>
      <c r="K100" s="100">
        <v>300</v>
      </c>
      <c r="L100" s="98"/>
      <c r="M100" s="97">
        <f t="shared" si="31"/>
        <v>19.232420302432153</v>
      </c>
      <c r="N100" s="97">
        <f t="shared" si="33"/>
        <v>117.00294629241253</v>
      </c>
      <c r="O100" s="97">
        <f t="shared" si="34"/>
        <v>1216.8306414410861</v>
      </c>
      <c r="AG100" s="111" t="s">
        <v>177</v>
      </c>
      <c r="AH100" s="112" t="s">
        <v>154</v>
      </c>
      <c r="AI100" s="127">
        <v>-26</v>
      </c>
      <c r="AJ100" s="114">
        <v>4000</v>
      </c>
      <c r="AK100" s="97">
        <f>AH100-AI100+AJ100/1000</f>
        <v>33.765000000000001</v>
      </c>
      <c r="AL100" s="104">
        <f>AVERAGE(AK88:AK100)</f>
        <v>41.764999999999993</v>
      </c>
    </row>
    <row r="101" spans="1:38">
      <c r="A101" s="100">
        <v>36.799999999999997</v>
      </c>
      <c r="B101" s="100">
        <v>40</v>
      </c>
      <c r="C101" s="100">
        <v>16</v>
      </c>
      <c r="D101" s="100">
        <v>18</v>
      </c>
      <c r="E101" s="103" t="s">
        <v>141</v>
      </c>
      <c r="F101" s="100">
        <v>0</v>
      </c>
      <c r="G101" s="100">
        <v>0</v>
      </c>
      <c r="H101" s="98" t="e">
        <f>MAX(#REF!)</f>
        <v>#REF!</v>
      </c>
      <c r="I101" s="97">
        <f>$C$11*((D101*PI()*((C101/1000)^2)/4)+(G101*PI()*((F101/1000)^2)/4))</f>
        <v>28.410050684943215</v>
      </c>
      <c r="J101" s="100">
        <v>16</v>
      </c>
      <c r="K101" s="100">
        <v>300</v>
      </c>
      <c r="L101" s="98"/>
      <c r="M101" s="97">
        <f t="shared" si="31"/>
        <v>19.232420302432153</v>
      </c>
      <c r="N101" s="97">
        <f>I101+M101</f>
        <v>47.642470987375368</v>
      </c>
      <c r="O101" s="97">
        <f>$Q$90*N101*($AL$100-A101)</f>
        <v>3075.0832898801409</v>
      </c>
    </row>
    <row r="102" spans="1:38" ht="15.75" thickBot="1">
      <c r="O102" s="99">
        <f>SUM(O91:O101)</f>
        <v>60926.387016093468</v>
      </c>
      <c r="P102" s="89" t="s">
        <v>148</v>
      </c>
      <c r="Q102" s="102">
        <f>O102/$I$8/Q90</f>
        <v>0.92086758388804801</v>
      </c>
      <c r="R102" t="s">
        <v>121</v>
      </c>
    </row>
    <row r="103" spans="1:38" ht="15.75" thickTop="1">
      <c r="P103" s="89" t="s">
        <v>148</v>
      </c>
      <c r="Q103" s="102" t="e">
        <f>(O102/Q90)/('ss_ IFIR Summary (03.07)'!O90/'ss_ IFIR Summary (03.07)'!Q85)</f>
        <v>#REF!</v>
      </c>
      <c r="R103" t="s">
        <v>224</v>
      </c>
    </row>
    <row r="104" spans="1:38">
      <c r="A104" t="s">
        <v>225</v>
      </c>
      <c r="D104" s="110">
        <f>T17+T31+Q45+Q60+Q75+Q90</f>
        <v>50</v>
      </c>
    </row>
    <row r="105" spans="1:38">
      <c r="A105" t="s">
        <v>226</v>
      </c>
      <c r="D105" s="131" t="e">
        <f>Q26+Q40+O55+O70+O85+O102</f>
        <v>#REF!</v>
      </c>
      <c r="E105" t="s">
        <v>111</v>
      </c>
    </row>
  </sheetData>
  <mergeCells count="55">
    <mergeCell ref="A4:A5"/>
    <mergeCell ref="B4:B5"/>
    <mergeCell ref="C4:C5"/>
    <mergeCell ref="D4:D5"/>
    <mergeCell ref="F4:F5"/>
    <mergeCell ref="H4:H5"/>
    <mergeCell ref="I4:I5"/>
    <mergeCell ref="G10:I10"/>
    <mergeCell ref="J10:L10"/>
    <mergeCell ref="M10:O10"/>
    <mergeCell ref="G4:G5"/>
    <mergeCell ref="AF16:AJ16"/>
    <mergeCell ref="A18:A19"/>
    <mergeCell ref="B18:B19"/>
    <mergeCell ref="C18:I18"/>
    <mergeCell ref="J18:M18"/>
    <mergeCell ref="N18:N19"/>
    <mergeCell ref="O18:O19"/>
    <mergeCell ref="P16:Q16"/>
    <mergeCell ref="AF28:AJ28"/>
    <mergeCell ref="A30:A31"/>
    <mergeCell ref="B30:B31"/>
    <mergeCell ref="C30:I30"/>
    <mergeCell ref="J30:M30"/>
    <mergeCell ref="N30:N31"/>
    <mergeCell ref="O30:O31"/>
    <mergeCell ref="P30:Q30"/>
    <mergeCell ref="AG43:AK43"/>
    <mergeCell ref="A44:A45"/>
    <mergeCell ref="B44:B45"/>
    <mergeCell ref="C44:I44"/>
    <mergeCell ref="J44:M44"/>
    <mergeCell ref="N44:N45"/>
    <mergeCell ref="O44:O45"/>
    <mergeCell ref="AG56:AK56"/>
    <mergeCell ref="A59:A60"/>
    <mergeCell ref="B59:B60"/>
    <mergeCell ref="C59:I59"/>
    <mergeCell ref="J59:M59"/>
    <mergeCell ref="N59:N60"/>
    <mergeCell ref="O59:O60"/>
    <mergeCell ref="AG70:AK70"/>
    <mergeCell ref="A74:A75"/>
    <mergeCell ref="B74:B75"/>
    <mergeCell ref="C74:I74"/>
    <mergeCell ref="J74:M74"/>
    <mergeCell ref="N74:N75"/>
    <mergeCell ref="O74:O75"/>
    <mergeCell ref="AG86:AK86"/>
    <mergeCell ref="A89:A90"/>
    <mergeCell ref="B89:B90"/>
    <mergeCell ref="C89:I89"/>
    <mergeCell ref="J89:M89"/>
    <mergeCell ref="N89:N90"/>
    <mergeCell ref="O89:O90"/>
  </mergeCells>
  <conditionalFormatting sqref="H20 L20 H32 L32 L22 H22:H25 H46:H51 L46:L54 H76:H84 L76:L84 H61:H69 L61:L69 H91:H101">
    <cfRule type="cellIs" dxfId="41" priority="27" operator="between">
      <formula>0</formula>
      <formula>1</formula>
    </cfRule>
    <cfRule type="cellIs" dxfId="40" priority="28" operator="greaterThan">
      <formula>1</formula>
    </cfRule>
  </conditionalFormatting>
  <conditionalFormatting sqref="H52:H54">
    <cfRule type="cellIs" dxfId="39" priority="25" operator="between">
      <formula>0</formula>
      <formula>1</formula>
    </cfRule>
    <cfRule type="cellIs" dxfId="38" priority="26" operator="greaterThan">
      <formula>1</formula>
    </cfRule>
  </conditionalFormatting>
  <conditionalFormatting sqref="H21">
    <cfRule type="cellIs" dxfId="37" priority="23" operator="between">
      <formula>0</formula>
      <formula>1</formula>
    </cfRule>
    <cfRule type="cellIs" dxfId="36" priority="24" operator="greaterThan">
      <formula>1</formula>
    </cfRule>
  </conditionalFormatting>
  <conditionalFormatting sqref="L91:L100">
    <cfRule type="cellIs" dxfId="35" priority="21" operator="between">
      <formula>0</formula>
      <formula>1</formula>
    </cfRule>
    <cfRule type="cellIs" dxfId="34" priority="22" operator="greaterThan">
      <formula>1</formula>
    </cfRule>
  </conditionalFormatting>
  <conditionalFormatting sqref="L101">
    <cfRule type="cellIs" dxfId="33" priority="19" operator="between">
      <formula>0</formula>
      <formula>1</formula>
    </cfRule>
    <cfRule type="cellIs" dxfId="32" priority="20" operator="greaterThan">
      <formula>1</formula>
    </cfRule>
  </conditionalFormatting>
  <conditionalFormatting sqref="L21">
    <cfRule type="cellIs" dxfId="31" priority="17" operator="between">
      <formula>0</formula>
      <formula>1</formula>
    </cfRule>
    <cfRule type="cellIs" dxfId="30" priority="18" operator="greaterThan">
      <formula>1</formula>
    </cfRule>
  </conditionalFormatting>
  <conditionalFormatting sqref="L23:L24">
    <cfRule type="cellIs" dxfId="29" priority="15" operator="between">
      <formula>0</formula>
      <formula>1</formula>
    </cfRule>
    <cfRule type="cellIs" dxfId="28" priority="16" operator="greaterThan">
      <formula>1</formula>
    </cfRule>
  </conditionalFormatting>
  <conditionalFormatting sqref="H39">
    <cfRule type="cellIs" dxfId="27" priority="3" operator="between">
      <formula>0</formula>
      <formula>1</formula>
    </cfRule>
    <cfRule type="cellIs" dxfId="26" priority="4" operator="greaterThan">
      <formula>1</formula>
    </cfRule>
  </conditionalFormatting>
  <conditionalFormatting sqref="L25">
    <cfRule type="cellIs" dxfId="25" priority="13" operator="between">
      <formula>0</formula>
      <formula>1</formula>
    </cfRule>
    <cfRule type="cellIs" dxfId="24" priority="14" operator="greaterThan">
      <formula>1</formula>
    </cfRule>
  </conditionalFormatting>
  <conditionalFormatting sqref="L33:L34">
    <cfRule type="cellIs" dxfId="23" priority="11" operator="between">
      <formula>0</formula>
      <formula>1</formula>
    </cfRule>
    <cfRule type="cellIs" dxfId="22" priority="12" operator="greaterThan">
      <formula>1</formula>
    </cfRule>
  </conditionalFormatting>
  <conditionalFormatting sqref="L35">
    <cfRule type="cellIs" dxfId="21" priority="9" operator="between">
      <formula>0</formula>
      <formula>1</formula>
    </cfRule>
    <cfRule type="cellIs" dxfId="20" priority="10" operator="greaterThan">
      <formula>1</formula>
    </cfRule>
  </conditionalFormatting>
  <conditionalFormatting sqref="L36:L39">
    <cfRule type="cellIs" dxfId="19" priority="7" operator="between">
      <formula>0</formula>
      <formula>1</formula>
    </cfRule>
    <cfRule type="cellIs" dxfId="18" priority="8" operator="greaterThan">
      <formula>1</formula>
    </cfRule>
  </conditionalFormatting>
  <conditionalFormatting sqref="H38">
    <cfRule type="cellIs" dxfId="17" priority="5" operator="between">
      <formula>0</formula>
      <formula>1</formula>
    </cfRule>
    <cfRule type="cellIs" dxfId="16" priority="6" operator="greaterThan">
      <formula>1</formula>
    </cfRule>
  </conditionalFormatting>
  <conditionalFormatting sqref="H33:H37">
    <cfRule type="cellIs" dxfId="15" priority="1" operator="between">
      <formula>0</formula>
      <formula>1</formula>
    </cfRule>
    <cfRule type="cellIs" dxfId="14" priority="2" operator="greaterThan">
      <formula>1</formula>
    </cfRule>
  </conditionalFormatting>
  <pageMargins left="0.7" right="0.7" top="0.75" bottom="0.75" header="0.3" footer="0.3"/>
  <pageSetup paperSize="9" scale="57" orientation="landscape" r:id="rId1"/>
  <rowBreaks count="1" manualBreakCount="1">
    <brk id="55" max="16383" man="1"/>
  </rowBreaks>
  <colBreaks count="1" manualBreakCount="1">
    <brk id="20" max="1048575"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Confidential Project Document" ma:contentTypeID="0x0101002392094CBAD04C3AB0B65532217FA45A04007863D31C67983449B85142D09416AEAC" ma:contentTypeVersion="21" ma:contentTypeDescription="" ma:contentTypeScope="" ma:versionID="43801b8b2b25981cc4c32bb160975fb4">
  <xsd:schema xmlns:xsd="http://www.w3.org/2001/XMLSchema" xmlns:xs="http://www.w3.org/2001/XMLSchema" xmlns:p="http://schemas.microsoft.com/office/2006/metadata/properties" xmlns:ns1="http://schemas.microsoft.com/sharepoint/v3" xmlns:ns2="a41b4c1e-49d4-45f5-a15a-08d38aefcb4f" xmlns:ns3="ba103e07-0cc5-4eb7-953f-375d52265a0e" targetNamespace="http://schemas.microsoft.com/office/2006/metadata/properties" ma:root="true" ma:fieldsID="e6e170d3ae098f86625e32c754a326f3" ns1:_="" ns2:_="" ns3:_="">
    <xsd:import namespace="http://schemas.microsoft.com/sharepoint/v3"/>
    <xsd:import namespace="a41b4c1e-49d4-45f5-a15a-08d38aefcb4f"/>
    <xsd:import namespace="ba103e07-0cc5-4eb7-953f-375d52265a0e"/>
    <xsd:element name="properties">
      <xsd:complexType>
        <xsd:sequence>
          <xsd:element name="documentManagement">
            <xsd:complexType>
              <xsd:all>
                <xsd:element ref="ns2:CO_Description" minOccurs="0"/>
                <xsd:element ref="ns2:m720c857f92247b4b2f03df6cb5d2bc9" minOccurs="0"/>
                <xsd:element ref="ns2:TaxCatchAll" minOccurs="0"/>
                <xsd:element ref="ns2:TaxCatchAllLabel" minOccurs="0"/>
                <xsd:element ref="ns2:nc695c5aeb184e52bf78fb52672e0b9d" minOccurs="0"/>
                <xsd:element ref="ns2:ja38ea1158ed452e9308a795972805b9" minOccurs="0"/>
                <xsd:element ref="ns2:o9707bc871d6428696dc7fdce2fc1966" minOccurs="0"/>
                <xsd:element ref="ns2:Arup_TeamSpaceProjectStage" minOccurs="0"/>
                <xsd:element ref="ns1:Arup_TeamSpaceDocumentStatus" minOccurs="0"/>
                <xsd:element ref="ns2:Arup_TeamSpaceWorkstreamAdmin" minOccurs="0"/>
                <xsd:element ref="ns2:TeamSpaceRevision"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3:MediaLengthInSeconds" minOccurs="0"/>
                <xsd:element ref="ns2:SharedWithUsers" minOccurs="0"/>
                <xsd:element ref="ns2:SharedWithDetail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up_TeamSpaceDocumentStatus" ma:index="20" nillable="true" ma:displayName="Status" ma:format="Dropdown" ma:indexed="true" ma:internalName="Arup_TeamSpaceDocumentStatus">
      <xsd:simpleType>
        <xsd:restriction base="dms:Choice">
          <xsd:enumeration value="Draft"/>
          <xsd:enumeration value="Issued"/>
        </xsd:restriction>
      </xsd:simpleType>
    </xsd:element>
  </xsd:schema>
  <xsd:schema xmlns:xsd="http://www.w3.org/2001/XMLSchema" xmlns:xs="http://www.w3.org/2001/XMLSchema" xmlns:dms="http://schemas.microsoft.com/office/2006/documentManagement/types" xmlns:pc="http://schemas.microsoft.com/office/infopath/2007/PartnerControls" targetNamespace="a41b4c1e-49d4-45f5-a15a-08d38aefcb4f" elementFormDefault="qualified">
    <xsd:import namespace="http://schemas.microsoft.com/office/2006/documentManagement/types"/>
    <xsd:import namespace="http://schemas.microsoft.com/office/infopath/2007/PartnerControls"/>
    <xsd:element name="CO_Description" ma:index="8" nillable="true" ma:displayName="Description" ma:hidden="true" ma:internalName="CO_Description" ma:readOnly="false">
      <xsd:simpleType>
        <xsd:restriction base="dms:Note"/>
      </xsd:simpleType>
    </xsd:element>
    <xsd:element name="m720c857f92247b4b2f03df6cb5d2bc9" ma:index="9" nillable="true" ma:taxonomy="true" ma:internalName="m720c857f92247b4b2f03df6cb5d2bc9" ma:taxonomyFieldName="Arup_Tags" ma:displayName="Tags" ma:fieldId="{6720c857-f922-47b4-b2f0-3df6cb5d2bc9}" ma:taxonomyMulti="true" ma:sspId="00000000-0000-0000-0000-000000000000" ma:termSetId="00000000-0000-0000-0000-000000000000" ma:anchorId="00000000-0000-0000-0000-000000000000" ma:open="true" ma:isKeyword="false">
      <xsd:complexType>
        <xsd:sequence>
          <xsd:element ref="pc:Terms" minOccurs="0" maxOccurs="1"/>
        </xsd:sequence>
      </xsd:complexType>
    </xsd:element>
    <xsd:element name="TaxCatchAll" ma:index="10" nillable="true" ma:displayName="Taxonomy Catch All Column" ma:hidden="true" ma:list="{561e3ae6-1618-499a-890b-f17b7eff03b7}" ma:internalName="TaxCatchAll" ma:showField="CatchAllData" ma:web="a41b4c1e-49d4-45f5-a15a-08d38aefcb4f">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561e3ae6-1618-499a-890b-f17b7eff03b7}" ma:internalName="TaxCatchAllLabel" ma:readOnly="true" ma:showField="CatchAllDataLabel" ma:web="a41b4c1e-49d4-45f5-a15a-08d38aefcb4f">
      <xsd:complexType>
        <xsd:complexContent>
          <xsd:extension base="dms:MultiChoiceLookup">
            <xsd:sequence>
              <xsd:element name="Value" type="dms:Lookup" maxOccurs="unbounded" minOccurs="0" nillable="true"/>
            </xsd:sequence>
          </xsd:extension>
        </xsd:complexContent>
      </xsd:complexType>
    </xsd:element>
    <xsd:element name="nc695c5aeb184e52bf78fb52672e0b9d" ma:index="13" nillable="true" ma:taxonomy="true" ma:internalName="nc695c5aeb184e52bf78fb52672e0b9d" ma:taxonomyFieldName="CO_Communities" ma:displayName="Community" ma:fieldId="{7c695c5a-eb18-4e52-bf78-fb52672e0b9d}" ma:taxonomyMulti="true" ma:sspId="00000000-0000-0000-0000-000000000000" ma:termSetId="00000000-0000-0000-0000-000000000000" ma:anchorId="00000000-0000-0000-0000-000000000000" ma:open="true" ma:isKeyword="false">
      <xsd:complexType>
        <xsd:sequence>
          <xsd:element ref="pc:Terms" minOccurs="0" maxOccurs="1"/>
        </xsd:sequence>
      </xsd:complexType>
    </xsd:element>
    <xsd:element name="ja38ea1158ed452e9308a795972805b9" ma:index="15" nillable="true" ma:taxonomy="true" ma:internalName="ja38ea1158ed452e9308a795972805b9" ma:taxonomyFieldName="CO_Topics" ma:displayName="Topic" ma:fieldId="{3a38ea11-58ed-452e-9308-a795972805b9}" ma:taxonomyMulti="true" ma:sspId="00000000-0000-0000-0000-000000000000" ma:termSetId="00000000-0000-0000-0000-000000000000" ma:anchorId="00000000-0000-0000-0000-000000000000" ma:open="true" ma:isKeyword="false">
      <xsd:complexType>
        <xsd:sequence>
          <xsd:element ref="pc:Terms" minOccurs="0" maxOccurs="1"/>
        </xsd:sequence>
      </xsd:complexType>
    </xsd:element>
    <xsd:element name="o9707bc871d6428696dc7fdce2fc1966" ma:index="17" nillable="true" ma:taxonomy="true" ma:internalName="o9707bc871d6428696dc7fdce2fc1966" ma:taxonomyFieldName="Arup_TypeOfContent" ma:displayName="Content Category" ma:fieldId="{89707bc8-71d6-4286-96dc-7fdce2fc1966}"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Arup_TeamSpaceProjectStage" ma:index="19" nillable="true" ma:displayName="Project Stage" ma:format="Dropdown" ma:internalName="Arup_TeamSpaceProjectStage">
      <xsd:simpleType>
        <xsd:restriction base="dms:Choice">
          <xsd:enumeration value="Not Specified"/>
          <xsd:enumeration value="Concept"/>
          <xsd:enumeration value="Scheme"/>
          <xsd:enumeration value="Detailed Design"/>
          <xsd:enumeration value="Tender"/>
          <xsd:enumeration value="Construction"/>
          <xsd:enumeration value="Handover"/>
          <xsd:enumeration value="As-Built"/>
        </xsd:restriction>
      </xsd:simpleType>
    </xsd:element>
    <xsd:element name="Arup_TeamSpaceWorkstreamAdmin" ma:index="21" nillable="true" ma:displayName="Adminstream" ma:format="Dropdown" ma:internalName="Arup_TeamSpaceWorkstreamAdmin">
      <xsd:simpleType>
        <xsd:restriction base="dms:Choice">
          <xsd:enumeration value="Commission &amp; Scope"/>
          <xsd:enumeration value="Costs &amp; Fees"/>
          <xsd:enumeration value="Health &amp; Safety"/>
          <xsd:enumeration value="Project Controls"/>
          <xsd:enumeration value="Schedule"/>
          <xsd:enumeration value="Team"/>
          <xsd:enumeration value="Quality Assurance"/>
        </xsd:restriction>
      </xsd:simpleType>
    </xsd:element>
    <xsd:element name="TeamSpaceRevision" ma:index="22" nillable="true" ma:displayName="Revision" ma:description="User-editable version number" ma:internalName="TeamSpaceRevision">
      <xsd:simpleType>
        <xsd:restriction base="dms:Text">
          <xsd:maxLength value="255"/>
        </xsd:restriction>
      </xsd:simpleType>
    </xsd:element>
    <xsd:element name="SharedWithUsers" ma:index="3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103e07-0cc5-4eb7-953f-375d52265a0e" elementFormDefault="qualified">
    <xsd:import namespace="http://schemas.microsoft.com/office/2006/documentManagement/types"/>
    <xsd:import namespace="http://schemas.microsoft.com/office/infopath/2007/PartnerControls"/>
    <xsd:element name="MediaServiceMetadata" ma:index="23" nillable="true" ma:displayName="MediaServiceMetadata" ma:hidden="true" ma:internalName="MediaServiceMetadata" ma:readOnly="true">
      <xsd:simpleType>
        <xsd:restriction base="dms:Note"/>
      </xsd:simpleType>
    </xsd:element>
    <xsd:element name="MediaServiceFastMetadata" ma:index="24" nillable="true" ma:displayName="MediaServiceFastMetadata" ma:hidden="true" ma:internalName="MediaServiceFastMetadata" ma:readOnly="true">
      <xsd:simpleType>
        <xsd:restriction base="dms:Note"/>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ServiceAutoTags" ma:index="27" nillable="true" ma:displayName="Tags" ma:internalName="MediaServiceAutoTags" ma:readOnly="true">
      <xsd:simpleType>
        <xsd:restriction base="dms:Text"/>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MediaServiceDateTaken" ma:index="30" nillable="true" ma:displayName="MediaServiceDateTaken" ma:hidden="true" ma:internalName="MediaServiceDateTaken"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Location" ma:index="32" nillable="true" ma:displayName="Location" ma:internalName="MediaServiceLocation" ma:readOnly="true">
      <xsd:simpleType>
        <xsd:restriction base="dms:Text"/>
      </xsd:simpleType>
    </xsd:element>
    <xsd:element name="MediaLengthInSeconds" ma:index="33" nillable="true" ma:displayName="MediaLengthInSeconds" ma:hidden="true" ma:internalName="MediaLengthInSeconds" ma:readOnly="true">
      <xsd:simpleType>
        <xsd:restriction base="dms:Unknown"/>
      </xsd:simpleType>
    </xsd:element>
    <xsd:element name="lcf76f155ced4ddcb4097134ff3c332f" ma:index="37" nillable="true" ma:taxonomy="true" ma:internalName="lcf76f155ced4ddcb4097134ff3c332f" ma:taxonomyFieldName="MediaServiceImageTags" ma:displayName="Image Tags" ma:readOnly="false" ma:fieldId="{5cf76f15-5ced-4ddc-b409-7134ff3c332f}" ma:taxonomyMulti="true" ma:sspId="5f907feb-2135-424b-9e5e-2a3ef7dbb37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9707bc871d6428696dc7fdce2fc1966 xmlns="a41b4c1e-49d4-45f5-a15a-08d38aefcb4f">
      <Terms xmlns="http://schemas.microsoft.com/office/infopath/2007/PartnerControls"/>
    </o9707bc871d6428696dc7fdce2fc1966>
    <Arup_TeamSpaceProjectStage xmlns="a41b4c1e-49d4-45f5-a15a-08d38aefcb4f" xsi:nil="true"/>
    <TaxCatchAll xmlns="a41b4c1e-49d4-45f5-a15a-08d38aefcb4f" xsi:nil="true"/>
    <Arup_TeamSpaceDocumentStatus xmlns="http://schemas.microsoft.com/sharepoint/v3" xsi:nil="true"/>
    <CO_Description xmlns="a41b4c1e-49d4-45f5-a15a-08d38aefcb4f" xsi:nil="true"/>
    <Arup_TeamSpaceWorkstreamAdmin xmlns="a41b4c1e-49d4-45f5-a15a-08d38aefcb4f" xsi:nil="true"/>
    <nc695c5aeb184e52bf78fb52672e0b9d xmlns="a41b4c1e-49d4-45f5-a15a-08d38aefcb4f">
      <Terms xmlns="http://schemas.microsoft.com/office/infopath/2007/PartnerControls"/>
    </nc695c5aeb184e52bf78fb52672e0b9d>
    <m720c857f92247b4b2f03df6cb5d2bc9 xmlns="a41b4c1e-49d4-45f5-a15a-08d38aefcb4f">
      <Terms xmlns="http://schemas.microsoft.com/office/infopath/2007/PartnerControls"/>
    </m720c857f92247b4b2f03df6cb5d2bc9>
    <TeamSpaceRevision xmlns="a41b4c1e-49d4-45f5-a15a-08d38aefcb4f" xsi:nil="true"/>
    <ja38ea1158ed452e9308a795972805b9 xmlns="a41b4c1e-49d4-45f5-a15a-08d38aefcb4f">
      <Terms xmlns="http://schemas.microsoft.com/office/infopath/2007/PartnerControls"/>
    </ja38ea1158ed452e9308a795972805b9>
    <lcf76f155ced4ddcb4097134ff3c332f xmlns="ba103e07-0cc5-4eb7-953f-375d52265a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65644E2-D6D8-46A6-A318-BACAFCB354FE}">
  <ds:schemaRefs>
    <ds:schemaRef ds:uri="http://schemas.microsoft.com/sharepoint/v3/contenttype/forms"/>
  </ds:schemaRefs>
</ds:datastoreItem>
</file>

<file path=customXml/itemProps2.xml><?xml version="1.0" encoding="utf-8"?>
<ds:datastoreItem xmlns:ds="http://schemas.openxmlformats.org/officeDocument/2006/customXml" ds:itemID="{9453CEC1-5D3D-4FD2-8E84-9BF8326450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1b4c1e-49d4-45f5-a15a-08d38aefcb4f"/>
    <ds:schemaRef ds:uri="ba103e07-0cc5-4eb7-953f-375d5226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14576-D002-4F59-9636-231DDB6D6587}">
  <ds:schemaRefs>
    <ds:schemaRef ds:uri="http://schemas.microsoft.com/office/2006/metadata/properties"/>
    <ds:schemaRef ds:uri="http://schemas.microsoft.com/office/infopath/2007/PartnerControls"/>
    <ds:schemaRef ds:uri="a41b4c1e-49d4-45f5-a15a-08d38aefcb4f"/>
    <ds:schemaRef ds:uri="http://schemas.microsoft.com/sharepoint/v3"/>
    <ds:schemaRef ds:uri="ba103e07-0cc5-4eb7-953f-375d52265a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Thermal reduction reasoning</vt:lpstr>
      <vt:lpstr>508-450dia</vt:lpstr>
      <vt:lpstr>508-450dia_trial 4B40</vt:lpstr>
      <vt:lpstr>508-450dia lower half</vt:lpstr>
      <vt:lpstr>ss_ IFIR Summary (03.07)</vt:lpstr>
      <vt:lpstr>North Quay Estimate</vt:lpstr>
      <vt:lpstr>Summary Mass Calc</vt:lpstr>
      <vt:lpstr>Summary (29.09) JCM</vt:lpstr>
      <vt:lpstr>Copy of Summary (07.09) (2)</vt:lpstr>
      <vt:lpstr>'508-450dia'!Print_Area</vt:lpstr>
      <vt:lpstr>'508-450dia lower half'!Print_Area</vt:lpstr>
      <vt:lpstr>'508-450dia_trial 4B40'!Print_Area</vt:lpstr>
      <vt:lpstr>'Summary Mass Calc'!Print_Area</vt:lpstr>
      <vt:lpstr>'Thermal reduction reasoning'!Print_Area</vt:lpstr>
      <vt:lpstr>'Thermal reduction reasoning'!Print_Titles</vt:lpstr>
    </vt:vector>
  </TitlesOfParts>
  <Manager/>
  <Company>Arup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Duncan Robertson</dc:creator>
  <cp:keywords/>
  <dc:description/>
  <cp:lastModifiedBy>Tim Stuart</cp:lastModifiedBy>
  <cp:revision/>
  <dcterms:created xsi:type="dcterms:W3CDTF">2017-06-12T09:37:00Z</dcterms:created>
  <dcterms:modified xsi:type="dcterms:W3CDTF">2023-01-31T10:35:36Z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0x0101002392094CBAD04C3AB0B65532217FA45A04007863D31C67983449B85142D09416AEAC</vt:lpwstr>
  </property>
  <property fmtid="{D5CDD505-2E9C-101B-9397-08002B2CF9AE}" pid="3" name="MSIP_Label_82fa3fd3-029b-403d-91b4-1dc930cb0e60_Enabled">
    <vt:lpwstr>true</vt:lpwstr>
  </property>
  <property fmtid="{D5CDD505-2E9C-101B-9397-08002B2CF9AE}" pid="4" name="MSIP_Label_82fa3fd3-029b-403d-91b4-1dc930cb0e60_SetDate">
    <vt:lpwstr>2022-03-04T16:35:55Z</vt:lpwstr>
  </property>
  <property fmtid="{D5CDD505-2E9C-101B-9397-08002B2CF9AE}" pid="5" name="MSIP_Label_82fa3fd3-029b-403d-91b4-1dc930cb0e60_Method">
    <vt:lpwstr>Standard</vt:lpwstr>
  </property>
  <property fmtid="{D5CDD505-2E9C-101B-9397-08002B2CF9AE}" pid="6" name="MSIP_Label_82fa3fd3-029b-403d-91b4-1dc930cb0e60_Name">
    <vt:lpwstr>82fa3fd3-029b-403d-91b4-1dc930cb0e60</vt:lpwstr>
  </property>
  <property fmtid="{D5CDD505-2E9C-101B-9397-08002B2CF9AE}" pid="7" name="MSIP_Label_82fa3fd3-029b-403d-91b4-1dc930cb0e60_SiteId">
    <vt:lpwstr>4ae48b41-0137-4599-8661-fc641fe77bea</vt:lpwstr>
  </property>
  <property fmtid="{D5CDD505-2E9C-101B-9397-08002B2CF9AE}" pid="8" name="MSIP_Label_82fa3fd3-029b-403d-91b4-1dc930cb0e60_ActionId">
    <vt:lpwstr>13d09e73-bcda-4645-bd6c-669c02cbdb8a</vt:lpwstr>
  </property>
  <property fmtid="{D5CDD505-2E9C-101B-9397-08002B2CF9AE}" pid="9" name="MSIP_Label_82fa3fd3-029b-403d-91b4-1dc930cb0e60_ContentBits">
    <vt:lpwstr>0</vt:lpwstr>
  </property>
  <property fmtid="{D5CDD505-2E9C-101B-9397-08002B2CF9AE}" pid="10" name="Arup_Tags">
    <vt:lpwstr/>
  </property>
  <property fmtid="{D5CDD505-2E9C-101B-9397-08002B2CF9AE}" pid="11" name="CO_Topics">
    <vt:lpwstr/>
  </property>
  <property fmtid="{D5CDD505-2E9C-101B-9397-08002B2CF9AE}" pid="12" name="Arup_TypeOfContent">
    <vt:lpwstr/>
  </property>
  <property fmtid="{D5CDD505-2E9C-101B-9397-08002B2CF9AE}" pid="13" name="CO_Communities">
    <vt:lpwstr/>
  </property>
  <property fmtid="{D5CDD505-2E9C-101B-9397-08002B2CF9AE}" pid="14" name="Folder_Number">
    <vt:lpwstr/>
  </property>
  <property fmtid="{D5CDD505-2E9C-101B-9397-08002B2CF9AE}" pid="15" name="Folder_Code">
    <vt:lpwstr/>
  </property>
  <property fmtid="{D5CDD505-2E9C-101B-9397-08002B2CF9AE}" pid="16" name="Folder_Name">
    <vt:lpwstr/>
  </property>
  <property fmtid="{D5CDD505-2E9C-101B-9397-08002B2CF9AE}" pid="17" name="Folder_Description">
    <vt:lpwstr/>
  </property>
  <property fmtid="{D5CDD505-2E9C-101B-9397-08002B2CF9AE}" pid="18" name="/Folder_Name/">
    <vt:lpwstr/>
  </property>
  <property fmtid="{D5CDD505-2E9C-101B-9397-08002B2CF9AE}" pid="19" name="/Folder_Description/">
    <vt:lpwstr/>
  </property>
  <property fmtid="{D5CDD505-2E9C-101B-9397-08002B2CF9AE}" pid="20" name="Folder_Version">
    <vt:lpwstr/>
  </property>
  <property fmtid="{D5CDD505-2E9C-101B-9397-08002B2CF9AE}" pid="21" name="Folder_VersionSeq">
    <vt:lpwstr/>
  </property>
  <property fmtid="{D5CDD505-2E9C-101B-9397-08002B2CF9AE}" pid="22" name="Folder_Manager">
    <vt:lpwstr/>
  </property>
  <property fmtid="{D5CDD505-2E9C-101B-9397-08002B2CF9AE}" pid="23" name="Folder_ManagerDesc">
    <vt:lpwstr/>
  </property>
  <property fmtid="{D5CDD505-2E9C-101B-9397-08002B2CF9AE}" pid="24" name="Folder_Storage">
    <vt:lpwstr/>
  </property>
  <property fmtid="{D5CDD505-2E9C-101B-9397-08002B2CF9AE}" pid="25" name="Folder_StorageDesc">
    <vt:lpwstr/>
  </property>
  <property fmtid="{D5CDD505-2E9C-101B-9397-08002B2CF9AE}" pid="26" name="Folder_Creator">
    <vt:lpwstr/>
  </property>
  <property fmtid="{D5CDD505-2E9C-101B-9397-08002B2CF9AE}" pid="27" name="Folder_CreatorDesc">
    <vt:lpwstr/>
  </property>
  <property fmtid="{D5CDD505-2E9C-101B-9397-08002B2CF9AE}" pid="28" name="Folder_CreateDate">
    <vt:lpwstr/>
  </property>
  <property fmtid="{D5CDD505-2E9C-101B-9397-08002B2CF9AE}" pid="29" name="Folder_Updater">
    <vt:lpwstr/>
  </property>
  <property fmtid="{D5CDD505-2E9C-101B-9397-08002B2CF9AE}" pid="30" name="Folder_UpdaterDesc">
    <vt:lpwstr/>
  </property>
  <property fmtid="{D5CDD505-2E9C-101B-9397-08002B2CF9AE}" pid="31" name="Folder_UpdateDate">
    <vt:lpwstr/>
  </property>
  <property fmtid="{D5CDD505-2E9C-101B-9397-08002B2CF9AE}" pid="32" name="Document_Number">
    <vt:lpwstr/>
  </property>
  <property fmtid="{D5CDD505-2E9C-101B-9397-08002B2CF9AE}" pid="33" name="Document_Name">
    <vt:lpwstr/>
  </property>
  <property fmtid="{D5CDD505-2E9C-101B-9397-08002B2CF9AE}" pid="34" name="Document_FileName">
    <vt:lpwstr/>
  </property>
  <property fmtid="{D5CDD505-2E9C-101B-9397-08002B2CF9AE}" pid="35" name="Document_Version">
    <vt:lpwstr/>
  </property>
  <property fmtid="{D5CDD505-2E9C-101B-9397-08002B2CF9AE}" pid="36" name="Document_VersionSeq">
    <vt:lpwstr/>
  </property>
  <property fmtid="{D5CDD505-2E9C-101B-9397-08002B2CF9AE}" pid="37" name="Document_Creator">
    <vt:lpwstr/>
  </property>
  <property fmtid="{D5CDD505-2E9C-101B-9397-08002B2CF9AE}" pid="38" name="Document_CreatorDesc">
    <vt:lpwstr/>
  </property>
  <property fmtid="{D5CDD505-2E9C-101B-9397-08002B2CF9AE}" pid="39" name="Document_CreateDate">
    <vt:lpwstr/>
  </property>
  <property fmtid="{D5CDD505-2E9C-101B-9397-08002B2CF9AE}" pid="40" name="Document_Updater">
    <vt:lpwstr/>
  </property>
  <property fmtid="{D5CDD505-2E9C-101B-9397-08002B2CF9AE}" pid="41" name="Document_UpdaterDesc">
    <vt:lpwstr/>
  </property>
  <property fmtid="{D5CDD505-2E9C-101B-9397-08002B2CF9AE}" pid="42" name="Document_UpdateDate">
    <vt:lpwstr/>
  </property>
  <property fmtid="{D5CDD505-2E9C-101B-9397-08002B2CF9AE}" pid="43" name="Document_Size">
    <vt:lpwstr/>
  </property>
  <property fmtid="{D5CDD505-2E9C-101B-9397-08002B2CF9AE}" pid="44" name="Document_Storage">
    <vt:lpwstr/>
  </property>
  <property fmtid="{D5CDD505-2E9C-101B-9397-08002B2CF9AE}" pid="45" name="Document_StorageDesc">
    <vt:lpwstr/>
  </property>
  <property fmtid="{D5CDD505-2E9C-101B-9397-08002B2CF9AE}" pid="46" name="Document_Department">
    <vt:lpwstr/>
  </property>
  <property fmtid="{D5CDD505-2E9C-101B-9397-08002B2CF9AE}" pid="47" name="Document_DepartmentDesc">
    <vt:lpwstr/>
  </property>
  <property fmtid="{D5CDD505-2E9C-101B-9397-08002B2CF9AE}" pid="48" name="MediaServiceImageTags">
    <vt:lpwstr/>
  </property>
</Properties>
</file>