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mc:AlternateContent xmlns:mc="http://schemas.openxmlformats.org/markup-compatibility/2006">
    <mc:Choice Requires="x15">
      <x15ac:absPath xmlns:x15ac="http://schemas.microsoft.com/office/spreadsheetml/2010/11/ac" url="https://arup-my.sharepoint.com/personal/tim_stuart_arup_com/Documents/Documents/scripts/River Wear/max min loads/shear_design/"/>
    </mc:Choice>
  </mc:AlternateContent>
  <xr:revisionPtr revIDLastSave="153" documentId="8_{862F0E74-073D-4026-9B2F-090042732264}" xr6:coauthVersionLast="47" xr6:coauthVersionMax="47" xr10:uidLastSave="{1142FF3A-4DD4-41DA-8FF0-54D7B086A9A4}"/>
  <bookViews>
    <workbookView xWindow="-120" yWindow="-120" windowWidth="29040" windowHeight="17640" tabRatio="977" firstSheet="1" activeTab="1" xr2:uid="{00000000-000D-0000-FFFF-FFFF00000000}"/>
  </bookViews>
  <sheets>
    <sheet name="Thermal reduction reasoning" sheetId="40" state="hidden" r:id="rId1"/>
    <sheet name="Worst case" sheetId="88" r:id="rId2"/>
    <sheet name="AR" sheetId="85" r:id="rId3"/>
    <sheet name="NR" sheetId="87" r:id="rId4"/>
    <sheet name="ss_1180-1050 dia below 5m" sheetId="86" r:id="rId5"/>
    <sheet name="ss_ IFIR Summary (03.07)" sheetId="66" state="hidden" r:id="rId6"/>
    <sheet name="North Quay Estimate" sheetId="43" state="hidden" r:id="rId7"/>
    <sheet name="Summary Mass Calc" sheetId="77" state="hidden" r:id="rId8"/>
    <sheet name="Summary (29.09) JCM" sheetId="81" state="hidden" r:id="rId9"/>
    <sheet name="Copy of Summary (07.09) (2)" sheetId="82" state="hidden" r:id="rId10"/>
  </sheets>
  <externalReferences>
    <externalReference r:id="rId11"/>
    <externalReference r:id="rId12"/>
    <externalReference r:id="rId13"/>
    <externalReference r:id="rId14"/>
  </externalReferences>
  <definedNames>
    <definedName name="A">#REF!</definedName>
    <definedName name="AA">#REF!</definedName>
    <definedName name="alphacc">[1]Lists!$J$3:$J$4</definedName>
    <definedName name="B">#REF!</definedName>
    <definedName name="Bar">[1]Lists!$F$3:$F$9</definedName>
    <definedName name="BB">#REF!</definedName>
    <definedName name="CC">#REF!</definedName>
    <definedName name="CCC">#REF!</definedName>
    <definedName name="Checked">#REF!</definedName>
    <definedName name="concreteStrengths">[2]Calculations!$L$76:$L$90</definedName>
    <definedName name="D">#REF!</definedName>
    <definedName name="Date">#REF!</definedName>
    <definedName name="DD">#REF!</definedName>
    <definedName name="Description">[1]Cover!$F$15</definedName>
    <definedName name="Drawing_Reference" localSheetId="2">[1]Cover!#REF!</definedName>
    <definedName name="Drawing_Reference" localSheetId="3">[1]Cover!#REF!</definedName>
    <definedName name="Drawing_Reference" localSheetId="4">[1]Cover!#REF!</definedName>
    <definedName name="Drawing_Reference" localSheetId="1">[1]Cover!#REF!</definedName>
    <definedName name="Drawing_Reference">[3]Cover!$F$21</definedName>
    <definedName name="E">#REF!</definedName>
    <definedName name="EE">#REF!</definedName>
    <definedName name="F">#REF!</definedName>
    <definedName name="FF">#REF!</definedName>
    <definedName name="G">#REF!</definedName>
    <definedName name="GammaC">[1]Lists!$H$3:$H$4</definedName>
    <definedName name="GG">#REF!</definedName>
    <definedName name="H">#REF!</definedName>
    <definedName name="HH">#REF!</definedName>
    <definedName name="I">#REF!</definedName>
    <definedName name="II">#REF!</definedName>
    <definedName name="J">#REF!</definedName>
    <definedName name="JJ">#REF!</definedName>
    <definedName name="JobNumber">#REF!</definedName>
    <definedName name="JobTitle">#REF!</definedName>
    <definedName name="K">#REF!+#REF!</definedName>
    <definedName name="KK">#REF!</definedName>
    <definedName name="L">#REF!</definedName>
    <definedName name="Link">[1]Lists!$B$3:$B$8</definedName>
    <definedName name="LL">#REF!</definedName>
    <definedName name="M">#REF!</definedName>
    <definedName name="MadeBy">#REF!</definedName>
    <definedName name="Member_Location">[3]Cover!$F$19</definedName>
    <definedName name="MM">#REF!</definedName>
    <definedName name="NN">#REF!</definedName>
    <definedName name="No_Perm_Casing_REBAR">#REF!</definedName>
    <definedName name="O">#REF!</definedName>
    <definedName name="OO">#REF!</definedName>
    <definedName name="Option" localSheetId="2">[1]Cover!#REF!</definedName>
    <definedName name="Option" localSheetId="9">[1]Cover!#REF!</definedName>
    <definedName name="Option" localSheetId="6">[1]Cover!#REF!</definedName>
    <definedName name="Option" localSheetId="3">[1]Cover!#REF!</definedName>
    <definedName name="Option" localSheetId="5">[1]Cover!#REF!</definedName>
    <definedName name="Option" localSheetId="4">[1]Cover!#REF!</definedName>
    <definedName name="Option" localSheetId="8">[1]Cover!#REF!</definedName>
    <definedName name="Option" localSheetId="7">[1]Cover!#REF!</definedName>
    <definedName name="Option" localSheetId="0">[1]Cover!#REF!</definedName>
    <definedName name="Option" localSheetId="1">[1]Cover!#REF!</definedName>
    <definedName name="Option">[1]Cover!#REF!</definedName>
    <definedName name="Perm_Casing">#REF!</definedName>
    <definedName name="Perm_Casing_REBAR">#REF!</definedName>
    <definedName name="_xlnm.Print_Area" localSheetId="2">AR!$A$1:$L$64</definedName>
    <definedName name="_xlnm.Print_Area" localSheetId="3">NR!$A$1:$L$64</definedName>
    <definedName name="_xlnm.Print_Area" localSheetId="4">'ss_1180-1050 dia below 5m'!$A$1:$L$64</definedName>
    <definedName name="_xlnm.Print_Area" localSheetId="7">'Summary Mass Calc'!$A$4:$O$91</definedName>
    <definedName name="_xlnm.Print_Area" localSheetId="0">'Thermal reduction reasoning'!$A$1:$I$31</definedName>
    <definedName name="_xlnm.Print_Area" localSheetId="1">'Worst case'!$A$1:$L$64</definedName>
    <definedName name="_xlnm.Print_Titles" localSheetId="0">'Thermal reduction reasoning'!$1:$1</definedName>
    <definedName name="q" localSheetId="9">[1]Cover!#REF!</definedName>
    <definedName name="q" localSheetId="6">[1]Cover!#REF!</definedName>
    <definedName name="q" localSheetId="5">[1]Cover!#REF!</definedName>
    <definedName name="q" localSheetId="8">[1]Cover!#REF!</definedName>
    <definedName name="q" localSheetId="7">[1]Cover!#REF!</definedName>
    <definedName name="q" localSheetId="0">[1]Cover!#REF!</definedName>
    <definedName name="q">[1]Cover!#REF!</definedName>
    <definedName name="Revision" localSheetId="2">[1]Cover!$F$30</definedName>
    <definedName name="Revision" localSheetId="3">[1]Cover!$F$30</definedName>
    <definedName name="Revision" localSheetId="4">[1]Cover!$F$30</definedName>
    <definedName name="Revision" localSheetId="1">[1]Cover!$F$30</definedName>
    <definedName name="Revision">[3]Cover!$F$48</definedName>
    <definedName name="SheetNo" localSheetId="2">[1]Cover!#REF!</definedName>
    <definedName name="SheetNo" localSheetId="3">[1]Cover!#REF!</definedName>
    <definedName name="SheetNo" localSheetId="4">[1]Cover!#REF!</definedName>
    <definedName name="SheetNo" localSheetId="1">[1]Cover!#REF!</definedName>
    <definedName name="SheetNo">[3]Cover!$F$17</definedName>
    <definedName name="SheetTable1" localSheetId="2">[1]Cover!#REF!</definedName>
    <definedName name="SheetTable1" localSheetId="9">[1]Cover!#REF!</definedName>
    <definedName name="SheetTable1" localSheetId="6">[1]Cover!#REF!</definedName>
    <definedName name="SheetTable1" localSheetId="3">[1]Cover!#REF!</definedName>
    <definedName name="SheetTable1" localSheetId="5">[1]Cover!#REF!</definedName>
    <definedName name="SheetTable1" localSheetId="4">[1]Cover!#REF!</definedName>
    <definedName name="SheetTable1" localSheetId="8">[1]Cover!#REF!</definedName>
    <definedName name="SheetTable1" localSheetId="7">[1]Cover!#REF!</definedName>
    <definedName name="SheetTable1" localSheetId="0">[1]Cover!#REF!</definedName>
    <definedName name="SheetTable1" localSheetId="1">[1]Cover!#REF!</definedName>
    <definedName name="SheetTable1">[1]Cover!#REF!</definedName>
    <definedName name="Type">[1]Lists!$D$3:$D$4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2" i="88" l="1"/>
  <c r="J60" i="88"/>
  <c r="E58" i="88"/>
  <c r="E55" i="88"/>
  <c r="F53" i="88"/>
  <c r="F52" i="88"/>
  <c r="E49" i="88"/>
  <c r="E50" i="88" s="1"/>
  <c r="E48" i="88"/>
  <c r="E47" i="88"/>
  <c r="B49" i="88" s="1"/>
  <c r="C42" i="88"/>
  <c r="E40" i="88"/>
  <c r="E42" i="88" s="1"/>
  <c r="E43" i="88" s="1"/>
  <c r="C37" i="88"/>
  <c r="C31" i="88"/>
  <c r="C32" i="88" s="1"/>
  <c r="C28" i="88"/>
  <c r="C29" i="88" s="1"/>
  <c r="D27" i="88"/>
  <c r="C24" i="88"/>
  <c r="C23" i="88"/>
  <c r="E22" i="88"/>
  <c r="C62" i="88" s="1"/>
  <c r="C63" i="88" s="1"/>
  <c r="C22" i="88"/>
  <c r="E21" i="88"/>
  <c r="E20" i="88"/>
  <c r="E24" i="88" s="1"/>
  <c r="C10" i="88"/>
  <c r="A10" i="88"/>
  <c r="E62" i="87"/>
  <c r="J60" i="87"/>
  <c r="E58" i="87"/>
  <c r="C55" i="87"/>
  <c r="F53" i="87"/>
  <c r="F52" i="87"/>
  <c r="E49" i="87"/>
  <c r="E50" i="87" s="1"/>
  <c r="E48" i="87"/>
  <c r="E47" i="87"/>
  <c r="B50" i="87" s="1"/>
  <c r="C42" i="87"/>
  <c r="E40" i="87"/>
  <c r="E42" i="87" s="1"/>
  <c r="E43" i="87" s="1"/>
  <c r="C37" i="87"/>
  <c r="C31" i="87"/>
  <c r="C32" i="87" s="1"/>
  <c r="C28" i="87"/>
  <c r="C29" i="87" s="1"/>
  <c r="D27" i="87"/>
  <c r="C24" i="87"/>
  <c r="C23" i="87"/>
  <c r="E22" i="87"/>
  <c r="C22" i="87"/>
  <c r="E21" i="87"/>
  <c r="E24" i="87" s="1"/>
  <c r="E20" i="87"/>
  <c r="C10" i="87"/>
  <c r="A10" i="87"/>
  <c r="C55" i="86"/>
  <c r="E62" i="86"/>
  <c r="J60" i="86"/>
  <c r="E58" i="86"/>
  <c r="F53" i="86"/>
  <c r="F52" i="86"/>
  <c r="E49" i="86"/>
  <c r="E50" i="86" s="1"/>
  <c r="E48" i="86"/>
  <c r="E47" i="86"/>
  <c r="B50" i="86" s="1"/>
  <c r="C42" i="86"/>
  <c r="E40" i="86"/>
  <c r="E42" i="86" s="1"/>
  <c r="E43" i="86" s="1"/>
  <c r="C37" i="86"/>
  <c r="C31" i="86"/>
  <c r="C32" i="86" s="1"/>
  <c r="C28" i="86"/>
  <c r="C29" i="86" s="1"/>
  <c r="D27" i="86"/>
  <c r="C24" i="86"/>
  <c r="C23" i="86"/>
  <c r="E22" i="86"/>
  <c r="C22" i="86"/>
  <c r="E21" i="86"/>
  <c r="E24" i="86" s="1"/>
  <c r="E20" i="86"/>
  <c r="C10" i="86"/>
  <c r="A10" i="86"/>
  <c r="C50" i="88" l="1"/>
  <c r="C58" i="88"/>
  <c r="C59" i="88" s="1"/>
  <c r="J35" i="88"/>
  <c r="J34" i="88"/>
  <c r="J33" i="88"/>
  <c r="C43" i="88"/>
  <c r="B50" i="88"/>
  <c r="E23" i="88"/>
  <c r="F51" i="88"/>
  <c r="C50" i="87"/>
  <c r="C58" i="87"/>
  <c r="C59" i="87" s="1"/>
  <c r="C43" i="87"/>
  <c r="J35" i="87"/>
  <c r="J34" i="87"/>
  <c r="J33" i="87"/>
  <c r="C62" i="87"/>
  <c r="C63" i="87" s="1"/>
  <c r="F51" i="87"/>
  <c r="B49" i="87"/>
  <c r="E23" i="87"/>
  <c r="J39" i="87" s="1"/>
  <c r="E55" i="87"/>
  <c r="C50" i="86"/>
  <c r="C58" i="86"/>
  <c r="C59" i="86" s="1"/>
  <c r="C43" i="86"/>
  <c r="J35" i="86"/>
  <c r="J33" i="86"/>
  <c r="J39" i="86"/>
  <c r="J34" i="86"/>
  <c r="C62" i="86"/>
  <c r="C63" i="86" s="1"/>
  <c r="B49" i="86"/>
  <c r="E55" i="86"/>
  <c r="E23" i="86"/>
  <c r="E55" i="85"/>
  <c r="E62" i="85"/>
  <c r="J60" i="85"/>
  <c r="E58" i="85"/>
  <c r="F53" i="85"/>
  <c r="F52" i="85"/>
  <c r="E49" i="85"/>
  <c r="C50" i="85" s="1"/>
  <c r="E48" i="85"/>
  <c r="E47" i="85"/>
  <c r="B49" i="85" s="1"/>
  <c r="E42" i="85"/>
  <c r="C42" i="85"/>
  <c r="E40" i="85"/>
  <c r="C37" i="85"/>
  <c r="C32" i="85"/>
  <c r="C31" i="85"/>
  <c r="C28" i="85"/>
  <c r="C29" i="85" s="1"/>
  <c r="D27" i="85"/>
  <c r="C24" i="85"/>
  <c r="C23" i="85"/>
  <c r="C22" i="85"/>
  <c r="E21" i="85"/>
  <c r="E20" i="85"/>
  <c r="C10" i="85"/>
  <c r="A10" i="85"/>
  <c r="J40" i="88" l="1"/>
  <c r="J38" i="88"/>
  <c r="J39" i="88"/>
  <c r="J52" i="88" s="1"/>
  <c r="J52" i="87"/>
  <c r="J45" i="87"/>
  <c r="J38" i="87"/>
  <c r="J40" i="87"/>
  <c r="J52" i="86"/>
  <c r="J45" i="86"/>
  <c r="J38" i="86"/>
  <c r="J40" i="86"/>
  <c r="E50" i="85"/>
  <c r="E24" i="85"/>
  <c r="B50" i="85"/>
  <c r="E22" i="85"/>
  <c r="E23" i="85"/>
  <c r="J51" i="88" l="1"/>
  <c r="J53" i="88" s="1"/>
  <c r="J54" i="88" s="1"/>
  <c r="J55" i="88" s="1"/>
  <c r="K55" i="88" s="1"/>
  <c r="J44" i="88"/>
  <c r="J45" i="88"/>
  <c r="J44" i="87"/>
  <c r="J46" i="87" s="1"/>
  <c r="J51" i="87"/>
  <c r="J53" i="87" s="1"/>
  <c r="J54" i="87" s="1"/>
  <c r="J55" i="87" s="1"/>
  <c r="K55" i="87" s="1"/>
  <c r="J44" i="86"/>
  <c r="J46" i="86" s="1"/>
  <c r="J51" i="86"/>
  <c r="J53" i="86" s="1"/>
  <c r="J54" i="86" s="1"/>
  <c r="J55" i="86" s="1"/>
  <c r="K55" i="86" s="1"/>
  <c r="C62" i="85"/>
  <c r="C63" i="85" s="1"/>
  <c r="C58" i="85"/>
  <c r="C59" i="85" s="1"/>
  <c r="E43" i="85"/>
  <c r="J46" i="88" l="1"/>
  <c r="J47" i="88" s="1"/>
  <c r="J47" i="87"/>
  <c r="J47" i="86"/>
  <c r="J61" i="86" s="1"/>
  <c r="J62" i="86" s="1"/>
  <c r="K62" i="86" s="1"/>
  <c r="F51" i="86"/>
  <c r="C43" i="85"/>
  <c r="J35" i="85"/>
  <c r="J39" i="85"/>
  <c r="J34" i="85"/>
  <c r="J33" i="85"/>
  <c r="J40" i="85"/>
  <c r="J38" i="85"/>
  <c r="J48" i="88" l="1"/>
  <c r="J49" i="88"/>
  <c r="J61" i="88"/>
  <c r="J62" i="88" s="1"/>
  <c r="K62" i="88" s="1"/>
  <c r="J49" i="87"/>
  <c r="J48" i="87"/>
  <c r="J61" i="87"/>
  <c r="J62" i="87" s="1"/>
  <c r="K62" i="87" s="1"/>
  <c r="J49" i="86"/>
  <c r="J48" i="86"/>
  <c r="K48" i="86"/>
  <c r="D67" i="86"/>
  <c r="J45" i="85"/>
  <c r="J52" i="85"/>
  <c r="J44" i="85"/>
  <c r="J51" i="85"/>
  <c r="D67" i="88" l="1"/>
  <c r="K48" i="88"/>
  <c r="K48" i="87"/>
  <c r="D67" i="87"/>
  <c r="J46" i="85"/>
  <c r="J53" i="85"/>
  <c r="J54" i="85" s="1"/>
  <c r="J55" i="85" s="1"/>
  <c r="K55" i="85" s="1"/>
  <c r="J47" i="85" l="1"/>
  <c r="J48" i="85" s="1"/>
  <c r="F51" i="85"/>
  <c r="J49" i="85" l="1"/>
  <c r="J61" i="85"/>
  <c r="J62" i="85" s="1"/>
  <c r="K62" i="85" s="1"/>
  <c r="D67" i="85"/>
  <c r="K48" i="85"/>
  <c r="I56" i="81" l="1"/>
  <c r="D104" i="82"/>
  <c r="I101" i="82"/>
  <c r="AK100" i="82"/>
  <c r="I100" i="82"/>
  <c r="H100" i="82"/>
  <c r="AK99" i="82"/>
  <c r="I99" i="82"/>
  <c r="N99" i="82" s="1"/>
  <c r="O99" i="82" s="1"/>
  <c r="H99" i="82"/>
  <c r="AK98" i="82"/>
  <c r="I98" i="82"/>
  <c r="H98" i="82"/>
  <c r="AK97" i="82"/>
  <c r="I97" i="82"/>
  <c r="H97" i="82"/>
  <c r="AK96" i="82"/>
  <c r="I96" i="82"/>
  <c r="H96" i="82"/>
  <c r="AK95" i="82"/>
  <c r="I95" i="82"/>
  <c r="H95" i="82"/>
  <c r="AK94" i="82"/>
  <c r="I94" i="82"/>
  <c r="H94" i="82"/>
  <c r="AK93" i="82"/>
  <c r="I93" i="82"/>
  <c r="AK92" i="82"/>
  <c r="I92" i="82"/>
  <c r="AK91" i="82"/>
  <c r="D91" i="82"/>
  <c r="I91" i="82" s="1"/>
  <c r="N91" i="82" s="1"/>
  <c r="O91" i="82" s="1"/>
  <c r="AK90" i="82"/>
  <c r="AK89" i="82"/>
  <c r="AL100" i="82" s="1"/>
  <c r="O101" i="82" s="1"/>
  <c r="AK88" i="82"/>
  <c r="AK84" i="82"/>
  <c r="I84" i="82"/>
  <c r="AK83" i="82"/>
  <c r="I83" i="82"/>
  <c r="N83" i="82" s="1"/>
  <c r="O83" i="82" s="1"/>
  <c r="AK82" i="82"/>
  <c r="I82" i="82"/>
  <c r="AK81" i="82"/>
  <c r="I81" i="82"/>
  <c r="AK80" i="82"/>
  <c r="I80" i="82"/>
  <c r="AK79" i="82"/>
  <c r="I79" i="82"/>
  <c r="AK78" i="82"/>
  <c r="I78" i="82"/>
  <c r="AK77" i="82"/>
  <c r="I77" i="82"/>
  <c r="AK76" i="82"/>
  <c r="I76" i="82"/>
  <c r="AK75" i="82"/>
  <c r="AK74" i="82"/>
  <c r="AK73" i="82"/>
  <c r="AK72" i="82"/>
  <c r="I69" i="82"/>
  <c r="N69" i="82" s="1"/>
  <c r="I68" i="82"/>
  <c r="N68" i="82" s="1"/>
  <c r="H68" i="82"/>
  <c r="I67" i="82"/>
  <c r="H67" i="82"/>
  <c r="I66" i="82"/>
  <c r="N66" i="82" s="1"/>
  <c r="O66" i="82" s="1"/>
  <c r="H66" i="82"/>
  <c r="I65" i="82"/>
  <c r="H65" i="82"/>
  <c r="I64" i="82"/>
  <c r="H64" i="82"/>
  <c r="I63" i="82"/>
  <c r="N63" i="82" s="1"/>
  <c r="O63" i="82" s="1"/>
  <c r="AC62" i="82" s="1"/>
  <c r="I62" i="82"/>
  <c r="N62" i="82" s="1"/>
  <c r="AK61" i="82"/>
  <c r="D61" i="82"/>
  <c r="I61" i="82" s="1"/>
  <c r="N61" i="82" s="1"/>
  <c r="O61" i="82" s="1"/>
  <c r="O70" i="82" s="1"/>
  <c r="AK60" i="82"/>
  <c r="AK59" i="82"/>
  <c r="AK58" i="82"/>
  <c r="I54" i="82"/>
  <c r="I53" i="82"/>
  <c r="I52" i="82"/>
  <c r="I51" i="82"/>
  <c r="N51" i="82" s="1"/>
  <c r="O51" i="82" s="1"/>
  <c r="I50" i="82"/>
  <c r="I49" i="82"/>
  <c r="N49" i="82" s="1"/>
  <c r="O49" i="82" s="1"/>
  <c r="AC48" i="82" s="1"/>
  <c r="AK48" i="82"/>
  <c r="AL48" i="82" s="1"/>
  <c r="I48" i="82"/>
  <c r="AK47" i="82"/>
  <c r="D47" i="82"/>
  <c r="I47" i="82" s="1"/>
  <c r="AK46" i="82"/>
  <c r="I46" i="82"/>
  <c r="AK45" i="82"/>
  <c r="I39" i="82"/>
  <c r="I38" i="82"/>
  <c r="AJ37" i="82"/>
  <c r="I37" i="82"/>
  <c r="AJ36" i="82"/>
  <c r="I36" i="82"/>
  <c r="AJ35" i="82"/>
  <c r="I35" i="82"/>
  <c r="N35" i="82" s="1"/>
  <c r="O35" i="82" s="1"/>
  <c r="AC35" i="82" s="1"/>
  <c r="H35" i="82"/>
  <c r="H36" i="82" s="1"/>
  <c r="AJ34" i="82"/>
  <c r="I34" i="82"/>
  <c r="AJ33" i="82"/>
  <c r="I33" i="82"/>
  <c r="N33" i="82" s="1"/>
  <c r="AJ32" i="82"/>
  <c r="I32" i="82"/>
  <c r="N32" i="82" s="1"/>
  <c r="AJ31" i="82"/>
  <c r="AJ30" i="82"/>
  <c r="AJ25" i="82"/>
  <c r="I25" i="82"/>
  <c r="AJ24" i="82"/>
  <c r="I24" i="82"/>
  <c r="AJ23" i="82"/>
  <c r="I23" i="82"/>
  <c r="AJ22" i="82"/>
  <c r="I22" i="82"/>
  <c r="AJ21" i="82"/>
  <c r="I21" i="82"/>
  <c r="AJ20" i="82"/>
  <c r="K20" i="82"/>
  <c r="J20" i="82"/>
  <c r="I20" i="82"/>
  <c r="AJ19" i="82"/>
  <c r="AJ18" i="82"/>
  <c r="C14" i="82"/>
  <c r="M76" i="82"/>
  <c r="C8" i="82"/>
  <c r="H7" i="82"/>
  <c r="I7" i="82" s="1"/>
  <c r="C7" i="82"/>
  <c r="D7" i="82"/>
  <c r="H6" i="82"/>
  <c r="I6" i="82" s="1"/>
  <c r="C6" i="82"/>
  <c r="D6" i="82" s="1"/>
  <c r="D106" i="81"/>
  <c r="I103" i="81"/>
  <c r="AK102" i="81"/>
  <c r="I102" i="81"/>
  <c r="H102" i="81"/>
  <c r="AK101" i="81"/>
  <c r="I101" i="81"/>
  <c r="N101" i="81" s="1"/>
  <c r="O101" i="81" s="1"/>
  <c r="H101" i="81"/>
  <c r="AK100" i="81"/>
  <c r="I100" i="81"/>
  <c r="H100" i="81"/>
  <c r="AK99" i="81"/>
  <c r="I99" i="81"/>
  <c r="H99" i="81"/>
  <c r="AK98" i="81"/>
  <c r="I98" i="81"/>
  <c r="H98" i="81"/>
  <c r="AK97" i="81"/>
  <c r="I97" i="81"/>
  <c r="H97" i="81"/>
  <c r="AK96" i="81"/>
  <c r="I96" i="81"/>
  <c r="H96" i="81"/>
  <c r="AK95" i="81"/>
  <c r="I95" i="81"/>
  <c r="AK94" i="81"/>
  <c r="I94" i="81"/>
  <c r="AK93" i="81"/>
  <c r="D93" i="81"/>
  <c r="I93" i="81" s="1"/>
  <c r="AK92" i="81"/>
  <c r="AK91" i="81"/>
  <c r="AL102" i="81" s="1"/>
  <c r="AK90" i="81"/>
  <c r="AK86" i="81"/>
  <c r="I86" i="81"/>
  <c r="AK85" i="81"/>
  <c r="I85" i="81"/>
  <c r="AK84" i="81"/>
  <c r="I84" i="81"/>
  <c r="AK83" i="81"/>
  <c r="I83" i="81"/>
  <c r="AK82" i="81"/>
  <c r="I82" i="81"/>
  <c r="AK81" i="81"/>
  <c r="AL86" i="81" s="1"/>
  <c r="I81" i="81"/>
  <c r="AK80" i="81"/>
  <c r="I80" i="81"/>
  <c r="AK79" i="81"/>
  <c r="I79" i="81"/>
  <c r="AK78" i="81"/>
  <c r="I78" i="81"/>
  <c r="AK77" i="81"/>
  <c r="AK76" i="81"/>
  <c r="AK75" i="81"/>
  <c r="AK74" i="81"/>
  <c r="I71" i="81"/>
  <c r="I70" i="81"/>
  <c r="I69" i="81"/>
  <c r="I68" i="81"/>
  <c r="I67" i="81"/>
  <c r="I66" i="81"/>
  <c r="I65" i="81"/>
  <c r="I64" i="81"/>
  <c r="AK63" i="81"/>
  <c r="D63" i="81"/>
  <c r="I63" i="81" s="1"/>
  <c r="AK62" i="81"/>
  <c r="AK61" i="81"/>
  <c r="AK60" i="81"/>
  <c r="AL63" i="81" s="1"/>
  <c r="I55" i="81"/>
  <c r="I54" i="81"/>
  <c r="I53" i="81"/>
  <c r="I52" i="81"/>
  <c r="I51" i="81"/>
  <c r="AK50" i="81"/>
  <c r="I50" i="81"/>
  <c r="AK49" i="81"/>
  <c r="D49" i="81"/>
  <c r="I49" i="81"/>
  <c r="AK48" i="81"/>
  <c r="I48" i="81"/>
  <c r="AK47" i="81"/>
  <c r="I41" i="81"/>
  <c r="I40" i="81"/>
  <c r="AJ39" i="81"/>
  <c r="I39" i="81"/>
  <c r="AJ38" i="81"/>
  <c r="I38" i="81"/>
  <c r="AJ37" i="81"/>
  <c r="I37" i="81"/>
  <c r="AJ36" i="81"/>
  <c r="I36" i="81"/>
  <c r="AJ35" i="81"/>
  <c r="I35" i="81"/>
  <c r="AJ34" i="81"/>
  <c r="I34" i="81"/>
  <c r="AJ33" i="81"/>
  <c r="AJ32" i="81"/>
  <c r="AJ27" i="81"/>
  <c r="I27" i="81"/>
  <c r="AJ26" i="81"/>
  <c r="I26" i="81"/>
  <c r="AJ25" i="81"/>
  <c r="I25" i="81"/>
  <c r="AJ24" i="81"/>
  <c r="I24" i="81"/>
  <c r="AJ23" i="81"/>
  <c r="I23" i="81"/>
  <c r="AJ22" i="81"/>
  <c r="K22" i="81"/>
  <c r="J22" i="81"/>
  <c r="I22" i="81"/>
  <c r="AJ21" i="81"/>
  <c r="AJ20" i="81"/>
  <c r="C16" i="81"/>
  <c r="M38" i="81" s="1"/>
  <c r="N38" i="81" s="1"/>
  <c r="O38" i="81" s="1"/>
  <c r="AC38" i="81" s="1"/>
  <c r="M96" i="81"/>
  <c r="N96" i="81" s="1"/>
  <c r="O96" i="81" s="1"/>
  <c r="C10" i="81"/>
  <c r="H9" i="81"/>
  <c r="I9" i="81" s="1"/>
  <c r="C9" i="81"/>
  <c r="D9" i="81"/>
  <c r="H8" i="81"/>
  <c r="I8" i="81"/>
  <c r="C8" i="81"/>
  <c r="D8" i="81"/>
  <c r="AL61" i="82"/>
  <c r="M49" i="81"/>
  <c r="M69" i="81"/>
  <c r="N69" i="81" s="1"/>
  <c r="O69" i="81" s="1"/>
  <c r="M81" i="81"/>
  <c r="N81" i="81" s="1"/>
  <c r="O81" i="81"/>
  <c r="AC80" i="81" s="1"/>
  <c r="N76" i="82"/>
  <c r="O76" i="82"/>
  <c r="AC75" i="82" s="1"/>
  <c r="M22" i="82"/>
  <c r="N22" i="82" s="1"/>
  <c r="O22" i="82" s="1"/>
  <c r="AC22" i="82" s="1"/>
  <c r="M38" i="82"/>
  <c r="M34" i="82"/>
  <c r="N34" i="82" s="1"/>
  <c r="O34" i="82" s="1"/>
  <c r="AC34" i="82" s="1"/>
  <c r="M53" i="82"/>
  <c r="N53" i="82"/>
  <c r="O53" i="82"/>
  <c r="AC52" i="82" s="1"/>
  <c r="M49" i="82"/>
  <c r="M69" i="82"/>
  <c r="M65" i="82"/>
  <c r="N65" i="82" s="1"/>
  <c r="O65" i="82"/>
  <c r="M84" i="82"/>
  <c r="N84" i="82"/>
  <c r="AC83" i="82" s="1"/>
  <c r="M80" i="82"/>
  <c r="M91" i="82"/>
  <c r="M98" i="82"/>
  <c r="N98" i="82"/>
  <c r="O98" i="82" s="1"/>
  <c r="M94" i="82"/>
  <c r="N94" i="82"/>
  <c r="O94" i="82"/>
  <c r="M37" i="81"/>
  <c r="N37" i="81"/>
  <c r="O37" i="81"/>
  <c r="AC37" i="81" s="1"/>
  <c r="M68" i="81"/>
  <c r="N68" i="81" s="1"/>
  <c r="O68" i="81" s="1"/>
  <c r="M84" i="81"/>
  <c r="N84" i="81" s="1"/>
  <c r="O84" i="81" s="1"/>
  <c r="AC83" i="81" s="1"/>
  <c r="M102" i="81"/>
  <c r="N102" i="81" s="1"/>
  <c r="O102" i="81" s="1"/>
  <c r="M25" i="82"/>
  <c r="N25" i="82"/>
  <c r="M21" i="82"/>
  <c r="N21" i="82" s="1"/>
  <c r="O21" i="82" s="1"/>
  <c r="AC21" i="82" s="1"/>
  <c r="M37" i="82"/>
  <c r="N37" i="82" s="1"/>
  <c r="O37" i="82" s="1"/>
  <c r="AC37" i="82" s="1"/>
  <c r="M33" i="82"/>
  <c r="O33" i="82"/>
  <c r="AC33" i="82"/>
  <c r="M52" i="82"/>
  <c r="N52" i="82" s="1"/>
  <c r="O52" i="82" s="1"/>
  <c r="AC51" i="82" s="1"/>
  <c r="M48" i="82"/>
  <c r="N48" i="82" s="1"/>
  <c r="O48" i="82" s="1"/>
  <c r="AC47" i="82" s="1"/>
  <c r="M68" i="82"/>
  <c r="O68" i="82"/>
  <c r="M64" i="82"/>
  <c r="N64" i="82"/>
  <c r="O64" i="82" s="1"/>
  <c r="M83" i="82"/>
  <c r="M79" i="82"/>
  <c r="N79" i="82"/>
  <c r="O79" i="82" s="1"/>
  <c r="AC78" i="82" s="1"/>
  <c r="M101" i="82"/>
  <c r="N101" i="82"/>
  <c r="M97" i="82"/>
  <c r="N97" i="82"/>
  <c r="O97" i="82"/>
  <c r="M93" i="82"/>
  <c r="N93" i="82"/>
  <c r="AC92" i="82" s="1"/>
  <c r="M40" i="81"/>
  <c r="N40" i="81" s="1"/>
  <c r="M55" i="81"/>
  <c r="N55" i="81"/>
  <c r="O55" i="81" s="1"/>
  <c r="AC54" i="81" s="1"/>
  <c r="M78" i="81"/>
  <c r="N78" i="81" s="1"/>
  <c r="O78" i="81" s="1"/>
  <c r="M101" i="81"/>
  <c r="M24" i="82"/>
  <c r="N24" i="82" s="1"/>
  <c r="AC24" i="82" s="1"/>
  <c r="M32" i="82"/>
  <c r="O32" i="82"/>
  <c r="AC32" i="82" s="1"/>
  <c r="M36" i="82"/>
  <c r="N36" i="82"/>
  <c r="O36" i="82" s="1"/>
  <c r="AC36" i="82" s="1"/>
  <c r="M46" i="82"/>
  <c r="N46" i="82"/>
  <c r="O46" i="82"/>
  <c r="M51" i="82"/>
  <c r="AC50" i="82"/>
  <c r="M47" i="82"/>
  <c r="N47" i="82" s="1"/>
  <c r="O47" i="82" s="1"/>
  <c r="AC46" i="82" s="1"/>
  <c r="M67" i="82"/>
  <c r="N67" i="82"/>
  <c r="O67" i="82"/>
  <c r="M63" i="82"/>
  <c r="M82" i="82"/>
  <c r="N82" i="82"/>
  <c r="O82" i="82"/>
  <c r="AC81" i="82" s="1"/>
  <c r="M78" i="82"/>
  <c r="N78" i="82" s="1"/>
  <c r="O78" i="82"/>
  <c r="AC77" i="82" s="1"/>
  <c r="M100" i="82"/>
  <c r="N100" i="82" s="1"/>
  <c r="O100" i="82" s="1"/>
  <c r="M96" i="82"/>
  <c r="N96" i="82"/>
  <c r="O96" i="82"/>
  <c r="M92" i="82"/>
  <c r="N92" i="82" s="1"/>
  <c r="O92" i="82" s="1"/>
  <c r="AC91" i="82" s="1"/>
  <c r="M27" i="81"/>
  <c r="N27" i="81" s="1"/>
  <c r="M54" i="81"/>
  <c r="N54" i="81" s="1"/>
  <c r="O54" i="81" s="1"/>
  <c r="AC53" i="81" s="1"/>
  <c r="M66" i="81"/>
  <c r="N66" i="81" s="1"/>
  <c r="O66" i="81" s="1"/>
  <c r="M86" i="81"/>
  <c r="M82" i="81"/>
  <c r="N82" i="81"/>
  <c r="O82" i="81" s="1"/>
  <c r="AC81" i="81" s="1"/>
  <c r="M100" i="81"/>
  <c r="N100" i="81" s="1"/>
  <c r="O100" i="81" s="1"/>
  <c r="N80" i="82"/>
  <c r="O80" i="82"/>
  <c r="AC79" i="82" s="1"/>
  <c r="M23" i="82"/>
  <c r="N23" i="82" s="1"/>
  <c r="O23" i="82" s="1"/>
  <c r="AC23" i="82" s="1"/>
  <c r="M39" i="82"/>
  <c r="N39" i="82" s="1"/>
  <c r="AC39" i="82" s="1"/>
  <c r="M35" i="82"/>
  <c r="M54" i="82"/>
  <c r="N54" i="82" s="1"/>
  <c r="M50" i="82"/>
  <c r="N50" i="82"/>
  <c r="O50" i="82"/>
  <c r="AC49" i="82" s="1"/>
  <c r="M61" i="82"/>
  <c r="M66" i="82"/>
  <c r="M62" i="82"/>
  <c r="O62" i="82"/>
  <c r="AC61" i="82" s="1"/>
  <c r="M81" i="82"/>
  <c r="N81" i="82" s="1"/>
  <c r="O81" i="82" s="1"/>
  <c r="AC80" i="82" s="1"/>
  <c r="M77" i="82"/>
  <c r="N77" i="82"/>
  <c r="O77" i="82" s="1"/>
  <c r="AC76" i="82" s="1"/>
  <c r="M99" i="82"/>
  <c r="M95" i="82"/>
  <c r="N95" i="82"/>
  <c r="O95" i="82" s="1"/>
  <c r="AC82" i="82"/>
  <c r="I8" i="82"/>
  <c r="G12" i="82" s="1"/>
  <c r="I10" i="81"/>
  <c r="G14" i="81" s="1"/>
  <c r="O93" i="82"/>
  <c r="AC93" i="82"/>
  <c r="AK93" i="77"/>
  <c r="AK92" i="77"/>
  <c r="AK91" i="77"/>
  <c r="AK90" i="77"/>
  <c r="AK89" i="77"/>
  <c r="I89" i="77"/>
  <c r="AK88" i="77"/>
  <c r="I88" i="77"/>
  <c r="AK87" i="77"/>
  <c r="I87" i="77"/>
  <c r="AK86" i="77"/>
  <c r="D86" i="77"/>
  <c r="I86" i="77" s="1"/>
  <c r="AK85" i="77"/>
  <c r="AK84" i="77"/>
  <c r="AK83" i="77"/>
  <c r="AK79" i="77"/>
  <c r="I79" i="77"/>
  <c r="AK78" i="77"/>
  <c r="I78" i="77"/>
  <c r="AK77" i="77"/>
  <c r="I77" i="77"/>
  <c r="AK76" i="77"/>
  <c r="I76" i="77"/>
  <c r="AK75" i="77"/>
  <c r="I75" i="77"/>
  <c r="AK74" i="77"/>
  <c r="I74" i="77"/>
  <c r="AK73" i="77"/>
  <c r="I73" i="77"/>
  <c r="AK72" i="77"/>
  <c r="I72" i="77"/>
  <c r="AK71" i="77"/>
  <c r="I71" i="77"/>
  <c r="AK70" i="77"/>
  <c r="AK69" i="77"/>
  <c r="I64" i="77"/>
  <c r="AK63" i="77"/>
  <c r="I63" i="77"/>
  <c r="AK62" i="77"/>
  <c r="I62" i="77"/>
  <c r="AK61" i="77"/>
  <c r="D61" i="77"/>
  <c r="I61" i="77"/>
  <c r="AK60" i="77"/>
  <c r="AK59" i="77"/>
  <c r="AK58" i="77"/>
  <c r="I54" i="77"/>
  <c r="I53" i="77"/>
  <c r="I52" i="77"/>
  <c r="I51" i="77"/>
  <c r="N51" i="77" s="1"/>
  <c r="O51" i="77" s="1"/>
  <c r="AC50" i="77" s="1"/>
  <c r="AK50" i="77"/>
  <c r="I50" i="77"/>
  <c r="AK49" i="77"/>
  <c r="I49" i="77"/>
  <c r="AK48" i="77"/>
  <c r="G48" i="77"/>
  <c r="I48" i="77" s="1"/>
  <c r="F48" i="77"/>
  <c r="D48" i="77"/>
  <c r="C48" i="77"/>
  <c r="AK47" i="77"/>
  <c r="D47" i="77"/>
  <c r="I47" i="77"/>
  <c r="AK46" i="77"/>
  <c r="I46" i="77"/>
  <c r="AK45" i="77"/>
  <c r="I39" i="77"/>
  <c r="I38" i="77"/>
  <c r="AJ37" i="77"/>
  <c r="I37" i="77"/>
  <c r="AJ36" i="77"/>
  <c r="I36" i="77"/>
  <c r="AJ35" i="77"/>
  <c r="I35" i="77"/>
  <c r="H35" i="77"/>
  <c r="H36" i="77" s="1"/>
  <c r="AJ34" i="77"/>
  <c r="I34" i="77"/>
  <c r="AJ33" i="77"/>
  <c r="I33" i="77"/>
  <c r="N33" i="77" s="1"/>
  <c r="O33" i="77" s="1"/>
  <c r="AC33" i="77" s="1"/>
  <c r="AJ32" i="77"/>
  <c r="AK37" i="77" s="1"/>
  <c r="I32" i="77"/>
  <c r="AJ31" i="77"/>
  <c r="AJ30" i="77"/>
  <c r="AJ25" i="77"/>
  <c r="I25" i="77"/>
  <c r="AJ24" i="77"/>
  <c r="I24" i="77"/>
  <c r="AJ23" i="77"/>
  <c r="I23" i="77"/>
  <c r="AJ22" i="77"/>
  <c r="I22" i="77"/>
  <c r="AJ21" i="77"/>
  <c r="I21" i="77"/>
  <c r="AJ20" i="77"/>
  <c r="K20" i="77"/>
  <c r="I20" i="77"/>
  <c r="AJ19" i="77"/>
  <c r="AJ18" i="77"/>
  <c r="AM5" i="77"/>
  <c r="M38" i="77" s="1"/>
  <c r="N38" i="77" s="1"/>
  <c r="M51" i="77"/>
  <c r="AC8" i="77"/>
  <c r="AH7" i="77"/>
  <c r="AI7" i="77"/>
  <c r="AI8" i="77" s="1"/>
  <c r="AB11" i="77" s="1"/>
  <c r="AC7" i="77"/>
  <c r="AD7" i="77" s="1"/>
  <c r="AH6" i="77"/>
  <c r="AI6" i="77"/>
  <c r="AC6" i="77"/>
  <c r="AD6" i="77"/>
  <c r="M23" i="77"/>
  <c r="N23" i="77"/>
  <c r="O23" i="77" s="1"/>
  <c r="AC23" i="77" s="1"/>
  <c r="AK25" i="77"/>
  <c r="M36" i="77"/>
  <c r="N36" i="77"/>
  <c r="O36" i="77" s="1"/>
  <c r="AC36" i="77" s="1"/>
  <c r="M73" i="77"/>
  <c r="N73" i="77" s="1"/>
  <c r="M89" i="77"/>
  <c r="N89" i="77" s="1"/>
  <c r="AL79" i="77"/>
  <c r="A80" i="77"/>
  <c r="M52" i="77"/>
  <c r="M72" i="77"/>
  <c r="M33" i="77"/>
  <c r="M49" i="77"/>
  <c r="N49" i="77"/>
  <c r="O49" i="77" s="1"/>
  <c r="AC48" i="77" s="1"/>
  <c r="M21" i="77"/>
  <c r="N21" i="77"/>
  <c r="O21" i="77" s="1"/>
  <c r="AC21" i="77" s="1"/>
  <c r="M24" i="77"/>
  <c r="N24" i="77"/>
  <c r="AC24" i="77" s="1"/>
  <c r="AL63" i="77"/>
  <c r="O73" i="77"/>
  <c r="AC72" i="77"/>
  <c r="AJ14" i="77"/>
  <c r="AM4" i="77" s="1"/>
  <c r="AD8" i="77" s="1"/>
  <c r="M35" i="77"/>
  <c r="J20" i="66"/>
  <c r="AK93" i="66"/>
  <c r="AK92" i="66"/>
  <c r="AK91" i="66"/>
  <c r="AK90" i="66"/>
  <c r="AK89" i="66"/>
  <c r="I89" i="66"/>
  <c r="AK88" i="66"/>
  <c r="I88" i="66"/>
  <c r="AK87" i="66"/>
  <c r="I87" i="66"/>
  <c r="AK86" i="66"/>
  <c r="D86" i="66"/>
  <c r="I86" i="66"/>
  <c r="AK85" i="66"/>
  <c r="AK84" i="66"/>
  <c r="AL93" i="66" s="1"/>
  <c r="AK83" i="66"/>
  <c r="AK79" i="66"/>
  <c r="I79" i="66"/>
  <c r="AK78" i="66"/>
  <c r="I78" i="66"/>
  <c r="AK77" i="66"/>
  <c r="I77" i="66"/>
  <c r="AK76" i="66"/>
  <c r="I76" i="66"/>
  <c r="AK75" i="66"/>
  <c r="I75" i="66"/>
  <c r="AK74" i="66"/>
  <c r="I74" i="66"/>
  <c r="AK73" i="66"/>
  <c r="I73" i="66"/>
  <c r="AK72" i="66"/>
  <c r="I72" i="66"/>
  <c r="AK71" i="66"/>
  <c r="I71" i="66"/>
  <c r="AK70" i="66"/>
  <c r="AK69" i="66"/>
  <c r="I64" i="66"/>
  <c r="AK63" i="66"/>
  <c r="I63" i="66"/>
  <c r="AK62" i="66"/>
  <c r="I62" i="66"/>
  <c r="AK61" i="66"/>
  <c r="D61" i="66"/>
  <c r="I61" i="66" s="1"/>
  <c r="AK60" i="66"/>
  <c r="AK59" i="66"/>
  <c r="AK58" i="66"/>
  <c r="I54" i="66"/>
  <c r="I53" i="66"/>
  <c r="I52" i="66"/>
  <c r="I51" i="66"/>
  <c r="AK50" i="66"/>
  <c r="I50" i="66"/>
  <c r="AK49" i="66"/>
  <c r="I49" i="66"/>
  <c r="AK48" i="66"/>
  <c r="G48" i="66"/>
  <c r="F48" i="66"/>
  <c r="D48" i="66"/>
  <c r="C48" i="66"/>
  <c r="AK47" i="66"/>
  <c r="D47" i="66"/>
  <c r="I47" i="66" s="1"/>
  <c r="AK46" i="66"/>
  <c r="I46" i="66"/>
  <c r="AK45" i="66"/>
  <c r="I39" i="66"/>
  <c r="I38" i="66"/>
  <c r="AJ37" i="66"/>
  <c r="I37" i="66"/>
  <c r="AJ36" i="66"/>
  <c r="I36" i="66"/>
  <c r="AJ35" i="66"/>
  <c r="I35" i="66"/>
  <c r="AJ34" i="66"/>
  <c r="I34" i="66"/>
  <c r="AJ33" i="66"/>
  <c r="I33" i="66"/>
  <c r="AJ32" i="66"/>
  <c r="I32" i="66"/>
  <c r="AJ31" i="66"/>
  <c r="AJ30" i="66"/>
  <c r="AJ25" i="66"/>
  <c r="I25" i="66"/>
  <c r="AJ24" i="66"/>
  <c r="I24" i="66"/>
  <c r="AJ23" i="66"/>
  <c r="I23" i="66"/>
  <c r="AJ22" i="66"/>
  <c r="I22" i="66"/>
  <c r="AJ21" i="66"/>
  <c r="I21" i="66"/>
  <c r="AJ20" i="66"/>
  <c r="K20" i="66"/>
  <c r="I20" i="66"/>
  <c r="AJ19" i="66"/>
  <c r="AJ18" i="66"/>
  <c r="C14" i="66"/>
  <c r="M76" i="66" s="1"/>
  <c r="N76" i="66" s="1"/>
  <c r="O76" i="66" s="1"/>
  <c r="AC75" i="66" s="1"/>
  <c r="C8" i="66"/>
  <c r="H7" i="66"/>
  <c r="I7" i="66" s="1"/>
  <c r="C7" i="66"/>
  <c r="D7" i="66" s="1"/>
  <c r="H6" i="66"/>
  <c r="I6" i="66" s="1"/>
  <c r="C6" i="66"/>
  <c r="D6" i="66" s="1"/>
  <c r="M23" i="66"/>
  <c r="I48" i="66"/>
  <c r="AL50" i="66"/>
  <c r="F7" i="43"/>
  <c r="A8" i="43"/>
  <c r="D8" i="43" s="1"/>
  <c r="A89" i="43"/>
  <c r="A88" i="43"/>
  <c r="A87" i="43"/>
  <c r="A86" i="43"/>
  <c r="A79" i="43"/>
  <c r="A78" i="43"/>
  <c r="A77" i="43"/>
  <c r="O76" i="43" s="1"/>
  <c r="AC75" i="43" s="1"/>
  <c r="A76" i="43"/>
  <c r="A75" i="43"/>
  <c r="A74" i="43"/>
  <c r="A73" i="43"/>
  <c r="A72" i="43"/>
  <c r="A71" i="43"/>
  <c r="A64" i="43"/>
  <c r="A63" i="43"/>
  <c r="A62" i="43"/>
  <c r="A61" i="43"/>
  <c r="A54" i="43"/>
  <c r="AC53" i="43" s="1"/>
  <c r="A53" i="43"/>
  <c r="A52" i="43"/>
  <c r="A51" i="43"/>
  <c r="A50" i="43"/>
  <c r="A49" i="43"/>
  <c r="A48" i="43"/>
  <c r="A47" i="43"/>
  <c r="A46" i="43"/>
  <c r="A39" i="43"/>
  <c r="AC39" i="43" s="1"/>
  <c r="A38" i="43"/>
  <c r="A37" i="43"/>
  <c r="A36" i="43"/>
  <c r="A35" i="43"/>
  <c r="A34" i="43"/>
  <c r="A33" i="43"/>
  <c r="A32" i="43"/>
  <c r="A21" i="43"/>
  <c r="A22" i="43"/>
  <c r="A23" i="43"/>
  <c r="A24" i="43"/>
  <c r="A25" i="43"/>
  <c r="A20" i="43"/>
  <c r="C14" i="43"/>
  <c r="AI93" i="43"/>
  <c r="AK93" i="43"/>
  <c r="AI92" i="43"/>
  <c r="AK92" i="43"/>
  <c r="AI91" i="43"/>
  <c r="AK91" i="43" s="1"/>
  <c r="AI90" i="43"/>
  <c r="AK90" i="43"/>
  <c r="AI89" i="43"/>
  <c r="AK89" i="43" s="1"/>
  <c r="I89" i="43"/>
  <c r="AI88" i="43"/>
  <c r="AK88" i="43"/>
  <c r="I88" i="43"/>
  <c r="N88" i="43" s="1"/>
  <c r="AI87" i="43"/>
  <c r="AK87" i="43"/>
  <c r="I87" i="43"/>
  <c r="AI86" i="43"/>
  <c r="AK86" i="43"/>
  <c r="D86" i="43"/>
  <c r="I86" i="43"/>
  <c r="N86" i="43" s="1"/>
  <c r="AI85" i="43"/>
  <c r="AK85" i="43" s="1"/>
  <c r="AI84" i="43"/>
  <c r="AK84" i="43"/>
  <c r="AI83" i="43"/>
  <c r="AK83" i="43" s="1"/>
  <c r="AI79" i="43"/>
  <c r="AK79" i="43"/>
  <c r="I79" i="43"/>
  <c r="AI78" i="43"/>
  <c r="AK78" i="43"/>
  <c r="I78" i="43"/>
  <c r="AI77" i="43"/>
  <c r="AK77" i="43" s="1"/>
  <c r="I77" i="43"/>
  <c r="AI76" i="43"/>
  <c r="AK76" i="43"/>
  <c r="I76" i="43"/>
  <c r="AI75" i="43"/>
  <c r="AK75" i="43"/>
  <c r="I75" i="43"/>
  <c r="AI74" i="43"/>
  <c r="AK74" i="43" s="1"/>
  <c r="I74" i="43"/>
  <c r="AI73" i="43"/>
  <c r="AK73" i="43" s="1"/>
  <c r="I73" i="43"/>
  <c r="AI72" i="43"/>
  <c r="AK72" i="43" s="1"/>
  <c r="I72" i="43"/>
  <c r="AI71" i="43"/>
  <c r="AK71" i="43"/>
  <c r="I71" i="43"/>
  <c r="AI70" i="43"/>
  <c r="AK70" i="43" s="1"/>
  <c r="AI69" i="43"/>
  <c r="AK69" i="43"/>
  <c r="I64" i="43"/>
  <c r="AI63" i="43"/>
  <c r="AK63" i="43"/>
  <c r="I63" i="43"/>
  <c r="AI62" i="43"/>
  <c r="AK62" i="43" s="1"/>
  <c r="I62" i="43"/>
  <c r="AI61" i="43"/>
  <c r="AK61" i="43"/>
  <c r="D61" i="43"/>
  <c r="I61" i="43" s="1"/>
  <c r="N61" i="43" s="1"/>
  <c r="AI60" i="43"/>
  <c r="AK60" i="43" s="1"/>
  <c r="AI59" i="43"/>
  <c r="AK59" i="43"/>
  <c r="AK58" i="43"/>
  <c r="I54" i="43"/>
  <c r="I53" i="43"/>
  <c r="I52" i="43"/>
  <c r="I51" i="43"/>
  <c r="AI50" i="43"/>
  <c r="AK50" i="43"/>
  <c r="I50" i="43"/>
  <c r="N50" i="43" s="1"/>
  <c r="AI49" i="43"/>
  <c r="AK49" i="43" s="1"/>
  <c r="I49" i="43"/>
  <c r="AI48" i="43"/>
  <c r="AK48" i="43" s="1"/>
  <c r="G48" i="43"/>
  <c r="F48" i="43"/>
  <c r="D48" i="43"/>
  <c r="C48" i="43"/>
  <c r="AI47" i="43"/>
  <c r="AK47" i="43" s="1"/>
  <c r="D47" i="43"/>
  <c r="I47" i="43"/>
  <c r="N47" i="43" s="1"/>
  <c r="AI46" i="43"/>
  <c r="AK46" i="43" s="1"/>
  <c r="I46" i="43"/>
  <c r="AK45" i="43"/>
  <c r="I39" i="43"/>
  <c r="I38" i="43"/>
  <c r="AJ37" i="43"/>
  <c r="I37" i="43"/>
  <c r="AH36" i="43"/>
  <c r="AJ36" i="43" s="1"/>
  <c r="I36" i="43"/>
  <c r="AJ35" i="43"/>
  <c r="I35" i="43"/>
  <c r="AH34" i="43"/>
  <c r="AJ34" i="43"/>
  <c r="I34" i="43"/>
  <c r="N34" i="43" s="1"/>
  <c r="AJ33" i="43"/>
  <c r="I33" i="43"/>
  <c r="AJ32" i="43"/>
  <c r="I32" i="43"/>
  <c r="AJ31" i="43"/>
  <c r="AK37" i="43" s="1"/>
  <c r="AJ30" i="43"/>
  <c r="AJ25" i="43"/>
  <c r="I25" i="43"/>
  <c r="N25" i="43" s="1"/>
  <c r="AH24" i="43"/>
  <c r="AJ24" i="43" s="1"/>
  <c r="I24" i="43"/>
  <c r="AJ23" i="43"/>
  <c r="I23" i="43"/>
  <c r="AH22" i="43"/>
  <c r="AJ22" i="43"/>
  <c r="I22" i="43"/>
  <c r="AJ21" i="43"/>
  <c r="I21" i="43"/>
  <c r="N21" i="43" s="1"/>
  <c r="AJ20" i="43"/>
  <c r="AK25" i="43" s="1"/>
  <c r="K20" i="43"/>
  <c r="J20" i="43"/>
  <c r="I20" i="43"/>
  <c r="AJ19" i="43"/>
  <c r="AJ18" i="43"/>
  <c r="C8" i="43"/>
  <c r="H7" i="43"/>
  <c r="C7" i="43"/>
  <c r="H6" i="43"/>
  <c r="I6" i="43"/>
  <c r="I8" i="43" s="1"/>
  <c r="G11" i="43" s="1"/>
  <c r="C6" i="43"/>
  <c r="D6" i="43" s="1"/>
  <c r="D9" i="43" s="1"/>
  <c r="I11" i="43" s="1"/>
  <c r="I7" i="43"/>
  <c r="D7" i="43"/>
  <c r="I48" i="43"/>
  <c r="N48" i="43" s="1"/>
  <c r="M88" i="43"/>
  <c r="M76" i="43"/>
  <c r="N76" i="43" s="1"/>
  <c r="M72" i="43"/>
  <c r="N72" i="43" s="1"/>
  <c r="M52" i="43"/>
  <c r="N52" i="43"/>
  <c r="M49" i="43"/>
  <c r="N49" i="43" s="1"/>
  <c r="M47" i="43"/>
  <c r="M39" i="43"/>
  <c r="N39" i="43" s="1"/>
  <c r="M33" i="43"/>
  <c r="N33" i="43" s="1"/>
  <c r="M21" i="43"/>
  <c r="M89" i="43"/>
  <c r="N89" i="43"/>
  <c r="M77" i="43"/>
  <c r="M87" i="43"/>
  <c r="N87" i="43"/>
  <c r="M86" i="43"/>
  <c r="M73" i="43"/>
  <c r="N73" i="43"/>
  <c r="M63" i="43"/>
  <c r="N63" i="43"/>
  <c r="M46" i="43"/>
  <c r="N46" i="43" s="1"/>
  <c r="M38" i="43"/>
  <c r="N38" i="43" s="1"/>
  <c r="M36" i="43"/>
  <c r="N36" i="43"/>
  <c r="M32" i="43"/>
  <c r="N32" i="43" s="1"/>
  <c r="M22" i="43"/>
  <c r="N22" i="43"/>
  <c r="M75" i="43"/>
  <c r="N75" i="43"/>
  <c r="M71" i="43"/>
  <c r="N71" i="43"/>
  <c r="M64" i="43"/>
  <c r="N64" i="43" s="1"/>
  <c r="M54" i="43"/>
  <c r="N54" i="43"/>
  <c r="M53" i="43"/>
  <c r="N53" i="43" s="1"/>
  <c r="M51" i="43"/>
  <c r="M34" i="43"/>
  <c r="M25" i="43"/>
  <c r="M23" i="43"/>
  <c r="N23" i="43" s="1"/>
  <c r="M79" i="43"/>
  <c r="N79" i="43" s="1"/>
  <c r="M78" i="43"/>
  <c r="M62" i="43"/>
  <c r="N62" i="43" s="1"/>
  <c r="M37" i="43"/>
  <c r="N37" i="43" s="1"/>
  <c r="M35" i="43"/>
  <c r="N35" i="43" s="1"/>
  <c r="M74" i="43"/>
  <c r="N74" i="43"/>
  <c r="M61" i="43"/>
  <c r="M50" i="43"/>
  <c r="M48" i="43"/>
  <c r="M24" i="43"/>
  <c r="N77" i="43"/>
  <c r="N78" i="43"/>
  <c r="N51" i="43"/>
  <c r="G13" i="43"/>
  <c r="I13" i="43"/>
  <c r="G14" i="43"/>
  <c r="I14" i="43"/>
  <c r="H35" i="66"/>
  <c r="H36" i="66"/>
  <c r="H101" i="82"/>
  <c r="H103" i="81"/>
  <c r="H95" i="81"/>
  <c r="H93" i="82"/>
  <c r="H88" i="77"/>
  <c r="H89" i="77"/>
  <c r="H89" i="66"/>
  <c r="H88" i="66"/>
  <c r="H80" i="81"/>
  <c r="H81" i="81"/>
  <c r="H82" i="81" s="1"/>
  <c r="H92" i="82"/>
  <c r="H94" i="81"/>
  <c r="H87" i="77"/>
  <c r="H87" i="66"/>
  <c r="H73" i="77"/>
  <c r="H74" i="77" s="1"/>
  <c r="H75" i="77"/>
  <c r="H73" i="66"/>
  <c r="H74" i="66"/>
  <c r="H75" i="66"/>
  <c r="H78" i="82"/>
  <c r="H79" i="82"/>
  <c r="H80" i="82"/>
  <c r="H77" i="82"/>
  <c r="H51" i="82"/>
  <c r="H52" i="82" s="1"/>
  <c r="H63" i="82"/>
  <c r="H62" i="82"/>
  <c r="H76" i="66"/>
  <c r="H77" i="66"/>
  <c r="H85" i="81"/>
  <c r="H86" i="81"/>
  <c r="H93" i="81"/>
  <c r="H91" i="82"/>
  <c r="H32" i="82"/>
  <c r="H46" i="82"/>
  <c r="H61" i="82"/>
  <c r="H46" i="77"/>
  <c r="H32" i="77"/>
  <c r="H61" i="66"/>
  <c r="H61" i="77"/>
  <c r="H86" i="66"/>
  <c r="H86" i="77"/>
  <c r="H46" i="66"/>
  <c r="H32" i="66"/>
  <c r="H79" i="81"/>
  <c r="H53" i="82"/>
  <c r="H54" i="82" s="1"/>
  <c r="H63" i="66"/>
  <c r="H64" i="77"/>
  <c r="H76" i="77"/>
  <c r="H77" i="77" s="1"/>
  <c r="H62" i="77"/>
  <c r="H83" i="82"/>
  <c r="H84" i="82"/>
  <c r="H62" i="66"/>
  <c r="H72" i="66"/>
  <c r="H72" i="77"/>
  <c r="H78" i="66"/>
  <c r="H79" i="66"/>
  <c r="H78" i="77"/>
  <c r="H79" i="77" s="1"/>
  <c r="H81" i="82"/>
  <c r="H82" i="82" s="1"/>
  <c r="H83" i="81"/>
  <c r="H84" i="81"/>
  <c r="H69" i="82"/>
  <c r="H64" i="66"/>
  <c r="H51" i="77"/>
  <c r="H52" i="77"/>
  <c r="H51" i="66"/>
  <c r="H52" i="66"/>
  <c r="H63" i="77"/>
  <c r="H47" i="66"/>
  <c r="H48" i="66"/>
  <c r="H49" i="66" s="1"/>
  <c r="H50" i="66" s="1"/>
  <c r="H33" i="82"/>
  <c r="H34" i="82"/>
  <c r="H37" i="82"/>
  <c r="H38" i="82" s="1"/>
  <c r="H39" i="82" s="1"/>
  <c r="H78" i="81"/>
  <c r="H76" i="82"/>
  <c r="H53" i="77"/>
  <c r="H54" i="77"/>
  <c r="H71" i="66"/>
  <c r="H71" i="77"/>
  <c r="H53" i="66"/>
  <c r="H54" i="66" s="1"/>
  <c r="H33" i="66"/>
  <c r="H34" i="66" s="1"/>
  <c r="H33" i="77"/>
  <c r="H34" i="77"/>
  <c r="H37" i="77"/>
  <c r="H38" i="77"/>
  <c r="H39" i="77"/>
  <c r="H47" i="77"/>
  <c r="H48" i="77"/>
  <c r="H49" i="77" s="1"/>
  <c r="H50" i="77" s="1"/>
  <c r="H47" i="82"/>
  <c r="H48" i="82"/>
  <c r="H49" i="82" s="1"/>
  <c r="H50" i="82" s="1"/>
  <c r="H37" i="66"/>
  <c r="H38" i="66" s="1"/>
  <c r="H39" i="66" s="1"/>
  <c r="L48" i="82"/>
  <c r="L49" i="82" s="1"/>
  <c r="L50" i="82" s="1"/>
  <c r="L48" i="66"/>
  <c r="L49" i="66" s="1"/>
  <c r="L50" i="66" s="1"/>
  <c r="L48" i="77"/>
  <c r="L49" i="77" s="1"/>
  <c r="L50" i="77" s="1"/>
  <c r="L79" i="81"/>
  <c r="L63" i="66"/>
  <c r="L63" i="77"/>
  <c r="L63" i="82"/>
  <c r="L46" i="82"/>
  <c r="L67" i="82"/>
  <c r="L68" i="82"/>
  <c r="L35" i="82"/>
  <c r="L36" i="82"/>
  <c r="L65" i="82"/>
  <c r="L80" i="81"/>
  <c r="L81" i="81" s="1"/>
  <c r="L82" i="81" s="1"/>
  <c r="L78" i="82"/>
  <c r="L79" i="82"/>
  <c r="L80" i="82"/>
  <c r="L66" i="82"/>
  <c r="L64" i="82"/>
  <c r="L91" i="82"/>
  <c r="L93" i="81"/>
  <c r="L92" i="82"/>
  <c r="L94" i="81"/>
  <c r="L86" i="77"/>
  <c r="L73" i="66"/>
  <c r="L74" i="66"/>
  <c r="L75" i="66" s="1"/>
  <c r="L73" i="77"/>
  <c r="L74" i="77"/>
  <c r="L75" i="77" s="1"/>
  <c r="L87" i="77"/>
  <c r="L46" i="77"/>
  <c r="L35" i="66"/>
  <c r="L36" i="66"/>
  <c r="L35" i="77"/>
  <c r="L36" i="77" s="1"/>
  <c r="L86" i="66"/>
  <c r="L87" i="66"/>
  <c r="L46" i="66"/>
  <c r="L77" i="82"/>
  <c r="L72" i="66"/>
  <c r="L72" i="77"/>
  <c r="L76" i="77"/>
  <c r="L77" i="77" s="1"/>
  <c r="L62" i="77"/>
  <c r="L83" i="81"/>
  <c r="L84" i="81"/>
  <c r="L62" i="82"/>
  <c r="L62" i="66"/>
  <c r="L76" i="66"/>
  <c r="L77" i="66" s="1"/>
  <c r="L81" i="82"/>
  <c r="L82" i="82"/>
  <c r="L78" i="81"/>
  <c r="L61" i="82"/>
  <c r="L32" i="82"/>
  <c r="L34" i="82" s="1"/>
  <c r="L76" i="82"/>
  <c r="L51" i="77"/>
  <c r="L52" i="77"/>
  <c r="L32" i="77"/>
  <c r="L34" i="77" s="1"/>
  <c r="L71" i="77"/>
  <c r="L61" i="66"/>
  <c r="L61" i="77"/>
  <c r="L71" i="66"/>
  <c r="L32" i="66"/>
  <c r="L33" i="66" s="1"/>
  <c r="L34" i="66"/>
  <c r="L51" i="66"/>
  <c r="L52" i="66" s="1"/>
  <c r="L51" i="82"/>
  <c r="L52" i="82"/>
  <c r="L37" i="82"/>
  <c r="L38" i="82" s="1"/>
  <c r="L39" i="82" s="1"/>
  <c r="L33" i="82"/>
  <c r="L37" i="66"/>
  <c r="L38" i="66" s="1"/>
  <c r="L39" i="66" s="1"/>
  <c r="L37" i="77"/>
  <c r="L38" i="77" s="1"/>
  <c r="L39" i="77" s="1"/>
  <c r="L33" i="77"/>
  <c r="L47" i="82"/>
  <c r="L47" i="77"/>
  <c r="L47" i="66"/>
  <c r="AC77" i="81" l="1"/>
  <c r="AC90" i="82"/>
  <c r="AC94" i="82" s="1"/>
  <c r="O102" i="82"/>
  <c r="D9" i="82"/>
  <c r="X38" i="77"/>
  <c r="N24" i="66"/>
  <c r="AC24" i="66" s="1"/>
  <c r="AC84" i="82"/>
  <c r="O38" i="77"/>
  <c r="AC38" i="77" s="1"/>
  <c r="N61" i="66"/>
  <c r="O61" i="66" s="1"/>
  <c r="O24" i="77"/>
  <c r="N61" i="77"/>
  <c r="O61" i="77" s="1"/>
  <c r="N72" i="77"/>
  <c r="O72" i="77" s="1"/>
  <c r="AC71" i="77" s="1"/>
  <c r="AJ14" i="82"/>
  <c r="C13" i="82" s="1"/>
  <c r="D8" i="82" s="1"/>
  <c r="Q63" i="82"/>
  <c r="Q70" i="82"/>
  <c r="K11" i="43"/>
  <c r="AC63" i="43"/>
  <c r="AC87" i="43"/>
  <c r="M25" i="66"/>
  <c r="N25" i="66" s="1"/>
  <c r="M87" i="66"/>
  <c r="N87" i="66" s="1"/>
  <c r="O87" i="66" s="1"/>
  <c r="AC86" i="66" s="1"/>
  <c r="AK25" i="66"/>
  <c r="M46" i="77"/>
  <c r="N46" i="77" s="1"/>
  <c r="O46" i="77" s="1"/>
  <c r="M75" i="77"/>
  <c r="N75" i="77" s="1"/>
  <c r="O75" i="77" s="1"/>
  <c r="AC74" i="77" s="1"/>
  <c r="M73" i="66"/>
  <c r="N73" i="66" s="1"/>
  <c r="O73" i="66" s="1"/>
  <c r="AC72" i="66" s="1"/>
  <c r="M34" i="66"/>
  <c r="N34" i="66" s="1"/>
  <c r="O34" i="66" s="1"/>
  <c r="M46" i="66"/>
  <c r="N46" i="66" s="1"/>
  <c r="O46" i="66" s="1"/>
  <c r="M32" i="66"/>
  <c r="N32" i="66" s="1"/>
  <c r="O32" i="66" s="1"/>
  <c r="AC32" i="66" s="1"/>
  <c r="M37" i="66"/>
  <c r="N37" i="66" s="1"/>
  <c r="M39" i="66"/>
  <c r="M78" i="66"/>
  <c r="M61" i="66"/>
  <c r="M22" i="66"/>
  <c r="N22" i="66" s="1"/>
  <c r="O22" i="66" s="1"/>
  <c r="AC22" i="66" s="1"/>
  <c r="M71" i="66"/>
  <c r="N71" i="66" s="1"/>
  <c r="O71" i="66" s="1"/>
  <c r="M33" i="66"/>
  <c r="N33" i="66" s="1"/>
  <c r="O33" i="66" s="1"/>
  <c r="AC33" i="66" s="1"/>
  <c r="M49" i="66"/>
  <c r="M88" i="66"/>
  <c r="M75" i="66"/>
  <c r="N75" i="66" s="1"/>
  <c r="O75" i="66" s="1"/>
  <c r="AC74" i="66" s="1"/>
  <c r="M54" i="66"/>
  <c r="N54" i="66" s="1"/>
  <c r="M51" i="66"/>
  <c r="N51" i="66" s="1"/>
  <c r="O51" i="66" s="1"/>
  <c r="AC50" i="66" s="1"/>
  <c r="M72" i="66"/>
  <c r="N72" i="66" s="1"/>
  <c r="O72" i="66" s="1"/>
  <c r="AC71" i="66" s="1"/>
  <c r="M62" i="66"/>
  <c r="N62" i="66" s="1"/>
  <c r="O62" i="66" s="1"/>
  <c r="AC61" i="66" s="1"/>
  <c r="M50" i="66"/>
  <c r="N50" i="66" s="1"/>
  <c r="O50" i="66" s="1"/>
  <c r="AC49" i="66" s="1"/>
  <c r="M53" i="66"/>
  <c r="N53" i="66" s="1"/>
  <c r="O53" i="66" s="1"/>
  <c r="AC52" i="66" s="1"/>
  <c r="AL84" i="82"/>
  <c r="M24" i="66"/>
  <c r="M77" i="66"/>
  <c r="N77" i="66" s="1"/>
  <c r="O77" i="66" s="1"/>
  <c r="AC76" i="66" s="1"/>
  <c r="AC88" i="77"/>
  <c r="M34" i="77"/>
  <c r="N34" i="77" s="1"/>
  <c r="O34" i="77" s="1"/>
  <c r="AC34" i="77" s="1"/>
  <c r="M79" i="77"/>
  <c r="N79" i="77" s="1"/>
  <c r="M71" i="77"/>
  <c r="N71" i="77" s="1"/>
  <c r="O71" i="77" s="1"/>
  <c r="M74" i="77"/>
  <c r="N74" i="77" s="1"/>
  <c r="O74" i="77" s="1"/>
  <c r="AC73" i="77" s="1"/>
  <c r="M62" i="77"/>
  <c r="N62" i="77" s="1"/>
  <c r="O62" i="77" s="1"/>
  <c r="AC61" i="77" s="1"/>
  <c r="M48" i="77"/>
  <c r="N48" i="77" s="1"/>
  <c r="O48" i="77" s="1"/>
  <c r="AC47" i="77" s="1"/>
  <c r="M77" i="77"/>
  <c r="N77" i="77" s="1"/>
  <c r="O77" i="77" s="1"/>
  <c r="AC76" i="77" s="1"/>
  <c r="M78" i="77"/>
  <c r="N78" i="77" s="1"/>
  <c r="O78" i="77" s="1"/>
  <c r="AC77" i="77" s="1"/>
  <c r="M50" i="77"/>
  <c r="M37" i="77"/>
  <c r="N37" i="77" s="1"/>
  <c r="O37" i="77" s="1"/>
  <c r="AC37" i="77" s="1"/>
  <c r="M32" i="77"/>
  <c r="N32" i="77" s="1"/>
  <c r="O32" i="77" s="1"/>
  <c r="AC32" i="77" s="1"/>
  <c r="M86" i="77"/>
  <c r="M88" i="77"/>
  <c r="N88" i="77" s="1"/>
  <c r="M39" i="77"/>
  <c r="N39" i="77" s="1"/>
  <c r="AC39" i="77" s="1"/>
  <c r="M53" i="77"/>
  <c r="N53" i="77" s="1"/>
  <c r="O53" i="77" s="1"/>
  <c r="AC52" i="77" s="1"/>
  <c r="M64" i="77"/>
  <c r="N64" i="77" s="1"/>
  <c r="M25" i="77"/>
  <c r="N25" i="77" s="1"/>
  <c r="M47" i="77"/>
  <c r="N47" i="77" s="1"/>
  <c r="O47" i="77" s="1"/>
  <c r="AC46" i="77" s="1"/>
  <c r="M87" i="77"/>
  <c r="N87" i="77" s="1"/>
  <c r="O87" i="77" s="1"/>
  <c r="AC86" i="77" s="1"/>
  <c r="AL50" i="77"/>
  <c r="AL93" i="77"/>
  <c r="A90" i="77" s="1"/>
  <c r="AK37" i="82"/>
  <c r="I15" i="43"/>
  <c r="M64" i="66"/>
  <c r="N64" i="66" s="1"/>
  <c r="AL50" i="43"/>
  <c r="AL79" i="43"/>
  <c r="M89" i="66"/>
  <c r="N89" i="66" s="1"/>
  <c r="M86" i="66"/>
  <c r="N86" i="66" s="1"/>
  <c r="O86" i="66" s="1"/>
  <c r="M38" i="66"/>
  <c r="AC60" i="82"/>
  <c r="AC64" i="82" s="1"/>
  <c r="AD64" i="82" s="1"/>
  <c r="N86" i="81"/>
  <c r="Q39" i="82"/>
  <c r="M21" i="66"/>
  <c r="N21" i="66" s="1"/>
  <c r="O21" i="66" s="1"/>
  <c r="AC21" i="66" s="1"/>
  <c r="O69" i="82"/>
  <c r="AC63" i="82"/>
  <c r="AL63" i="43"/>
  <c r="N50" i="77"/>
  <c r="O50" i="77" s="1"/>
  <c r="AC49" i="77" s="1"/>
  <c r="AJ14" i="43"/>
  <c r="M79" i="66"/>
  <c r="N79" i="66" s="1"/>
  <c r="M47" i="66"/>
  <c r="N47" i="66" s="1"/>
  <c r="O47" i="66" s="1"/>
  <c r="AC46" i="66" s="1"/>
  <c r="I8" i="66"/>
  <c r="G11" i="66" s="1"/>
  <c r="N38" i="66"/>
  <c r="N78" i="66"/>
  <c r="O78" i="66" s="1"/>
  <c r="AC77" i="66" s="1"/>
  <c r="N88" i="66"/>
  <c r="O25" i="77"/>
  <c r="N35" i="77"/>
  <c r="O35" i="77" s="1"/>
  <c r="AC35" i="77" s="1"/>
  <c r="N52" i="77"/>
  <c r="O52" i="77" s="1"/>
  <c r="AC51" i="77" s="1"/>
  <c r="M52" i="81"/>
  <c r="N52" i="81" s="1"/>
  <c r="O52" i="81" s="1"/>
  <c r="AC51" i="81" s="1"/>
  <c r="M99" i="81"/>
  <c r="N99" i="81" s="1"/>
  <c r="O99" i="81" s="1"/>
  <c r="AK39" i="81"/>
  <c r="N38" i="82"/>
  <c r="Q38" i="82" s="1"/>
  <c r="M74" i="66"/>
  <c r="N74" i="66" s="1"/>
  <c r="O74" i="66" s="1"/>
  <c r="AC73" i="66" s="1"/>
  <c r="N24" i="43"/>
  <c r="AC24" i="43" s="1"/>
  <c r="M63" i="66"/>
  <c r="M48" i="66"/>
  <c r="N48" i="66" s="1"/>
  <c r="O48" i="66" s="1"/>
  <c r="AC47" i="66" s="1"/>
  <c r="AK37" i="66"/>
  <c r="N39" i="66"/>
  <c r="AC39" i="66" s="1"/>
  <c r="N49" i="66"/>
  <c r="O49" i="66" s="1"/>
  <c r="AC48" i="66" s="1"/>
  <c r="AL79" i="66"/>
  <c r="M63" i="77"/>
  <c r="N63" i="77" s="1"/>
  <c r="O63" i="77" s="1"/>
  <c r="AC62" i="77" s="1"/>
  <c r="M76" i="77"/>
  <c r="N76" i="77" s="1"/>
  <c r="O76" i="77" s="1"/>
  <c r="AC75" i="77" s="1"/>
  <c r="AD9" i="77"/>
  <c r="N86" i="77"/>
  <c r="O86" i="77" s="1"/>
  <c r="D10" i="81"/>
  <c r="D11" i="81" s="1"/>
  <c r="N48" i="81"/>
  <c r="O48" i="81" s="1"/>
  <c r="N97" i="81"/>
  <c r="O97" i="81" s="1"/>
  <c r="N71" i="81"/>
  <c r="O55" i="82"/>
  <c r="AC45" i="82"/>
  <c r="AC54" i="82" s="1"/>
  <c r="M35" i="66"/>
  <c r="N35" i="66" s="1"/>
  <c r="O35" i="66" s="1"/>
  <c r="AC35" i="66" s="1"/>
  <c r="AJ16" i="81"/>
  <c r="C15" i="81" s="1"/>
  <c r="AL50" i="81"/>
  <c r="AL93" i="43"/>
  <c r="AJ14" i="66"/>
  <c r="C13" i="66" s="1"/>
  <c r="D8" i="66" s="1"/>
  <c r="D9" i="66" s="1"/>
  <c r="N23" i="66"/>
  <c r="O23" i="66" s="1"/>
  <c r="AC23" i="66" s="1"/>
  <c r="AL63" i="66"/>
  <c r="M54" i="77"/>
  <c r="N54" i="77" s="1"/>
  <c r="M61" i="77"/>
  <c r="M22" i="77"/>
  <c r="N22" i="77" s="1"/>
  <c r="O22" i="77" s="1"/>
  <c r="O85" i="82"/>
  <c r="M24" i="81"/>
  <c r="N24" i="81" s="1"/>
  <c r="O24" i="81" s="1"/>
  <c r="AC24" i="81" s="1"/>
  <c r="M48" i="81"/>
  <c r="M65" i="81"/>
  <c r="N65" i="81" s="1"/>
  <c r="O65" i="81" s="1"/>
  <c r="AC64" i="81" s="1"/>
  <c r="M103" i="81"/>
  <c r="N103" i="81" s="1"/>
  <c r="M56" i="81"/>
  <c r="N56" i="81" s="1"/>
  <c r="M51" i="81"/>
  <c r="N51" i="81" s="1"/>
  <c r="O51" i="81" s="1"/>
  <c r="AC50" i="81" s="1"/>
  <c r="M97" i="81"/>
  <c r="M25" i="81"/>
  <c r="N25" i="81" s="1"/>
  <c r="O25" i="81" s="1"/>
  <c r="AC25" i="81" s="1"/>
  <c r="M64" i="81"/>
  <c r="N64" i="81" s="1"/>
  <c r="O64" i="81" s="1"/>
  <c r="AC63" i="81" s="1"/>
  <c r="M98" i="81"/>
  <c r="N98" i="81" s="1"/>
  <c r="O98" i="81" s="1"/>
  <c r="M26" i="81"/>
  <c r="M83" i="81"/>
  <c r="N83" i="81" s="1"/>
  <c r="O83" i="81" s="1"/>
  <c r="AC82" i="81" s="1"/>
  <c r="M39" i="81"/>
  <c r="N39" i="81" s="1"/>
  <c r="O39" i="81" s="1"/>
  <c r="AC39" i="81" s="1"/>
  <c r="M50" i="81"/>
  <c r="N50" i="81" s="1"/>
  <c r="O50" i="81" s="1"/>
  <c r="AC49" i="81" s="1"/>
  <c r="M34" i="81"/>
  <c r="N34" i="81" s="1"/>
  <c r="O34" i="81" s="1"/>
  <c r="M53" i="81"/>
  <c r="N53" i="81" s="1"/>
  <c r="O53" i="81" s="1"/>
  <c r="AC52" i="81" s="1"/>
  <c r="M85" i="81"/>
  <c r="N85" i="81" s="1"/>
  <c r="O85" i="81" s="1"/>
  <c r="AC84" i="81" s="1"/>
  <c r="M94" i="81"/>
  <c r="N94" i="81" s="1"/>
  <c r="O94" i="81" s="1"/>
  <c r="AC93" i="81" s="1"/>
  <c r="M36" i="81"/>
  <c r="N36" i="81" s="1"/>
  <c r="O36" i="81" s="1"/>
  <c r="AC36" i="81" s="1"/>
  <c r="M71" i="81"/>
  <c r="M95" i="81"/>
  <c r="N95" i="81" s="1"/>
  <c r="M41" i="81"/>
  <c r="N41" i="81" s="1"/>
  <c r="AC41" i="81" s="1"/>
  <c r="M79" i="81"/>
  <c r="N79" i="81" s="1"/>
  <c r="O79" i="81" s="1"/>
  <c r="AC78" i="81" s="1"/>
  <c r="M35" i="81"/>
  <c r="N35" i="81" s="1"/>
  <c r="O35" i="81" s="1"/>
  <c r="AC35" i="81" s="1"/>
  <c r="M70" i="81"/>
  <c r="N70" i="81" s="1"/>
  <c r="O70" i="81" s="1"/>
  <c r="M63" i="81"/>
  <c r="M80" i="81"/>
  <c r="N80" i="81" s="1"/>
  <c r="O80" i="81" s="1"/>
  <c r="M67" i="81"/>
  <c r="N67" i="81" s="1"/>
  <c r="O67" i="81" s="1"/>
  <c r="M23" i="81"/>
  <c r="N23" i="81" s="1"/>
  <c r="O23" i="81" s="1"/>
  <c r="M93" i="81"/>
  <c r="N49" i="81"/>
  <c r="O49" i="81" s="1"/>
  <c r="AC48" i="81" s="1"/>
  <c r="N93" i="81"/>
  <c r="O93" i="81" s="1"/>
  <c r="M52" i="66"/>
  <c r="N52" i="66" s="1"/>
  <c r="O52" i="66" s="1"/>
  <c r="AC51" i="66" s="1"/>
  <c r="M36" i="66"/>
  <c r="N36" i="66" s="1"/>
  <c r="O36" i="66" s="1"/>
  <c r="AC36" i="66" s="1"/>
  <c r="N63" i="66"/>
  <c r="O63" i="66" s="1"/>
  <c r="AC62" i="66" s="1"/>
  <c r="A26" i="77"/>
  <c r="O84" i="82"/>
  <c r="O54" i="82"/>
  <c r="AC53" i="82"/>
  <c r="AK27" i="81"/>
  <c r="N26" i="81"/>
  <c r="AC26" i="81" s="1"/>
  <c r="N63" i="81"/>
  <c r="O63" i="81" s="1"/>
  <c r="M20" i="77"/>
  <c r="N20" i="77" s="1"/>
  <c r="O20" i="77" s="1"/>
  <c r="AC20" i="77" s="1"/>
  <c r="M20" i="66"/>
  <c r="N20" i="66" s="1"/>
  <c r="O20" i="66" s="1"/>
  <c r="AC20" i="66" s="1"/>
  <c r="AK25" i="82"/>
  <c r="AC78" i="43"/>
  <c r="O24" i="43"/>
  <c r="O35" i="43"/>
  <c r="AC35" i="43" s="1"/>
  <c r="O49" i="43"/>
  <c r="AC48" i="43" s="1"/>
  <c r="O53" i="43"/>
  <c r="AC52" i="43" s="1"/>
  <c r="O63" i="43"/>
  <c r="AC62" i="43" s="1"/>
  <c r="O87" i="43"/>
  <c r="AC86" i="43" s="1"/>
  <c r="O48" i="43"/>
  <c r="AC47" i="43" s="1"/>
  <c r="K14" i="43"/>
  <c r="O23" i="43"/>
  <c r="AC23" i="43" s="1"/>
  <c r="O32" i="43"/>
  <c r="AC32" i="43" s="1"/>
  <c r="AC40" i="43" s="1"/>
  <c r="AD40" i="43" s="1"/>
  <c r="O36" i="43"/>
  <c r="AC36" i="43" s="1"/>
  <c r="O47" i="43"/>
  <c r="AC46" i="43" s="1"/>
  <c r="O50" i="43"/>
  <c r="AC49" i="43" s="1"/>
  <c r="O71" i="43"/>
  <c r="O80" i="43" s="1"/>
  <c r="Q80" i="43" s="1"/>
  <c r="O74" i="43"/>
  <c r="AC73" i="43" s="1"/>
  <c r="O88" i="43"/>
  <c r="K13" i="43"/>
  <c r="M22" i="81"/>
  <c r="N22" i="81" s="1"/>
  <c r="O22" i="81" s="1"/>
  <c r="M20" i="82"/>
  <c r="N20" i="82" s="1"/>
  <c r="O20" i="82" s="1"/>
  <c r="Q20" i="82" s="1"/>
  <c r="O34" i="43"/>
  <c r="AC34" i="43" s="1"/>
  <c r="O73" i="43"/>
  <c r="AC72" i="43" s="1"/>
  <c r="H14" i="43"/>
  <c r="G15" i="43"/>
  <c r="K15" i="43" s="1"/>
  <c r="O77" i="43"/>
  <c r="AC76" i="43" s="1"/>
  <c r="M20" i="43"/>
  <c r="N20" i="43" s="1"/>
  <c r="O20" i="43" s="1"/>
  <c r="AC20" i="43" s="1"/>
  <c r="AC26" i="43" s="1"/>
  <c r="AD26" i="43" s="1"/>
  <c r="O21" i="43"/>
  <c r="AC21" i="43" s="1"/>
  <c r="O33" i="43"/>
  <c r="AC33" i="43" s="1"/>
  <c r="O72" i="43"/>
  <c r="AC71" i="43" s="1"/>
  <c r="O75" i="43"/>
  <c r="AC74" i="43" s="1"/>
  <c r="O86" i="43"/>
  <c r="AC85" i="43" s="1"/>
  <c r="AC89" i="43" s="1"/>
  <c r="O37" i="43"/>
  <c r="AC37" i="43" s="1"/>
  <c r="O51" i="43"/>
  <c r="AC50" i="43" s="1"/>
  <c r="O61" i="43"/>
  <c r="AC60" i="43" s="1"/>
  <c r="AC64" i="43" s="1"/>
  <c r="AC88" i="43"/>
  <c r="J14" i="43"/>
  <c r="O22" i="43"/>
  <c r="AC22" i="43" s="1"/>
  <c r="O90" i="43"/>
  <c r="O46" i="43"/>
  <c r="O78" i="43"/>
  <c r="AC77" i="43" s="1"/>
  <c r="O62" i="43"/>
  <c r="AC61" i="43" s="1"/>
  <c r="O38" i="43"/>
  <c r="AC38" i="43" s="1"/>
  <c r="O52" i="43"/>
  <c r="AC51" i="43" s="1"/>
  <c r="Q24" i="82" l="1"/>
  <c r="Q25" i="82"/>
  <c r="Q19" i="82"/>
  <c r="Q22" i="82"/>
  <c r="Q18" i="82"/>
  <c r="AC20" i="82"/>
  <c r="AC26" i="82" s="1"/>
  <c r="AD26" i="82" s="1"/>
  <c r="Q23" i="82"/>
  <c r="Q21" i="82"/>
  <c r="Q22" i="66"/>
  <c r="Q25" i="66"/>
  <c r="AC79" i="81"/>
  <c r="AC34" i="81"/>
  <c r="Q37" i="81"/>
  <c r="Q39" i="81"/>
  <c r="Q41" i="81"/>
  <c r="Q40" i="81"/>
  <c r="Q35" i="81"/>
  <c r="Q38" i="81"/>
  <c r="Q34" i="81"/>
  <c r="Q42" i="81" s="1"/>
  <c r="Q36" i="81"/>
  <c r="AC55" i="81"/>
  <c r="O56" i="81"/>
  <c r="AC22" i="77"/>
  <c r="O26" i="77"/>
  <c r="X25" i="77"/>
  <c r="AC87" i="77"/>
  <c r="O88" i="77"/>
  <c r="AC23" i="81"/>
  <c r="Q24" i="81"/>
  <c r="Q26" i="81"/>
  <c r="Q20" i="81"/>
  <c r="J14" i="81"/>
  <c r="M14" i="81"/>
  <c r="AC85" i="66"/>
  <c r="AC89" i="66" s="1"/>
  <c r="O90" i="66"/>
  <c r="AC26" i="77"/>
  <c r="Q22" i="81"/>
  <c r="K11" i="66"/>
  <c r="I11" i="66"/>
  <c r="AC34" i="66"/>
  <c r="Q34" i="66"/>
  <c r="AC92" i="81"/>
  <c r="AC65" i="81"/>
  <c r="O71" i="81"/>
  <c r="O64" i="77"/>
  <c r="AC63" i="77"/>
  <c r="O65" i="66"/>
  <c r="AC60" i="66"/>
  <c r="AC64" i="66" s="1"/>
  <c r="X20" i="77"/>
  <c r="AC70" i="77"/>
  <c r="X35" i="77"/>
  <c r="O95" i="81"/>
  <c r="O104" i="81" s="1"/>
  <c r="AC94" i="81"/>
  <c r="O89" i="66"/>
  <c r="AC88" i="66"/>
  <c r="O37" i="66"/>
  <c r="AC37" i="66" s="1"/>
  <c r="Q39" i="66"/>
  <c r="Q19" i="66"/>
  <c r="AC26" i="66"/>
  <c r="AD26" i="66" s="1"/>
  <c r="X26" i="77"/>
  <c r="O57" i="81"/>
  <c r="AC47" i="81"/>
  <c r="AC56" i="81" s="1"/>
  <c r="AC78" i="77"/>
  <c r="O79" i="77"/>
  <c r="O80" i="77" s="1"/>
  <c r="O54" i="66"/>
  <c r="AC53" i="66"/>
  <c r="AC45" i="66"/>
  <c r="AC54" i="66" s="1"/>
  <c r="O55" i="66"/>
  <c r="Q23" i="66"/>
  <c r="X19" i="77"/>
  <c r="AC85" i="77"/>
  <c r="AC89" i="77" s="1"/>
  <c r="O90" i="77"/>
  <c r="AC85" i="81"/>
  <c r="O86" i="81"/>
  <c r="O87" i="81" s="1"/>
  <c r="O89" i="77"/>
  <c r="O39" i="77"/>
  <c r="Q103" i="82"/>
  <c r="Q102" i="82"/>
  <c r="AD94" i="82"/>
  <c r="Q93" i="82"/>
  <c r="Q21" i="66"/>
  <c r="X21" i="77"/>
  <c r="X39" i="77"/>
  <c r="AC95" i="81"/>
  <c r="O103" i="81"/>
  <c r="AF11" i="77"/>
  <c r="AD11" i="77"/>
  <c r="Q35" i="66"/>
  <c r="Q38" i="66"/>
  <c r="Q33" i="66"/>
  <c r="Q32" i="66"/>
  <c r="O38" i="82"/>
  <c r="AC38" i="82" s="1"/>
  <c r="AC40" i="82" s="1"/>
  <c r="AD40" i="82" s="1"/>
  <c r="O39" i="82"/>
  <c r="AC40" i="77"/>
  <c r="AD40" i="77" s="1"/>
  <c r="O27" i="81"/>
  <c r="O26" i="81"/>
  <c r="X24" i="77"/>
  <c r="AC87" i="66"/>
  <c r="O88" i="66"/>
  <c r="Q18" i="66"/>
  <c r="X22" i="77"/>
  <c r="Q23" i="81"/>
  <c r="X34" i="77"/>
  <c r="Q37" i="82"/>
  <c r="Q36" i="82"/>
  <c r="Q35" i="82"/>
  <c r="Q33" i="82"/>
  <c r="Q32" i="82"/>
  <c r="Q36" i="66"/>
  <c r="O54" i="77"/>
  <c r="AC53" i="77"/>
  <c r="M12" i="82"/>
  <c r="J12" i="82"/>
  <c r="Q24" i="66"/>
  <c r="O24" i="82"/>
  <c r="O25" i="82"/>
  <c r="Q34" i="82"/>
  <c r="AC70" i="66"/>
  <c r="O55" i="77"/>
  <c r="AC45" i="77"/>
  <c r="AC54" i="77" s="1"/>
  <c r="O39" i="66"/>
  <c r="O38" i="66"/>
  <c r="AC38" i="66" s="1"/>
  <c r="AC40" i="66" s="1"/>
  <c r="AD40" i="66" s="1"/>
  <c r="O64" i="66"/>
  <c r="AC63" i="66"/>
  <c r="Q20" i="66"/>
  <c r="Q25" i="81"/>
  <c r="AC78" i="66"/>
  <c r="O79" i="66"/>
  <c r="O80" i="66" s="1"/>
  <c r="Q37" i="66"/>
  <c r="X36" i="77"/>
  <c r="O41" i="81"/>
  <c r="O40" i="81"/>
  <c r="AC40" i="81" s="1"/>
  <c r="O25" i="66"/>
  <c r="O24" i="66"/>
  <c r="X33" i="77"/>
  <c r="X23" i="77"/>
  <c r="O72" i="81"/>
  <c r="AC62" i="81"/>
  <c r="AC66" i="81" s="1"/>
  <c r="X32" i="77"/>
  <c r="AC86" i="81"/>
  <c r="Q85" i="82"/>
  <c r="Q78" i="82"/>
  <c r="AD84" i="82"/>
  <c r="O65" i="77"/>
  <c r="AC60" i="77"/>
  <c r="AC64" i="77" s="1"/>
  <c r="Q56" i="82"/>
  <c r="Q48" i="82"/>
  <c r="AD54" i="82"/>
  <c r="Q55" i="82"/>
  <c r="X37" i="77"/>
  <c r="AC70" i="43"/>
  <c r="AC79" i="43" s="1"/>
  <c r="AD79" i="43" s="1"/>
  <c r="L14" i="43"/>
  <c r="O26" i="43"/>
  <c r="Q26" i="43" s="1"/>
  <c r="O40" i="43"/>
  <c r="Q40" i="43" s="1"/>
  <c r="Q27" i="81"/>
  <c r="Q21" i="81"/>
  <c r="AC22" i="81"/>
  <c r="AC28" i="81" s="1"/>
  <c r="AD28" i="81" s="1"/>
  <c r="O65" i="43"/>
  <c r="Q65" i="43" s="1"/>
  <c r="AC45" i="43"/>
  <c r="AC54" i="43" s="1"/>
  <c r="O55" i="43"/>
  <c r="G12" i="43"/>
  <c r="Q90" i="43"/>
  <c r="AD89" i="43"/>
  <c r="H23" i="77"/>
  <c r="H24" i="77" s="1"/>
  <c r="H23" i="66"/>
  <c r="H24" i="66" s="1"/>
  <c r="H23" i="82"/>
  <c r="H24" i="82" s="1"/>
  <c r="Q26" i="82" l="1"/>
  <c r="J14" i="82" s="1"/>
  <c r="K14" i="82" s="1"/>
  <c r="Q26" i="66"/>
  <c r="I12" i="66" s="1"/>
  <c r="J12" i="66" s="1"/>
  <c r="X27" i="77"/>
  <c r="AD12" i="77" s="1"/>
  <c r="AE12" i="77" s="1"/>
  <c r="Q28" i="81"/>
  <c r="D107" i="81" s="1"/>
  <c r="Q104" i="81"/>
  <c r="Q105" i="81"/>
  <c r="Q95" i="81"/>
  <c r="Q87" i="81"/>
  <c r="Q88" i="81"/>
  <c r="Q80" i="81"/>
  <c r="AD86" i="81"/>
  <c r="Q80" i="66"/>
  <c r="Q86" i="82"/>
  <c r="Q80" i="77"/>
  <c r="AC96" i="81"/>
  <c r="AD96" i="81" s="1"/>
  <c r="G16" i="81"/>
  <c r="S42" i="81"/>
  <c r="T36" i="81"/>
  <c r="Q65" i="77"/>
  <c r="AD64" i="77"/>
  <c r="AD54" i="77"/>
  <c r="Q55" i="77"/>
  <c r="Q57" i="81"/>
  <c r="Q58" i="81"/>
  <c r="Q50" i="81"/>
  <c r="AD56" i="81"/>
  <c r="Q40" i="82"/>
  <c r="AD89" i="77"/>
  <c r="Q90" i="77"/>
  <c r="AC79" i="77"/>
  <c r="AD79" i="77" s="1"/>
  <c r="AC79" i="66"/>
  <c r="AD79" i="66" s="1"/>
  <c r="X40" i="77"/>
  <c r="Q65" i="66"/>
  <c r="AD64" i="66"/>
  <c r="Q71" i="82"/>
  <c r="AD26" i="77"/>
  <c r="AC42" i="81"/>
  <c r="AD42" i="81" s="1"/>
  <c r="AD64" i="43"/>
  <c r="AD54" i="66"/>
  <c r="Q55" i="66"/>
  <c r="AD89" i="66"/>
  <c r="Q90" i="66"/>
  <c r="AD66" i="81"/>
  <c r="Q72" i="81"/>
  <c r="Q65" i="81"/>
  <c r="Q73" i="81"/>
  <c r="Q40" i="66"/>
  <c r="AD54" i="43"/>
  <c r="Q55" i="43"/>
  <c r="I12" i="43"/>
  <c r="G16" i="43"/>
  <c r="H16" i="43" s="1"/>
  <c r="H12" i="43"/>
  <c r="H20" i="77"/>
  <c r="H20" i="82"/>
  <c r="H20" i="66"/>
  <c r="S26" i="82" l="1"/>
  <c r="Z27" i="77"/>
  <c r="AF12" i="77"/>
  <c r="AG12" i="77" s="1"/>
  <c r="S28" i="81"/>
  <c r="S27" i="82"/>
  <c r="S29" i="81"/>
  <c r="D105" i="82"/>
  <c r="S26" i="66"/>
  <c r="T20" i="82"/>
  <c r="T22" i="81"/>
  <c r="M16" i="81"/>
  <c r="N16" i="81" s="1"/>
  <c r="J16" i="81"/>
  <c r="K16" i="81" s="1"/>
  <c r="G14" i="82"/>
  <c r="S41" i="82"/>
  <c r="S40" i="82"/>
  <c r="T34" i="82"/>
  <c r="H16" i="81"/>
  <c r="G12" i="66"/>
  <c r="S40" i="66"/>
  <c r="Z40" i="77"/>
  <c r="AB12" i="77"/>
  <c r="AC12" i="77" s="1"/>
  <c r="M14" i="82"/>
  <c r="N14" i="82" s="1"/>
  <c r="J15" i="81"/>
  <c r="K15" i="81" s="1"/>
  <c r="K12" i="66"/>
  <c r="J13" i="82"/>
  <c r="K13" i="82" s="1"/>
  <c r="S43" i="81"/>
  <c r="I16" i="43"/>
  <c r="J12" i="43"/>
  <c r="K12" i="43"/>
  <c r="L12" i="43" s="1"/>
  <c r="H21" i="66"/>
  <c r="H22" i="66" s="1"/>
  <c r="H21" i="82"/>
  <c r="H22" i="82" s="1"/>
  <c r="H21" i="77"/>
  <c r="H22" i="77" s="1"/>
  <c r="L14" i="82" l="1"/>
  <c r="L16" i="81"/>
  <c r="H12" i="66"/>
  <c r="G15" i="81"/>
  <c r="G13" i="82"/>
  <c r="H13" i="82" s="1"/>
  <c r="M15" i="81"/>
  <c r="M13" i="82"/>
  <c r="N13" i="82" s="1"/>
  <c r="L12" i="66"/>
  <c r="I14" i="82"/>
  <c r="H14" i="82"/>
  <c r="J16" i="43"/>
  <c r="K16" i="43"/>
  <c r="L16" i="43" s="1"/>
  <c r="O14" i="82" l="1"/>
  <c r="H15" i="81"/>
  <c r="I16" i="81"/>
  <c r="N15" i="81"/>
  <c r="O16" i="81"/>
  <c r="L20" i="66" l="1"/>
  <c r="L20" i="77"/>
  <c r="L20" i="82"/>
  <c r="L21" i="77"/>
  <c r="L21" i="66"/>
  <c r="L21" i="82"/>
  <c r="L24" i="77"/>
  <c r="L23" i="82"/>
  <c r="L23" i="77"/>
  <c r="L24" i="82"/>
  <c r="L23" i="66"/>
  <c r="L24" i="66"/>
  <c r="L22" i="66"/>
  <c r="L22" i="77"/>
  <c r="L22" i="8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Duncan Robertson</author>
  </authors>
  <commentList>
    <comment ref="C55" authorId="0" shapeId="0" xr:uid="{9ADA3DB9-6993-4DCC-A6DF-6DA2EC8381DC}">
      <text>
        <r>
          <rPr>
            <b/>
            <sz val="9"/>
            <color indexed="81"/>
            <rFont val="Tahoma"/>
            <family val="2"/>
          </rPr>
          <t>Duncan Robertson:</t>
        </r>
        <r>
          <rPr>
            <sz val="9"/>
            <color indexed="81"/>
            <rFont val="Tahoma"/>
            <family val="2"/>
          </rPr>
          <t xml:space="preserve">
Maximum shear</t>
        </r>
      </text>
    </comment>
    <comment ref="C56" authorId="0" shapeId="0" xr:uid="{D72C0BB9-EB07-4653-B337-C8DA6E92ED67}">
      <text>
        <r>
          <rPr>
            <b/>
            <sz val="9"/>
            <color indexed="81"/>
            <rFont val="Tahoma"/>
            <family val="2"/>
          </rPr>
          <t>Duncan Robertson:</t>
        </r>
        <r>
          <rPr>
            <sz val="9"/>
            <color indexed="81"/>
            <rFont val="Tahoma"/>
            <family val="2"/>
          </rPr>
          <t xml:space="preserve">
Applied moment from 1D=1m below point of support.</t>
        </r>
      </text>
    </comment>
    <comment ref="B67" authorId="0" shapeId="0" xr:uid="{4B637FD9-BBEF-47DA-A4A8-466AD811F4FF}">
      <text>
        <r>
          <rPr>
            <b/>
            <sz val="9"/>
            <color indexed="81"/>
            <rFont val="Tahoma"/>
            <family val="2"/>
          </rPr>
          <t>Duncan Robertson:</t>
        </r>
        <r>
          <rPr>
            <sz val="9"/>
            <color indexed="81"/>
            <rFont val="Tahoma"/>
            <family val="2"/>
          </rPr>
          <t xml:space="preserve">
Do not need to consider additional longitudinal force from shear as this is accounted for in the Med/Mrd part of shear calc.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Duncan Robertson</author>
  </authors>
  <commentList>
    <comment ref="C55" authorId="0" shapeId="0" xr:uid="{BB51D8D8-46C9-461B-9BD2-594006E8D98A}">
      <text>
        <r>
          <rPr>
            <b/>
            <sz val="9"/>
            <color indexed="81"/>
            <rFont val="Tahoma"/>
            <family val="2"/>
          </rPr>
          <t>Duncan Robertson:</t>
        </r>
        <r>
          <rPr>
            <sz val="9"/>
            <color indexed="81"/>
            <rFont val="Tahoma"/>
            <family val="2"/>
          </rPr>
          <t xml:space="preserve">
Maximum shear</t>
        </r>
      </text>
    </comment>
    <comment ref="C56" authorId="0" shapeId="0" xr:uid="{9FA15806-57C0-4D3D-8FBD-AA8C481A9344}">
      <text>
        <r>
          <rPr>
            <b/>
            <sz val="9"/>
            <color indexed="81"/>
            <rFont val="Tahoma"/>
            <family val="2"/>
          </rPr>
          <t>Duncan Robertson:</t>
        </r>
        <r>
          <rPr>
            <sz val="9"/>
            <color indexed="81"/>
            <rFont val="Tahoma"/>
            <family val="2"/>
          </rPr>
          <t xml:space="preserve">
Applied moment from 1D=1m below point of support.</t>
        </r>
      </text>
    </comment>
    <comment ref="B67" authorId="0" shapeId="0" xr:uid="{A48C410D-AED0-42F4-94F6-EA8916E6B6D8}">
      <text>
        <r>
          <rPr>
            <b/>
            <sz val="9"/>
            <color indexed="81"/>
            <rFont val="Tahoma"/>
            <family val="2"/>
          </rPr>
          <t>Duncan Robertson:</t>
        </r>
        <r>
          <rPr>
            <sz val="9"/>
            <color indexed="81"/>
            <rFont val="Tahoma"/>
            <family val="2"/>
          </rPr>
          <t xml:space="preserve">
Do not need to consider additional longitudinal force from shear as this is accounted for in the Med/Mrd part of shear calc.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Duncan Robertson</author>
  </authors>
  <commentList>
    <comment ref="C55" authorId="0" shapeId="0" xr:uid="{0C52FF37-AF02-4EB7-A021-FFCFE4C79271}">
      <text>
        <r>
          <rPr>
            <b/>
            <sz val="9"/>
            <color indexed="81"/>
            <rFont val="Tahoma"/>
            <family val="2"/>
          </rPr>
          <t>Duncan Robertson:</t>
        </r>
        <r>
          <rPr>
            <sz val="9"/>
            <color indexed="81"/>
            <rFont val="Tahoma"/>
            <family val="2"/>
          </rPr>
          <t xml:space="preserve">
Maximum shear</t>
        </r>
      </text>
    </comment>
    <comment ref="C56" authorId="0" shapeId="0" xr:uid="{3941251E-BD35-4830-9AB5-B247526FC395}">
      <text>
        <r>
          <rPr>
            <b/>
            <sz val="9"/>
            <color indexed="81"/>
            <rFont val="Tahoma"/>
            <family val="2"/>
          </rPr>
          <t>Duncan Robertson:</t>
        </r>
        <r>
          <rPr>
            <sz val="9"/>
            <color indexed="81"/>
            <rFont val="Tahoma"/>
            <family val="2"/>
          </rPr>
          <t xml:space="preserve">
Applied moment from 1D=1m below point of support.</t>
        </r>
      </text>
    </comment>
    <comment ref="B67" authorId="0" shapeId="0" xr:uid="{EAB4930D-306D-4213-A328-66B48C4013B6}">
      <text>
        <r>
          <rPr>
            <b/>
            <sz val="9"/>
            <color indexed="81"/>
            <rFont val="Tahoma"/>
            <family val="2"/>
          </rPr>
          <t>Duncan Robertson:</t>
        </r>
        <r>
          <rPr>
            <sz val="9"/>
            <color indexed="81"/>
            <rFont val="Tahoma"/>
            <family val="2"/>
          </rPr>
          <t xml:space="preserve">
Do not need to consider additional longitudinal force from shear as this is accounted for in the Med/Mrd part of shear calc.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Duncan Robertson</author>
  </authors>
  <commentList>
    <comment ref="C55" authorId="0" shapeId="0" xr:uid="{76466B9F-5225-4684-81B4-92D5E39C4124}">
      <text>
        <r>
          <rPr>
            <b/>
            <sz val="9"/>
            <color indexed="81"/>
            <rFont val="Tahoma"/>
            <family val="2"/>
          </rPr>
          <t>Duncan Robertson:</t>
        </r>
        <r>
          <rPr>
            <sz val="9"/>
            <color indexed="81"/>
            <rFont val="Tahoma"/>
            <family val="2"/>
          </rPr>
          <t xml:space="preserve">
Maximum shear</t>
        </r>
      </text>
    </comment>
    <comment ref="C56" authorId="0" shapeId="0" xr:uid="{82F7B801-6A0C-44B1-A092-F67E2656CFEC}">
      <text>
        <r>
          <rPr>
            <b/>
            <sz val="9"/>
            <color indexed="81"/>
            <rFont val="Tahoma"/>
            <family val="2"/>
          </rPr>
          <t>Duncan Robertson:</t>
        </r>
        <r>
          <rPr>
            <sz val="9"/>
            <color indexed="81"/>
            <rFont val="Tahoma"/>
            <family val="2"/>
          </rPr>
          <t xml:space="preserve">
Applied moment from 1D=1m below point of support.</t>
        </r>
      </text>
    </comment>
    <comment ref="B67" authorId="0" shapeId="0" xr:uid="{D1032CB0-86B3-4163-8A2A-13C6C618D76F}">
      <text>
        <r>
          <rPr>
            <b/>
            <sz val="9"/>
            <color indexed="81"/>
            <rFont val="Tahoma"/>
            <family val="2"/>
          </rPr>
          <t>Duncan Robertson:</t>
        </r>
        <r>
          <rPr>
            <sz val="9"/>
            <color indexed="81"/>
            <rFont val="Tahoma"/>
            <family val="2"/>
          </rPr>
          <t xml:space="preserve">
Do not need to consider additional longitudinal force from shear as this is accounted for in the Med/Mrd part of shear calc.</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Duncan Robertson</author>
  </authors>
  <commentList>
    <comment ref="C14" authorId="0" shapeId="0" xr:uid="{00000000-0006-0000-0400-000001000000}">
      <text>
        <r>
          <rPr>
            <b/>
            <sz val="9"/>
            <color indexed="81"/>
            <rFont val="Tahoma"/>
            <family val="2"/>
          </rPr>
          <t>Duncan Robertson:</t>
        </r>
        <r>
          <rPr>
            <sz val="9"/>
            <color indexed="81"/>
            <rFont val="Tahoma"/>
            <family val="2"/>
          </rPr>
          <t xml:space="preserve">
Conservatively assume 16mm dia link (minimum allowable link) throughout</t>
        </r>
      </text>
    </comment>
    <comment ref="Q17" authorId="0" shapeId="0" xr:uid="{00000000-0006-0000-0400-000002000000}">
      <text>
        <r>
          <rPr>
            <b/>
            <sz val="9"/>
            <color indexed="81"/>
            <rFont val="Tahoma"/>
            <family val="2"/>
          </rPr>
          <t>Duncan Robertson:</t>
        </r>
        <r>
          <rPr>
            <sz val="9"/>
            <color indexed="81"/>
            <rFont val="Tahoma"/>
            <family val="2"/>
          </rPr>
          <t xml:space="preserve">
Weight of individual pile. Obtained as pile lengths are not all in excess of depth to bottom reinfocement </t>
        </r>
      </text>
    </comment>
    <comment ref="O18" authorId="0" shapeId="0" xr:uid="{00000000-0006-0000-0400-000003000000}">
      <text>
        <r>
          <rPr>
            <b/>
            <sz val="9"/>
            <color indexed="81"/>
            <rFont val="Tahoma"/>
            <family val="2"/>
          </rPr>
          <t>Duncan Robertson:</t>
        </r>
        <r>
          <rPr>
            <sz val="9"/>
            <color indexed="81"/>
            <rFont val="Tahoma"/>
            <family val="2"/>
          </rPr>
          <t xml:space="preserve">
Assuming full depth of reinforcement, ignoring pile toe depth</t>
        </r>
      </text>
    </comment>
    <comment ref="K19" authorId="0" shapeId="0" xr:uid="{00000000-0006-0000-0400-000004000000}">
      <text>
        <r>
          <rPr>
            <b/>
            <sz val="9"/>
            <color indexed="81"/>
            <rFont val="Tahoma"/>
            <family val="2"/>
          </rPr>
          <t>Duncan Robertson:</t>
        </r>
        <r>
          <rPr>
            <sz val="9"/>
            <color indexed="81"/>
            <rFont val="Tahoma"/>
            <family val="2"/>
          </rPr>
          <t xml:space="preserve">
At laps max spacing = 240mm, otherwise max spacing = 300mm</t>
        </r>
      </text>
    </comment>
    <comment ref="A25" authorId="0" shapeId="0" xr:uid="{00000000-0006-0000-0400-000005000000}">
      <text>
        <r>
          <rPr>
            <b/>
            <sz val="9"/>
            <color indexed="81"/>
            <rFont val="Tahoma"/>
            <family val="2"/>
          </rPr>
          <t>Duncan Robertson:</t>
        </r>
        <r>
          <rPr>
            <sz val="9"/>
            <color indexed="81"/>
            <rFont val="Tahoma"/>
            <family val="2"/>
          </rPr>
          <t xml:space="preserve">
21m if assuming FPS advice, 34m if following Arup document. Reduces the total amount of reinforcement by 1452kg=0.6% of total. Reduced to 30m due to back pile load shedding asumption.</t>
        </r>
      </text>
    </comment>
    <comment ref="Q26" authorId="0" shapeId="0" xr:uid="{00000000-0006-0000-0400-000006000000}">
      <text>
        <r>
          <rPr>
            <b/>
            <sz val="9"/>
            <color indexed="81"/>
            <rFont val="Tahoma"/>
            <family val="2"/>
          </rPr>
          <t>Duncan Robertson:</t>
        </r>
        <r>
          <rPr>
            <sz val="9"/>
            <color indexed="81"/>
            <rFont val="Tahoma"/>
            <family val="2"/>
          </rPr>
          <t xml:space="preserve">
8No Zone A piles</t>
        </r>
      </text>
    </comment>
    <comment ref="AC26" authorId="0" shapeId="0" xr:uid="{00000000-0006-0000-0400-000007000000}">
      <text>
        <r>
          <rPr>
            <b/>
            <sz val="9"/>
            <color indexed="81"/>
            <rFont val="Tahoma"/>
            <family val="2"/>
          </rPr>
          <t>Duncan Robertson:</t>
        </r>
        <r>
          <rPr>
            <sz val="9"/>
            <color indexed="81"/>
            <rFont val="Tahoma"/>
            <family val="2"/>
          </rPr>
          <t xml:space="preserve">
No bending or shear after 21m</t>
        </r>
      </text>
    </comment>
    <comment ref="AD26" authorId="0" shapeId="0" xr:uid="{00000000-0006-0000-0400-000008000000}">
      <text>
        <r>
          <rPr>
            <b/>
            <sz val="9"/>
            <color indexed="81"/>
            <rFont val="Tahoma"/>
            <family val="2"/>
          </rPr>
          <t>Duncan Robertson:</t>
        </r>
        <r>
          <rPr>
            <sz val="9"/>
            <color indexed="81"/>
            <rFont val="Tahoma"/>
            <family val="2"/>
          </rPr>
          <t xml:space="preserve">
Axial reinforcement</t>
        </r>
      </text>
    </comment>
    <comment ref="O30" authorId="0" shapeId="0" xr:uid="{00000000-0006-0000-0400-000009000000}">
      <text>
        <r>
          <rPr>
            <b/>
            <sz val="9"/>
            <color indexed="81"/>
            <rFont val="Tahoma"/>
            <family val="2"/>
          </rPr>
          <t>Duncan Robertson:</t>
        </r>
        <r>
          <rPr>
            <sz val="9"/>
            <color indexed="81"/>
            <rFont val="Tahoma"/>
            <family val="2"/>
          </rPr>
          <t xml:space="preserve">
Assuming full depth of reinforcement, ignoring pile toe depth</t>
        </r>
      </text>
    </comment>
    <comment ref="Q31" authorId="0" shapeId="0" xr:uid="{00000000-0006-0000-0400-00000A000000}">
      <text>
        <r>
          <rPr>
            <b/>
            <sz val="9"/>
            <color indexed="81"/>
            <rFont val="Tahoma"/>
            <family val="2"/>
          </rPr>
          <t>Duncan Robertson:</t>
        </r>
        <r>
          <rPr>
            <sz val="9"/>
            <color indexed="81"/>
            <rFont val="Tahoma"/>
            <family val="2"/>
          </rPr>
          <t xml:space="preserve">
Weight of individual pile. Obtained as pile lengths are not all in excess of depth to bottom reinfocement </t>
        </r>
      </text>
    </comment>
    <comment ref="Q40" authorId="0" shapeId="0" xr:uid="{00000000-0006-0000-0400-00000B000000}">
      <text>
        <r>
          <rPr>
            <b/>
            <sz val="9"/>
            <color indexed="81"/>
            <rFont val="Tahoma"/>
            <family val="2"/>
          </rPr>
          <t>Duncan Robertson:</t>
        </r>
        <r>
          <rPr>
            <sz val="9"/>
            <color indexed="81"/>
            <rFont val="Tahoma"/>
            <family val="2"/>
          </rPr>
          <t xml:space="preserve">
8No Zone B piles</t>
        </r>
      </text>
    </comment>
    <comment ref="AC40" authorId="0" shapeId="0" xr:uid="{00000000-0006-0000-0400-00000C000000}">
      <text>
        <r>
          <rPr>
            <b/>
            <sz val="9"/>
            <color indexed="81"/>
            <rFont val="Tahoma"/>
            <family val="2"/>
          </rPr>
          <t>Duncan Robertson:</t>
        </r>
        <r>
          <rPr>
            <sz val="9"/>
            <color indexed="81"/>
            <rFont val="Tahoma"/>
            <family val="2"/>
          </rPr>
          <t xml:space="preserve">
No bending or shear after 30m</t>
        </r>
      </text>
    </comment>
    <comment ref="AD40" authorId="0" shapeId="0" xr:uid="{00000000-0006-0000-0400-00000D000000}">
      <text>
        <r>
          <rPr>
            <b/>
            <sz val="9"/>
            <color indexed="81"/>
            <rFont val="Tahoma"/>
            <family val="2"/>
          </rPr>
          <t>Duncan Robertson:</t>
        </r>
        <r>
          <rPr>
            <sz val="9"/>
            <color indexed="81"/>
            <rFont val="Tahoma"/>
            <family val="2"/>
          </rPr>
          <t xml:space="preserve">
Axial reinforcement</t>
        </r>
      </text>
    </comment>
    <comment ref="AC54" authorId="0" shapeId="0" xr:uid="{00000000-0006-0000-0400-00000E000000}">
      <text>
        <r>
          <rPr>
            <b/>
            <sz val="9"/>
            <color indexed="81"/>
            <rFont val="Tahoma"/>
            <family val="2"/>
          </rPr>
          <t>Duncan Robertson:</t>
        </r>
        <r>
          <rPr>
            <sz val="9"/>
            <color indexed="81"/>
            <rFont val="Tahoma"/>
            <family val="2"/>
          </rPr>
          <t xml:space="preserve">
No bending or shear after 21m</t>
        </r>
      </text>
    </comment>
    <comment ref="AD54" authorId="0" shapeId="0" xr:uid="{00000000-0006-0000-0400-00000F000000}">
      <text>
        <r>
          <rPr>
            <b/>
            <sz val="9"/>
            <color indexed="81"/>
            <rFont val="Tahoma"/>
            <family val="2"/>
          </rPr>
          <t>Duncan Robertson:</t>
        </r>
        <r>
          <rPr>
            <sz val="9"/>
            <color indexed="81"/>
            <rFont val="Tahoma"/>
            <family val="2"/>
          </rPr>
          <t xml:space="preserve">
Axial reinforcement</t>
        </r>
      </text>
    </comment>
    <comment ref="AC64" authorId="0" shapeId="0" xr:uid="{00000000-0006-0000-0400-000010000000}">
      <text>
        <r>
          <rPr>
            <b/>
            <sz val="9"/>
            <color indexed="81"/>
            <rFont val="Tahoma"/>
            <family val="2"/>
          </rPr>
          <t>Duncan Robertson:</t>
        </r>
        <r>
          <rPr>
            <sz val="9"/>
            <color indexed="81"/>
            <rFont val="Tahoma"/>
            <family val="2"/>
          </rPr>
          <t xml:space="preserve">
No bending or shear after 30m</t>
        </r>
      </text>
    </comment>
    <comment ref="AD64" authorId="0" shapeId="0" xr:uid="{00000000-0006-0000-0400-000011000000}">
      <text>
        <r>
          <rPr>
            <b/>
            <sz val="9"/>
            <color indexed="81"/>
            <rFont val="Tahoma"/>
            <family val="2"/>
          </rPr>
          <t>Duncan Robertson:</t>
        </r>
        <r>
          <rPr>
            <sz val="9"/>
            <color indexed="81"/>
            <rFont val="Tahoma"/>
            <family val="2"/>
          </rPr>
          <t xml:space="preserve">
Axial reinforcement</t>
        </r>
      </text>
    </comment>
    <comment ref="AC79" authorId="0" shapeId="0" xr:uid="{00000000-0006-0000-0400-000012000000}">
      <text>
        <r>
          <rPr>
            <b/>
            <sz val="9"/>
            <color indexed="81"/>
            <rFont val="Tahoma"/>
            <family val="2"/>
          </rPr>
          <t>Duncan Robertson:</t>
        </r>
        <r>
          <rPr>
            <sz val="9"/>
            <color indexed="81"/>
            <rFont val="Tahoma"/>
            <family val="2"/>
          </rPr>
          <t xml:space="preserve">
No bending or shear after 21m</t>
        </r>
      </text>
    </comment>
    <comment ref="AD79" authorId="0" shapeId="0" xr:uid="{00000000-0006-0000-0400-000013000000}">
      <text>
        <r>
          <rPr>
            <b/>
            <sz val="9"/>
            <color indexed="81"/>
            <rFont val="Tahoma"/>
            <family val="2"/>
          </rPr>
          <t>Duncan Robertson:</t>
        </r>
        <r>
          <rPr>
            <sz val="9"/>
            <color indexed="81"/>
            <rFont val="Tahoma"/>
            <family val="2"/>
          </rPr>
          <t xml:space="preserve">
Axial reinforcement</t>
        </r>
      </text>
    </comment>
    <comment ref="AC89" authorId="0" shapeId="0" xr:uid="{00000000-0006-0000-0400-000014000000}">
      <text>
        <r>
          <rPr>
            <b/>
            <sz val="9"/>
            <color indexed="81"/>
            <rFont val="Tahoma"/>
            <family val="2"/>
          </rPr>
          <t>Duncan Robertson:</t>
        </r>
        <r>
          <rPr>
            <sz val="9"/>
            <color indexed="81"/>
            <rFont val="Tahoma"/>
            <family val="2"/>
          </rPr>
          <t xml:space="preserve">
No bending or shear after 30m</t>
        </r>
      </text>
    </comment>
    <comment ref="AD89" authorId="0" shapeId="0" xr:uid="{00000000-0006-0000-0400-000015000000}">
      <text>
        <r>
          <rPr>
            <b/>
            <sz val="9"/>
            <color indexed="81"/>
            <rFont val="Tahoma"/>
            <family val="2"/>
          </rPr>
          <t>Duncan Robertson:</t>
        </r>
        <r>
          <rPr>
            <sz val="9"/>
            <color indexed="81"/>
            <rFont val="Tahoma"/>
            <family val="2"/>
          </rPr>
          <t xml:space="preserve">
Axial reinforcement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Duncan Robertson</author>
  </authors>
  <commentList>
    <comment ref="K19" authorId="0" shapeId="0" xr:uid="{00000000-0006-0000-0500-000001000000}">
      <text>
        <r>
          <rPr>
            <b/>
            <sz val="9"/>
            <color indexed="81"/>
            <rFont val="Tahoma"/>
            <family val="2"/>
          </rPr>
          <t>Duncan Robertson:</t>
        </r>
        <r>
          <rPr>
            <sz val="9"/>
            <color indexed="81"/>
            <rFont val="Tahoma"/>
            <family val="2"/>
          </rPr>
          <t xml:space="preserve">
At laps max spacing = 240mm, otherwise max spacing = 300mm</t>
        </r>
      </text>
    </comment>
    <comment ref="A25" authorId="0" shapeId="0" xr:uid="{00000000-0006-0000-0500-000002000000}">
      <text>
        <r>
          <rPr>
            <b/>
            <sz val="9"/>
            <color indexed="81"/>
            <rFont val="Tahoma"/>
            <family val="2"/>
          </rPr>
          <t>Duncan Robertson:</t>
        </r>
        <r>
          <rPr>
            <sz val="9"/>
            <color indexed="81"/>
            <rFont val="Tahoma"/>
            <family val="2"/>
          </rPr>
          <t xml:space="preserve">
21m if assuming FPS advice, 34m if following Arup document. Reduces the total amount of reinforcement by 1452kg=0.6% of total.</t>
        </r>
      </text>
    </comment>
    <comment ref="AC26" authorId="0" shapeId="0" xr:uid="{00000000-0006-0000-0500-000003000000}">
      <text>
        <r>
          <rPr>
            <b/>
            <sz val="9"/>
            <color indexed="81"/>
            <rFont val="Tahoma"/>
            <family val="2"/>
          </rPr>
          <t>Duncan Robertson:</t>
        </r>
        <r>
          <rPr>
            <sz val="9"/>
            <color indexed="81"/>
            <rFont val="Tahoma"/>
            <family val="2"/>
          </rPr>
          <t xml:space="preserve">
No bending or shear after 21m</t>
        </r>
      </text>
    </comment>
    <comment ref="AD26" authorId="0" shapeId="0" xr:uid="{00000000-0006-0000-0500-000004000000}">
      <text>
        <r>
          <rPr>
            <b/>
            <sz val="9"/>
            <color indexed="81"/>
            <rFont val="Tahoma"/>
            <family val="2"/>
          </rPr>
          <t>Duncan Robertson:</t>
        </r>
        <r>
          <rPr>
            <sz val="9"/>
            <color indexed="81"/>
            <rFont val="Tahoma"/>
            <family val="2"/>
          </rPr>
          <t xml:space="preserve">
Axial reinforcement</t>
        </r>
      </text>
    </comment>
    <comment ref="AC40" authorId="0" shapeId="0" xr:uid="{00000000-0006-0000-0500-000005000000}">
      <text>
        <r>
          <rPr>
            <b/>
            <sz val="9"/>
            <color indexed="81"/>
            <rFont val="Tahoma"/>
            <family val="2"/>
          </rPr>
          <t>Duncan Robertson:</t>
        </r>
        <r>
          <rPr>
            <sz val="9"/>
            <color indexed="81"/>
            <rFont val="Tahoma"/>
            <family val="2"/>
          </rPr>
          <t xml:space="preserve">
No bending or shear after 30m</t>
        </r>
      </text>
    </comment>
    <comment ref="AD40" authorId="0" shapeId="0" xr:uid="{00000000-0006-0000-0500-000006000000}">
      <text>
        <r>
          <rPr>
            <b/>
            <sz val="9"/>
            <color indexed="81"/>
            <rFont val="Tahoma"/>
            <family val="2"/>
          </rPr>
          <t>Duncan Robertson:</t>
        </r>
        <r>
          <rPr>
            <sz val="9"/>
            <color indexed="81"/>
            <rFont val="Tahoma"/>
            <family val="2"/>
          </rPr>
          <t xml:space="preserve">
Axial reinforcement</t>
        </r>
      </text>
    </comment>
    <comment ref="AC54" authorId="0" shapeId="0" xr:uid="{00000000-0006-0000-0500-000007000000}">
      <text>
        <r>
          <rPr>
            <b/>
            <sz val="9"/>
            <color indexed="81"/>
            <rFont val="Tahoma"/>
            <family val="2"/>
          </rPr>
          <t>Duncan Robertson:</t>
        </r>
        <r>
          <rPr>
            <sz val="9"/>
            <color indexed="81"/>
            <rFont val="Tahoma"/>
            <family val="2"/>
          </rPr>
          <t xml:space="preserve">
No bending or shear after 21m</t>
        </r>
      </text>
    </comment>
    <comment ref="AD54" authorId="0" shapeId="0" xr:uid="{00000000-0006-0000-0500-000008000000}">
      <text>
        <r>
          <rPr>
            <b/>
            <sz val="9"/>
            <color indexed="81"/>
            <rFont val="Tahoma"/>
            <family val="2"/>
          </rPr>
          <t>Duncan Robertson:</t>
        </r>
        <r>
          <rPr>
            <sz val="9"/>
            <color indexed="81"/>
            <rFont val="Tahoma"/>
            <family val="2"/>
          </rPr>
          <t xml:space="preserve">
Axial reinforcement</t>
        </r>
      </text>
    </comment>
    <comment ref="AC64" authorId="0" shapeId="0" xr:uid="{00000000-0006-0000-0500-000009000000}">
      <text>
        <r>
          <rPr>
            <b/>
            <sz val="9"/>
            <color indexed="81"/>
            <rFont val="Tahoma"/>
            <family val="2"/>
          </rPr>
          <t>Duncan Robertson:</t>
        </r>
        <r>
          <rPr>
            <sz val="9"/>
            <color indexed="81"/>
            <rFont val="Tahoma"/>
            <family val="2"/>
          </rPr>
          <t xml:space="preserve">
No bending or shear after 30m</t>
        </r>
      </text>
    </comment>
    <comment ref="AD64" authorId="0" shapeId="0" xr:uid="{00000000-0006-0000-0500-00000A000000}">
      <text>
        <r>
          <rPr>
            <b/>
            <sz val="9"/>
            <color indexed="81"/>
            <rFont val="Tahoma"/>
            <family val="2"/>
          </rPr>
          <t>Duncan Robertson:</t>
        </r>
        <r>
          <rPr>
            <sz val="9"/>
            <color indexed="81"/>
            <rFont val="Tahoma"/>
            <family val="2"/>
          </rPr>
          <t xml:space="preserve">
Axial reinforcement</t>
        </r>
      </text>
    </comment>
    <comment ref="AC79" authorId="0" shapeId="0" xr:uid="{00000000-0006-0000-0500-00000B000000}">
      <text>
        <r>
          <rPr>
            <b/>
            <sz val="9"/>
            <color indexed="81"/>
            <rFont val="Tahoma"/>
            <family val="2"/>
          </rPr>
          <t>Duncan Robertson:</t>
        </r>
        <r>
          <rPr>
            <sz val="9"/>
            <color indexed="81"/>
            <rFont val="Tahoma"/>
            <family val="2"/>
          </rPr>
          <t xml:space="preserve">
No bending or shear after 21m</t>
        </r>
      </text>
    </comment>
    <comment ref="AD79" authorId="0" shapeId="0" xr:uid="{00000000-0006-0000-0500-00000C000000}">
      <text>
        <r>
          <rPr>
            <b/>
            <sz val="9"/>
            <color indexed="81"/>
            <rFont val="Tahoma"/>
            <family val="2"/>
          </rPr>
          <t>Duncan Robertson:</t>
        </r>
        <r>
          <rPr>
            <sz val="9"/>
            <color indexed="81"/>
            <rFont val="Tahoma"/>
            <family val="2"/>
          </rPr>
          <t xml:space="preserve">
Axial reinforcement</t>
        </r>
      </text>
    </comment>
    <comment ref="AC89" authorId="0" shapeId="0" xr:uid="{00000000-0006-0000-0500-00000D000000}">
      <text>
        <r>
          <rPr>
            <b/>
            <sz val="9"/>
            <color indexed="81"/>
            <rFont val="Tahoma"/>
            <family val="2"/>
          </rPr>
          <t>Duncan Robertson:</t>
        </r>
        <r>
          <rPr>
            <sz val="9"/>
            <color indexed="81"/>
            <rFont val="Tahoma"/>
            <family val="2"/>
          </rPr>
          <t xml:space="preserve">
No bending or shear after 30m</t>
        </r>
      </text>
    </comment>
    <comment ref="AD89" authorId="0" shapeId="0" xr:uid="{00000000-0006-0000-0500-00000E000000}">
      <text>
        <r>
          <rPr>
            <b/>
            <sz val="9"/>
            <color indexed="81"/>
            <rFont val="Tahoma"/>
            <family val="2"/>
          </rPr>
          <t>Duncan Robertson:</t>
        </r>
        <r>
          <rPr>
            <sz val="9"/>
            <color indexed="81"/>
            <rFont val="Tahoma"/>
            <family val="2"/>
          </rPr>
          <t xml:space="preserve">
Axial reinforcement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Duncan Robertson</author>
  </authors>
  <commentList>
    <comment ref="AM5" authorId="0" shapeId="0" xr:uid="{00000000-0006-0000-0600-000001000000}">
      <text>
        <r>
          <rPr>
            <b/>
            <sz val="9"/>
            <color indexed="81"/>
            <rFont val="Tahoma"/>
            <family val="2"/>
          </rPr>
          <t>Duncan Robertson:</t>
        </r>
        <r>
          <rPr>
            <sz val="9"/>
            <color indexed="81"/>
            <rFont val="Tahoma"/>
            <family val="2"/>
          </rPr>
          <t xml:space="preserve">
Conservatively assume 16mm dia link (minimum allowable link) throughout</t>
        </r>
      </text>
    </comment>
    <comment ref="O18" authorId="0" shapeId="0" xr:uid="{00000000-0006-0000-0600-000002000000}">
      <text>
        <r>
          <rPr>
            <b/>
            <sz val="9"/>
            <color indexed="81"/>
            <rFont val="Tahoma"/>
            <family val="2"/>
          </rPr>
          <t>Duncan Robertson:</t>
        </r>
        <r>
          <rPr>
            <sz val="9"/>
            <color indexed="81"/>
            <rFont val="Tahoma"/>
            <family val="2"/>
          </rPr>
          <t xml:space="preserve">
Assuming full depth of reinforcement, ignoring pile toe depth</t>
        </r>
      </text>
    </comment>
    <comment ref="X18" authorId="0" shapeId="0" xr:uid="{00000000-0006-0000-0600-000003000000}">
      <text>
        <r>
          <rPr>
            <b/>
            <sz val="9"/>
            <color indexed="81"/>
            <rFont val="Tahoma"/>
            <family val="2"/>
          </rPr>
          <t>Duncan Robertson:</t>
        </r>
        <r>
          <rPr>
            <sz val="9"/>
            <color indexed="81"/>
            <rFont val="Tahoma"/>
            <family val="2"/>
          </rPr>
          <t xml:space="preserve">
Weight of individual pile. Obtained as pile lengths are not all in excess of depth to bottom reinfocement </t>
        </r>
      </text>
    </comment>
    <comment ref="K19" authorId="0" shapeId="0" xr:uid="{00000000-0006-0000-0600-000004000000}">
      <text>
        <r>
          <rPr>
            <b/>
            <sz val="9"/>
            <color indexed="81"/>
            <rFont val="Tahoma"/>
            <family val="2"/>
          </rPr>
          <t>Duncan Robertson:</t>
        </r>
        <r>
          <rPr>
            <sz val="9"/>
            <color indexed="81"/>
            <rFont val="Tahoma"/>
            <family val="2"/>
          </rPr>
          <t xml:space="preserve">
At laps max spacing = 240mm, otherwise max spacing = 300mm</t>
        </r>
      </text>
    </comment>
    <comment ref="A25" authorId="0" shapeId="0" xr:uid="{00000000-0006-0000-0600-000005000000}">
      <text>
        <r>
          <rPr>
            <b/>
            <sz val="9"/>
            <color indexed="81"/>
            <rFont val="Tahoma"/>
            <family val="2"/>
          </rPr>
          <t>Duncan Robertson:</t>
        </r>
        <r>
          <rPr>
            <sz val="9"/>
            <color indexed="81"/>
            <rFont val="Tahoma"/>
            <family val="2"/>
          </rPr>
          <t xml:space="preserve">
21m if assuming FPS advice, 34m if following Arup document. Reduces the total amount of reinforcement by 1452kg=0.6% of total. Reduced to 30m due to back pile load shedding asumption.</t>
        </r>
      </text>
    </comment>
    <comment ref="AC26" authorId="0" shapeId="0" xr:uid="{00000000-0006-0000-0600-000006000000}">
      <text>
        <r>
          <rPr>
            <b/>
            <sz val="9"/>
            <color indexed="81"/>
            <rFont val="Tahoma"/>
            <family val="2"/>
          </rPr>
          <t>Duncan Robertson:</t>
        </r>
        <r>
          <rPr>
            <sz val="9"/>
            <color indexed="81"/>
            <rFont val="Tahoma"/>
            <family val="2"/>
          </rPr>
          <t xml:space="preserve">
No bending or shear after 21m</t>
        </r>
      </text>
    </comment>
    <comment ref="AD26" authorId="0" shapeId="0" xr:uid="{00000000-0006-0000-0600-000007000000}">
      <text>
        <r>
          <rPr>
            <b/>
            <sz val="9"/>
            <color indexed="81"/>
            <rFont val="Tahoma"/>
            <family val="2"/>
          </rPr>
          <t>Duncan Robertson:</t>
        </r>
        <r>
          <rPr>
            <sz val="9"/>
            <color indexed="81"/>
            <rFont val="Tahoma"/>
            <family val="2"/>
          </rPr>
          <t xml:space="preserve">
Axial reinforcement</t>
        </r>
      </text>
    </comment>
    <comment ref="X27" authorId="0" shapeId="0" xr:uid="{00000000-0006-0000-0600-000008000000}">
      <text>
        <r>
          <rPr>
            <b/>
            <sz val="9"/>
            <color indexed="81"/>
            <rFont val="Tahoma"/>
            <family val="2"/>
          </rPr>
          <t>Duncan Robertson:</t>
        </r>
        <r>
          <rPr>
            <sz val="9"/>
            <color indexed="81"/>
            <rFont val="Tahoma"/>
            <family val="2"/>
          </rPr>
          <t xml:space="preserve">
8No Zone A piles</t>
        </r>
      </text>
    </comment>
    <comment ref="O30" authorId="0" shapeId="0" xr:uid="{00000000-0006-0000-0600-000009000000}">
      <text>
        <r>
          <rPr>
            <b/>
            <sz val="9"/>
            <color indexed="81"/>
            <rFont val="Tahoma"/>
            <family val="2"/>
          </rPr>
          <t>Duncan Robertson:</t>
        </r>
        <r>
          <rPr>
            <sz val="9"/>
            <color indexed="81"/>
            <rFont val="Tahoma"/>
            <family val="2"/>
          </rPr>
          <t xml:space="preserve">
Assuming full depth of reinforcement, ignoring pile toe depth</t>
        </r>
      </text>
    </comment>
    <comment ref="X31" authorId="0" shapeId="0" xr:uid="{00000000-0006-0000-0600-00000A000000}">
      <text>
        <r>
          <rPr>
            <b/>
            <sz val="9"/>
            <color indexed="81"/>
            <rFont val="Tahoma"/>
            <family val="2"/>
          </rPr>
          <t>Duncan Robertson:</t>
        </r>
        <r>
          <rPr>
            <sz val="9"/>
            <color indexed="81"/>
            <rFont val="Tahoma"/>
            <family val="2"/>
          </rPr>
          <t xml:space="preserve">
Weight of individual pile. Obtained as pile lengths are not all in excess of depth to bottom reinfocement </t>
        </r>
      </text>
    </comment>
    <comment ref="X40" authorId="0" shapeId="0" xr:uid="{00000000-0006-0000-0600-00000B000000}">
      <text>
        <r>
          <rPr>
            <b/>
            <sz val="9"/>
            <color indexed="81"/>
            <rFont val="Tahoma"/>
            <family val="2"/>
          </rPr>
          <t>Duncan Robertson:</t>
        </r>
        <r>
          <rPr>
            <sz val="9"/>
            <color indexed="81"/>
            <rFont val="Tahoma"/>
            <family val="2"/>
          </rPr>
          <t xml:space="preserve">
8No Zone B piles</t>
        </r>
      </text>
    </comment>
    <comment ref="AC40" authorId="0" shapeId="0" xr:uid="{00000000-0006-0000-0600-00000C000000}">
      <text>
        <r>
          <rPr>
            <b/>
            <sz val="9"/>
            <color indexed="81"/>
            <rFont val="Tahoma"/>
            <family val="2"/>
          </rPr>
          <t>Duncan Robertson:</t>
        </r>
        <r>
          <rPr>
            <sz val="9"/>
            <color indexed="81"/>
            <rFont val="Tahoma"/>
            <family val="2"/>
          </rPr>
          <t xml:space="preserve">
No bending or shear after 30m</t>
        </r>
      </text>
    </comment>
    <comment ref="AD40" authorId="0" shapeId="0" xr:uid="{00000000-0006-0000-0600-00000D000000}">
      <text>
        <r>
          <rPr>
            <b/>
            <sz val="9"/>
            <color indexed="81"/>
            <rFont val="Tahoma"/>
            <family val="2"/>
          </rPr>
          <t>Duncan Robertson:</t>
        </r>
        <r>
          <rPr>
            <sz val="9"/>
            <color indexed="81"/>
            <rFont val="Tahoma"/>
            <family val="2"/>
          </rPr>
          <t xml:space="preserve">
Axial reinforcement</t>
        </r>
      </text>
    </comment>
    <comment ref="AC54" authorId="0" shapeId="0" xr:uid="{00000000-0006-0000-0600-00000E000000}">
      <text>
        <r>
          <rPr>
            <b/>
            <sz val="9"/>
            <color indexed="81"/>
            <rFont val="Tahoma"/>
            <family val="2"/>
          </rPr>
          <t>Duncan Robertson:</t>
        </r>
        <r>
          <rPr>
            <sz val="9"/>
            <color indexed="81"/>
            <rFont val="Tahoma"/>
            <family val="2"/>
          </rPr>
          <t xml:space="preserve">
No bending or shear after 21m</t>
        </r>
      </text>
    </comment>
    <comment ref="AD54" authorId="0" shapeId="0" xr:uid="{00000000-0006-0000-0600-00000F000000}">
      <text>
        <r>
          <rPr>
            <b/>
            <sz val="9"/>
            <color indexed="81"/>
            <rFont val="Tahoma"/>
            <family val="2"/>
          </rPr>
          <t>Duncan Robertson:</t>
        </r>
        <r>
          <rPr>
            <sz val="9"/>
            <color indexed="81"/>
            <rFont val="Tahoma"/>
            <family val="2"/>
          </rPr>
          <t xml:space="preserve">
Axial reinforcement</t>
        </r>
      </text>
    </comment>
    <comment ref="AC64" authorId="0" shapeId="0" xr:uid="{00000000-0006-0000-0600-000010000000}">
      <text>
        <r>
          <rPr>
            <b/>
            <sz val="9"/>
            <color indexed="81"/>
            <rFont val="Tahoma"/>
            <family val="2"/>
          </rPr>
          <t>Duncan Robertson:</t>
        </r>
        <r>
          <rPr>
            <sz val="9"/>
            <color indexed="81"/>
            <rFont val="Tahoma"/>
            <family val="2"/>
          </rPr>
          <t xml:space="preserve">
No bending or shear after 30m</t>
        </r>
      </text>
    </comment>
    <comment ref="AD64" authorId="0" shapeId="0" xr:uid="{00000000-0006-0000-0600-000011000000}">
      <text>
        <r>
          <rPr>
            <b/>
            <sz val="9"/>
            <color indexed="81"/>
            <rFont val="Tahoma"/>
            <family val="2"/>
          </rPr>
          <t>Duncan Robertson:</t>
        </r>
        <r>
          <rPr>
            <sz val="9"/>
            <color indexed="81"/>
            <rFont val="Tahoma"/>
            <family val="2"/>
          </rPr>
          <t xml:space="preserve">
Axial reinforcement</t>
        </r>
      </text>
    </comment>
    <comment ref="AC79" authorId="0" shapeId="0" xr:uid="{00000000-0006-0000-0600-000012000000}">
      <text>
        <r>
          <rPr>
            <b/>
            <sz val="9"/>
            <color indexed="81"/>
            <rFont val="Tahoma"/>
            <family val="2"/>
          </rPr>
          <t>Duncan Robertson:</t>
        </r>
        <r>
          <rPr>
            <sz val="9"/>
            <color indexed="81"/>
            <rFont val="Tahoma"/>
            <family val="2"/>
          </rPr>
          <t xml:space="preserve">
No bending or shear after 21m</t>
        </r>
      </text>
    </comment>
    <comment ref="AD79" authorId="0" shapeId="0" xr:uid="{00000000-0006-0000-0600-000013000000}">
      <text>
        <r>
          <rPr>
            <b/>
            <sz val="9"/>
            <color indexed="81"/>
            <rFont val="Tahoma"/>
            <family val="2"/>
          </rPr>
          <t>Duncan Robertson:</t>
        </r>
        <r>
          <rPr>
            <sz val="9"/>
            <color indexed="81"/>
            <rFont val="Tahoma"/>
            <family val="2"/>
          </rPr>
          <t xml:space="preserve">
Axial reinforcement</t>
        </r>
      </text>
    </comment>
    <comment ref="AC89" authorId="0" shapeId="0" xr:uid="{00000000-0006-0000-0600-000014000000}">
      <text>
        <r>
          <rPr>
            <b/>
            <sz val="9"/>
            <color indexed="81"/>
            <rFont val="Tahoma"/>
            <family val="2"/>
          </rPr>
          <t>Duncan Robertson:</t>
        </r>
        <r>
          <rPr>
            <sz val="9"/>
            <color indexed="81"/>
            <rFont val="Tahoma"/>
            <family val="2"/>
          </rPr>
          <t xml:space="preserve">
No bending or shear after 30m</t>
        </r>
      </text>
    </comment>
    <comment ref="AD89" authorId="0" shapeId="0" xr:uid="{00000000-0006-0000-0600-000015000000}">
      <text>
        <r>
          <rPr>
            <b/>
            <sz val="9"/>
            <color indexed="81"/>
            <rFont val="Tahoma"/>
            <family val="2"/>
          </rPr>
          <t>Duncan Robertson:</t>
        </r>
        <r>
          <rPr>
            <sz val="9"/>
            <color indexed="81"/>
            <rFont val="Tahoma"/>
            <family val="2"/>
          </rPr>
          <t xml:space="preserve">
Axial reinforcement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Duncan Robertson</author>
  </authors>
  <commentList>
    <comment ref="C16" authorId="0" shapeId="0" xr:uid="{00000000-0006-0000-0700-000001000000}">
      <text>
        <r>
          <rPr>
            <b/>
            <sz val="9"/>
            <color indexed="81"/>
            <rFont val="Tahoma"/>
            <family val="2"/>
          </rPr>
          <t>Duncan Robertson:</t>
        </r>
        <r>
          <rPr>
            <sz val="9"/>
            <color indexed="81"/>
            <rFont val="Tahoma"/>
            <family val="2"/>
          </rPr>
          <t xml:space="preserve">
Conservatively assume 16mm dia link (minimum allowable link) throughout</t>
        </r>
      </text>
    </comment>
    <comment ref="Q19" authorId="0" shapeId="0" xr:uid="{00000000-0006-0000-0700-000002000000}">
      <text>
        <r>
          <rPr>
            <b/>
            <sz val="9"/>
            <color indexed="81"/>
            <rFont val="Tahoma"/>
            <family val="2"/>
          </rPr>
          <t>Duncan Robertson:</t>
        </r>
        <r>
          <rPr>
            <sz val="9"/>
            <color indexed="81"/>
            <rFont val="Tahoma"/>
            <family val="2"/>
          </rPr>
          <t xml:space="preserve">
Weight of individual pile. Obtained as pile lengths are not all in excess of depth to bottom reinfocement </t>
        </r>
      </text>
    </comment>
    <comment ref="O20" authorId="0" shapeId="0" xr:uid="{00000000-0006-0000-0700-000003000000}">
      <text>
        <r>
          <rPr>
            <b/>
            <sz val="9"/>
            <color indexed="81"/>
            <rFont val="Tahoma"/>
            <family val="2"/>
          </rPr>
          <t>Duncan Robertson:</t>
        </r>
        <r>
          <rPr>
            <sz val="9"/>
            <color indexed="81"/>
            <rFont val="Tahoma"/>
            <family val="2"/>
          </rPr>
          <t xml:space="preserve">
Assuming full depth of reinforcement, ignoring pile toe depth</t>
        </r>
      </text>
    </comment>
    <comment ref="K21" authorId="0" shapeId="0" xr:uid="{00000000-0006-0000-0700-000004000000}">
      <text>
        <r>
          <rPr>
            <b/>
            <sz val="9"/>
            <color indexed="81"/>
            <rFont val="Tahoma"/>
            <family val="2"/>
          </rPr>
          <t>Duncan Robertson:</t>
        </r>
        <r>
          <rPr>
            <sz val="9"/>
            <color indexed="81"/>
            <rFont val="Tahoma"/>
            <family val="2"/>
          </rPr>
          <t xml:space="preserve">
At laps max spacing = 240mm, otherwise max spacing = 300mm</t>
        </r>
      </text>
    </comment>
    <comment ref="A27" authorId="0" shapeId="0" xr:uid="{00000000-0006-0000-0700-000005000000}">
      <text>
        <r>
          <rPr>
            <b/>
            <sz val="9"/>
            <color indexed="81"/>
            <rFont val="Tahoma"/>
            <family val="2"/>
          </rPr>
          <t>Duncan Robertson:</t>
        </r>
        <r>
          <rPr>
            <sz val="9"/>
            <color indexed="81"/>
            <rFont val="Tahoma"/>
            <family val="2"/>
          </rPr>
          <t xml:space="preserve">
21m if assuming FPS advice, 34m if following Arup document. Reduces the total amount of reinforcement by 1452kg=0.6% of total. Reduced to 30m due to back pile load shedding asumption.</t>
        </r>
      </text>
    </comment>
    <comment ref="Q28" authorId="0" shapeId="0" xr:uid="{00000000-0006-0000-0700-000006000000}">
      <text>
        <r>
          <rPr>
            <b/>
            <sz val="9"/>
            <color indexed="81"/>
            <rFont val="Tahoma"/>
            <family val="2"/>
          </rPr>
          <t>Duncan Robertson:</t>
        </r>
        <r>
          <rPr>
            <sz val="9"/>
            <color indexed="81"/>
            <rFont val="Tahoma"/>
            <family val="2"/>
          </rPr>
          <t xml:space="preserve">
8No Zone A piles</t>
        </r>
      </text>
    </comment>
    <comment ref="AC28" authorId="0" shapeId="0" xr:uid="{00000000-0006-0000-0700-000007000000}">
      <text>
        <r>
          <rPr>
            <b/>
            <sz val="9"/>
            <color indexed="81"/>
            <rFont val="Tahoma"/>
            <family val="2"/>
          </rPr>
          <t>Duncan Robertson:</t>
        </r>
        <r>
          <rPr>
            <sz val="9"/>
            <color indexed="81"/>
            <rFont val="Tahoma"/>
            <family val="2"/>
          </rPr>
          <t xml:space="preserve">
No bending or shear after 21m</t>
        </r>
      </text>
    </comment>
    <comment ref="AD28" authorId="0" shapeId="0" xr:uid="{00000000-0006-0000-0700-000008000000}">
      <text>
        <r>
          <rPr>
            <b/>
            <sz val="9"/>
            <color indexed="81"/>
            <rFont val="Tahoma"/>
            <family val="2"/>
          </rPr>
          <t>Duncan Robertson:</t>
        </r>
        <r>
          <rPr>
            <sz val="9"/>
            <color indexed="81"/>
            <rFont val="Tahoma"/>
            <family val="2"/>
          </rPr>
          <t xml:space="preserve">
Axial reinforcement</t>
        </r>
      </text>
    </comment>
    <comment ref="O32" authorId="0" shapeId="0" xr:uid="{00000000-0006-0000-0700-000009000000}">
      <text>
        <r>
          <rPr>
            <b/>
            <sz val="9"/>
            <color indexed="81"/>
            <rFont val="Tahoma"/>
            <family val="2"/>
          </rPr>
          <t>Duncan Robertson:</t>
        </r>
        <r>
          <rPr>
            <sz val="9"/>
            <color indexed="81"/>
            <rFont val="Tahoma"/>
            <family val="2"/>
          </rPr>
          <t xml:space="preserve">
Assuming full depth of reinforcement, ignoring pile toe depth</t>
        </r>
      </text>
    </comment>
    <comment ref="Q33" authorId="0" shapeId="0" xr:uid="{00000000-0006-0000-0700-00000A000000}">
      <text>
        <r>
          <rPr>
            <b/>
            <sz val="9"/>
            <color indexed="81"/>
            <rFont val="Tahoma"/>
            <family val="2"/>
          </rPr>
          <t>Duncan Robertson:</t>
        </r>
        <r>
          <rPr>
            <sz val="9"/>
            <color indexed="81"/>
            <rFont val="Tahoma"/>
            <family val="2"/>
          </rPr>
          <t xml:space="preserve">
Weight of individual pile. Obtained as pile lengths are not all in excess of depth to bottom reinfocement </t>
        </r>
      </text>
    </comment>
    <comment ref="Q42" authorId="0" shapeId="0" xr:uid="{00000000-0006-0000-0700-00000B000000}">
      <text>
        <r>
          <rPr>
            <b/>
            <sz val="9"/>
            <color indexed="81"/>
            <rFont val="Tahoma"/>
            <family val="2"/>
          </rPr>
          <t>Duncan Robertson:</t>
        </r>
        <r>
          <rPr>
            <sz val="9"/>
            <color indexed="81"/>
            <rFont val="Tahoma"/>
            <family val="2"/>
          </rPr>
          <t xml:space="preserve">
8No Zone B piles</t>
        </r>
      </text>
    </comment>
    <comment ref="AC42" authorId="0" shapeId="0" xr:uid="{00000000-0006-0000-0700-00000C000000}">
      <text>
        <r>
          <rPr>
            <b/>
            <sz val="9"/>
            <color indexed="81"/>
            <rFont val="Tahoma"/>
            <family val="2"/>
          </rPr>
          <t>Duncan Robertson:</t>
        </r>
        <r>
          <rPr>
            <sz val="9"/>
            <color indexed="81"/>
            <rFont val="Tahoma"/>
            <family val="2"/>
          </rPr>
          <t xml:space="preserve">
No bending or shear after 30m</t>
        </r>
      </text>
    </comment>
    <comment ref="AD42" authorId="0" shapeId="0" xr:uid="{00000000-0006-0000-0700-00000D000000}">
      <text>
        <r>
          <rPr>
            <b/>
            <sz val="9"/>
            <color indexed="81"/>
            <rFont val="Tahoma"/>
            <family val="2"/>
          </rPr>
          <t>Duncan Robertson:</t>
        </r>
        <r>
          <rPr>
            <sz val="9"/>
            <color indexed="81"/>
            <rFont val="Tahoma"/>
            <family val="2"/>
          </rPr>
          <t xml:space="preserve">
Axial reinforcement</t>
        </r>
      </text>
    </comment>
    <comment ref="AC56" authorId="0" shapeId="0" xr:uid="{00000000-0006-0000-0700-00000E000000}">
      <text>
        <r>
          <rPr>
            <b/>
            <sz val="9"/>
            <color indexed="81"/>
            <rFont val="Tahoma"/>
            <family val="2"/>
          </rPr>
          <t>Duncan Robertson:</t>
        </r>
        <r>
          <rPr>
            <sz val="9"/>
            <color indexed="81"/>
            <rFont val="Tahoma"/>
            <family val="2"/>
          </rPr>
          <t xml:space="preserve">
No bending or shear after 21m</t>
        </r>
      </text>
    </comment>
    <comment ref="AD56" authorId="0" shapeId="0" xr:uid="{00000000-0006-0000-0700-00000F000000}">
      <text>
        <r>
          <rPr>
            <b/>
            <sz val="9"/>
            <color indexed="81"/>
            <rFont val="Tahoma"/>
            <family val="2"/>
          </rPr>
          <t>Duncan Robertson:</t>
        </r>
        <r>
          <rPr>
            <sz val="9"/>
            <color indexed="81"/>
            <rFont val="Tahoma"/>
            <family val="2"/>
          </rPr>
          <t xml:space="preserve">
Axial reinforcement</t>
        </r>
      </text>
    </comment>
    <comment ref="AC66" authorId="0" shapeId="0" xr:uid="{00000000-0006-0000-0700-000010000000}">
      <text>
        <r>
          <rPr>
            <b/>
            <sz val="9"/>
            <color indexed="81"/>
            <rFont val="Tahoma"/>
            <family val="2"/>
          </rPr>
          <t>Duncan Robertson:</t>
        </r>
        <r>
          <rPr>
            <sz val="9"/>
            <color indexed="81"/>
            <rFont val="Tahoma"/>
            <family val="2"/>
          </rPr>
          <t xml:space="preserve">
No bending or shear after 30m</t>
        </r>
      </text>
    </comment>
    <comment ref="AD66" authorId="0" shapeId="0" xr:uid="{00000000-0006-0000-0700-000011000000}">
      <text>
        <r>
          <rPr>
            <b/>
            <sz val="9"/>
            <color indexed="81"/>
            <rFont val="Tahoma"/>
            <family val="2"/>
          </rPr>
          <t>Duncan Robertson:</t>
        </r>
        <r>
          <rPr>
            <sz val="9"/>
            <color indexed="81"/>
            <rFont val="Tahoma"/>
            <family val="2"/>
          </rPr>
          <t xml:space="preserve">
Axial reinforcement</t>
        </r>
      </text>
    </comment>
    <comment ref="AC86" authorId="0" shapeId="0" xr:uid="{00000000-0006-0000-0700-000012000000}">
      <text>
        <r>
          <rPr>
            <b/>
            <sz val="9"/>
            <color indexed="81"/>
            <rFont val="Tahoma"/>
            <family val="2"/>
          </rPr>
          <t>Duncan Robertson:</t>
        </r>
        <r>
          <rPr>
            <sz val="9"/>
            <color indexed="81"/>
            <rFont val="Tahoma"/>
            <family val="2"/>
          </rPr>
          <t xml:space="preserve">
No bending or shear after 21m</t>
        </r>
      </text>
    </comment>
    <comment ref="AD86" authorId="0" shapeId="0" xr:uid="{00000000-0006-0000-0700-000013000000}">
      <text>
        <r>
          <rPr>
            <b/>
            <sz val="9"/>
            <color indexed="81"/>
            <rFont val="Tahoma"/>
            <family val="2"/>
          </rPr>
          <t>Duncan Robertson:</t>
        </r>
        <r>
          <rPr>
            <sz val="9"/>
            <color indexed="81"/>
            <rFont val="Tahoma"/>
            <family val="2"/>
          </rPr>
          <t xml:space="preserve">
Axial reinforcement</t>
        </r>
      </text>
    </comment>
    <comment ref="AC96" authorId="0" shapeId="0" xr:uid="{00000000-0006-0000-0700-000014000000}">
      <text>
        <r>
          <rPr>
            <b/>
            <sz val="9"/>
            <color indexed="81"/>
            <rFont val="Tahoma"/>
            <family val="2"/>
          </rPr>
          <t>Duncan Robertson:</t>
        </r>
        <r>
          <rPr>
            <sz val="9"/>
            <color indexed="81"/>
            <rFont val="Tahoma"/>
            <family val="2"/>
          </rPr>
          <t xml:space="preserve">
No bending or shear after 30m</t>
        </r>
      </text>
    </comment>
    <comment ref="AD96" authorId="0" shapeId="0" xr:uid="{00000000-0006-0000-0700-000015000000}">
      <text>
        <r>
          <rPr>
            <b/>
            <sz val="9"/>
            <color indexed="81"/>
            <rFont val="Tahoma"/>
            <family val="2"/>
          </rPr>
          <t>Duncan Robertson:</t>
        </r>
        <r>
          <rPr>
            <sz val="9"/>
            <color indexed="81"/>
            <rFont val="Tahoma"/>
            <family val="2"/>
          </rPr>
          <t xml:space="preserve">
Axial reinforcement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Duncan Robertson</author>
  </authors>
  <commentList>
    <comment ref="C14" authorId="0" shapeId="0" xr:uid="{00000000-0006-0000-0800-000001000000}">
      <text>
        <r>
          <rPr>
            <b/>
            <sz val="9"/>
            <color indexed="81"/>
            <rFont val="Tahoma"/>
            <family val="2"/>
          </rPr>
          <t>Duncan Robertson:</t>
        </r>
        <r>
          <rPr>
            <sz val="9"/>
            <color indexed="81"/>
            <rFont val="Tahoma"/>
            <family val="2"/>
          </rPr>
          <t xml:space="preserve">
Conservatively assume 16mm dia link (minimum allowable link) throughout</t>
        </r>
      </text>
    </comment>
    <comment ref="Q17" authorId="0" shapeId="0" xr:uid="{00000000-0006-0000-0800-000002000000}">
      <text>
        <r>
          <rPr>
            <b/>
            <sz val="9"/>
            <color indexed="81"/>
            <rFont val="Tahoma"/>
            <family val="2"/>
          </rPr>
          <t>Duncan Robertson:</t>
        </r>
        <r>
          <rPr>
            <sz val="9"/>
            <color indexed="81"/>
            <rFont val="Tahoma"/>
            <family val="2"/>
          </rPr>
          <t xml:space="preserve">
Weight of individual pile. Obtained as pile lengths are not all in excess of depth to bottom reinfocement </t>
        </r>
      </text>
    </comment>
    <comment ref="O18" authorId="0" shapeId="0" xr:uid="{00000000-0006-0000-0800-000003000000}">
      <text>
        <r>
          <rPr>
            <b/>
            <sz val="9"/>
            <color indexed="81"/>
            <rFont val="Tahoma"/>
            <family val="2"/>
          </rPr>
          <t>Duncan Robertson:</t>
        </r>
        <r>
          <rPr>
            <sz val="9"/>
            <color indexed="81"/>
            <rFont val="Tahoma"/>
            <family val="2"/>
          </rPr>
          <t xml:space="preserve">
Assuming full depth of reinforcement, ignoring pile toe depth</t>
        </r>
      </text>
    </comment>
    <comment ref="K19" authorId="0" shapeId="0" xr:uid="{00000000-0006-0000-0800-000004000000}">
      <text>
        <r>
          <rPr>
            <b/>
            <sz val="9"/>
            <color indexed="81"/>
            <rFont val="Tahoma"/>
            <family val="2"/>
          </rPr>
          <t>Duncan Robertson:</t>
        </r>
        <r>
          <rPr>
            <sz val="9"/>
            <color indexed="81"/>
            <rFont val="Tahoma"/>
            <family val="2"/>
          </rPr>
          <t xml:space="preserve">
At laps max spacing = 240mm, otherwise max spacing = 300mm</t>
        </r>
      </text>
    </comment>
    <comment ref="A25" authorId="0" shapeId="0" xr:uid="{00000000-0006-0000-0800-000005000000}">
      <text>
        <r>
          <rPr>
            <b/>
            <sz val="9"/>
            <color indexed="81"/>
            <rFont val="Tahoma"/>
            <family val="2"/>
          </rPr>
          <t>Duncan Robertson:</t>
        </r>
        <r>
          <rPr>
            <sz val="9"/>
            <color indexed="81"/>
            <rFont val="Tahoma"/>
            <family val="2"/>
          </rPr>
          <t xml:space="preserve">
21m if assuming FPS advice, 34m if following Arup document. Reduces the total amount of reinforcement by 1452kg=0.6% of total. Reduced to 30m due to back pile load shedding asumption.</t>
        </r>
      </text>
    </comment>
    <comment ref="Q26" authorId="0" shapeId="0" xr:uid="{00000000-0006-0000-0800-000006000000}">
      <text>
        <r>
          <rPr>
            <b/>
            <sz val="9"/>
            <color indexed="81"/>
            <rFont val="Tahoma"/>
            <family val="2"/>
          </rPr>
          <t>Duncan Robertson:</t>
        </r>
        <r>
          <rPr>
            <sz val="9"/>
            <color indexed="81"/>
            <rFont val="Tahoma"/>
            <family val="2"/>
          </rPr>
          <t xml:space="preserve">
8No Zone A piles</t>
        </r>
      </text>
    </comment>
    <comment ref="AC26" authorId="0" shapeId="0" xr:uid="{00000000-0006-0000-0800-000007000000}">
      <text>
        <r>
          <rPr>
            <b/>
            <sz val="9"/>
            <color indexed="81"/>
            <rFont val="Tahoma"/>
            <family val="2"/>
          </rPr>
          <t>Duncan Robertson:</t>
        </r>
        <r>
          <rPr>
            <sz val="9"/>
            <color indexed="81"/>
            <rFont val="Tahoma"/>
            <family val="2"/>
          </rPr>
          <t xml:space="preserve">
No bending or shear after 21m</t>
        </r>
      </text>
    </comment>
    <comment ref="AD26" authorId="0" shapeId="0" xr:uid="{00000000-0006-0000-0800-000008000000}">
      <text>
        <r>
          <rPr>
            <b/>
            <sz val="9"/>
            <color indexed="81"/>
            <rFont val="Tahoma"/>
            <family val="2"/>
          </rPr>
          <t>Duncan Robertson:</t>
        </r>
        <r>
          <rPr>
            <sz val="9"/>
            <color indexed="81"/>
            <rFont val="Tahoma"/>
            <family val="2"/>
          </rPr>
          <t xml:space="preserve">
Axial reinforcement</t>
        </r>
      </text>
    </comment>
    <comment ref="O30" authorId="0" shapeId="0" xr:uid="{00000000-0006-0000-0800-000009000000}">
      <text>
        <r>
          <rPr>
            <b/>
            <sz val="9"/>
            <color indexed="81"/>
            <rFont val="Tahoma"/>
            <family val="2"/>
          </rPr>
          <t>Duncan Robertson:</t>
        </r>
        <r>
          <rPr>
            <sz val="9"/>
            <color indexed="81"/>
            <rFont val="Tahoma"/>
            <family val="2"/>
          </rPr>
          <t xml:space="preserve">
Assuming full depth of reinforcement, ignoring pile toe depth</t>
        </r>
      </text>
    </comment>
    <comment ref="Q31" authorId="0" shapeId="0" xr:uid="{00000000-0006-0000-0800-00000A000000}">
      <text>
        <r>
          <rPr>
            <b/>
            <sz val="9"/>
            <color indexed="81"/>
            <rFont val="Tahoma"/>
            <family val="2"/>
          </rPr>
          <t>Duncan Robertson:</t>
        </r>
        <r>
          <rPr>
            <sz val="9"/>
            <color indexed="81"/>
            <rFont val="Tahoma"/>
            <family val="2"/>
          </rPr>
          <t xml:space="preserve">
Weight of individual pile. Obtained as pile lengths are not all in excess of depth to bottom reinfocement </t>
        </r>
      </text>
    </comment>
    <comment ref="Q40" authorId="0" shapeId="0" xr:uid="{00000000-0006-0000-0800-00000B000000}">
      <text>
        <r>
          <rPr>
            <b/>
            <sz val="9"/>
            <color indexed="81"/>
            <rFont val="Tahoma"/>
            <family val="2"/>
          </rPr>
          <t>Duncan Robertson:</t>
        </r>
        <r>
          <rPr>
            <sz val="9"/>
            <color indexed="81"/>
            <rFont val="Tahoma"/>
            <family val="2"/>
          </rPr>
          <t xml:space="preserve">
8No Zone B piles</t>
        </r>
      </text>
    </comment>
    <comment ref="AC40" authorId="0" shapeId="0" xr:uid="{00000000-0006-0000-0800-00000C000000}">
      <text>
        <r>
          <rPr>
            <b/>
            <sz val="9"/>
            <color indexed="81"/>
            <rFont val="Tahoma"/>
            <family val="2"/>
          </rPr>
          <t>Duncan Robertson:</t>
        </r>
        <r>
          <rPr>
            <sz val="9"/>
            <color indexed="81"/>
            <rFont val="Tahoma"/>
            <family val="2"/>
          </rPr>
          <t xml:space="preserve">
No bending or shear after 30m</t>
        </r>
      </text>
    </comment>
    <comment ref="AD40" authorId="0" shapeId="0" xr:uid="{00000000-0006-0000-0800-00000D000000}">
      <text>
        <r>
          <rPr>
            <b/>
            <sz val="9"/>
            <color indexed="81"/>
            <rFont val="Tahoma"/>
            <family val="2"/>
          </rPr>
          <t>Duncan Robertson:</t>
        </r>
        <r>
          <rPr>
            <sz val="9"/>
            <color indexed="81"/>
            <rFont val="Tahoma"/>
            <family val="2"/>
          </rPr>
          <t xml:space="preserve">
Axial reinforcement</t>
        </r>
      </text>
    </comment>
    <comment ref="AC54" authorId="0" shapeId="0" xr:uid="{00000000-0006-0000-0800-00000E000000}">
      <text>
        <r>
          <rPr>
            <b/>
            <sz val="9"/>
            <color indexed="81"/>
            <rFont val="Tahoma"/>
            <family val="2"/>
          </rPr>
          <t>Duncan Robertson:</t>
        </r>
        <r>
          <rPr>
            <sz val="9"/>
            <color indexed="81"/>
            <rFont val="Tahoma"/>
            <family val="2"/>
          </rPr>
          <t xml:space="preserve">
No bending or shear after 21m</t>
        </r>
      </text>
    </comment>
    <comment ref="AD54" authorId="0" shapeId="0" xr:uid="{00000000-0006-0000-0800-00000F000000}">
      <text>
        <r>
          <rPr>
            <b/>
            <sz val="9"/>
            <color indexed="81"/>
            <rFont val="Tahoma"/>
            <family val="2"/>
          </rPr>
          <t>Duncan Robertson:</t>
        </r>
        <r>
          <rPr>
            <sz val="9"/>
            <color indexed="81"/>
            <rFont val="Tahoma"/>
            <family val="2"/>
          </rPr>
          <t xml:space="preserve">
Axial reinforcement</t>
        </r>
      </text>
    </comment>
    <comment ref="AC64" authorId="0" shapeId="0" xr:uid="{00000000-0006-0000-0800-000010000000}">
      <text>
        <r>
          <rPr>
            <b/>
            <sz val="9"/>
            <color indexed="81"/>
            <rFont val="Tahoma"/>
            <family val="2"/>
          </rPr>
          <t>Duncan Robertson:</t>
        </r>
        <r>
          <rPr>
            <sz val="9"/>
            <color indexed="81"/>
            <rFont val="Tahoma"/>
            <family val="2"/>
          </rPr>
          <t xml:space="preserve">
No bending or shear after 30m</t>
        </r>
      </text>
    </comment>
    <comment ref="AD64" authorId="0" shapeId="0" xr:uid="{00000000-0006-0000-0800-000011000000}">
      <text>
        <r>
          <rPr>
            <b/>
            <sz val="9"/>
            <color indexed="81"/>
            <rFont val="Tahoma"/>
            <family val="2"/>
          </rPr>
          <t>Duncan Robertson:</t>
        </r>
        <r>
          <rPr>
            <sz val="9"/>
            <color indexed="81"/>
            <rFont val="Tahoma"/>
            <family val="2"/>
          </rPr>
          <t xml:space="preserve">
Axial reinforcement</t>
        </r>
      </text>
    </comment>
    <comment ref="AC84" authorId="0" shapeId="0" xr:uid="{00000000-0006-0000-0800-000012000000}">
      <text>
        <r>
          <rPr>
            <b/>
            <sz val="9"/>
            <color indexed="81"/>
            <rFont val="Tahoma"/>
            <family val="2"/>
          </rPr>
          <t>Duncan Robertson:</t>
        </r>
        <r>
          <rPr>
            <sz val="9"/>
            <color indexed="81"/>
            <rFont val="Tahoma"/>
            <family val="2"/>
          </rPr>
          <t xml:space="preserve">
No bending or shear after 21m</t>
        </r>
      </text>
    </comment>
    <comment ref="AD84" authorId="0" shapeId="0" xr:uid="{00000000-0006-0000-0800-000013000000}">
      <text>
        <r>
          <rPr>
            <b/>
            <sz val="9"/>
            <color indexed="81"/>
            <rFont val="Tahoma"/>
            <family val="2"/>
          </rPr>
          <t>Duncan Robertson:</t>
        </r>
        <r>
          <rPr>
            <sz val="9"/>
            <color indexed="81"/>
            <rFont val="Tahoma"/>
            <family val="2"/>
          </rPr>
          <t xml:space="preserve">
Axial reinforcement</t>
        </r>
      </text>
    </comment>
    <comment ref="AC94" authorId="0" shapeId="0" xr:uid="{00000000-0006-0000-0800-000014000000}">
      <text>
        <r>
          <rPr>
            <b/>
            <sz val="9"/>
            <color indexed="81"/>
            <rFont val="Tahoma"/>
            <family val="2"/>
          </rPr>
          <t>Duncan Robertson:</t>
        </r>
        <r>
          <rPr>
            <sz val="9"/>
            <color indexed="81"/>
            <rFont val="Tahoma"/>
            <family val="2"/>
          </rPr>
          <t xml:space="preserve">
No bending or shear after 30m</t>
        </r>
      </text>
    </comment>
    <comment ref="AD94" authorId="0" shapeId="0" xr:uid="{00000000-0006-0000-0800-000015000000}">
      <text>
        <r>
          <rPr>
            <b/>
            <sz val="9"/>
            <color indexed="81"/>
            <rFont val="Tahoma"/>
            <family val="2"/>
          </rPr>
          <t>Duncan Robertson:</t>
        </r>
        <r>
          <rPr>
            <sz val="9"/>
            <color indexed="81"/>
            <rFont val="Tahoma"/>
            <family val="2"/>
          </rPr>
          <t xml:space="preserve">
Axial reinforcement</t>
        </r>
      </text>
    </comment>
  </commentList>
</comments>
</file>

<file path=xl/sharedStrings.xml><?xml version="1.0" encoding="utf-8"?>
<sst xmlns="http://schemas.openxmlformats.org/spreadsheetml/2006/main" count="2456" uniqueCount="229">
  <si>
    <t>Reasoning for reduction to thermal loading</t>
  </si>
  <si>
    <t>Thermal maxima and minima are not likely to occur in quick succession. The maximum temperatures will occur over the summer months, during which the average temperature will be above the minimum casting temperature (used to determine the temperature range). The higher average temperature will cause thermal stresses to develop, which will relax over time (consistent with long term loading). Only the remainder of the maximum uniform temperature is then applied on top of this as an "instantaneous" stress (consistent with short term loading). The principal is the same for thermal contraction, whereby the minimum temperature will occur during the winter months.</t>
  </si>
  <si>
    <t>It has been assumed that half of the thermal effects can be applied as long term loading and therefore only half applies as short term loading. To model the differing material stiffness under thermal loading the Young's Modulus of all concrete members has been scaled to represent 50% short term stiffness (28GPa) and 50% long term stiffness (14GPa) i.e. 21GPa. This stiffness has been used to determine the pile loading under thermal effects only.</t>
  </si>
  <si>
    <t>Only thermal loads shall be affected by the change in stiffness described above. As the thermal loads shall be applied in combination with short term loading (such as fender and mooring loads). To avoid misrepresenting the stiffness of the suspended deck under these combinations the Young's Modulus shall be retained for short term loading in the final model. However, the uniform deck temperature shall be adjusted to give loads appropriate to the reduced stiffness.</t>
  </si>
  <si>
    <t>m</t>
  </si>
  <si>
    <t>Inputs:</t>
  </si>
  <si>
    <t>Titles</t>
  </si>
  <si>
    <t>Variables</t>
  </si>
  <si>
    <t>Parameter</t>
  </si>
  <si>
    <t>Outputs:</t>
  </si>
  <si>
    <t>General</t>
  </si>
  <si>
    <t>Ok (Pass)</t>
  </si>
  <si>
    <t>Fail</t>
  </si>
  <si>
    <r>
      <t xml:space="preserve">- This spreadsheet does </t>
    </r>
    <r>
      <rPr>
        <u/>
        <sz val="9"/>
        <color indexed="60"/>
        <rFont val="Arial"/>
        <family val="2"/>
      </rPr>
      <t>not</t>
    </r>
    <r>
      <rPr>
        <sz val="9"/>
        <color indexed="60"/>
        <rFont val="Arial"/>
        <family val="2"/>
      </rPr>
      <t xml:space="preserve"> check the longitudinal shear is adequate, in accordance with cl. 6.2.3(7) for the assumed cot</t>
    </r>
    <r>
      <rPr>
        <i/>
        <sz val="10"/>
        <color indexed="60"/>
        <rFont val="Times Roman Italic"/>
        <family val="1"/>
      </rPr>
      <t>θ.</t>
    </r>
  </si>
  <si>
    <t>DEFINITIONS</t>
  </si>
  <si>
    <r>
      <t xml:space="preserve">- References are to BS EN1992-1-1, using the UK NA where applicable;  listed as either the clause, expression (in brackets), or table or figures as noted..  </t>
    </r>
    <r>
      <rPr>
        <sz val="14"/>
        <color indexed="60"/>
        <rFont val="Arial"/>
        <family val="2"/>
      </rPr>
      <t>*</t>
    </r>
    <r>
      <rPr>
        <sz val="9"/>
        <color indexed="60"/>
        <rFont val="Arial"/>
        <family val="2"/>
      </rPr>
      <t xml:space="preserve"> following an expression reference denotes where the expression is modified as per 2011  NST 04.</t>
    </r>
  </si>
  <si>
    <t>INPUT DATA &amp; GEOMETRY CHECKS</t>
  </si>
  <si>
    <t>Reference</t>
  </si>
  <si>
    <t>Geometry and Material Parameters:</t>
  </si>
  <si>
    <t>Diameter, D =</t>
  </si>
  <si>
    <t>mm</t>
  </si>
  <si>
    <t>cover =</t>
  </si>
  <si>
    <r>
      <t>A</t>
    </r>
    <r>
      <rPr>
        <vertAlign val="subscript"/>
        <sz val="10"/>
        <rFont val="Arial"/>
        <family val="2"/>
      </rPr>
      <t>gross</t>
    </r>
    <r>
      <rPr>
        <sz val="10"/>
        <rFont val="Arial"/>
        <family val="2"/>
      </rPr>
      <t xml:space="preserve"> =</t>
    </r>
  </si>
  <si>
    <r>
      <t>mm</t>
    </r>
    <r>
      <rPr>
        <vertAlign val="superscript"/>
        <sz val="8"/>
        <rFont val="Arial"/>
        <family val="2"/>
      </rPr>
      <t>2</t>
    </r>
  </si>
  <si>
    <r>
      <t>m</t>
    </r>
    <r>
      <rPr>
        <vertAlign val="superscript"/>
        <sz val="8"/>
        <color indexed="22"/>
        <rFont val="Arial"/>
        <family val="2"/>
      </rPr>
      <t>2</t>
    </r>
  </si>
  <si>
    <r>
      <t>D</t>
    </r>
    <r>
      <rPr>
        <vertAlign val="subscript"/>
        <sz val="10"/>
        <rFont val="Arial"/>
        <family val="2"/>
      </rPr>
      <t>L</t>
    </r>
    <r>
      <rPr>
        <sz val="10"/>
        <rFont val="Arial"/>
        <family val="2"/>
      </rPr>
      <t xml:space="preserve"> =</t>
    </r>
  </si>
  <si>
    <r>
      <t>D</t>
    </r>
    <r>
      <rPr>
        <vertAlign val="subscript"/>
        <sz val="10"/>
        <rFont val="Arial"/>
        <family val="2"/>
      </rPr>
      <t>w</t>
    </r>
    <r>
      <rPr>
        <sz val="10"/>
        <rFont val="Arial"/>
        <family val="2"/>
      </rPr>
      <t xml:space="preserve"> =</t>
    </r>
  </si>
  <si>
    <r>
      <t>f</t>
    </r>
    <r>
      <rPr>
        <vertAlign val="subscript"/>
        <sz val="10"/>
        <rFont val="Arial"/>
        <family val="2"/>
      </rPr>
      <t>ck</t>
    </r>
    <r>
      <rPr>
        <sz val="10"/>
        <rFont val="Arial"/>
        <family val="2"/>
      </rPr>
      <t xml:space="preserve"> =</t>
    </r>
  </si>
  <si>
    <t>MPa</t>
  </si>
  <si>
    <r>
      <rPr>
        <sz val="11"/>
        <rFont val="Times New Roman"/>
        <family val="1"/>
      </rPr>
      <t>γ</t>
    </r>
    <r>
      <rPr>
        <vertAlign val="subscript"/>
        <sz val="10"/>
        <rFont val="Arial"/>
        <family val="2"/>
      </rPr>
      <t>C</t>
    </r>
    <r>
      <rPr>
        <sz val="10"/>
        <rFont val="Arial"/>
        <family val="2"/>
      </rPr>
      <t xml:space="preserve"> =</t>
    </r>
  </si>
  <si>
    <t>Table 2.1</t>
  </si>
  <si>
    <r>
      <rPr>
        <sz val="12"/>
        <rFont val="Times New Roman"/>
        <family val="1"/>
      </rPr>
      <t>ε</t>
    </r>
    <r>
      <rPr>
        <vertAlign val="subscript"/>
        <sz val="10"/>
        <rFont val="Arial"/>
        <family val="2"/>
      </rPr>
      <t>c3</t>
    </r>
    <r>
      <rPr>
        <sz val="10"/>
        <rFont val="Arial"/>
        <family val="2"/>
      </rPr>
      <t xml:space="preserve"> =</t>
    </r>
  </si>
  <si>
    <t>millistrain</t>
  </si>
  <si>
    <t>Table 3.1</t>
  </si>
  <si>
    <r>
      <t>E</t>
    </r>
    <r>
      <rPr>
        <vertAlign val="subscript"/>
        <sz val="10"/>
        <rFont val="Arial"/>
        <family val="2"/>
      </rPr>
      <t>C</t>
    </r>
    <r>
      <rPr>
        <sz val="10"/>
        <rFont val="Arial"/>
        <family val="2"/>
      </rPr>
      <t xml:space="preserve"> = f</t>
    </r>
    <r>
      <rPr>
        <vertAlign val="subscript"/>
        <sz val="10"/>
        <rFont val="Arial"/>
        <family val="2"/>
      </rPr>
      <t>cd</t>
    </r>
    <r>
      <rPr>
        <sz val="10"/>
        <rFont val="Arial"/>
        <family val="2"/>
      </rPr>
      <t xml:space="preserve"> / </t>
    </r>
    <r>
      <rPr>
        <sz val="12"/>
        <rFont val="Times New Roman"/>
        <family val="1"/>
      </rPr>
      <t>ε</t>
    </r>
    <r>
      <rPr>
        <vertAlign val="subscript"/>
        <sz val="10"/>
        <rFont val="Arial"/>
        <family val="2"/>
      </rPr>
      <t>c3</t>
    </r>
    <r>
      <rPr>
        <sz val="10"/>
        <rFont val="Arial"/>
        <family val="2"/>
      </rPr>
      <t xml:space="preserve"> =</t>
    </r>
  </si>
  <si>
    <t>GPa</t>
  </si>
  <si>
    <t>Fig 3.4</t>
  </si>
  <si>
    <r>
      <rPr>
        <sz val="10"/>
        <rFont val="Times Roman Italic"/>
        <family val="1"/>
      </rPr>
      <t>α</t>
    </r>
    <r>
      <rPr>
        <vertAlign val="subscript"/>
        <sz val="9"/>
        <rFont val="Arial"/>
        <family val="2"/>
      </rPr>
      <t xml:space="preserve">cc </t>
    </r>
    <r>
      <rPr>
        <sz val="9"/>
        <rFont val="Arial"/>
        <family val="2"/>
      </rPr>
      <t>for shear =</t>
    </r>
  </si>
  <si>
    <t>3.1.6(1)</t>
  </si>
  <si>
    <r>
      <rPr>
        <sz val="9"/>
        <rFont val="Arial"/>
        <family val="2"/>
      </rPr>
      <t>f</t>
    </r>
    <r>
      <rPr>
        <vertAlign val="subscript"/>
        <sz val="9"/>
        <rFont val="Arial"/>
        <family val="2"/>
      </rPr>
      <t>cd</t>
    </r>
    <r>
      <rPr>
        <sz val="9"/>
        <rFont val="Arial"/>
        <family val="2"/>
      </rPr>
      <t xml:space="preserve"> =</t>
    </r>
  </si>
  <si>
    <t>SHEAR RESISTANCE</t>
  </si>
  <si>
    <r>
      <rPr>
        <sz val="10"/>
        <rFont val="Times Roman Italic"/>
        <family val="1"/>
      </rPr>
      <t>ν</t>
    </r>
    <r>
      <rPr>
        <vertAlign val="subscript"/>
        <sz val="9"/>
        <rFont val="Arial"/>
        <family val="2"/>
      </rPr>
      <t>1</t>
    </r>
    <r>
      <rPr>
        <sz val="9"/>
        <rFont val="Arial"/>
        <family val="2"/>
      </rPr>
      <t>f</t>
    </r>
    <r>
      <rPr>
        <vertAlign val="subscript"/>
        <sz val="9"/>
        <rFont val="Arial"/>
        <family val="2"/>
      </rPr>
      <t>cd</t>
    </r>
    <r>
      <rPr>
        <sz val="9"/>
        <rFont val="Arial"/>
        <family val="2"/>
      </rPr>
      <t xml:space="preserve"> =</t>
    </r>
  </si>
  <si>
    <t>6.2.3(3)</t>
  </si>
  <si>
    <t>Moment-shear interaction factors</t>
  </si>
  <si>
    <r>
      <rPr>
        <sz val="12"/>
        <rFont val="Times New Roman"/>
        <family val="1"/>
      </rPr>
      <t>α</t>
    </r>
    <r>
      <rPr>
        <vertAlign val="subscript"/>
        <sz val="10"/>
        <rFont val="Arial"/>
        <family val="2"/>
      </rPr>
      <t>cMc</t>
    </r>
    <r>
      <rPr>
        <sz val="10"/>
        <rFont val="Arial"/>
        <family val="2"/>
      </rPr>
      <t xml:space="preserve"> =</t>
    </r>
  </si>
  <si>
    <r>
      <t>f</t>
    </r>
    <r>
      <rPr>
        <vertAlign val="subscript"/>
        <sz val="10"/>
        <rFont val="Arial"/>
        <family val="2"/>
      </rPr>
      <t xml:space="preserve">yw </t>
    </r>
    <r>
      <rPr>
        <sz val="10"/>
        <rFont val="Arial"/>
        <family val="2"/>
      </rPr>
      <t>=</t>
    </r>
  </si>
  <si>
    <t>Annex C</t>
  </si>
  <si>
    <r>
      <rPr>
        <sz val="12"/>
        <rFont val="Times New Roman"/>
        <family val="1"/>
      </rPr>
      <t>α</t>
    </r>
    <r>
      <rPr>
        <vertAlign val="subscript"/>
        <sz val="10"/>
        <rFont val="Arial"/>
        <family val="2"/>
      </rPr>
      <t>cMs,circ</t>
    </r>
    <r>
      <rPr>
        <sz val="10"/>
        <rFont val="Arial"/>
        <family val="2"/>
      </rPr>
      <t xml:space="preserve"> =</t>
    </r>
  </si>
  <si>
    <r>
      <t>E</t>
    </r>
    <r>
      <rPr>
        <vertAlign val="subscript"/>
        <sz val="10"/>
        <rFont val="Arial"/>
        <family val="2"/>
      </rPr>
      <t>S</t>
    </r>
    <r>
      <rPr>
        <sz val="10"/>
        <rFont val="Arial"/>
        <family val="2"/>
      </rPr>
      <t xml:space="preserve"> =</t>
    </r>
  </si>
  <si>
    <t>3.2.7(4)</t>
  </si>
  <si>
    <r>
      <rPr>
        <sz val="12"/>
        <rFont val="Times New Roman"/>
        <family val="1"/>
      </rPr>
      <t>α</t>
    </r>
    <r>
      <rPr>
        <vertAlign val="subscript"/>
        <sz val="10"/>
        <rFont val="Arial"/>
        <family val="2"/>
      </rPr>
      <t>cMs,spir</t>
    </r>
    <r>
      <rPr>
        <sz val="10"/>
        <rFont val="Arial"/>
        <family val="2"/>
      </rPr>
      <t xml:space="preserve"> =</t>
    </r>
  </si>
  <si>
    <r>
      <rPr>
        <sz val="11"/>
        <rFont val="Times New Roman"/>
        <family val="1"/>
      </rPr>
      <t>γ</t>
    </r>
    <r>
      <rPr>
        <vertAlign val="subscript"/>
        <sz val="10"/>
        <rFont val="Arial"/>
        <family val="2"/>
      </rPr>
      <t>S</t>
    </r>
    <r>
      <rPr>
        <sz val="10"/>
        <rFont val="Arial"/>
        <family val="2"/>
      </rPr>
      <t xml:space="preserve"> =</t>
    </r>
  </si>
  <si>
    <r>
      <t>f</t>
    </r>
    <r>
      <rPr>
        <vertAlign val="subscript"/>
        <sz val="10"/>
        <rFont val="Arial"/>
        <family val="2"/>
      </rPr>
      <t xml:space="preserve">ywd </t>
    </r>
    <r>
      <rPr>
        <sz val="10"/>
        <rFont val="Arial"/>
        <family val="2"/>
      </rPr>
      <t>=</t>
    </r>
  </si>
  <si>
    <t>Fig 3.8</t>
  </si>
  <si>
    <t>Link efficiency factors</t>
  </si>
  <si>
    <r>
      <rPr>
        <sz val="12"/>
        <rFont val="Times New Roman"/>
        <family val="1"/>
      </rPr>
      <t>β</t>
    </r>
    <r>
      <rPr>
        <vertAlign val="subscript"/>
        <sz val="10"/>
        <rFont val="Arial"/>
        <family val="2"/>
      </rPr>
      <t>circ</t>
    </r>
    <r>
      <rPr>
        <sz val="10"/>
        <rFont val="Arial"/>
        <family val="2"/>
      </rPr>
      <t>z =</t>
    </r>
  </si>
  <si>
    <t>Longitudinal Reinforcement:</t>
  </si>
  <si>
    <r>
      <t>b</t>
    </r>
    <r>
      <rPr>
        <vertAlign val="subscript"/>
        <sz val="10"/>
        <rFont val="Arial"/>
        <family val="2"/>
      </rPr>
      <t>w</t>
    </r>
    <r>
      <rPr>
        <sz val="10"/>
        <rFont val="Arial"/>
        <family val="2"/>
      </rPr>
      <t>z =</t>
    </r>
  </si>
  <si>
    <r>
      <t>m</t>
    </r>
    <r>
      <rPr>
        <vertAlign val="superscript"/>
        <sz val="10"/>
        <rFont val="Arial"/>
        <family val="2"/>
      </rPr>
      <t>2</t>
    </r>
  </si>
  <si>
    <r>
      <t>Bar diameter, d</t>
    </r>
    <r>
      <rPr>
        <vertAlign val="subscript"/>
        <sz val="10"/>
        <rFont val="Arial"/>
        <family val="2"/>
      </rPr>
      <t>b</t>
    </r>
    <r>
      <rPr>
        <sz val="10"/>
        <rFont val="Arial"/>
        <family val="2"/>
      </rPr>
      <t xml:space="preserve"> =</t>
    </r>
  </si>
  <si>
    <r>
      <rPr>
        <sz val="12"/>
        <rFont val="Times New Roman"/>
        <family val="1"/>
      </rPr>
      <t>β</t>
    </r>
    <r>
      <rPr>
        <vertAlign val="subscript"/>
        <sz val="10"/>
        <rFont val="Arial"/>
        <family val="2"/>
      </rPr>
      <t>circ</t>
    </r>
    <r>
      <rPr>
        <sz val="10"/>
        <rFont val="Arial"/>
        <family val="2"/>
      </rPr>
      <t xml:space="preserve"> =</t>
    </r>
  </si>
  <si>
    <r>
      <t>No. Bars, n</t>
    </r>
    <r>
      <rPr>
        <vertAlign val="subscript"/>
        <sz val="10"/>
        <rFont val="Arial"/>
        <family val="2"/>
      </rPr>
      <t>b</t>
    </r>
    <r>
      <rPr>
        <sz val="11"/>
        <color theme="1"/>
        <rFont val="Calibri"/>
        <family val="2"/>
        <scheme val="minor"/>
      </rPr>
      <t xml:space="preserve"> =</t>
    </r>
  </si>
  <si>
    <r>
      <t>A</t>
    </r>
    <r>
      <rPr>
        <vertAlign val="subscript"/>
        <sz val="10"/>
        <rFont val="Arial"/>
        <family val="2"/>
      </rPr>
      <t>s_total</t>
    </r>
    <r>
      <rPr>
        <sz val="10"/>
        <rFont val="Arial"/>
        <family val="2"/>
      </rPr>
      <t xml:space="preserve"> =</t>
    </r>
  </si>
  <si>
    <r>
      <t>mm</t>
    </r>
    <r>
      <rPr>
        <vertAlign val="superscript"/>
        <sz val="10"/>
        <rFont val="Arial"/>
        <family val="2"/>
      </rPr>
      <t>2</t>
    </r>
  </si>
  <si>
    <r>
      <t>m</t>
    </r>
    <r>
      <rPr>
        <vertAlign val="superscript"/>
        <sz val="10"/>
        <color indexed="22"/>
        <rFont val="Arial"/>
        <family val="2"/>
      </rPr>
      <t>2</t>
    </r>
  </si>
  <si>
    <t>Resistance</t>
  </si>
  <si>
    <r>
      <rPr>
        <i/>
        <sz val="11"/>
        <rFont val="Times Roman Italic"/>
        <family val="1"/>
      </rPr>
      <t>ρ</t>
    </r>
    <r>
      <rPr>
        <vertAlign val="subscript"/>
        <sz val="10"/>
        <rFont val="Arial"/>
        <family val="2"/>
      </rPr>
      <t>b</t>
    </r>
    <r>
      <rPr>
        <sz val="10"/>
        <rFont val="Arial"/>
        <family val="2"/>
      </rPr>
      <t xml:space="preserve"> =</t>
    </r>
  </si>
  <si>
    <t>%</t>
  </si>
  <si>
    <r>
      <t>Min N</t>
    </r>
    <r>
      <rPr>
        <u/>
        <vertAlign val="subscript"/>
        <sz val="10"/>
        <rFont val="Arial"/>
        <family val="2"/>
      </rPr>
      <t>ed</t>
    </r>
  </si>
  <si>
    <r>
      <t>V</t>
    </r>
    <r>
      <rPr>
        <vertAlign val="subscript"/>
        <sz val="10"/>
        <rFont val="Arial"/>
        <family val="2"/>
      </rPr>
      <t>Rd,s</t>
    </r>
    <r>
      <rPr>
        <sz val="8"/>
        <rFont val="Arial"/>
        <family val="2"/>
      </rPr>
      <t xml:space="preserve"> (for cot</t>
    </r>
    <r>
      <rPr>
        <i/>
        <sz val="8"/>
        <rFont val="Times Roman Italic"/>
        <family val="1"/>
      </rPr>
      <t>θ</t>
    </r>
    <r>
      <rPr>
        <sz val="8"/>
        <rFont val="Arial"/>
        <family val="2"/>
      </rPr>
      <t>=1)</t>
    </r>
    <r>
      <rPr>
        <sz val="10"/>
        <rFont val="Times Roman Italic"/>
        <family val="1"/>
      </rPr>
      <t xml:space="preserve"> </t>
    </r>
    <r>
      <rPr>
        <sz val="11"/>
        <color theme="1"/>
        <rFont val="Calibri"/>
        <family val="2"/>
        <scheme val="minor"/>
      </rPr>
      <t>=</t>
    </r>
  </si>
  <si>
    <t>kN</t>
  </si>
  <si>
    <r>
      <t>(6.8)</t>
    </r>
    <r>
      <rPr>
        <sz val="11"/>
        <rFont val="Arial"/>
        <family val="2"/>
      </rPr>
      <t>*</t>
    </r>
  </si>
  <si>
    <t>Shear Reinforcement</t>
  </si>
  <si>
    <r>
      <t>V</t>
    </r>
    <r>
      <rPr>
        <vertAlign val="subscript"/>
        <sz val="10"/>
        <rFont val="Arial"/>
        <family val="2"/>
      </rPr>
      <t>Rd,max</t>
    </r>
    <r>
      <rPr>
        <sz val="8"/>
        <rFont val="Arial"/>
        <family val="2"/>
      </rPr>
      <t xml:space="preserve"> (for cot</t>
    </r>
    <r>
      <rPr>
        <i/>
        <sz val="8"/>
        <rFont val="Times Roman Italic"/>
        <family val="1"/>
      </rPr>
      <t>θ</t>
    </r>
    <r>
      <rPr>
        <sz val="8"/>
        <rFont val="Arial"/>
        <family val="2"/>
      </rPr>
      <t>=1)</t>
    </r>
    <r>
      <rPr>
        <sz val="10"/>
        <rFont val="Times Roman Italic"/>
        <family val="1"/>
      </rPr>
      <t xml:space="preserve"> </t>
    </r>
    <r>
      <rPr>
        <sz val="11"/>
        <color theme="1"/>
        <rFont val="Calibri"/>
        <family val="2"/>
        <scheme val="minor"/>
      </rPr>
      <t>=</t>
    </r>
  </si>
  <si>
    <r>
      <t>(6.9)</t>
    </r>
    <r>
      <rPr>
        <sz val="11"/>
        <rFont val="Arial"/>
        <family val="2"/>
      </rPr>
      <t>*</t>
    </r>
  </si>
  <si>
    <t>From</t>
  </si>
  <si>
    <t>m below top</t>
  </si>
  <si>
    <r>
      <rPr>
        <sz val="11"/>
        <color theme="1"/>
        <rFont val="Calibri"/>
        <family val="2"/>
        <scheme val="minor"/>
      </rPr>
      <t>cot</t>
    </r>
    <r>
      <rPr>
        <i/>
        <sz val="10"/>
        <rFont val="Times Roman Italic"/>
        <family val="1"/>
      </rPr>
      <t>θ</t>
    </r>
    <r>
      <rPr>
        <sz val="10"/>
        <rFont val="Times Roman Italic"/>
        <family val="1"/>
      </rPr>
      <t xml:space="preserve"> </t>
    </r>
    <r>
      <rPr>
        <sz val="11"/>
        <color theme="1"/>
        <rFont val="Calibri"/>
        <family val="2"/>
        <scheme val="minor"/>
      </rPr>
      <t>=</t>
    </r>
  </si>
  <si>
    <t>Type =</t>
  </si>
  <si>
    <r>
      <t>V</t>
    </r>
    <r>
      <rPr>
        <vertAlign val="subscript"/>
        <sz val="10"/>
        <rFont val="Arial"/>
        <family val="2"/>
      </rPr>
      <t>Rd</t>
    </r>
    <r>
      <rPr>
        <sz val="10"/>
        <rFont val="Times Roman Italic"/>
        <family val="1"/>
      </rPr>
      <t xml:space="preserve"> </t>
    </r>
    <r>
      <rPr>
        <sz val="11"/>
        <color theme="1"/>
        <rFont val="Calibri"/>
        <family val="2"/>
        <scheme val="minor"/>
      </rPr>
      <t>=</t>
    </r>
  </si>
  <si>
    <r>
      <t>Bar diameter, d</t>
    </r>
    <r>
      <rPr>
        <vertAlign val="subscript"/>
        <sz val="10"/>
        <rFont val="Arial"/>
        <family val="2"/>
      </rPr>
      <t>bv</t>
    </r>
    <r>
      <rPr>
        <sz val="10"/>
        <rFont val="Arial"/>
        <family val="2"/>
      </rPr>
      <t xml:space="preserve"> =</t>
    </r>
  </si>
  <si>
    <r>
      <t>V</t>
    </r>
    <r>
      <rPr>
        <vertAlign val="subscript"/>
        <sz val="10"/>
        <rFont val="Arial"/>
        <family val="2"/>
      </rPr>
      <t xml:space="preserve">Ed </t>
    </r>
    <r>
      <rPr>
        <sz val="10"/>
        <rFont val="Arial"/>
        <family val="2"/>
      </rPr>
      <t>/ V</t>
    </r>
    <r>
      <rPr>
        <vertAlign val="subscript"/>
        <sz val="10"/>
        <rFont val="Arial"/>
        <family val="2"/>
      </rPr>
      <t>Rd</t>
    </r>
    <r>
      <rPr>
        <sz val="10"/>
        <rFont val="Arial"/>
        <family val="2"/>
      </rPr>
      <t xml:space="preserve"> =</t>
    </r>
  </si>
  <si>
    <t>for 75% utilisation</t>
  </si>
  <si>
    <r>
      <t>mm</t>
    </r>
    <r>
      <rPr>
        <vertAlign val="superscript"/>
        <sz val="10"/>
        <rFont val="Arial"/>
        <family val="2"/>
      </rPr>
      <t>2</t>
    </r>
    <r>
      <rPr>
        <sz val="8"/>
        <rFont val="Arial"/>
        <family val="2"/>
      </rPr>
      <t>/ m</t>
    </r>
  </si>
  <si>
    <r>
      <t>m</t>
    </r>
    <r>
      <rPr>
        <vertAlign val="superscript"/>
        <sz val="10"/>
        <color indexed="22"/>
        <rFont val="Arial"/>
        <family val="2"/>
      </rPr>
      <t>2</t>
    </r>
    <r>
      <rPr>
        <sz val="10"/>
        <color indexed="22"/>
        <rFont val="Arial"/>
        <family val="2"/>
      </rPr>
      <t>/m</t>
    </r>
  </si>
  <si>
    <r>
      <t>Max N</t>
    </r>
    <r>
      <rPr>
        <u/>
        <vertAlign val="subscript"/>
        <sz val="10"/>
        <rFont val="Arial"/>
        <family val="2"/>
      </rPr>
      <t>ed</t>
    </r>
  </si>
  <si>
    <t>Design Values</t>
  </si>
  <si>
    <r>
      <t>V</t>
    </r>
    <r>
      <rPr>
        <vertAlign val="subscript"/>
        <sz val="10"/>
        <rFont val="Arial"/>
        <family val="2"/>
      </rPr>
      <t>Ed</t>
    </r>
    <r>
      <rPr>
        <sz val="10"/>
        <rFont val="Arial"/>
        <family val="2"/>
      </rPr>
      <t xml:space="preserve"> =</t>
    </r>
  </si>
  <si>
    <t>MN</t>
  </si>
  <si>
    <r>
      <t>M</t>
    </r>
    <r>
      <rPr>
        <vertAlign val="subscript"/>
        <sz val="10"/>
        <rFont val="Arial"/>
        <family val="2"/>
      </rPr>
      <t xml:space="preserve">Ed </t>
    </r>
    <r>
      <rPr>
        <sz val="10"/>
        <rFont val="Arial"/>
        <family val="2"/>
      </rPr>
      <t>/ M</t>
    </r>
    <r>
      <rPr>
        <vertAlign val="subscript"/>
        <sz val="10"/>
        <rFont val="Arial"/>
        <family val="2"/>
      </rPr>
      <t>Rd</t>
    </r>
    <r>
      <rPr>
        <sz val="10"/>
        <rFont val="Arial"/>
        <family val="2"/>
      </rPr>
      <t xml:space="preserve"> =</t>
    </r>
  </si>
  <si>
    <r>
      <t>N</t>
    </r>
    <r>
      <rPr>
        <vertAlign val="subscript"/>
        <sz val="10"/>
        <rFont val="Arial"/>
        <family val="2"/>
      </rPr>
      <t>Ed</t>
    </r>
    <r>
      <rPr>
        <sz val="10"/>
        <rFont val="Arial"/>
        <family val="2"/>
      </rPr>
      <t xml:space="preserve"> =</t>
    </r>
  </si>
  <si>
    <r>
      <t xml:space="preserve">kN  </t>
    </r>
    <r>
      <rPr>
        <sz val="8"/>
        <color indexed="60"/>
        <rFont val="Arial"/>
        <family val="2"/>
      </rPr>
      <t xml:space="preserve"> (compression positive)</t>
    </r>
  </si>
  <si>
    <r>
      <rPr>
        <sz val="10"/>
        <rFont val="Times Roman Italic"/>
        <family val="1"/>
      </rPr>
      <t>σ</t>
    </r>
    <r>
      <rPr>
        <vertAlign val="subscript"/>
        <sz val="9"/>
        <rFont val="Arial"/>
        <family val="2"/>
      </rPr>
      <t>cp</t>
    </r>
    <r>
      <rPr>
        <sz val="9"/>
        <rFont val="Arial"/>
        <family val="2"/>
      </rPr>
      <t xml:space="preserve"> =</t>
    </r>
  </si>
  <si>
    <t>DETAILING RULES</t>
  </si>
  <si>
    <r>
      <rPr>
        <sz val="10"/>
        <rFont val="Times Roman Italic"/>
        <family val="1"/>
      </rPr>
      <t>α</t>
    </r>
    <r>
      <rPr>
        <vertAlign val="subscript"/>
        <sz val="9"/>
        <rFont val="Arial"/>
        <family val="2"/>
      </rPr>
      <t>cw</t>
    </r>
  </si>
  <si>
    <t>Minimum shear reinforcement check</t>
  </si>
  <si>
    <t>6.2.1(4)</t>
  </si>
  <si>
    <r>
      <rPr>
        <i/>
        <sz val="11"/>
        <rFont val="Times Bold Italic"/>
        <family val="1"/>
      </rPr>
      <t>ρ</t>
    </r>
    <r>
      <rPr>
        <vertAlign val="subscript"/>
        <sz val="10"/>
        <rFont val="Arial"/>
        <family val="2"/>
      </rPr>
      <t>w,min</t>
    </r>
    <r>
      <rPr>
        <sz val="10"/>
        <rFont val="Times Roman Italic"/>
        <family val="1"/>
      </rPr>
      <t xml:space="preserve"> </t>
    </r>
    <r>
      <rPr>
        <sz val="11"/>
        <color theme="1"/>
        <rFont val="Calibri"/>
        <family val="2"/>
        <scheme val="minor"/>
      </rPr>
      <t>=</t>
    </r>
  </si>
  <si>
    <t>(9.5)</t>
  </si>
  <si>
    <r>
      <rPr>
        <i/>
        <sz val="11"/>
        <rFont val="Times Bold Italic"/>
        <family val="1"/>
      </rPr>
      <t>ρ</t>
    </r>
    <r>
      <rPr>
        <i/>
        <vertAlign val="subscript"/>
        <sz val="10"/>
        <rFont val="Arial"/>
        <family val="2"/>
      </rPr>
      <t>w</t>
    </r>
    <r>
      <rPr>
        <i/>
        <sz val="10"/>
        <rFont val="Arial"/>
        <family val="2"/>
      </rPr>
      <t xml:space="preserve"> </t>
    </r>
    <r>
      <rPr>
        <sz val="11"/>
        <color theme="1"/>
        <rFont val="Calibri"/>
        <family val="2"/>
        <scheme val="minor"/>
      </rPr>
      <t>=</t>
    </r>
  </si>
  <si>
    <r>
      <t>(9.4)</t>
    </r>
    <r>
      <rPr>
        <sz val="11"/>
        <rFont val="Arial"/>
        <family val="2"/>
      </rPr>
      <t>*</t>
    </r>
  </si>
  <si>
    <r>
      <rPr>
        <i/>
        <sz val="11"/>
        <rFont val="Times Bold Italic"/>
        <family val="1"/>
      </rPr>
      <t>ρ</t>
    </r>
    <r>
      <rPr>
        <i/>
        <vertAlign val="subscript"/>
        <sz val="10"/>
        <rFont val="Arial"/>
        <family val="2"/>
      </rPr>
      <t>w</t>
    </r>
    <r>
      <rPr>
        <i/>
        <sz val="10"/>
        <rFont val="Arial"/>
        <family val="2"/>
      </rPr>
      <t xml:space="preserve"> / </t>
    </r>
    <r>
      <rPr>
        <i/>
        <sz val="11"/>
        <rFont val="Times Bold Italic"/>
        <family val="1"/>
      </rPr>
      <t>ρ</t>
    </r>
    <r>
      <rPr>
        <vertAlign val="subscript"/>
        <sz val="10"/>
        <rFont val="Arial"/>
        <family val="2"/>
      </rPr>
      <t>w,min</t>
    </r>
    <r>
      <rPr>
        <i/>
        <sz val="10"/>
        <rFont val="Arial"/>
        <family val="2"/>
      </rPr>
      <t xml:space="preserve"> </t>
    </r>
    <r>
      <rPr>
        <sz val="11"/>
        <color theme="1"/>
        <rFont val="Calibri"/>
        <family val="2"/>
        <scheme val="minor"/>
      </rPr>
      <t>=</t>
    </r>
  </si>
  <si>
    <t>Extra longitudinal force =</t>
  </si>
  <si>
    <t>CHECK PITCH:</t>
  </si>
  <si>
    <t>BAFO design reinforcement rates</t>
  </si>
  <si>
    <t>Back Piles ( = Zones A, C, E)</t>
  </si>
  <si>
    <t>Front Piles ( = Zones B, D, F)</t>
  </si>
  <si>
    <t>Depth acting from (m)</t>
  </si>
  <si>
    <t>Weight of steel (kg/m3)</t>
  </si>
  <si>
    <t>Weight of steel (kg/m)</t>
  </si>
  <si>
    <t>Weight of steel (kg)</t>
  </si>
  <si>
    <t>kg</t>
  </si>
  <si>
    <t>Front Pile Weight (Zones B,D,F)</t>
  </si>
  <si>
    <t>Back Pile Weight (Zones A,C,E)</t>
  </si>
  <si>
    <t>Total kg</t>
  </si>
  <si>
    <t>Unit weight of steel reinforcement</t>
  </si>
  <si>
    <t>kg/m3</t>
  </si>
  <si>
    <t>BAFO design steel</t>
  </si>
  <si>
    <t>-</t>
  </si>
  <si>
    <t>Pile Diameter</t>
  </si>
  <si>
    <t>Design</t>
  </si>
  <si>
    <t>of BAFO design steel</t>
  </si>
  <si>
    <t>Toe of Pile (assumed)</t>
  </si>
  <si>
    <t>Link diameter (+10% lap)</t>
  </si>
  <si>
    <t>All piles avg. length</t>
  </si>
  <si>
    <t>Zone A</t>
  </si>
  <si>
    <t>Individual Zone A piles</t>
  </si>
  <si>
    <t>Zone A Pile lengths</t>
  </si>
  <si>
    <t>Pile Cut-off Level (mCD)</t>
  </si>
  <si>
    <t>Envisaged Rockhead Level (mCD)</t>
  </si>
  <si>
    <t>Minimum Rock Socket Length (mm)</t>
  </si>
  <si>
    <t>Total length (m)</t>
  </si>
  <si>
    <t>Concrete, fck (N/mm2)</t>
  </si>
  <si>
    <t>Longitudinal Reinforcement</t>
  </si>
  <si>
    <t>WQ-P01</t>
  </si>
  <si>
    <t>+3.965</t>
  </si>
  <si>
    <t>Dia. (mm)</t>
  </si>
  <si>
    <t>No.</t>
  </si>
  <si>
    <t>Utilisation</t>
  </si>
  <si>
    <t>Spacing (mm)</t>
  </si>
  <si>
    <t>WQ-P03</t>
  </si>
  <si>
    <t>+</t>
  </si>
  <si>
    <t>WQ-P05</t>
  </si>
  <si>
    <t>WQ-P07</t>
  </si>
  <si>
    <t>WQ-P43</t>
  </si>
  <si>
    <t>WQ-P45</t>
  </si>
  <si>
    <t>WQ-P47</t>
  </si>
  <si>
    <t>WQ-P49</t>
  </si>
  <si>
    <t>=</t>
  </si>
  <si>
    <t>Zone B</t>
  </si>
  <si>
    <t>Zone B Pile lengths</t>
  </si>
  <si>
    <t>Depth acting from</t>
  </si>
  <si>
    <t>Individual Zone B piles</t>
  </si>
  <si>
    <t>WQ-P02</t>
  </si>
  <si>
    <t>+3.765</t>
  </si>
  <si>
    <t>WQ-P04</t>
  </si>
  <si>
    <t>WQ-P06</t>
  </si>
  <si>
    <t>WQ-P08</t>
  </si>
  <si>
    <t>WQ-P44</t>
  </si>
  <si>
    <t>WQ-P46</t>
  </si>
  <si>
    <t>WQ-P48</t>
  </si>
  <si>
    <t>WQ-P50</t>
  </si>
  <si>
    <t>Zone C</t>
  </si>
  <si>
    <t>Zone C Pile lengths</t>
  </si>
  <si>
    <t>Number of Zone C Piles</t>
  </si>
  <si>
    <t>WQ-P09</t>
  </si>
  <si>
    <t>WQ-P11</t>
  </si>
  <si>
    <t>WQ-P13</t>
  </si>
  <si>
    <t>WQ-P37</t>
  </si>
  <si>
    <t>WQ-P39</t>
  </si>
  <si>
    <t>WQ-P41</t>
  </si>
  <si>
    <t>Zone D Pile lengths</t>
  </si>
  <si>
    <t>Zone D</t>
  </si>
  <si>
    <t>WQ-P10</t>
  </si>
  <si>
    <t>Number of Zone D Piles</t>
  </si>
  <si>
    <t>WQ-P12</t>
  </si>
  <si>
    <t>WQ-P14</t>
  </si>
  <si>
    <t>WQ-P38</t>
  </si>
  <si>
    <t>WQ-P40</t>
  </si>
  <si>
    <t>WQ-P42</t>
  </si>
  <si>
    <t>Zone E</t>
  </si>
  <si>
    <t>Zone E Pile lengths</t>
  </si>
  <si>
    <t>Number of Zone E Piles</t>
  </si>
  <si>
    <t>WQ-P15</t>
  </si>
  <si>
    <t>WQ-P17</t>
  </si>
  <si>
    <t>WQ-P19</t>
  </si>
  <si>
    <t>WQ-P21</t>
  </si>
  <si>
    <t>WQ-P23</t>
  </si>
  <si>
    <t>WQ-P25</t>
  </si>
  <si>
    <t>WQ-P27</t>
  </si>
  <si>
    <t>WQ-P29</t>
  </si>
  <si>
    <t>WQ-P31</t>
  </si>
  <si>
    <t>WQ-P33</t>
  </si>
  <si>
    <t>WQ-P35</t>
  </si>
  <si>
    <t>Zone F Pile lengths</t>
  </si>
  <si>
    <t>Zone F</t>
  </si>
  <si>
    <t>WQ-P16</t>
  </si>
  <si>
    <t>Number of Zone F Piles</t>
  </si>
  <si>
    <t>WQ-P18</t>
  </si>
  <si>
    <t>WQ-P20</t>
  </si>
  <si>
    <t>WQ-P22</t>
  </si>
  <si>
    <t>WQ-P24</t>
  </si>
  <si>
    <t>WQ-P26</t>
  </si>
  <si>
    <t>WQ-P28</t>
  </si>
  <si>
    <t>WQ-P30</t>
  </si>
  <si>
    <t>WQ-P32</t>
  </si>
  <si>
    <t>WQ-P34</t>
  </si>
  <si>
    <t>WQ-P36</t>
  </si>
  <si>
    <t>Front Pile Weight (Zones A,C,E)</t>
  </si>
  <si>
    <t>Back Pile Weight (Zones B,D,F)</t>
  </si>
  <si>
    <t>North quay</t>
  </si>
  <si>
    <t>West Quay</t>
  </si>
  <si>
    <t>Toatal of all piles</t>
  </si>
  <si>
    <t>Number of Zone A Piles</t>
  </si>
  <si>
    <t>Number of Zone B Piles</t>
  </si>
  <si>
    <t>Mass of Steel Reinforcement Calculation</t>
  </si>
  <si>
    <t>Average Depth of Pile</t>
  </si>
  <si>
    <t>The following is a summary based on JCM review of IFIR and Rev02 steel design. It is not based on calculation and is not numerically related to rev 03</t>
  </si>
  <si>
    <t>Total</t>
  </si>
  <si>
    <t>Weight (kg)</t>
  </si>
  <si>
    <t>% BAFO steel</t>
  </si>
  <si>
    <t>% IFIR steel</t>
  </si>
  <si>
    <t>IFIR design steel</t>
  </si>
  <si>
    <t>Reinf per pile</t>
  </si>
  <si>
    <t>of IFIR design steel</t>
  </si>
  <si>
    <t xml:space="preserve">Total number of WQ piles = </t>
  </si>
  <si>
    <t xml:space="preserve">Total weight of steel in WQ piles = </t>
  </si>
  <si>
    <t>spiral</t>
  </si>
  <si>
    <t>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</si>
</sst>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00"/>
    <numFmt numFmtId="165" formatCode="#,#00"/>
    <numFmt numFmtId="166" formatCode="0.0"/>
    <numFmt numFmtId="167" formatCode="0.0000"/>
    <numFmt numFmtId="168" formatCode="0.0%"/>
    <numFmt numFmtId="169" formatCode="_-* #,##0_-;\-* #,##0_-;_-* &quot;-&quot;??_-;_-@_-"/>
  </numFmts>
  <fonts count="61">
    <font>
      <sz val="11"/>
      <color theme="1"/>
      <name val="Calibri"/>
      <family val="2"/>
      <scheme val="minor"/>
    </font>
    <font>
      <b/>
      <u/>
      <sz val="14"/>
      <color theme="1"/>
      <name val="Calibri"/>
      <family val="2"/>
      <scheme val="minor"/>
    </font>
    <font>
      <b/>
      <u/>
      <sz val="11"/>
      <color theme="1"/>
      <name val="Calibri"/>
      <family val="2"/>
      <scheme val="minor"/>
    </font>
    <font>
      <sz val="11"/>
      <color rgb="FF3F3F76"/>
      <name val="Calibri"/>
      <family val="2"/>
      <scheme val="minor"/>
    </font>
    <font>
      <sz val="10"/>
      <name val="Arial"/>
      <family val="2"/>
    </font>
    <font>
      <u/>
      <sz val="10"/>
      <color theme="10"/>
      <name val="Arial"/>
      <family val="2"/>
    </font>
    <font>
      <u/>
      <sz val="10"/>
      <name val="Arial"/>
      <family val="2"/>
    </font>
    <font>
      <vertAlign val="subscript"/>
      <sz val="10"/>
      <name val="Arial"/>
      <family val="2"/>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Arial"/>
      <family val="2"/>
    </font>
    <font>
      <sz val="9"/>
      <name val="Arial"/>
      <family val="2"/>
    </font>
    <font>
      <b/>
      <sz val="9"/>
      <name val="Arial"/>
      <family val="2"/>
    </font>
    <font>
      <b/>
      <sz val="9"/>
      <color rgb="FF0D01FF"/>
      <name val="Arial"/>
      <family val="2"/>
    </font>
    <font>
      <b/>
      <sz val="9"/>
      <color theme="5" tint="-0.249977111117893"/>
      <name val="Arial"/>
      <family val="2"/>
    </font>
    <font>
      <b/>
      <sz val="9"/>
      <color rgb="FFFF0000"/>
      <name val="Arial"/>
      <family val="2"/>
    </font>
    <font>
      <sz val="9"/>
      <color theme="9" tint="-0.499984740745262"/>
      <name val="Arial"/>
      <family val="2"/>
    </font>
    <font>
      <u/>
      <sz val="9"/>
      <color indexed="60"/>
      <name val="Arial"/>
      <family val="2"/>
    </font>
    <font>
      <sz val="9"/>
      <color indexed="60"/>
      <name val="Arial"/>
      <family val="2"/>
    </font>
    <font>
      <i/>
      <sz val="10"/>
      <color indexed="60"/>
      <name val="Times Roman Italic"/>
      <family val="1"/>
    </font>
    <font>
      <b/>
      <sz val="10"/>
      <name val="Arial"/>
      <family val="2"/>
    </font>
    <font>
      <sz val="14"/>
      <color indexed="60"/>
      <name val="Arial"/>
      <family val="2"/>
    </font>
    <font>
      <i/>
      <sz val="8"/>
      <name val="Arial"/>
      <family val="2"/>
    </font>
    <font>
      <sz val="10"/>
      <color rgb="FF0D01FF"/>
      <name val="Arial"/>
      <family val="2"/>
    </font>
    <font>
      <b/>
      <sz val="10"/>
      <color rgb="FF0D01FF"/>
      <name val="Arial"/>
      <family val="2"/>
    </font>
    <font>
      <sz val="10"/>
      <color theme="0" tint="-0.14999847407452621"/>
      <name val="Arial"/>
      <family val="2"/>
    </font>
    <font>
      <vertAlign val="superscript"/>
      <sz val="8"/>
      <name val="Arial"/>
      <family val="2"/>
    </font>
    <font>
      <vertAlign val="superscript"/>
      <sz val="8"/>
      <color indexed="22"/>
      <name val="Arial"/>
      <family val="2"/>
    </font>
    <font>
      <sz val="11"/>
      <name val="Times New Roman"/>
      <family val="1"/>
    </font>
    <font>
      <b/>
      <sz val="10"/>
      <color theme="5" tint="-0.249977111117893"/>
      <name val="Arial"/>
      <family val="2"/>
    </font>
    <font>
      <sz val="12"/>
      <name val="Times New Roman"/>
      <family val="1"/>
    </font>
    <font>
      <sz val="10"/>
      <name val="Times Roman Italic"/>
      <family val="1"/>
    </font>
    <font>
      <vertAlign val="subscript"/>
      <sz val="9"/>
      <name val="Arial"/>
      <family val="2"/>
    </font>
    <font>
      <vertAlign val="superscript"/>
      <sz val="10"/>
      <name val="Arial"/>
      <family val="2"/>
    </font>
    <font>
      <vertAlign val="superscript"/>
      <sz val="10"/>
      <color indexed="22"/>
      <name val="Arial"/>
      <family val="2"/>
    </font>
    <font>
      <i/>
      <sz val="11"/>
      <name val="Times Roman Italic"/>
      <family val="1"/>
    </font>
    <font>
      <i/>
      <sz val="8"/>
      <name val="Times Roman Italic"/>
      <family val="1"/>
    </font>
    <font>
      <sz val="11"/>
      <name val="Arial"/>
      <family val="2"/>
    </font>
    <font>
      <i/>
      <sz val="10"/>
      <name val="Times Roman Italic"/>
      <family val="1"/>
    </font>
    <font>
      <b/>
      <sz val="12"/>
      <color rgb="FF0D01FF"/>
      <name val="Arial"/>
      <family val="2"/>
    </font>
    <font>
      <i/>
      <sz val="10"/>
      <name val="Arial"/>
      <family val="2"/>
    </font>
    <font>
      <sz val="10"/>
      <color indexed="22"/>
      <name val="Arial"/>
      <family val="2"/>
    </font>
    <font>
      <sz val="10"/>
      <color rgb="FFC00000"/>
      <name val="Arial"/>
      <family val="2"/>
    </font>
    <font>
      <sz val="10"/>
      <color theme="9" tint="-0.249977111117893"/>
      <name val="Arial"/>
      <family val="2"/>
    </font>
    <font>
      <i/>
      <sz val="11"/>
      <name val="Times Bold Italic"/>
      <family val="1"/>
    </font>
    <font>
      <i/>
      <vertAlign val="subscript"/>
      <sz val="10"/>
      <name val="Arial"/>
      <family val="2"/>
    </font>
    <font>
      <sz val="10"/>
      <color theme="0" tint="-0.24994659260841701"/>
      <name val="Arial"/>
      <family val="2"/>
    </font>
    <font>
      <sz val="8"/>
      <color indexed="60"/>
      <name val="Arial"/>
      <family val="2"/>
    </font>
    <font>
      <sz val="8"/>
      <color theme="9" tint="-0.499984740745262"/>
      <name val="Arial"/>
      <family val="2"/>
    </font>
    <font>
      <u/>
      <sz val="12"/>
      <color indexed="56"/>
      <name val="Arial"/>
      <family val="2"/>
    </font>
    <font>
      <u/>
      <sz val="8"/>
      <color indexed="10"/>
      <name val="Arial"/>
      <family val="2"/>
    </font>
    <font>
      <sz val="10"/>
      <color indexed="10"/>
      <name val="Arial"/>
      <family val="2"/>
    </font>
    <font>
      <b/>
      <sz val="10"/>
      <color indexed="10"/>
      <name val="Arial"/>
      <family val="2"/>
    </font>
    <font>
      <u/>
      <vertAlign val="subscript"/>
      <sz val="10"/>
      <name val="Arial"/>
      <family val="2"/>
    </font>
    <font>
      <sz val="11"/>
      <color rgb="FFFF0000"/>
      <name val="Calibri"/>
      <family val="2"/>
      <scheme val="minor"/>
    </font>
    <font>
      <u/>
      <sz val="12"/>
      <color theme="1"/>
      <name val="Arial"/>
      <family val="2"/>
    </font>
    <font>
      <sz val="11"/>
      <name val="Calibri"/>
      <family val="2"/>
      <scheme val="minor"/>
    </font>
    <font>
      <b/>
      <sz val="11"/>
      <color rgb="FF0D01FF"/>
      <name val="Arial"/>
      <family val="2"/>
    </font>
    <font>
      <sz val="28"/>
      <color theme="1"/>
      <name val="Calibri"/>
      <family val="2"/>
      <scheme val="minor"/>
    </font>
  </fonts>
  <fills count="11">
    <fill>
      <patternFill patternType="none"/>
    </fill>
    <fill>
      <patternFill patternType="gray125"/>
    </fill>
    <fill>
      <patternFill patternType="solid">
        <fgColor rgb="FFFFCC99"/>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2">
    <xf numFmtId="0" fontId="0" fillId="0" borderId="0"/>
    <xf numFmtId="0" fontId="3" fillId="2" borderId="2" applyNumberFormat="0" applyAlignment="0" applyProtection="0"/>
    <xf numFmtId="0" fontId="4" fillId="0" borderId="0"/>
    <xf numFmtId="0" fontId="5" fillId="0" borderId="0" applyNumberForma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8" fillId="0" borderId="0"/>
    <xf numFmtId="9" fontId="4" fillId="0" borderId="0" applyFont="0" applyFill="0" applyBorder="0" applyAlignment="0" applyProtection="0"/>
    <xf numFmtId="0" fontId="4" fillId="0" borderId="0"/>
    <xf numFmtId="0" fontId="4" fillId="0" borderId="0"/>
    <xf numFmtId="43" fontId="8" fillId="0" borderId="0" applyFont="0" applyFill="0" applyBorder="0" applyAlignment="0" applyProtection="0"/>
    <xf numFmtId="43" fontId="8" fillId="0" borderId="0" applyFont="0" applyFill="0" applyBorder="0" applyAlignment="0" applyProtection="0"/>
  </cellStyleXfs>
  <cellXfs count="157">
    <xf numFmtId="0" fontId="0" fillId="0" borderId="0" xfId="0"/>
    <xf numFmtId="0" fontId="1" fillId="0" borderId="0" xfId="0" applyFont="1"/>
    <xf numFmtId="0" fontId="2" fillId="0" borderId="0" xfId="0" applyFont="1"/>
    <xf numFmtId="0" fontId="0" fillId="0" borderId="1" xfId="0" applyBorder="1"/>
    <xf numFmtId="0" fontId="4" fillId="0" borderId="0" xfId="2"/>
    <xf numFmtId="0" fontId="3" fillId="2" borderId="2" xfId="1"/>
    <xf numFmtId="0" fontId="4" fillId="0" borderId="0" xfId="2" applyAlignment="1">
      <alignment vertical="top"/>
    </xf>
    <xf numFmtId="0" fontId="13" fillId="0" borderId="9" xfId="2" applyFont="1" applyBorder="1"/>
    <xf numFmtId="0" fontId="14" fillId="3" borderId="10" xfId="2" applyFont="1" applyFill="1" applyBorder="1" applyAlignment="1">
      <alignment horizontal="center"/>
    </xf>
    <xf numFmtId="0" fontId="15" fillId="3" borderId="11" xfId="2" applyFont="1" applyFill="1" applyBorder="1" applyAlignment="1">
      <alignment horizontal="center"/>
    </xf>
    <xf numFmtId="0" fontId="16" fillId="3" borderId="12" xfId="2" applyFont="1" applyFill="1" applyBorder="1" applyAlignment="1">
      <alignment horizontal="center"/>
    </xf>
    <xf numFmtId="0" fontId="12" fillId="0" borderId="0" xfId="2" applyFont="1" applyAlignment="1">
      <alignment horizontal="right"/>
    </xf>
    <xf numFmtId="0" fontId="13" fillId="0" borderId="13" xfId="2" applyFont="1" applyBorder="1"/>
    <xf numFmtId="0" fontId="13" fillId="4" borderId="14" xfId="2" applyFont="1" applyFill="1" applyBorder="1" applyAlignment="1">
      <alignment horizontal="center"/>
    </xf>
    <xf numFmtId="0" fontId="13" fillId="5" borderId="15" xfId="2" applyFont="1" applyFill="1" applyBorder="1" applyAlignment="1">
      <alignment horizontal="center"/>
    </xf>
    <xf numFmtId="0" fontId="17" fillId="6" borderId="16" xfId="2" applyFont="1" applyFill="1" applyBorder="1" applyAlignment="1">
      <alignment horizontal="center"/>
    </xf>
    <xf numFmtId="0" fontId="18" fillId="0" borderId="0" xfId="2" quotePrefix="1" applyFont="1" applyAlignment="1">
      <alignment horizontal="left" indent="2"/>
    </xf>
    <xf numFmtId="0" fontId="22" fillId="0" borderId="4" xfId="2" applyFont="1" applyBorder="1" applyAlignment="1">
      <alignment vertical="top"/>
    </xf>
    <xf numFmtId="0" fontId="4" fillId="0" borderId="5" xfId="2" applyBorder="1"/>
    <xf numFmtId="0" fontId="4" fillId="0" borderId="6" xfId="2" applyBorder="1"/>
    <xf numFmtId="0" fontId="4" fillId="0" borderId="7" xfId="2" applyBorder="1"/>
    <xf numFmtId="0" fontId="4" fillId="0" borderId="8" xfId="2" applyBorder="1"/>
    <xf numFmtId="0" fontId="22" fillId="0" borderId="4" xfId="2" applyFont="1" applyBorder="1" applyAlignment="1">
      <alignment vertical="center"/>
    </xf>
    <xf numFmtId="0" fontId="22" fillId="0" borderId="5" xfId="2" applyFont="1" applyBorder="1" applyAlignment="1">
      <alignment vertical="center"/>
    </xf>
    <xf numFmtId="0" fontId="4" fillId="0" borderId="5" xfId="2" applyBorder="1" applyAlignment="1">
      <alignment vertical="center"/>
    </xf>
    <xf numFmtId="0" fontId="24" fillId="0" borderId="6" xfId="2" applyFont="1" applyBorder="1" applyAlignment="1">
      <alignment horizontal="right" vertical="center"/>
    </xf>
    <xf numFmtId="0" fontId="12" fillId="0" borderId="0" xfId="2" applyFont="1" applyAlignment="1">
      <alignment horizontal="right" vertical="center"/>
    </xf>
    <xf numFmtId="0" fontId="4" fillId="0" borderId="7" xfId="2" applyBorder="1" applyAlignment="1">
      <alignment vertical="center"/>
    </xf>
    <xf numFmtId="0" fontId="4" fillId="0" borderId="0" xfId="2" applyAlignment="1">
      <alignment vertical="center"/>
    </xf>
    <xf numFmtId="0" fontId="4" fillId="0" borderId="8" xfId="2" applyBorder="1" applyAlignment="1">
      <alignment vertical="center"/>
    </xf>
    <xf numFmtId="0" fontId="6" fillId="0" borderId="7" xfId="2" applyFont="1" applyBorder="1" applyAlignment="1">
      <alignment vertical="center"/>
    </xf>
    <xf numFmtId="0" fontId="6" fillId="0" borderId="0" xfId="2" applyFont="1" applyAlignment="1">
      <alignment vertical="center"/>
    </xf>
    <xf numFmtId="0" fontId="25" fillId="0" borderId="0" xfId="2" applyFont="1" applyAlignment="1">
      <alignment vertical="center"/>
    </xf>
    <xf numFmtId="0" fontId="12" fillId="0" borderId="0" xfId="2" applyFont="1" applyAlignment="1">
      <alignment vertical="center"/>
    </xf>
    <xf numFmtId="0" fontId="4" fillId="0" borderId="7" xfId="2" applyBorder="1" applyAlignment="1">
      <alignment horizontal="right" vertical="center" indent="1"/>
    </xf>
    <xf numFmtId="0" fontId="4" fillId="0" borderId="0" xfId="2" applyAlignment="1">
      <alignment horizontal="right" vertical="center" indent="1"/>
    </xf>
    <xf numFmtId="1" fontId="26" fillId="3" borderId="1" xfId="2" applyNumberFormat="1" applyFont="1" applyFill="1" applyBorder="1" applyAlignment="1" applyProtection="1">
      <alignment horizontal="right" vertical="center" indent="1"/>
      <protection locked="0"/>
    </xf>
    <xf numFmtId="0" fontId="12" fillId="0" borderId="0" xfId="2" applyFont="1" applyAlignment="1">
      <alignment horizontal="left" vertical="center" indent="1"/>
    </xf>
    <xf numFmtId="164" fontId="27" fillId="0" borderId="0" xfId="2" applyNumberFormat="1" applyFont="1" applyAlignment="1">
      <alignment horizontal="right" vertical="center"/>
    </xf>
    <xf numFmtId="0" fontId="27" fillId="0" borderId="8" xfId="2" applyFont="1" applyBorder="1" applyAlignment="1">
      <alignment vertical="center"/>
    </xf>
    <xf numFmtId="0" fontId="26" fillId="3" borderId="1" xfId="2" applyFont="1" applyFill="1" applyBorder="1" applyAlignment="1" applyProtection="1">
      <alignment horizontal="right" vertical="center" indent="1"/>
      <protection locked="0"/>
    </xf>
    <xf numFmtId="165" fontId="4" fillId="0" borderId="0" xfId="2" applyNumberFormat="1" applyAlignment="1">
      <alignment horizontal="right" vertical="center" indent="1"/>
    </xf>
    <xf numFmtId="1" fontId="4" fillId="0" borderId="0" xfId="2" applyNumberFormat="1" applyAlignment="1">
      <alignment horizontal="right" vertical="center" indent="1"/>
    </xf>
    <xf numFmtId="2" fontId="31" fillId="3" borderId="1" xfId="2" applyNumberFormat="1" applyFont="1" applyFill="1" applyBorder="1" applyAlignment="1" applyProtection="1">
      <alignment horizontal="right" vertical="center" indent="1"/>
      <protection locked="0"/>
    </xf>
    <xf numFmtId="0" fontId="18" fillId="0" borderId="0" xfId="2" applyFont="1" applyAlignment="1">
      <alignment horizontal="left" vertical="center" indent="1"/>
    </xf>
    <xf numFmtId="0" fontId="12" fillId="0" borderId="8" xfId="2" applyFont="1" applyBorder="1" applyAlignment="1">
      <alignment horizontal="right" vertical="center"/>
    </xf>
    <xf numFmtId="2" fontId="4" fillId="0" borderId="0" xfId="2" applyNumberFormat="1" applyAlignment="1">
      <alignment vertical="center"/>
    </xf>
    <xf numFmtId="0" fontId="4" fillId="0" borderId="17" xfId="2" applyBorder="1" applyAlignment="1">
      <alignment vertical="center"/>
    </xf>
    <xf numFmtId="0" fontId="4" fillId="0" borderId="18" xfId="2" applyBorder="1" applyAlignment="1">
      <alignment vertical="center"/>
    </xf>
    <xf numFmtId="0" fontId="4" fillId="0" borderId="19" xfId="2" applyBorder="1" applyAlignment="1">
      <alignment vertical="center"/>
    </xf>
    <xf numFmtId="0" fontId="13" fillId="0" borderId="0" xfId="2" applyFont="1" applyAlignment="1">
      <alignment horizontal="right" vertical="center" indent="1"/>
    </xf>
    <xf numFmtId="164" fontId="4" fillId="0" borderId="0" xfId="2" applyNumberFormat="1"/>
    <xf numFmtId="164" fontId="4" fillId="0" borderId="0" xfId="2" applyNumberFormat="1" applyAlignment="1">
      <alignment vertical="center"/>
    </xf>
    <xf numFmtId="0" fontId="31" fillId="3" borderId="1" xfId="2" applyFont="1" applyFill="1" applyBorder="1" applyAlignment="1" applyProtection="1">
      <alignment horizontal="right" vertical="center" indent="1"/>
      <protection locked="0"/>
    </xf>
    <xf numFmtId="166" fontId="4" fillId="0" borderId="0" xfId="2" applyNumberFormat="1" applyAlignment="1">
      <alignment vertical="center"/>
    </xf>
    <xf numFmtId="0" fontId="4" fillId="0" borderId="7" xfId="2" applyBorder="1" applyAlignment="1">
      <alignment horizontal="left" vertical="center" indent="1"/>
    </xf>
    <xf numFmtId="2" fontId="4" fillId="4" borderId="1" xfId="2" applyNumberFormat="1" applyFill="1" applyBorder="1" applyAlignment="1">
      <alignment horizontal="right" vertical="center" indent="1"/>
    </xf>
    <xf numFmtId="1" fontId="4" fillId="0" borderId="0" xfId="2" applyNumberFormat="1" applyAlignment="1">
      <alignment vertical="center"/>
    </xf>
    <xf numFmtId="0" fontId="27" fillId="0" borderId="0" xfId="2" applyFont="1" applyAlignment="1">
      <alignment vertical="center"/>
    </xf>
    <xf numFmtId="0" fontId="4" fillId="0" borderId="0" xfId="2" applyAlignment="1">
      <alignment horizontal="left" vertical="center" indent="1"/>
    </xf>
    <xf numFmtId="167" fontId="4" fillId="0" borderId="0" xfId="2" applyNumberFormat="1" applyAlignment="1">
      <alignment vertical="center"/>
    </xf>
    <xf numFmtId="0" fontId="41" fillId="3" borderId="20" xfId="2" applyFont="1" applyFill="1" applyBorder="1" applyAlignment="1" applyProtection="1">
      <alignment horizontal="right" vertical="center" indent="1"/>
      <protection locked="0"/>
    </xf>
    <xf numFmtId="0" fontId="27" fillId="0" borderId="0" xfId="2" applyFont="1" applyAlignment="1">
      <alignment horizontal="right" vertical="center" indent="1"/>
    </xf>
    <xf numFmtId="0" fontId="26" fillId="3" borderId="22" xfId="2" applyFont="1" applyFill="1" applyBorder="1" applyAlignment="1" applyProtection="1">
      <alignment horizontal="right" vertical="center" indent="1"/>
      <protection locked="0"/>
    </xf>
    <xf numFmtId="1" fontId="26" fillId="3" borderId="23" xfId="2" applyNumberFormat="1" applyFont="1" applyFill="1" applyBorder="1" applyAlignment="1" applyProtection="1">
      <alignment horizontal="right" vertical="center" indent="1"/>
      <protection locked="0"/>
    </xf>
    <xf numFmtId="2" fontId="22" fillId="4" borderId="21" xfId="2" applyNumberFormat="1" applyFont="1" applyFill="1" applyBorder="1" applyAlignment="1">
      <alignment horizontal="right" vertical="center" indent="1"/>
    </xf>
    <xf numFmtId="0" fontId="42" fillId="0" borderId="0" xfId="2" applyFont="1" applyAlignment="1">
      <alignment horizontal="left" vertical="center" indent="1"/>
    </xf>
    <xf numFmtId="167" fontId="27" fillId="0" borderId="0" xfId="2" applyNumberFormat="1" applyFont="1" applyAlignment="1">
      <alignment horizontal="right" vertical="center"/>
    </xf>
    <xf numFmtId="0" fontId="44" fillId="0" borderId="8" xfId="2" applyFont="1" applyBorder="1" applyAlignment="1">
      <alignment horizontal="right" vertical="center"/>
    </xf>
    <xf numFmtId="0" fontId="45" fillId="0" borderId="8" xfId="2" applyFont="1" applyBorder="1" applyAlignment="1">
      <alignment horizontal="right" vertical="center"/>
    </xf>
    <xf numFmtId="0" fontId="12" fillId="0" borderId="8" xfId="2" quotePrefix="1" applyFont="1" applyBorder="1" applyAlignment="1">
      <alignment horizontal="right" vertical="center"/>
    </xf>
    <xf numFmtId="0" fontId="48" fillId="0" borderId="8" xfId="2" applyFont="1" applyBorder="1" applyAlignment="1">
      <alignment vertical="center"/>
    </xf>
    <xf numFmtId="0" fontId="50" fillId="0" borderId="0" xfId="2" applyFont="1" applyAlignment="1">
      <alignment vertical="center"/>
    </xf>
    <xf numFmtId="2" fontId="4" fillId="0" borderId="0" xfId="2" applyNumberFormat="1" applyAlignment="1">
      <alignment horizontal="right" vertical="center" indent="1"/>
    </xf>
    <xf numFmtId="0" fontId="4" fillId="0" borderId="17" xfId="2" applyBorder="1"/>
    <xf numFmtId="0" fontId="4" fillId="0" borderId="18" xfId="2" applyBorder="1"/>
    <xf numFmtId="0" fontId="4" fillId="0" borderId="19" xfId="2" applyBorder="1"/>
    <xf numFmtId="0" fontId="12" fillId="0" borderId="0" xfId="2" applyFont="1"/>
    <xf numFmtId="0" fontId="51" fillId="0" borderId="0" xfId="2" applyFont="1" applyAlignment="1">
      <alignment vertical="center"/>
    </xf>
    <xf numFmtId="0" fontId="22" fillId="0" borderId="0" xfId="2" applyFont="1" applyAlignment="1">
      <alignment vertical="center"/>
    </xf>
    <xf numFmtId="0" fontId="52" fillId="0" borderId="0" xfId="2" applyFont="1" applyAlignment="1">
      <alignment horizontal="left" vertical="center"/>
    </xf>
    <xf numFmtId="1" fontId="22" fillId="0" borderId="0" xfId="2" applyNumberFormat="1" applyFont="1" applyAlignment="1">
      <alignment horizontal="center" vertical="center"/>
    </xf>
    <xf numFmtId="0" fontId="4" fillId="0" borderId="0" xfId="2" applyAlignment="1">
      <alignment horizontal="right" vertical="center"/>
    </xf>
    <xf numFmtId="0" fontId="4" fillId="0" borderId="0" xfId="2" applyAlignment="1">
      <alignment horizontal="center" vertical="center"/>
    </xf>
    <xf numFmtId="0" fontId="51" fillId="0" borderId="0" xfId="2" applyFont="1" applyAlignment="1">
      <alignment horizontal="left" vertical="center"/>
    </xf>
    <xf numFmtId="0" fontId="4" fillId="0" borderId="0" xfId="2" applyAlignment="1">
      <alignment horizontal="right"/>
    </xf>
    <xf numFmtId="0" fontId="4" fillId="0" borderId="0" xfId="2" applyAlignment="1">
      <alignment horizontal="center"/>
    </xf>
    <xf numFmtId="0" fontId="53" fillId="0" borderId="0" xfId="2" applyFont="1"/>
    <xf numFmtId="0" fontId="54" fillId="0" borderId="0" xfId="2" applyFont="1" applyAlignment="1">
      <alignment vertical="center"/>
    </xf>
    <xf numFmtId="0" fontId="0" fillId="0" borderId="0" xfId="0" applyAlignment="1">
      <alignment horizontal="right"/>
    </xf>
    <xf numFmtId="1" fontId="4" fillId="4" borderId="0" xfId="2" applyNumberFormat="1" applyFill="1" applyAlignment="1">
      <alignment horizontal="right" vertical="center" indent="1"/>
    </xf>
    <xf numFmtId="2" fontId="22" fillId="4" borderId="0" xfId="2" applyNumberFormat="1" applyFont="1" applyFill="1" applyAlignment="1">
      <alignment horizontal="right" vertical="center" indent="1"/>
    </xf>
    <xf numFmtId="0" fontId="6" fillId="0" borderId="7" xfId="2" applyFont="1" applyBorder="1" applyAlignment="1">
      <alignment horizontal="right" vertical="center" indent="1"/>
    </xf>
    <xf numFmtId="0" fontId="4" fillId="0" borderId="7" xfId="2" applyBorder="1" applyAlignment="1">
      <alignment horizontal="left" indent="1"/>
    </xf>
    <xf numFmtId="167" fontId="26" fillId="3" borderId="1" xfId="2" applyNumberFormat="1" applyFont="1" applyFill="1" applyBorder="1" applyAlignment="1" applyProtection="1">
      <alignment horizontal="right" vertical="center" indent="1"/>
      <protection locked="0"/>
    </xf>
    <xf numFmtId="166" fontId="26" fillId="3" borderId="1" xfId="2" applyNumberFormat="1" applyFont="1" applyFill="1" applyBorder="1" applyAlignment="1" applyProtection="1">
      <alignment horizontal="right" vertical="center" indent="1"/>
      <protection locked="0"/>
    </xf>
    <xf numFmtId="1" fontId="0" fillId="0" borderId="0" xfId="0" applyNumberFormat="1"/>
    <xf numFmtId="2" fontId="0" fillId="0" borderId="1" xfId="0" applyNumberFormat="1" applyBorder="1"/>
    <xf numFmtId="167" fontId="0" fillId="0" borderId="1" xfId="0" applyNumberFormat="1" applyBorder="1"/>
    <xf numFmtId="1" fontId="9" fillId="0" borderId="3" xfId="0" applyNumberFormat="1" applyFont="1" applyBorder="1"/>
    <xf numFmtId="0" fontId="3" fillId="2" borderId="1" xfId="1" applyBorder="1"/>
    <xf numFmtId="2" fontId="3" fillId="2" borderId="1" xfId="1" applyNumberFormat="1" applyBorder="1"/>
    <xf numFmtId="9" fontId="0" fillId="0" borderId="0" xfId="4" applyFont="1"/>
    <xf numFmtId="0" fontId="3" fillId="2" borderId="1" xfId="1" applyBorder="1" applyAlignment="1">
      <alignment horizontal="center"/>
    </xf>
    <xf numFmtId="2" fontId="0" fillId="0" borderId="0" xfId="0" applyNumberFormat="1"/>
    <xf numFmtId="1" fontId="0" fillId="0" borderId="1" xfId="0" applyNumberFormat="1" applyBorder="1" applyAlignment="1">
      <alignment horizontal="center"/>
    </xf>
    <xf numFmtId="9" fontId="0" fillId="0" borderId="1" xfId="4" applyFont="1" applyBorder="1" applyAlignment="1">
      <alignment horizontal="center"/>
    </xf>
    <xf numFmtId="9" fontId="9" fillId="0" borderId="1" xfId="4" applyFont="1" applyBorder="1" applyAlignment="1">
      <alignment horizontal="center"/>
    </xf>
    <xf numFmtId="0" fontId="4" fillId="0" borderId="0" xfId="2" applyAlignment="1">
      <alignment wrapText="1"/>
    </xf>
    <xf numFmtId="0" fontId="57" fillId="0" borderId="0" xfId="2" applyFont="1"/>
    <xf numFmtId="166" fontId="0" fillId="0" borderId="0" xfId="0" applyNumberFormat="1"/>
    <xf numFmtId="0" fontId="0" fillId="7" borderId="1" xfId="0" applyFill="1" applyBorder="1" applyAlignment="1">
      <alignment horizontal="center" vertical="center"/>
    </xf>
    <xf numFmtId="49" fontId="0" fillId="7" borderId="1" xfId="0" applyNumberFormat="1" applyFill="1" applyBorder="1" applyAlignment="1">
      <alignment horizontal="center" vertical="center"/>
    </xf>
    <xf numFmtId="166" fontId="0" fillId="7" borderId="1" xfId="0" applyNumberFormat="1" applyFill="1" applyBorder="1" applyAlignment="1">
      <alignment horizontal="center" vertical="center"/>
    </xf>
    <xf numFmtId="1" fontId="0" fillId="7" borderId="1" xfId="0" applyNumberFormat="1" applyFill="1" applyBorder="1" applyAlignment="1">
      <alignment horizontal="center" vertical="center"/>
    </xf>
    <xf numFmtId="1" fontId="9" fillId="0" borderId="0" xfId="0" applyNumberFormat="1" applyFont="1"/>
    <xf numFmtId="1" fontId="9" fillId="0" borderId="5" xfId="0" applyNumberFormat="1" applyFont="1" applyBorder="1"/>
    <xf numFmtId="168" fontId="0" fillId="0" borderId="0" xfId="4" applyNumberFormat="1" applyFont="1"/>
    <xf numFmtId="0" fontId="56" fillId="0" borderId="0" xfId="0" applyFont="1"/>
    <xf numFmtId="1" fontId="0" fillId="0" borderId="0" xfId="0" applyNumberFormat="1" applyAlignment="1">
      <alignment horizontal="center"/>
    </xf>
    <xf numFmtId="9" fontId="9" fillId="0" borderId="0" xfId="4" applyFont="1" applyBorder="1" applyAlignment="1">
      <alignment horizontal="center"/>
    </xf>
    <xf numFmtId="164" fontId="3" fillId="2" borderId="2" xfId="1" applyNumberFormat="1"/>
    <xf numFmtId="164" fontId="0" fillId="0" borderId="0" xfId="0" applyNumberFormat="1"/>
    <xf numFmtId="0" fontId="0" fillId="0" borderId="1" xfId="0" applyBorder="1" applyAlignment="1">
      <alignment horizontal="center"/>
    </xf>
    <xf numFmtId="2" fontId="3" fillId="2" borderId="2" xfId="1" applyNumberFormat="1"/>
    <xf numFmtId="0" fontId="0" fillId="0" borderId="27" xfId="0" applyBorder="1"/>
    <xf numFmtId="0" fontId="59" fillId="3" borderId="22" xfId="2" applyFont="1" applyFill="1" applyBorder="1" applyAlignment="1" applyProtection="1">
      <alignment horizontal="right" vertical="center" indent="1"/>
      <protection locked="0"/>
    </xf>
    <xf numFmtId="166" fontId="0" fillId="8" borderId="1" xfId="0" applyNumberFormat="1" applyFill="1" applyBorder="1" applyAlignment="1">
      <alignment horizontal="center" vertical="center"/>
    </xf>
    <xf numFmtId="1" fontId="0" fillId="0" borderId="28" xfId="0" applyNumberFormat="1" applyBorder="1" applyAlignment="1">
      <alignment horizontal="center"/>
    </xf>
    <xf numFmtId="9" fontId="0" fillId="0" borderId="28" xfId="4" applyFont="1" applyBorder="1" applyAlignment="1">
      <alignment horizontal="center"/>
    </xf>
    <xf numFmtId="0" fontId="0" fillId="0" borderId="28" xfId="0" applyBorder="1" applyAlignment="1">
      <alignment horizontal="center"/>
    </xf>
    <xf numFmtId="169" fontId="0" fillId="0" borderId="0" xfId="5" applyNumberFormat="1" applyFont="1"/>
    <xf numFmtId="0" fontId="60" fillId="0" borderId="0" xfId="0" applyFont="1"/>
    <xf numFmtId="0" fontId="3" fillId="9" borderId="1" xfId="1" applyFill="1" applyBorder="1"/>
    <xf numFmtId="0" fontId="3" fillId="10" borderId="1" xfId="1" applyFill="1" applyBorder="1"/>
    <xf numFmtId="0" fontId="9" fillId="0" borderId="0" xfId="0" applyFont="1"/>
    <xf numFmtId="2" fontId="26" fillId="3" borderId="1" xfId="2" applyNumberFormat="1" applyFont="1" applyFill="1" applyBorder="1" applyAlignment="1" applyProtection="1">
      <alignment horizontal="right" vertical="center" indent="1"/>
      <protection locked="0"/>
    </xf>
    <xf numFmtId="0" fontId="4" fillId="0" borderId="0" xfId="2" applyAlignment="1">
      <alignment horizontal="left" vertical="top" wrapText="1"/>
    </xf>
    <xf numFmtId="0" fontId="4" fillId="0" borderId="0" xfId="2" applyAlignment="1">
      <alignment horizontal="left" vertical="top" wrapText="1"/>
    </xf>
    <xf numFmtId="0" fontId="4" fillId="0" borderId="0" xfId="2" applyAlignment="1">
      <alignment horizontal="left" vertical="top" wrapText="1"/>
    </xf>
    <xf numFmtId="0" fontId="4" fillId="0" borderId="0" xfId="2" applyAlignment="1">
      <alignment horizontal="left" vertical="top" wrapText="1"/>
    </xf>
    <xf numFmtId="0" fontId="4" fillId="0" borderId="0" xfId="2" applyAlignment="1">
      <alignment horizontal="left" vertical="top" wrapText="1"/>
    </xf>
    <xf numFmtId="0" fontId="12" fillId="0" borderId="0" xfId="2" applyFont="1" applyAlignment="1">
      <alignment horizontal="center" vertical="center" wrapText="1"/>
    </xf>
    <xf numFmtId="0" fontId="18" fillId="0" borderId="0" xfId="2" quotePrefix="1" applyFont="1" applyAlignment="1">
      <alignment horizontal="left" vertical="top" wrapText="1"/>
    </xf>
    <xf numFmtId="0" fontId="0" fillId="0" borderId="1" xfId="0"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7" xfId="0" applyBorder="1" applyAlignment="1">
      <alignment horizontal="center" wrapText="1"/>
    </xf>
    <xf numFmtId="0" fontId="0" fillId="0" borderId="28" xfId="0" applyBorder="1" applyAlignment="1">
      <alignment horizontal="center" wrapText="1"/>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1" xfId="0" applyBorder="1" applyAlignment="1">
      <alignment horizontal="center" vertical="center"/>
    </xf>
    <xf numFmtId="0" fontId="58" fillId="0" borderId="1" xfId="0" applyFont="1" applyBorder="1" applyAlignment="1">
      <alignment horizontal="center" wrapText="1"/>
    </xf>
    <xf numFmtId="0" fontId="0" fillId="0" borderId="1" xfId="0" applyBorder="1" applyAlignment="1"/>
  </cellXfs>
  <cellStyles count="12">
    <cellStyle name="Comma" xfId="5" builtinId="3"/>
    <cellStyle name="Comma 2" xfId="10" xr:uid="{00000000-0005-0000-0000-000001000000}"/>
    <cellStyle name="Comma 3" xfId="11" xr:uid="{00000000-0005-0000-0000-000002000000}"/>
    <cellStyle name="Hyperlink 2" xfId="3" xr:uid="{00000000-0005-0000-0000-000003000000}"/>
    <cellStyle name="Input" xfId="1" builtinId="20"/>
    <cellStyle name="Normal" xfId="0" builtinId="0"/>
    <cellStyle name="Normal 2" xfId="2" xr:uid="{00000000-0005-0000-0000-000006000000}"/>
    <cellStyle name="Normal 2 2" xfId="9" xr:uid="{00000000-0005-0000-0000-000007000000}"/>
    <cellStyle name="Normal 2 3" xfId="6" xr:uid="{00000000-0005-0000-0000-000008000000}"/>
    <cellStyle name="Normal 3" xfId="8" xr:uid="{00000000-0005-0000-0000-000009000000}"/>
    <cellStyle name="Percent" xfId="4" builtinId="5"/>
    <cellStyle name="Percent 2" xfId="7" xr:uid="{00000000-0005-0000-0000-00000B000000}"/>
  </cellStyles>
  <dxfs count="20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6" tint="0.59996337778862885"/>
        </patternFill>
      </fill>
    </dxf>
    <dxf>
      <font>
        <b/>
        <i val="0"/>
        <color rgb="FFC00000"/>
      </font>
      <fill>
        <patternFill>
          <bgColor theme="5" tint="0.59996337778862885"/>
        </patternFill>
      </fill>
    </dxf>
    <dxf>
      <font>
        <b/>
        <i/>
        <color theme="6" tint="-0.24994659260841701"/>
      </font>
    </dxf>
    <dxf>
      <font>
        <b/>
        <i/>
        <color rgb="FFFF0000"/>
      </font>
    </dxf>
    <dxf>
      <font>
        <color theme="6" tint="-0.499984740745262"/>
      </font>
      <fill>
        <patternFill patternType="none">
          <bgColor indexed="65"/>
        </patternFill>
      </fill>
    </dxf>
    <dxf>
      <font>
        <b/>
        <i/>
        <color theme="6" tint="-0.24994659260841701"/>
      </font>
    </dxf>
    <dxf>
      <font>
        <b/>
        <i/>
        <color rgb="FFFF0000"/>
      </font>
    </dxf>
    <dxf>
      <fill>
        <patternFill>
          <bgColor theme="6" tint="0.59996337778862885"/>
        </patternFill>
      </fill>
    </dxf>
    <dxf>
      <font>
        <b/>
        <i val="0"/>
        <color rgb="FFC00000"/>
      </font>
      <fill>
        <patternFill>
          <bgColor theme="5" tint="0.59996337778862885"/>
        </patternFill>
      </fill>
    </dxf>
    <dxf>
      <fill>
        <patternFill>
          <bgColor theme="6" tint="0.59996337778862885"/>
        </patternFill>
      </fill>
    </dxf>
    <dxf>
      <font>
        <b/>
        <i val="0"/>
        <color rgb="FFC00000"/>
      </font>
      <fill>
        <patternFill>
          <bgColor theme="5" tint="0.59996337778862885"/>
        </patternFill>
      </fill>
    </dxf>
    <dxf>
      <font>
        <color theme="0"/>
        <name val="Cambria"/>
        <scheme val="none"/>
      </font>
    </dxf>
    <dxf>
      <font>
        <color theme="0" tint="-0.14996795556505021"/>
        <name val="Cambria"/>
        <scheme val="none"/>
      </font>
    </dxf>
    <dxf>
      <font>
        <color theme="0" tint="-0.14996795556505021"/>
        <name val="Cambria"/>
        <scheme val="none"/>
      </font>
    </dxf>
    <dxf>
      <fill>
        <patternFill>
          <bgColor theme="6" tint="0.59996337778862885"/>
        </patternFill>
      </fill>
    </dxf>
    <dxf>
      <font>
        <b/>
        <i val="0"/>
        <color rgb="FFC00000"/>
      </font>
      <fill>
        <patternFill>
          <bgColor theme="5" tint="0.59996337778862885"/>
        </patternFill>
      </fill>
    </dxf>
    <dxf>
      <font>
        <b/>
        <i/>
        <color theme="6" tint="-0.24994659260841701"/>
      </font>
    </dxf>
    <dxf>
      <font>
        <b/>
        <i/>
        <color rgb="FFFF0000"/>
      </font>
    </dxf>
    <dxf>
      <font>
        <color theme="6" tint="-0.499984740745262"/>
      </font>
      <fill>
        <patternFill patternType="none">
          <bgColor indexed="65"/>
        </patternFill>
      </fill>
    </dxf>
    <dxf>
      <font>
        <b/>
        <i/>
        <color theme="6" tint="-0.24994659260841701"/>
      </font>
    </dxf>
    <dxf>
      <font>
        <b/>
        <i/>
        <color rgb="FFFF0000"/>
      </font>
    </dxf>
    <dxf>
      <fill>
        <patternFill>
          <bgColor theme="6" tint="0.59996337778862885"/>
        </patternFill>
      </fill>
    </dxf>
    <dxf>
      <font>
        <b/>
        <i val="0"/>
        <color rgb="FFC00000"/>
      </font>
      <fill>
        <patternFill>
          <bgColor theme="5" tint="0.59996337778862885"/>
        </patternFill>
      </fill>
    </dxf>
    <dxf>
      <fill>
        <patternFill>
          <bgColor theme="6" tint="0.59996337778862885"/>
        </patternFill>
      </fill>
    </dxf>
    <dxf>
      <font>
        <b/>
        <i val="0"/>
        <color rgb="FFC00000"/>
      </font>
      <fill>
        <patternFill>
          <bgColor theme="5" tint="0.59996337778862885"/>
        </patternFill>
      </fill>
    </dxf>
    <dxf>
      <font>
        <color theme="0"/>
        <name val="Cambria"/>
        <scheme val="none"/>
      </font>
    </dxf>
    <dxf>
      <font>
        <color theme="0" tint="-0.14996795556505021"/>
        <name val="Cambria"/>
        <scheme val="none"/>
      </font>
    </dxf>
    <dxf>
      <font>
        <color theme="0" tint="-0.14996795556505021"/>
        <name val="Cambria"/>
        <scheme val="none"/>
      </font>
    </dxf>
    <dxf>
      <fill>
        <patternFill>
          <bgColor theme="6" tint="0.59996337778862885"/>
        </patternFill>
      </fill>
    </dxf>
    <dxf>
      <font>
        <b/>
        <i val="0"/>
        <color rgb="FFC00000"/>
      </font>
      <fill>
        <patternFill>
          <bgColor theme="5" tint="0.59996337778862885"/>
        </patternFill>
      </fill>
    </dxf>
    <dxf>
      <font>
        <b/>
        <i/>
        <color theme="6" tint="-0.24994659260841701"/>
      </font>
    </dxf>
    <dxf>
      <font>
        <b/>
        <i/>
        <color rgb="FFFF0000"/>
      </font>
    </dxf>
    <dxf>
      <font>
        <color theme="6" tint="-0.499984740745262"/>
      </font>
      <fill>
        <patternFill patternType="none">
          <bgColor indexed="65"/>
        </patternFill>
      </fill>
    </dxf>
    <dxf>
      <font>
        <b/>
        <i/>
        <color theme="6" tint="-0.24994659260841701"/>
      </font>
    </dxf>
    <dxf>
      <font>
        <b/>
        <i/>
        <color rgb="FFFF0000"/>
      </font>
    </dxf>
    <dxf>
      <fill>
        <patternFill>
          <bgColor theme="6" tint="0.59996337778862885"/>
        </patternFill>
      </fill>
    </dxf>
    <dxf>
      <font>
        <b/>
        <i val="0"/>
        <color rgb="FFC00000"/>
      </font>
      <fill>
        <patternFill>
          <bgColor theme="5" tint="0.59996337778862885"/>
        </patternFill>
      </fill>
    </dxf>
    <dxf>
      <fill>
        <patternFill>
          <bgColor theme="6" tint="0.59996337778862885"/>
        </patternFill>
      </fill>
    </dxf>
    <dxf>
      <font>
        <b/>
        <i val="0"/>
        <color rgb="FFC00000"/>
      </font>
      <fill>
        <patternFill>
          <bgColor theme="5" tint="0.59996337778862885"/>
        </patternFill>
      </fill>
    </dxf>
    <dxf>
      <font>
        <color theme="0"/>
        <name val="Cambria"/>
        <scheme val="none"/>
      </font>
    </dxf>
    <dxf>
      <font>
        <color theme="0" tint="-0.14996795556505021"/>
        <name val="Cambria"/>
        <scheme val="none"/>
      </font>
    </dxf>
    <dxf>
      <font>
        <color theme="0" tint="-0.14996795556505021"/>
        <name val="Cambria"/>
        <scheme val="none"/>
      </font>
    </dxf>
    <dxf>
      <fill>
        <patternFill>
          <bgColor theme="6" tint="0.59996337778862885"/>
        </patternFill>
      </fill>
    </dxf>
    <dxf>
      <font>
        <b/>
        <i val="0"/>
        <color rgb="FFC00000"/>
      </font>
      <fill>
        <patternFill>
          <bgColor theme="5" tint="0.59996337778862885"/>
        </patternFill>
      </fill>
    </dxf>
    <dxf>
      <font>
        <b/>
        <i/>
        <color theme="6" tint="-0.24994659260841701"/>
      </font>
    </dxf>
    <dxf>
      <font>
        <b/>
        <i/>
        <color rgb="FFFF0000"/>
      </font>
    </dxf>
    <dxf>
      <font>
        <color theme="6" tint="-0.499984740745262"/>
      </font>
      <fill>
        <patternFill patternType="none">
          <bgColor indexed="65"/>
        </patternFill>
      </fill>
    </dxf>
    <dxf>
      <font>
        <b/>
        <i/>
        <color theme="6" tint="-0.24994659260841701"/>
      </font>
    </dxf>
    <dxf>
      <font>
        <b/>
        <i/>
        <color rgb="FFFF0000"/>
      </font>
    </dxf>
    <dxf>
      <fill>
        <patternFill>
          <bgColor theme="6" tint="0.59996337778862885"/>
        </patternFill>
      </fill>
    </dxf>
    <dxf>
      <font>
        <b/>
        <i val="0"/>
        <color rgb="FFC00000"/>
      </font>
      <fill>
        <patternFill>
          <bgColor theme="5" tint="0.59996337778862885"/>
        </patternFill>
      </fill>
    </dxf>
    <dxf>
      <fill>
        <patternFill>
          <bgColor theme="6" tint="0.59996337778862885"/>
        </patternFill>
      </fill>
    </dxf>
    <dxf>
      <font>
        <b/>
        <i val="0"/>
        <color rgb="FFC00000"/>
      </font>
      <fill>
        <patternFill>
          <bgColor theme="5" tint="0.59996337778862885"/>
        </patternFill>
      </fill>
    </dxf>
    <dxf>
      <font>
        <color theme="0"/>
        <name val="Cambria"/>
        <scheme val="none"/>
      </font>
    </dxf>
    <dxf>
      <font>
        <color theme="0" tint="-0.14996795556505021"/>
        <name val="Cambria"/>
        <scheme val="none"/>
      </font>
    </dxf>
    <dxf>
      <font>
        <color theme="0" tint="-0.14996795556505021"/>
        <name val="Cambria"/>
        <scheme val="none"/>
      </font>
    </dxf>
  </dxfs>
  <tableStyles count="0" defaultTableStyle="TableStyleMedium2" defaultPivotStyle="PivotStyleLight16"/>
  <colors>
    <mruColors>
      <color rgb="FFFC34DF"/>
      <color rgb="FFA3FFD1"/>
      <color rgb="FFFF7C80"/>
      <color rgb="FFBEF5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8</xdr:col>
      <xdr:colOff>656953</xdr:colOff>
      <xdr:row>1</xdr:row>
      <xdr:rowOff>9525</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0" y="0"/>
          <a:ext cx="5955234" cy="1277541"/>
          <a:chOff x="0" y="0"/>
          <a:chExt cx="6096000" cy="1276350"/>
        </a:xfrm>
      </xdr:grpSpPr>
      <xdr:sp macro="" textlink="">
        <xdr:nvSpPr>
          <xdr:cNvPr id="3" name="Rectangle 38">
            <a:extLst>
              <a:ext uri="{FF2B5EF4-FFF2-40B4-BE49-F238E27FC236}">
                <a16:creationId xmlns:a16="http://schemas.microsoft.com/office/drawing/2014/main" id="{00000000-0008-0000-0300-000003000000}"/>
              </a:ext>
            </a:extLst>
          </xdr:cNvPr>
          <xdr:cNvSpPr>
            <a:spLocks noChangeArrowheads="1"/>
          </xdr:cNvSpPr>
        </xdr:nvSpPr>
        <xdr:spPr bwMode="auto">
          <a:xfrm>
            <a:off x="628650" y="95250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4" name="txtSheetTitle">
            <a:extLst>
              <a:ext uri="{FF2B5EF4-FFF2-40B4-BE49-F238E27FC236}">
                <a16:creationId xmlns:a16="http://schemas.microsoft.com/office/drawing/2014/main" id="{00000000-0008-0000-0300-000004000000}"/>
              </a:ext>
            </a:extLst>
          </xdr:cNvPr>
          <xdr:cNvSpPr txBox="1">
            <a:spLocks noChangeArrowheads="1"/>
          </xdr:cNvSpPr>
        </xdr:nvSpPr>
        <xdr:spPr bwMode="auto">
          <a:xfrm>
            <a:off x="628650" y="962024"/>
            <a:ext cx="2438400" cy="238125"/>
          </a:xfrm>
          <a:prstGeom prst="rect">
            <a:avLst/>
          </a:prstGeom>
          <a:solidFill>
            <a:srgbClr val="FFFFFF">
              <a:alpha val="50195"/>
            </a:srgbClr>
          </a:solidFill>
          <a:ln>
            <a:noFill/>
          </a:ln>
          <a:extLst>
            <a:ext uri="{91240B29-F687-4F45-9708-019B960494DF}">
              <a14:hiddenLine xmlns:a14="http://schemas.microsoft.com/office/drawing/2010/main" w="0">
                <a:solidFill>
                  <a:srgbClr val="000000"/>
                </a:solidFill>
                <a:prstDash val="sysDot"/>
                <a:miter lim="800000"/>
                <a:headEnd/>
                <a:tailEnd/>
              </a14:hiddenLine>
            </a:ext>
          </a:extLst>
        </xdr:spPr>
      </xdr:sp>
      <xdr:sp macro="" textlink="">
        <xdr:nvSpPr>
          <xdr:cNvPr id="5" name="Rectangle 60">
            <a:extLst>
              <a:ext uri="{FF2B5EF4-FFF2-40B4-BE49-F238E27FC236}">
                <a16:creationId xmlns:a16="http://schemas.microsoft.com/office/drawing/2014/main" id="{00000000-0008-0000-0300-000005000000}"/>
              </a:ext>
            </a:extLst>
          </xdr:cNvPr>
          <xdr:cNvSpPr>
            <a:spLocks noChangeArrowheads="1"/>
          </xdr:cNvSpPr>
        </xdr:nvSpPr>
        <xdr:spPr bwMode="auto">
          <a:xfrm>
            <a:off x="628650" y="66675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6" name="Rectangle 62">
            <a:extLst>
              <a:ext uri="{FF2B5EF4-FFF2-40B4-BE49-F238E27FC236}">
                <a16:creationId xmlns:a16="http://schemas.microsoft.com/office/drawing/2014/main" id="{00000000-0008-0000-0300-000006000000}"/>
              </a:ext>
            </a:extLst>
          </xdr:cNvPr>
          <xdr:cNvSpPr>
            <a:spLocks noChangeArrowheads="1"/>
          </xdr:cNvSpPr>
        </xdr:nvSpPr>
        <xdr:spPr bwMode="auto">
          <a:xfrm>
            <a:off x="5524500" y="171450"/>
            <a:ext cx="5334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7" name="Rectangle 64">
            <a:extLst>
              <a:ext uri="{FF2B5EF4-FFF2-40B4-BE49-F238E27FC236}">
                <a16:creationId xmlns:a16="http://schemas.microsoft.com/office/drawing/2014/main" id="{00000000-0008-0000-0300-000007000000}"/>
              </a:ext>
            </a:extLst>
          </xdr:cNvPr>
          <xdr:cNvSpPr>
            <a:spLocks noChangeArrowheads="1"/>
          </xdr:cNvSpPr>
        </xdr:nvSpPr>
        <xdr:spPr bwMode="auto">
          <a:xfrm>
            <a:off x="4010025" y="666750"/>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8" name="Rectangle 63">
            <a:extLst>
              <a:ext uri="{FF2B5EF4-FFF2-40B4-BE49-F238E27FC236}">
                <a16:creationId xmlns:a16="http://schemas.microsoft.com/office/drawing/2014/main" id="{00000000-0008-0000-0300-000008000000}"/>
              </a:ext>
            </a:extLst>
          </xdr:cNvPr>
          <xdr:cNvSpPr>
            <a:spLocks noChangeArrowheads="1"/>
          </xdr:cNvSpPr>
        </xdr:nvSpPr>
        <xdr:spPr bwMode="auto">
          <a:xfrm>
            <a:off x="4010025" y="428625"/>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9" name="Rectangle 67">
            <a:extLst>
              <a:ext uri="{FF2B5EF4-FFF2-40B4-BE49-F238E27FC236}">
                <a16:creationId xmlns:a16="http://schemas.microsoft.com/office/drawing/2014/main" id="{00000000-0008-0000-0300-000009000000}"/>
              </a:ext>
            </a:extLst>
          </xdr:cNvPr>
          <xdr:cNvSpPr>
            <a:spLocks noChangeArrowheads="1"/>
          </xdr:cNvSpPr>
        </xdr:nvSpPr>
        <xdr:spPr bwMode="auto">
          <a:xfrm>
            <a:off x="5505450" y="923925"/>
            <a:ext cx="561975"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0" name="Rectangle 66">
            <a:extLst>
              <a:ext uri="{FF2B5EF4-FFF2-40B4-BE49-F238E27FC236}">
                <a16:creationId xmlns:a16="http://schemas.microsoft.com/office/drawing/2014/main" id="{00000000-0008-0000-0300-00000A000000}"/>
              </a:ext>
            </a:extLst>
          </xdr:cNvPr>
          <xdr:cNvSpPr>
            <a:spLocks noChangeArrowheads="1"/>
          </xdr:cNvSpPr>
        </xdr:nvSpPr>
        <xdr:spPr bwMode="auto">
          <a:xfrm>
            <a:off x="4467225" y="923925"/>
            <a:ext cx="76200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1" name="Rectangle 65">
            <a:extLst>
              <a:ext uri="{FF2B5EF4-FFF2-40B4-BE49-F238E27FC236}">
                <a16:creationId xmlns:a16="http://schemas.microsoft.com/office/drawing/2014/main" id="{00000000-0008-0000-0300-00000B000000}"/>
              </a:ext>
            </a:extLst>
          </xdr:cNvPr>
          <xdr:cNvSpPr>
            <a:spLocks noChangeArrowheads="1"/>
          </xdr:cNvSpPr>
        </xdr:nvSpPr>
        <xdr:spPr bwMode="auto">
          <a:xfrm>
            <a:off x="3629025" y="923925"/>
            <a:ext cx="55245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2" name="Rectangle 61">
            <a:extLst>
              <a:ext uri="{FF2B5EF4-FFF2-40B4-BE49-F238E27FC236}">
                <a16:creationId xmlns:a16="http://schemas.microsoft.com/office/drawing/2014/main" id="{00000000-0008-0000-0300-00000C000000}"/>
              </a:ext>
            </a:extLst>
          </xdr:cNvPr>
          <xdr:cNvSpPr>
            <a:spLocks noChangeArrowheads="1"/>
          </xdr:cNvSpPr>
        </xdr:nvSpPr>
        <xdr:spPr bwMode="auto">
          <a:xfrm>
            <a:off x="3124200" y="171450"/>
            <a:ext cx="11049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3" name="Rectangle 39">
            <a:extLst>
              <a:ext uri="{FF2B5EF4-FFF2-40B4-BE49-F238E27FC236}">
                <a16:creationId xmlns:a16="http://schemas.microsoft.com/office/drawing/2014/main" id="{00000000-0008-0000-0300-00000D000000}"/>
              </a:ext>
            </a:extLst>
          </xdr:cNvPr>
          <xdr:cNvSpPr>
            <a:spLocks noChangeArrowheads="1"/>
          </xdr:cNvSpPr>
        </xdr:nvSpPr>
        <xdr:spPr bwMode="auto">
          <a:xfrm>
            <a:off x="4295775" y="171450"/>
            <a:ext cx="116205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SheetNo">
        <xdr:nvSpPr>
          <xdr:cNvPr id="14" name="txtSheetNo">
            <a:extLst>
              <a:ext uri="{FF2B5EF4-FFF2-40B4-BE49-F238E27FC236}">
                <a16:creationId xmlns:a16="http://schemas.microsoft.com/office/drawing/2014/main" id="{00000000-0008-0000-0300-00000E000000}"/>
              </a:ext>
            </a:extLst>
          </xdr:cNvPr>
          <xdr:cNvSpPr txBox="1">
            <a:spLocks noChangeArrowheads="1" noTextEdit="1"/>
          </xdr:cNvSpPr>
        </xdr:nvSpPr>
        <xdr:spPr bwMode="auto">
          <a:xfrm>
            <a:off x="4295775" y="152400"/>
            <a:ext cx="1171575" cy="238125"/>
          </a:xfrm>
          <a:prstGeom prst="rect">
            <a:avLst/>
          </a:prstGeom>
          <a:solidFill>
            <a:srgbClr val="FFFFFF">
              <a:alpha val="50000"/>
            </a:srgbClr>
          </a:solidFill>
          <a:ln w="0">
            <a:noFill/>
            <a:prstDash val="sysDot"/>
            <a:miter lim="800000"/>
            <a:headEnd/>
            <a:tailEnd/>
          </a:ln>
        </xdr:spPr>
        <xdr:txBody>
          <a:bodyPr/>
          <a:lstStyle/>
          <a:p>
            <a:fld id="{0138D352-6085-40FA-BBF5-9DB3C3BA9D91}" type="TxLink">
              <a:rPr lang="en-GB"/>
              <a:pPr/>
              <a:t>0</a:t>
            </a:fld>
            <a:endParaRPr lang="en-GB"/>
          </a:p>
        </xdr:txBody>
      </xdr:sp>
      <xdr:sp macro="" textlink="MadeBy">
        <xdr:nvSpPr>
          <xdr:cNvPr id="15" name="txtMadeBy">
            <a:extLst>
              <a:ext uri="{FF2B5EF4-FFF2-40B4-BE49-F238E27FC236}">
                <a16:creationId xmlns:a16="http://schemas.microsoft.com/office/drawing/2014/main" id="{00000000-0008-0000-0300-00000F000000}"/>
              </a:ext>
            </a:extLst>
          </xdr:cNvPr>
          <xdr:cNvSpPr txBox="1">
            <a:spLocks noChangeArrowheads="1" noTextEdit="1"/>
          </xdr:cNvSpPr>
        </xdr:nvSpPr>
        <xdr:spPr bwMode="auto">
          <a:xfrm>
            <a:off x="3629025" y="904875"/>
            <a:ext cx="552450" cy="323850"/>
          </a:xfrm>
          <a:prstGeom prst="rect">
            <a:avLst/>
          </a:prstGeom>
          <a:solidFill>
            <a:srgbClr val="FFFFFF">
              <a:alpha val="50000"/>
            </a:srgbClr>
          </a:solidFill>
          <a:ln w="0" cap="rnd">
            <a:noFill/>
            <a:prstDash val="sysDot"/>
            <a:miter lim="800000"/>
            <a:headEnd/>
            <a:tailEnd/>
          </a:ln>
        </xdr:spPr>
        <xdr:txBody>
          <a:bodyPr/>
          <a:lstStyle/>
          <a:p>
            <a:fld id="{7EE7AAC5-E9AF-436A-A2EC-CDE1A1A16D28}" type="TxLink">
              <a:rPr lang="en-GB"/>
              <a:pPr/>
              <a:t>DR/JK</a:t>
            </a:fld>
            <a:endParaRPr lang="en-GB"/>
          </a:p>
        </xdr:txBody>
      </xdr:sp>
      <xdr:sp macro="" textlink="Date">
        <xdr:nvSpPr>
          <xdr:cNvPr id="16" name="txtDate">
            <a:extLst>
              <a:ext uri="{FF2B5EF4-FFF2-40B4-BE49-F238E27FC236}">
                <a16:creationId xmlns:a16="http://schemas.microsoft.com/office/drawing/2014/main" id="{00000000-0008-0000-0300-000010000000}"/>
              </a:ext>
            </a:extLst>
          </xdr:cNvPr>
          <xdr:cNvSpPr txBox="1">
            <a:spLocks noChangeArrowheads="1" noTextEdit="1"/>
          </xdr:cNvSpPr>
        </xdr:nvSpPr>
        <xdr:spPr bwMode="auto">
          <a:xfrm>
            <a:off x="4476749" y="904875"/>
            <a:ext cx="762001" cy="323849"/>
          </a:xfrm>
          <a:prstGeom prst="rect">
            <a:avLst/>
          </a:prstGeom>
          <a:solidFill>
            <a:srgbClr val="FFFFFF">
              <a:alpha val="50000"/>
            </a:srgbClr>
          </a:solidFill>
          <a:ln w="0" cap="rnd">
            <a:noFill/>
            <a:prstDash val="sysDot"/>
            <a:miter lim="800000"/>
            <a:headEnd/>
            <a:tailEnd/>
          </a:ln>
        </xdr:spPr>
        <xdr:txBody>
          <a:bodyPr lIns="36000" rIns="36000"/>
          <a:lstStyle/>
          <a:p>
            <a:fld id="{43A0CF41-EB0C-4B3F-B5D2-945B716BC35E}" type="TxLink">
              <a:rPr lang="en-GB"/>
              <a:pPr/>
              <a:t>21/06/2018</a:t>
            </a:fld>
            <a:endParaRPr lang="en-GB"/>
          </a:p>
        </xdr:txBody>
      </xdr:sp>
      <xdr:sp macro="" textlink="JobNumber">
        <xdr:nvSpPr>
          <xdr:cNvPr id="17" name="txtJobNo">
            <a:extLst>
              <a:ext uri="{FF2B5EF4-FFF2-40B4-BE49-F238E27FC236}">
                <a16:creationId xmlns:a16="http://schemas.microsoft.com/office/drawing/2014/main" id="{00000000-0008-0000-0300-000011000000}"/>
              </a:ext>
            </a:extLst>
          </xdr:cNvPr>
          <xdr:cNvSpPr txBox="1">
            <a:spLocks noChangeArrowheads="1" noTextEdit="1"/>
          </xdr:cNvSpPr>
        </xdr:nvSpPr>
        <xdr:spPr bwMode="auto">
          <a:xfrm>
            <a:off x="3124200" y="152400"/>
            <a:ext cx="1114425" cy="238126"/>
          </a:xfrm>
          <a:prstGeom prst="rect">
            <a:avLst/>
          </a:prstGeom>
          <a:solidFill>
            <a:srgbClr val="FFFFFF">
              <a:alpha val="50000"/>
            </a:srgbClr>
          </a:solidFill>
          <a:ln w="0" cap="rnd">
            <a:noFill/>
            <a:prstDash val="sysDot"/>
            <a:miter lim="800000"/>
            <a:headEnd/>
            <a:tailEnd/>
          </a:ln>
        </xdr:spPr>
        <xdr:txBody>
          <a:bodyPr/>
          <a:lstStyle/>
          <a:p>
            <a:fld id="{12FF7581-71C6-4F7B-899A-63BE6424F74C}" type="TxLink">
              <a:rPr lang="en-GB"/>
              <a:pPr/>
              <a:t>253300-64</a:t>
            </a:fld>
            <a:endParaRPr lang="en-GB"/>
          </a:p>
        </xdr:txBody>
      </xdr:sp>
      <xdr:sp macro="" textlink="Checked">
        <xdr:nvSpPr>
          <xdr:cNvPr id="18" name="txtChd">
            <a:extLst>
              <a:ext uri="{FF2B5EF4-FFF2-40B4-BE49-F238E27FC236}">
                <a16:creationId xmlns:a16="http://schemas.microsoft.com/office/drawing/2014/main" id="{00000000-0008-0000-0300-000012000000}"/>
              </a:ext>
            </a:extLst>
          </xdr:cNvPr>
          <xdr:cNvSpPr txBox="1">
            <a:spLocks noChangeArrowheads="1" noTextEdit="1"/>
          </xdr:cNvSpPr>
        </xdr:nvSpPr>
        <xdr:spPr bwMode="auto">
          <a:xfrm>
            <a:off x="5505450" y="933449"/>
            <a:ext cx="561975" cy="295275"/>
          </a:xfrm>
          <a:prstGeom prst="rect">
            <a:avLst/>
          </a:prstGeom>
          <a:solidFill>
            <a:srgbClr val="FFFFFF">
              <a:alpha val="50000"/>
            </a:srgbClr>
          </a:solidFill>
          <a:ln w="0" cap="rnd">
            <a:noFill/>
            <a:prstDash val="sysDot"/>
            <a:miter lim="800000"/>
            <a:headEnd/>
            <a:tailEnd/>
          </a:ln>
        </xdr:spPr>
        <xdr:txBody>
          <a:bodyPr/>
          <a:lstStyle/>
          <a:p>
            <a:fld id="{DD3FFBD0-7868-4AB5-A50A-19EA75ECDFFF}" type="TxLink">
              <a:rPr lang="en-GB"/>
              <a:pPr/>
              <a:t>JCM</a:t>
            </a:fld>
            <a:endParaRPr lang="en-GB"/>
          </a:p>
        </xdr:txBody>
      </xdr:sp>
      <xdr:sp macro="" textlink="Revision">
        <xdr:nvSpPr>
          <xdr:cNvPr id="19" name="txtRev">
            <a:extLst>
              <a:ext uri="{FF2B5EF4-FFF2-40B4-BE49-F238E27FC236}">
                <a16:creationId xmlns:a16="http://schemas.microsoft.com/office/drawing/2014/main" id="{00000000-0008-0000-0300-000013000000}"/>
              </a:ext>
            </a:extLst>
          </xdr:cNvPr>
          <xdr:cNvSpPr txBox="1">
            <a:spLocks noChangeArrowheads="1" noTextEdit="1"/>
          </xdr:cNvSpPr>
        </xdr:nvSpPr>
        <xdr:spPr bwMode="auto">
          <a:xfrm>
            <a:off x="5524500" y="161925"/>
            <a:ext cx="542925" cy="228600"/>
          </a:xfrm>
          <a:prstGeom prst="rect">
            <a:avLst/>
          </a:prstGeom>
          <a:solidFill>
            <a:srgbClr val="FFFFFF">
              <a:alpha val="50000"/>
            </a:srgbClr>
          </a:solidFill>
          <a:ln w="0" cap="rnd">
            <a:noFill/>
            <a:prstDash val="sysDot"/>
            <a:miter lim="800000"/>
            <a:headEnd/>
            <a:tailEnd/>
          </a:ln>
        </xdr:spPr>
        <xdr:txBody>
          <a:bodyPr/>
          <a:lstStyle/>
          <a:p>
            <a:fld id="{31D14602-4220-42DC-A278-07FFB3F3F1B6}" type="TxLink">
              <a:rPr lang="en-GB"/>
              <a:pPr/>
              <a:t> </a:t>
            </a:fld>
            <a:endParaRPr lang="en-GB"/>
          </a:p>
        </xdr:txBody>
      </xdr:sp>
      <xdr:sp macro="" textlink="JobTitle">
        <xdr:nvSpPr>
          <xdr:cNvPr id="20" name="txtJobTitle">
            <a:extLst>
              <a:ext uri="{FF2B5EF4-FFF2-40B4-BE49-F238E27FC236}">
                <a16:creationId xmlns:a16="http://schemas.microsoft.com/office/drawing/2014/main" id="{00000000-0008-0000-0300-000014000000}"/>
              </a:ext>
            </a:extLst>
          </xdr:cNvPr>
          <xdr:cNvSpPr txBox="1">
            <a:spLocks noChangeArrowheads="1" noTextEdit="1"/>
          </xdr:cNvSpPr>
        </xdr:nvSpPr>
        <xdr:spPr bwMode="auto">
          <a:xfrm>
            <a:off x="628650" y="695324"/>
            <a:ext cx="2438400" cy="219075"/>
          </a:xfrm>
          <a:prstGeom prst="rect">
            <a:avLst/>
          </a:prstGeom>
          <a:solidFill>
            <a:srgbClr val="FFFFFF">
              <a:alpha val="50000"/>
            </a:srgbClr>
          </a:solidFill>
          <a:ln w="0" cap="rnd">
            <a:noFill/>
            <a:prstDash val="sysDot"/>
            <a:miter lim="800000"/>
            <a:headEnd/>
            <a:tailEnd/>
          </a:ln>
        </xdr:spPr>
        <xdr:txBody>
          <a:bodyPr/>
          <a:lstStyle/>
          <a:p>
            <a:fld id="{F3465201-EA38-4A20-8381-E1AF0A9A1F41}" type="TxLink">
              <a:rPr lang="en-GB"/>
              <a:pPr/>
              <a:t>Aberdeen Harbour Expansion Project</a:t>
            </a:fld>
            <a:endParaRPr lang="en-GB"/>
          </a:p>
        </xdr:txBody>
      </xdr:sp>
      <xdr:sp macro="" textlink="Drawing_Reference">
        <xdr:nvSpPr>
          <xdr:cNvPr id="21" name="txtDrgRef">
            <a:extLst>
              <a:ext uri="{FF2B5EF4-FFF2-40B4-BE49-F238E27FC236}">
                <a16:creationId xmlns:a16="http://schemas.microsoft.com/office/drawing/2014/main" id="{00000000-0008-0000-0300-000015000000}"/>
              </a:ext>
            </a:extLst>
          </xdr:cNvPr>
          <xdr:cNvSpPr txBox="1">
            <a:spLocks noChangeArrowheads="1" noTextEdit="1"/>
          </xdr:cNvSpPr>
        </xdr:nvSpPr>
        <xdr:spPr bwMode="auto">
          <a:xfrm>
            <a:off x="4010025" y="695325"/>
            <a:ext cx="2057400" cy="171450"/>
          </a:xfrm>
          <a:prstGeom prst="rect">
            <a:avLst/>
          </a:prstGeom>
          <a:solidFill>
            <a:srgbClr val="FFFFFF">
              <a:alpha val="50000"/>
            </a:srgbClr>
          </a:solidFill>
          <a:ln w="0">
            <a:noFill/>
            <a:prstDash val="sysDot"/>
            <a:miter lim="800000"/>
            <a:headEnd/>
            <a:tailEnd/>
          </a:ln>
        </xdr:spPr>
        <xdr:txBody>
          <a:bodyPr tIns="0" bIns="0"/>
          <a:lstStyle/>
          <a:p>
            <a:fld id="{45FC97E0-6641-4BBC-B6C9-CFEAC7797A02}" type="TxLink">
              <a:rPr lang="en-GB"/>
              <a:pPr/>
              <a:t>0</a:t>
            </a:fld>
            <a:endParaRPr lang="en-GB"/>
          </a:p>
        </xdr:txBody>
      </xdr:sp>
      <xdr:sp macro="" textlink="Member_Location">
        <xdr:nvSpPr>
          <xdr:cNvPr id="22" name="txtMemLoc">
            <a:extLst>
              <a:ext uri="{FF2B5EF4-FFF2-40B4-BE49-F238E27FC236}">
                <a16:creationId xmlns:a16="http://schemas.microsoft.com/office/drawing/2014/main" id="{00000000-0008-0000-0300-000016000000}"/>
              </a:ext>
            </a:extLst>
          </xdr:cNvPr>
          <xdr:cNvSpPr txBox="1">
            <a:spLocks noChangeArrowheads="1" noTextEdit="1"/>
          </xdr:cNvSpPr>
        </xdr:nvSpPr>
        <xdr:spPr bwMode="auto">
          <a:xfrm>
            <a:off x="4010025" y="428625"/>
            <a:ext cx="2057400" cy="200026"/>
          </a:xfrm>
          <a:prstGeom prst="rect">
            <a:avLst/>
          </a:prstGeom>
          <a:solidFill>
            <a:srgbClr val="FFFFFF">
              <a:alpha val="50000"/>
            </a:srgbClr>
          </a:solidFill>
          <a:ln w="0">
            <a:noFill/>
            <a:prstDash val="sysDot"/>
            <a:miter lim="800000"/>
            <a:headEnd/>
            <a:tailEnd/>
          </a:ln>
        </xdr:spPr>
        <xdr:txBody>
          <a:bodyPr/>
          <a:lstStyle/>
          <a:p>
            <a:fld id="{19337578-A729-4E2F-9EE8-F9C9E0E6EBD5}" type="TxLink">
              <a:rPr lang="en-GB"/>
              <a:pPr/>
              <a:t>0</a:t>
            </a:fld>
            <a:endParaRPr lang="en-GB"/>
          </a:p>
        </xdr:txBody>
      </xdr:sp>
      <xdr:sp macro="" textlink="">
        <xdr:nvSpPr>
          <xdr:cNvPr id="23" name="Line 14">
            <a:extLst>
              <a:ext uri="{FF2B5EF4-FFF2-40B4-BE49-F238E27FC236}">
                <a16:creationId xmlns:a16="http://schemas.microsoft.com/office/drawing/2014/main" id="{00000000-0008-0000-0300-000017000000}"/>
              </a:ext>
            </a:extLst>
          </xdr:cNvPr>
          <xdr:cNvSpPr>
            <a:spLocks noChangeShapeType="1"/>
          </xdr:cNvSpPr>
        </xdr:nvSpPr>
        <xdr:spPr bwMode="auto">
          <a:xfrm flipH="1" flipV="1">
            <a:off x="42672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 name="Line 15">
            <a:extLst>
              <a:ext uri="{FF2B5EF4-FFF2-40B4-BE49-F238E27FC236}">
                <a16:creationId xmlns:a16="http://schemas.microsoft.com/office/drawing/2014/main" id="{00000000-0008-0000-0300-000018000000}"/>
              </a:ext>
            </a:extLst>
          </xdr:cNvPr>
          <xdr:cNvSpPr>
            <a:spLocks noChangeShapeType="1"/>
          </xdr:cNvSpPr>
        </xdr:nvSpPr>
        <xdr:spPr bwMode="auto">
          <a:xfrm flipH="1" flipV="1">
            <a:off x="54864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 name="Line 16">
            <a:extLst>
              <a:ext uri="{FF2B5EF4-FFF2-40B4-BE49-F238E27FC236}">
                <a16:creationId xmlns:a16="http://schemas.microsoft.com/office/drawing/2014/main" id="{00000000-0008-0000-0300-000019000000}"/>
              </a:ext>
            </a:extLst>
          </xdr:cNvPr>
          <xdr:cNvSpPr>
            <a:spLocks noChangeShapeType="1"/>
          </xdr:cNvSpPr>
        </xdr:nvSpPr>
        <xdr:spPr bwMode="auto">
          <a:xfrm flipH="1">
            <a:off x="0" y="647700"/>
            <a:ext cx="609600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6" name="Line 17">
            <a:extLst>
              <a:ext uri="{FF2B5EF4-FFF2-40B4-BE49-F238E27FC236}">
                <a16:creationId xmlns:a16="http://schemas.microsoft.com/office/drawing/2014/main" id="{00000000-0008-0000-0300-00001A000000}"/>
              </a:ext>
            </a:extLst>
          </xdr:cNvPr>
          <xdr:cNvSpPr>
            <a:spLocks noChangeShapeType="1"/>
          </xdr:cNvSpPr>
        </xdr:nvSpPr>
        <xdr:spPr bwMode="auto">
          <a:xfrm flipH="1" flipV="1">
            <a:off x="3095625" y="885825"/>
            <a:ext cx="3000375"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7" name="Line 18">
            <a:extLst>
              <a:ext uri="{FF2B5EF4-FFF2-40B4-BE49-F238E27FC236}">
                <a16:creationId xmlns:a16="http://schemas.microsoft.com/office/drawing/2014/main" id="{00000000-0008-0000-0300-00001B000000}"/>
              </a:ext>
            </a:extLst>
          </xdr:cNvPr>
          <xdr:cNvSpPr>
            <a:spLocks noChangeShapeType="1"/>
          </xdr:cNvSpPr>
        </xdr:nvSpPr>
        <xdr:spPr bwMode="auto">
          <a:xfrm flipH="1">
            <a:off x="9525" y="1276350"/>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8" name="Line 19">
            <a:extLst>
              <a:ext uri="{FF2B5EF4-FFF2-40B4-BE49-F238E27FC236}">
                <a16:creationId xmlns:a16="http://schemas.microsoft.com/office/drawing/2014/main" id="{00000000-0008-0000-0300-00001C000000}"/>
              </a:ext>
            </a:extLst>
          </xdr:cNvPr>
          <xdr:cNvSpPr>
            <a:spLocks noChangeShapeType="1"/>
          </xdr:cNvSpPr>
        </xdr:nvSpPr>
        <xdr:spPr bwMode="auto">
          <a:xfrm flipV="1">
            <a:off x="6096000"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 name="Line 20">
            <a:extLst>
              <a:ext uri="{FF2B5EF4-FFF2-40B4-BE49-F238E27FC236}">
                <a16:creationId xmlns:a16="http://schemas.microsoft.com/office/drawing/2014/main" id="{00000000-0008-0000-0300-00001D000000}"/>
              </a:ext>
            </a:extLst>
          </xdr:cNvPr>
          <xdr:cNvSpPr>
            <a:spLocks noChangeShapeType="1"/>
          </xdr:cNvSpPr>
        </xdr:nvSpPr>
        <xdr:spPr bwMode="auto">
          <a:xfrm flipV="1">
            <a:off x="3095625" y="0"/>
            <a:ext cx="0" cy="1266825"/>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 name="Line 22">
            <a:extLst>
              <a:ext uri="{FF2B5EF4-FFF2-40B4-BE49-F238E27FC236}">
                <a16:creationId xmlns:a16="http://schemas.microsoft.com/office/drawing/2014/main" id="{00000000-0008-0000-0300-00001E000000}"/>
              </a:ext>
            </a:extLst>
          </xdr:cNvPr>
          <xdr:cNvSpPr>
            <a:spLocks noChangeShapeType="1"/>
          </xdr:cNvSpPr>
        </xdr:nvSpPr>
        <xdr:spPr bwMode="auto">
          <a:xfrm flipH="1">
            <a:off x="3095625" y="409575"/>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 name="Line 23">
            <a:extLst>
              <a:ext uri="{FF2B5EF4-FFF2-40B4-BE49-F238E27FC236}">
                <a16:creationId xmlns:a16="http://schemas.microsoft.com/office/drawing/2014/main" id="{00000000-0008-0000-0300-00001F000000}"/>
              </a:ext>
            </a:extLst>
          </xdr:cNvPr>
          <xdr:cNvSpPr>
            <a:spLocks noChangeShapeType="1"/>
          </xdr:cNvSpPr>
        </xdr:nvSpPr>
        <xdr:spPr bwMode="auto">
          <a:xfrm flipV="1">
            <a:off x="9525"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 name="Line 24">
            <a:extLst>
              <a:ext uri="{FF2B5EF4-FFF2-40B4-BE49-F238E27FC236}">
                <a16:creationId xmlns:a16="http://schemas.microsoft.com/office/drawing/2014/main" id="{00000000-0008-0000-0300-000020000000}"/>
              </a:ext>
            </a:extLst>
          </xdr:cNvPr>
          <xdr:cNvSpPr>
            <a:spLocks noChangeShapeType="1"/>
          </xdr:cNvSpPr>
        </xdr:nvSpPr>
        <xdr:spPr bwMode="auto">
          <a:xfrm flipH="1">
            <a:off x="9525" y="9525"/>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3" name="Line 53">
            <a:extLst>
              <a:ext uri="{FF2B5EF4-FFF2-40B4-BE49-F238E27FC236}">
                <a16:creationId xmlns:a16="http://schemas.microsoft.com/office/drawing/2014/main" id="{00000000-0008-0000-0300-000021000000}"/>
              </a:ext>
            </a:extLst>
          </xdr:cNvPr>
          <xdr:cNvSpPr>
            <a:spLocks noChangeShapeType="1"/>
          </xdr:cNvSpPr>
        </xdr:nvSpPr>
        <xdr:spPr bwMode="auto">
          <a:xfrm flipH="1">
            <a:off x="3095625" y="152400"/>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4" name="lblJobNo">
            <a:extLst>
              <a:ext uri="{FF2B5EF4-FFF2-40B4-BE49-F238E27FC236}">
                <a16:creationId xmlns:a16="http://schemas.microsoft.com/office/drawing/2014/main" id="{00000000-0008-0000-0300-000022000000}"/>
              </a:ext>
            </a:extLst>
          </xdr:cNvPr>
          <xdr:cNvSpPr txBox="1">
            <a:spLocks noChangeArrowheads="1"/>
          </xdr:cNvSpPr>
        </xdr:nvSpPr>
        <xdr:spPr bwMode="auto">
          <a:xfrm>
            <a:off x="3133725" y="19050"/>
            <a:ext cx="352425"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Job No.</a:t>
            </a:r>
          </a:p>
        </xdr:txBody>
      </xdr:sp>
      <xdr:sp macro="" textlink="">
        <xdr:nvSpPr>
          <xdr:cNvPr id="35" name="lblMemLoc">
            <a:extLst>
              <a:ext uri="{FF2B5EF4-FFF2-40B4-BE49-F238E27FC236}">
                <a16:creationId xmlns:a16="http://schemas.microsoft.com/office/drawing/2014/main" id="{00000000-0008-0000-0300-000023000000}"/>
              </a:ext>
            </a:extLst>
          </xdr:cNvPr>
          <xdr:cNvSpPr txBox="1">
            <a:spLocks noChangeArrowheads="1"/>
          </xdr:cNvSpPr>
        </xdr:nvSpPr>
        <xdr:spPr bwMode="auto">
          <a:xfrm>
            <a:off x="3143250" y="457200"/>
            <a:ext cx="8001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Member/Location</a:t>
            </a:r>
          </a:p>
        </xdr:txBody>
      </xdr:sp>
      <xdr:sp macro="" textlink="">
        <xdr:nvSpPr>
          <xdr:cNvPr id="36" name="lblMadeBy">
            <a:extLst>
              <a:ext uri="{FF2B5EF4-FFF2-40B4-BE49-F238E27FC236}">
                <a16:creationId xmlns:a16="http://schemas.microsoft.com/office/drawing/2014/main" id="{00000000-0008-0000-0300-000024000000}"/>
              </a:ext>
            </a:extLst>
          </xdr:cNvPr>
          <xdr:cNvSpPr txBox="1">
            <a:spLocks noChangeArrowheads="1"/>
          </xdr:cNvSpPr>
        </xdr:nvSpPr>
        <xdr:spPr bwMode="auto">
          <a:xfrm>
            <a:off x="3143250" y="942975"/>
            <a:ext cx="400050"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Made by</a:t>
            </a:r>
          </a:p>
        </xdr:txBody>
      </xdr:sp>
      <xdr:sp macro="" textlink="">
        <xdr:nvSpPr>
          <xdr:cNvPr id="37" name="lblJobTitle">
            <a:extLst>
              <a:ext uri="{FF2B5EF4-FFF2-40B4-BE49-F238E27FC236}">
                <a16:creationId xmlns:a16="http://schemas.microsoft.com/office/drawing/2014/main" id="{00000000-0008-0000-0300-000025000000}"/>
              </a:ext>
            </a:extLst>
          </xdr:cNvPr>
          <xdr:cNvSpPr txBox="1">
            <a:spLocks noChangeArrowheads="1"/>
          </xdr:cNvSpPr>
        </xdr:nvSpPr>
        <xdr:spPr bwMode="auto">
          <a:xfrm>
            <a:off x="9525" y="666750"/>
            <a:ext cx="504825" cy="1905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 Job Title</a:t>
            </a:r>
          </a:p>
          <a:p>
            <a:pPr algn="l" rtl="0">
              <a:defRPr sz="1000"/>
            </a:pPr>
            <a:endParaRPr lang="en-GB" sz="800" b="0" i="0" strike="noStrike">
              <a:solidFill>
                <a:srgbClr val="000000"/>
              </a:solidFill>
              <a:latin typeface="Arial"/>
              <a:cs typeface="Arial"/>
            </a:endParaRPr>
          </a:p>
        </xdr:txBody>
      </xdr:sp>
      <xdr:sp macro="" textlink="">
        <xdr:nvSpPr>
          <xdr:cNvPr id="38" name="lblChd">
            <a:extLst>
              <a:ext uri="{FF2B5EF4-FFF2-40B4-BE49-F238E27FC236}">
                <a16:creationId xmlns:a16="http://schemas.microsoft.com/office/drawing/2014/main" id="{00000000-0008-0000-0300-000026000000}"/>
              </a:ext>
            </a:extLst>
          </xdr:cNvPr>
          <xdr:cNvSpPr txBox="1">
            <a:spLocks noChangeArrowheads="1"/>
          </xdr:cNvSpPr>
        </xdr:nvSpPr>
        <xdr:spPr bwMode="auto">
          <a:xfrm>
            <a:off x="5267325" y="942975"/>
            <a:ext cx="219075"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Chd.</a:t>
            </a:r>
          </a:p>
        </xdr:txBody>
      </xdr:sp>
      <xdr:sp macro="" textlink="">
        <xdr:nvSpPr>
          <xdr:cNvPr id="39" name="lblDate">
            <a:extLst>
              <a:ext uri="{FF2B5EF4-FFF2-40B4-BE49-F238E27FC236}">
                <a16:creationId xmlns:a16="http://schemas.microsoft.com/office/drawing/2014/main" id="{00000000-0008-0000-0300-000027000000}"/>
              </a:ext>
            </a:extLst>
          </xdr:cNvPr>
          <xdr:cNvSpPr txBox="1">
            <a:spLocks noChangeArrowheads="1"/>
          </xdr:cNvSpPr>
        </xdr:nvSpPr>
        <xdr:spPr bwMode="auto">
          <a:xfrm>
            <a:off x="4229100" y="942975"/>
            <a:ext cx="2476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Date</a:t>
            </a:r>
          </a:p>
        </xdr:txBody>
      </xdr:sp>
      <xdr:sp macro="" textlink="">
        <xdr:nvSpPr>
          <xdr:cNvPr id="40" name="lblDrgRef">
            <a:extLst>
              <a:ext uri="{FF2B5EF4-FFF2-40B4-BE49-F238E27FC236}">
                <a16:creationId xmlns:a16="http://schemas.microsoft.com/office/drawing/2014/main" id="{00000000-0008-0000-0300-000028000000}"/>
              </a:ext>
            </a:extLst>
          </xdr:cNvPr>
          <xdr:cNvSpPr txBox="1">
            <a:spLocks noChangeArrowheads="1"/>
          </xdr:cNvSpPr>
        </xdr:nvSpPr>
        <xdr:spPr bwMode="auto">
          <a:xfrm>
            <a:off x="3143250" y="685800"/>
            <a:ext cx="409575" cy="1524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Drg. Ref.</a:t>
            </a:r>
          </a:p>
        </xdr:txBody>
      </xdr:sp>
      <xdr:sp macro="" textlink="">
        <xdr:nvSpPr>
          <xdr:cNvPr id="41" name="lblSheetNo">
            <a:extLst>
              <a:ext uri="{FF2B5EF4-FFF2-40B4-BE49-F238E27FC236}">
                <a16:creationId xmlns:a16="http://schemas.microsoft.com/office/drawing/2014/main" id="{00000000-0008-0000-0300-000029000000}"/>
              </a:ext>
            </a:extLst>
          </xdr:cNvPr>
          <xdr:cNvSpPr txBox="1">
            <a:spLocks noChangeArrowheads="1"/>
          </xdr:cNvSpPr>
        </xdr:nvSpPr>
        <xdr:spPr bwMode="auto">
          <a:xfrm>
            <a:off x="4286250" y="19050"/>
            <a:ext cx="4572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Sheet No.</a:t>
            </a:r>
          </a:p>
        </xdr:txBody>
      </xdr:sp>
      <xdr:sp macro="" textlink="">
        <xdr:nvSpPr>
          <xdr:cNvPr id="42" name="lblRev">
            <a:extLst>
              <a:ext uri="{FF2B5EF4-FFF2-40B4-BE49-F238E27FC236}">
                <a16:creationId xmlns:a16="http://schemas.microsoft.com/office/drawing/2014/main" id="{00000000-0008-0000-0300-00002A000000}"/>
              </a:ext>
            </a:extLst>
          </xdr:cNvPr>
          <xdr:cNvSpPr txBox="1">
            <a:spLocks noChangeArrowheads="1"/>
          </xdr:cNvSpPr>
        </xdr:nvSpPr>
        <xdr:spPr bwMode="auto">
          <a:xfrm>
            <a:off x="5514975" y="19050"/>
            <a:ext cx="2095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Rev.</a:t>
            </a:r>
          </a:p>
        </xdr:txBody>
      </xdr:sp>
      <xdr:sp macro="" textlink="">
        <xdr:nvSpPr>
          <xdr:cNvPr id="43" name="Text Box 37">
            <a:extLst>
              <a:ext uri="{FF2B5EF4-FFF2-40B4-BE49-F238E27FC236}">
                <a16:creationId xmlns:a16="http://schemas.microsoft.com/office/drawing/2014/main" id="{00000000-0008-0000-0300-00002B000000}"/>
              </a:ext>
            </a:extLst>
          </xdr:cNvPr>
          <xdr:cNvSpPr txBox="1">
            <a:spLocks noChangeArrowheads="1"/>
          </xdr:cNvSpPr>
        </xdr:nvSpPr>
        <xdr:spPr bwMode="auto">
          <a:xfrm>
            <a:off x="9525" y="933450"/>
            <a:ext cx="5715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GB" sz="800" b="0" i="0" strike="noStrike">
                <a:solidFill>
                  <a:srgbClr val="000000"/>
                </a:solidFill>
                <a:latin typeface="Arial"/>
                <a:cs typeface="Arial"/>
              </a:rPr>
              <a:t>Calculation</a:t>
            </a:r>
          </a:p>
        </xdr:txBody>
      </xdr:sp>
      <xdr:pic>
        <xdr:nvPicPr>
          <xdr:cNvPr id="44" name="Picture 43" descr="Arup26mm.png">
            <a:extLst>
              <a:ext uri="{FF2B5EF4-FFF2-40B4-BE49-F238E27FC236}">
                <a16:creationId xmlns:a16="http://schemas.microsoft.com/office/drawing/2014/main" id="{00000000-0008-0000-0300-00002C000000}"/>
              </a:ext>
            </a:extLst>
          </xdr:cNvPr>
          <xdr:cNvPicPr>
            <a:picLocks noChangeAspect="1"/>
          </xdr:cNvPicPr>
        </xdr:nvPicPr>
        <xdr:blipFill>
          <a:blip xmlns:r="http://schemas.openxmlformats.org/officeDocument/2006/relationships" r:embed="rId1" cstate="print"/>
          <a:stretch>
            <a:fillRect/>
          </a:stretch>
        </xdr:blipFill>
        <xdr:spPr>
          <a:xfrm>
            <a:off x="114300" y="152400"/>
            <a:ext cx="954026" cy="304801"/>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38100</xdr:colOff>
      <xdr:row>14</xdr:row>
      <xdr:rowOff>289560</xdr:rowOff>
    </xdr:from>
    <xdr:to>
      <xdr:col>11</xdr:col>
      <xdr:colOff>359683</xdr:colOff>
      <xdr:row>28</xdr:row>
      <xdr:rowOff>99060</xdr:rowOff>
    </xdr:to>
    <xdr:pic>
      <xdr:nvPicPr>
        <xdr:cNvPr id="2" name="Picture 1">
          <a:extLst>
            <a:ext uri="{FF2B5EF4-FFF2-40B4-BE49-F238E27FC236}">
              <a16:creationId xmlns:a16="http://schemas.microsoft.com/office/drawing/2014/main" id="{6AA203A3-9D6E-42D0-B063-0EE6CBA6EF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421" t="2718" b="10974"/>
        <a:stretch>
          <a:fillRect/>
        </a:stretch>
      </xdr:blipFill>
      <xdr:spPr bwMode="auto">
        <a:xfrm>
          <a:off x="5021580" y="2625090"/>
          <a:ext cx="3266713" cy="2827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0</xdr:colOff>
      <xdr:row>0</xdr:row>
      <xdr:rowOff>0</xdr:rowOff>
    </xdr:from>
    <xdr:to>
      <xdr:col>11</xdr:col>
      <xdr:colOff>685800</xdr:colOff>
      <xdr:row>8</xdr:row>
      <xdr:rowOff>2449</xdr:rowOff>
    </xdr:to>
    <xdr:grpSp>
      <xdr:nvGrpSpPr>
        <xdr:cNvPr id="3" name="Group 2">
          <a:extLst>
            <a:ext uri="{FF2B5EF4-FFF2-40B4-BE49-F238E27FC236}">
              <a16:creationId xmlns:a16="http://schemas.microsoft.com/office/drawing/2014/main" id="{38169AFE-51A6-4D2A-8314-CE5FE344163B}"/>
            </a:ext>
          </a:extLst>
        </xdr:cNvPr>
        <xdr:cNvGrpSpPr/>
      </xdr:nvGrpSpPr>
      <xdr:grpSpPr>
        <a:xfrm>
          <a:off x="0" y="0"/>
          <a:ext cx="7990742" cy="1313968"/>
          <a:chOff x="0" y="0"/>
          <a:chExt cx="6096000" cy="1276350"/>
        </a:xfrm>
      </xdr:grpSpPr>
      <xdr:sp macro="" textlink="">
        <xdr:nvSpPr>
          <xdr:cNvPr id="4" name="Rectangle 38">
            <a:extLst>
              <a:ext uri="{FF2B5EF4-FFF2-40B4-BE49-F238E27FC236}">
                <a16:creationId xmlns:a16="http://schemas.microsoft.com/office/drawing/2014/main" id="{C377BED4-25B5-AD34-67B6-A9DE09916C07}"/>
              </a:ext>
            </a:extLst>
          </xdr:cNvPr>
          <xdr:cNvSpPr>
            <a:spLocks noChangeArrowheads="1"/>
          </xdr:cNvSpPr>
        </xdr:nvSpPr>
        <xdr:spPr bwMode="auto">
          <a:xfrm>
            <a:off x="628650" y="95250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5" name="txtSheetTitle">
            <a:extLst>
              <a:ext uri="{FF2B5EF4-FFF2-40B4-BE49-F238E27FC236}">
                <a16:creationId xmlns:a16="http://schemas.microsoft.com/office/drawing/2014/main" id="{B7546E1A-7B05-575B-F0A3-43CB95E9442A}"/>
              </a:ext>
            </a:extLst>
          </xdr:cNvPr>
          <xdr:cNvSpPr txBox="1">
            <a:spLocks noChangeArrowheads="1"/>
          </xdr:cNvSpPr>
        </xdr:nvSpPr>
        <xdr:spPr bwMode="auto">
          <a:xfrm>
            <a:off x="628650" y="962024"/>
            <a:ext cx="2438400" cy="238125"/>
          </a:xfrm>
          <a:prstGeom prst="rect">
            <a:avLst/>
          </a:prstGeom>
          <a:solidFill>
            <a:srgbClr val="FFFFFF">
              <a:alpha val="50195"/>
            </a:srgbClr>
          </a:solidFill>
          <a:ln>
            <a:noFill/>
          </a:ln>
          <a:extLst>
            <a:ext uri="{91240B29-F687-4F45-9708-019B960494DF}">
              <a14:hiddenLine xmlns:a14="http://schemas.microsoft.com/office/drawing/2010/main" w="0">
                <a:solidFill>
                  <a:srgbClr val="000000"/>
                </a:solidFill>
                <a:prstDash val="sysDot"/>
                <a:miter lim="800000"/>
                <a:headEnd/>
                <a:tailEnd/>
              </a14:hiddenLine>
            </a:ext>
          </a:extLst>
        </xdr:spPr>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a:effectLst/>
                <a:latin typeface="+mn-lt"/>
                <a:ea typeface="+mn-ea"/>
                <a:cs typeface="+mn-cs"/>
              </a:rPr>
              <a:t>Open</a:t>
            </a:r>
            <a:r>
              <a:rPr lang="en-GB" sz="1100" baseline="0">
                <a:effectLst/>
                <a:latin typeface="+mn-lt"/>
                <a:ea typeface="+mn-ea"/>
                <a:cs typeface="+mn-cs"/>
              </a:rPr>
              <a:t> Quay Piles - West Quay- Zone A</a:t>
            </a:r>
            <a:endParaRPr lang="en-GB">
              <a:effectLst/>
            </a:endParaRPr>
          </a:p>
          <a:p>
            <a:endParaRPr lang="en-GB"/>
          </a:p>
        </xdr:txBody>
      </xdr:sp>
      <xdr:sp macro="" textlink="">
        <xdr:nvSpPr>
          <xdr:cNvPr id="6" name="Rectangle 60">
            <a:extLst>
              <a:ext uri="{FF2B5EF4-FFF2-40B4-BE49-F238E27FC236}">
                <a16:creationId xmlns:a16="http://schemas.microsoft.com/office/drawing/2014/main" id="{E95B5EE2-D24F-015F-36EC-9188BA868978}"/>
              </a:ext>
            </a:extLst>
          </xdr:cNvPr>
          <xdr:cNvSpPr>
            <a:spLocks noChangeArrowheads="1"/>
          </xdr:cNvSpPr>
        </xdr:nvSpPr>
        <xdr:spPr bwMode="auto">
          <a:xfrm>
            <a:off x="628650" y="66675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7" name="Rectangle 62">
            <a:extLst>
              <a:ext uri="{FF2B5EF4-FFF2-40B4-BE49-F238E27FC236}">
                <a16:creationId xmlns:a16="http://schemas.microsoft.com/office/drawing/2014/main" id="{1E965183-A018-2F48-0106-BD527186CC4F}"/>
              </a:ext>
            </a:extLst>
          </xdr:cNvPr>
          <xdr:cNvSpPr>
            <a:spLocks noChangeArrowheads="1"/>
          </xdr:cNvSpPr>
        </xdr:nvSpPr>
        <xdr:spPr bwMode="auto">
          <a:xfrm>
            <a:off x="5524500" y="171450"/>
            <a:ext cx="5334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8" name="Rectangle 64">
            <a:extLst>
              <a:ext uri="{FF2B5EF4-FFF2-40B4-BE49-F238E27FC236}">
                <a16:creationId xmlns:a16="http://schemas.microsoft.com/office/drawing/2014/main" id="{8DB164BB-9ECF-C5F6-D8EC-AAC92D01AFFD}"/>
              </a:ext>
            </a:extLst>
          </xdr:cNvPr>
          <xdr:cNvSpPr>
            <a:spLocks noChangeArrowheads="1"/>
          </xdr:cNvSpPr>
        </xdr:nvSpPr>
        <xdr:spPr bwMode="auto">
          <a:xfrm>
            <a:off x="4010025" y="666750"/>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9" name="Rectangle 63">
            <a:extLst>
              <a:ext uri="{FF2B5EF4-FFF2-40B4-BE49-F238E27FC236}">
                <a16:creationId xmlns:a16="http://schemas.microsoft.com/office/drawing/2014/main" id="{BFC4BDB0-2C5A-C9F1-DAE5-313A0C08B307}"/>
              </a:ext>
            </a:extLst>
          </xdr:cNvPr>
          <xdr:cNvSpPr>
            <a:spLocks noChangeArrowheads="1"/>
          </xdr:cNvSpPr>
        </xdr:nvSpPr>
        <xdr:spPr bwMode="auto">
          <a:xfrm>
            <a:off x="4010025" y="428625"/>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0" name="Rectangle 67">
            <a:extLst>
              <a:ext uri="{FF2B5EF4-FFF2-40B4-BE49-F238E27FC236}">
                <a16:creationId xmlns:a16="http://schemas.microsoft.com/office/drawing/2014/main" id="{15E25852-F2F5-025E-C246-4F843775446F}"/>
              </a:ext>
            </a:extLst>
          </xdr:cNvPr>
          <xdr:cNvSpPr>
            <a:spLocks noChangeArrowheads="1"/>
          </xdr:cNvSpPr>
        </xdr:nvSpPr>
        <xdr:spPr bwMode="auto">
          <a:xfrm>
            <a:off x="5505450" y="923925"/>
            <a:ext cx="561975"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1" name="Rectangle 66">
            <a:extLst>
              <a:ext uri="{FF2B5EF4-FFF2-40B4-BE49-F238E27FC236}">
                <a16:creationId xmlns:a16="http://schemas.microsoft.com/office/drawing/2014/main" id="{8448E0D6-93C6-C647-8BE5-C4668C9F1990}"/>
              </a:ext>
            </a:extLst>
          </xdr:cNvPr>
          <xdr:cNvSpPr>
            <a:spLocks noChangeArrowheads="1"/>
          </xdr:cNvSpPr>
        </xdr:nvSpPr>
        <xdr:spPr bwMode="auto">
          <a:xfrm>
            <a:off x="4467225" y="923925"/>
            <a:ext cx="76200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2" name="Rectangle 65">
            <a:extLst>
              <a:ext uri="{FF2B5EF4-FFF2-40B4-BE49-F238E27FC236}">
                <a16:creationId xmlns:a16="http://schemas.microsoft.com/office/drawing/2014/main" id="{37A25F0F-1F0E-624F-7A93-E8A4E3AB4C37}"/>
              </a:ext>
            </a:extLst>
          </xdr:cNvPr>
          <xdr:cNvSpPr>
            <a:spLocks noChangeArrowheads="1"/>
          </xdr:cNvSpPr>
        </xdr:nvSpPr>
        <xdr:spPr bwMode="auto">
          <a:xfrm>
            <a:off x="3629025" y="923925"/>
            <a:ext cx="55245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3" name="Rectangle 61">
            <a:extLst>
              <a:ext uri="{FF2B5EF4-FFF2-40B4-BE49-F238E27FC236}">
                <a16:creationId xmlns:a16="http://schemas.microsoft.com/office/drawing/2014/main" id="{3ED41436-6C20-4A21-E2F2-E87A44AE9541}"/>
              </a:ext>
            </a:extLst>
          </xdr:cNvPr>
          <xdr:cNvSpPr>
            <a:spLocks noChangeArrowheads="1"/>
          </xdr:cNvSpPr>
        </xdr:nvSpPr>
        <xdr:spPr bwMode="auto">
          <a:xfrm>
            <a:off x="3124200" y="171450"/>
            <a:ext cx="11049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4" name="Rectangle 39">
            <a:extLst>
              <a:ext uri="{FF2B5EF4-FFF2-40B4-BE49-F238E27FC236}">
                <a16:creationId xmlns:a16="http://schemas.microsoft.com/office/drawing/2014/main" id="{A39DD995-0B5D-8946-0893-51B35125A854}"/>
              </a:ext>
            </a:extLst>
          </xdr:cNvPr>
          <xdr:cNvSpPr>
            <a:spLocks noChangeArrowheads="1"/>
          </xdr:cNvSpPr>
        </xdr:nvSpPr>
        <xdr:spPr bwMode="auto">
          <a:xfrm>
            <a:off x="4295775" y="171450"/>
            <a:ext cx="116205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SheetNo">
        <xdr:nvSpPr>
          <xdr:cNvPr id="15" name="txtSheetNo">
            <a:extLst>
              <a:ext uri="{FF2B5EF4-FFF2-40B4-BE49-F238E27FC236}">
                <a16:creationId xmlns:a16="http://schemas.microsoft.com/office/drawing/2014/main" id="{95693331-E016-4BEB-C3B9-C0038EBAAA8F}"/>
              </a:ext>
            </a:extLst>
          </xdr:cNvPr>
          <xdr:cNvSpPr txBox="1">
            <a:spLocks noChangeArrowheads="1" noTextEdit="1"/>
          </xdr:cNvSpPr>
        </xdr:nvSpPr>
        <xdr:spPr bwMode="auto">
          <a:xfrm>
            <a:off x="4295775" y="152400"/>
            <a:ext cx="1171575" cy="238125"/>
          </a:xfrm>
          <a:prstGeom prst="rect">
            <a:avLst/>
          </a:prstGeom>
          <a:solidFill>
            <a:srgbClr val="FFFFFF">
              <a:alpha val="50000"/>
            </a:srgbClr>
          </a:solidFill>
          <a:ln w="0">
            <a:noFill/>
            <a:prstDash val="sysDot"/>
            <a:miter lim="800000"/>
            <a:headEnd/>
            <a:tailEnd/>
          </a:ln>
        </xdr:spPr>
        <xdr:txBody>
          <a:bodyPr/>
          <a:lstStyle/>
          <a:p>
            <a:fld id="{0138D352-6085-40FA-BBF5-9DB3C3BA9D91}" type="TxLink">
              <a:rPr lang="en-GB"/>
              <a:pPr/>
              <a:t> </a:t>
            </a:fld>
            <a:endParaRPr lang="en-GB"/>
          </a:p>
        </xdr:txBody>
      </xdr:sp>
      <xdr:sp macro="" textlink="MadeBy">
        <xdr:nvSpPr>
          <xdr:cNvPr id="16" name="txtMadeBy">
            <a:extLst>
              <a:ext uri="{FF2B5EF4-FFF2-40B4-BE49-F238E27FC236}">
                <a16:creationId xmlns:a16="http://schemas.microsoft.com/office/drawing/2014/main" id="{730F43C7-AD6C-B3BB-A697-97F027BD2626}"/>
              </a:ext>
            </a:extLst>
          </xdr:cNvPr>
          <xdr:cNvSpPr txBox="1">
            <a:spLocks noChangeArrowheads="1" noTextEdit="1"/>
          </xdr:cNvSpPr>
        </xdr:nvSpPr>
        <xdr:spPr bwMode="auto">
          <a:xfrm>
            <a:off x="3629025" y="904875"/>
            <a:ext cx="552450" cy="323850"/>
          </a:xfrm>
          <a:prstGeom prst="rect">
            <a:avLst/>
          </a:prstGeom>
          <a:solidFill>
            <a:srgbClr val="FFFFFF">
              <a:alpha val="50000"/>
            </a:srgbClr>
          </a:solidFill>
          <a:ln w="0" cap="rnd">
            <a:noFill/>
            <a:prstDash val="sysDot"/>
            <a:miter lim="800000"/>
            <a:headEnd/>
            <a:tailEnd/>
          </a:ln>
        </xdr:spPr>
        <xdr:txBody>
          <a:bodyPr/>
          <a:lstStyle/>
          <a:p>
            <a:fld id="{7EE7AAC5-E9AF-436A-A2EC-CDE1A1A16D28}" type="TxLink">
              <a:rPr lang="en-GB"/>
              <a:pPr/>
              <a:t>DR/JK</a:t>
            </a:fld>
            <a:endParaRPr lang="en-GB"/>
          </a:p>
        </xdr:txBody>
      </xdr:sp>
      <xdr:sp macro="" textlink="Date">
        <xdr:nvSpPr>
          <xdr:cNvPr id="17" name="txtDate">
            <a:extLst>
              <a:ext uri="{FF2B5EF4-FFF2-40B4-BE49-F238E27FC236}">
                <a16:creationId xmlns:a16="http://schemas.microsoft.com/office/drawing/2014/main" id="{F1FB48A6-3B8D-FCB6-AA55-84D6CDF6F441}"/>
              </a:ext>
            </a:extLst>
          </xdr:cNvPr>
          <xdr:cNvSpPr txBox="1">
            <a:spLocks noChangeArrowheads="1" noTextEdit="1"/>
          </xdr:cNvSpPr>
        </xdr:nvSpPr>
        <xdr:spPr bwMode="auto">
          <a:xfrm>
            <a:off x="4476749" y="904875"/>
            <a:ext cx="762001" cy="323849"/>
          </a:xfrm>
          <a:prstGeom prst="rect">
            <a:avLst/>
          </a:prstGeom>
          <a:solidFill>
            <a:srgbClr val="FFFFFF">
              <a:alpha val="50000"/>
            </a:srgbClr>
          </a:solidFill>
          <a:ln w="0" cap="rnd">
            <a:noFill/>
            <a:prstDash val="sysDot"/>
            <a:miter lim="800000"/>
            <a:headEnd/>
            <a:tailEnd/>
          </a:ln>
        </xdr:spPr>
        <xdr:txBody>
          <a:bodyPr lIns="36000" rIns="36000"/>
          <a:lstStyle/>
          <a:p>
            <a:fld id="{43A0CF41-EB0C-4B3F-B5D2-945B716BC35E}" type="TxLink">
              <a:rPr lang="en-GB"/>
              <a:pPr/>
              <a:t>21/06/2018</a:t>
            </a:fld>
            <a:endParaRPr lang="en-GB"/>
          </a:p>
        </xdr:txBody>
      </xdr:sp>
      <xdr:sp macro="" textlink="JobNumber">
        <xdr:nvSpPr>
          <xdr:cNvPr id="18" name="txtJobNo">
            <a:extLst>
              <a:ext uri="{FF2B5EF4-FFF2-40B4-BE49-F238E27FC236}">
                <a16:creationId xmlns:a16="http://schemas.microsoft.com/office/drawing/2014/main" id="{AC115AE8-1BA7-05A8-73D8-CEC7EA535A40}"/>
              </a:ext>
            </a:extLst>
          </xdr:cNvPr>
          <xdr:cNvSpPr txBox="1">
            <a:spLocks noChangeArrowheads="1" noTextEdit="1"/>
          </xdr:cNvSpPr>
        </xdr:nvSpPr>
        <xdr:spPr bwMode="auto">
          <a:xfrm>
            <a:off x="3124200" y="152400"/>
            <a:ext cx="1114425" cy="238126"/>
          </a:xfrm>
          <a:prstGeom prst="rect">
            <a:avLst/>
          </a:prstGeom>
          <a:solidFill>
            <a:srgbClr val="FFFFFF">
              <a:alpha val="50000"/>
            </a:srgbClr>
          </a:solidFill>
          <a:ln w="0" cap="rnd">
            <a:noFill/>
            <a:prstDash val="sysDot"/>
            <a:miter lim="800000"/>
            <a:headEnd/>
            <a:tailEnd/>
          </a:ln>
        </xdr:spPr>
        <xdr:txBody>
          <a:bodyPr/>
          <a:lstStyle/>
          <a:p>
            <a:fld id="{12FF7581-71C6-4F7B-899A-63BE6424F74C}" type="TxLink">
              <a:rPr lang="en-GB"/>
              <a:pPr/>
              <a:t>253300-64</a:t>
            </a:fld>
            <a:endParaRPr lang="en-GB"/>
          </a:p>
        </xdr:txBody>
      </xdr:sp>
      <xdr:sp macro="" textlink="Checked">
        <xdr:nvSpPr>
          <xdr:cNvPr id="19" name="txtChd">
            <a:extLst>
              <a:ext uri="{FF2B5EF4-FFF2-40B4-BE49-F238E27FC236}">
                <a16:creationId xmlns:a16="http://schemas.microsoft.com/office/drawing/2014/main" id="{E245E4D5-6699-C0F3-CA89-F858D275754E}"/>
              </a:ext>
            </a:extLst>
          </xdr:cNvPr>
          <xdr:cNvSpPr txBox="1">
            <a:spLocks noChangeArrowheads="1" noTextEdit="1"/>
          </xdr:cNvSpPr>
        </xdr:nvSpPr>
        <xdr:spPr bwMode="auto">
          <a:xfrm>
            <a:off x="5505450" y="933449"/>
            <a:ext cx="561975" cy="295275"/>
          </a:xfrm>
          <a:prstGeom prst="rect">
            <a:avLst/>
          </a:prstGeom>
          <a:solidFill>
            <a:srgbClr val="FFFFFF">
              <a:alpha val="50000"/>
            </a:srgbClr>
          </a:solidFill>
          <a:ln w="0" cap="rnd">
            <a:noFill/>
            <a:prstDash val="sysDot"/>
            <a:miter lim="800000"/>
            <a:headEnd/>
            <a:tailEnd/>
          </a:ln>
        </xdr:spPr>
        <xdr:txBody>
          <a:bodyPr/>
          <a:lstStyle/>
          <a:p>
            <a:fld id="{DD3FFBD0-7868-4AB5-A50A-19EA75ECDFFF}" type="TxLink">
              <a:rPr lang="en-GB"/>
              <a:pPr/>
              <a:t>JCM</a:t>
            </a:fld>
            <a:endParaRPr lang="en-GB"/>
          </a:p>
        </xdr:txBody>
      </xdr:sp>
      <xdr:sp macro="" textlink="Revision">
        <xdr:nvSpPr>
          <xdr:cNvPr id="20" name="txtRev">
            <a:extLst>
              <a:ext uri="{FF2B5EF4-FFF2-40B4-BE49-F238E27FC236}">
                <a16:creationId xmlns:a16="http://schemas.microsoft.com/office/drawing/2014/main" id="{078EB742-4E9F-ECD1-677E-0D43F56E6544}"/>
              </a:ext>
            </a:extLst>
          </xdr:cNvPr>
          <xdr:cNvSpPr txBox="1">
            <a:spLocks noChangeArrowheads="1" noTextEdit="1"/>
          </xdr:cNvSpPr>
        </xdr:nvSpPr>
        <xdr:spPr bwMode="auto">
          <a:xfrm>
            <a:off x="5524500" y="161925"/>
            <a:ext cx="542925" cy="228600"/>
          </a:xfrm>
          <a:prstGeom prst="rect">
            <a:avLst/>
          </a:prstGeom>
          <a:solidFill>
            <a:srgbClr val="FFFFFF">
              <a:alpha val="50000"/>
            </a:srgbClr>
          </a:solidFill>
          <a:ln w="0" cap="rnd">
            <a:noFill/>
            <a:prstDash val="sysDot"/>
            <a:miter lim="800000"/>
            <a:headEnd/>
            <a:tailEnd/>
          </a:ln>
        </xdr:spPr>
        <xdr:txBody>
          <a:bodyPr/>
          <a:lstStyle/>
          <a:p>
            <a:fld id="{31D14602-4220-42DC-A278-07FFB3F3F1B6}" type="TxLink">
              <a:rPr lang="en-GB"/>
              <a:pPr/>
              <a:t>r2.4</a:t>
            </a:fld>
            <a:endParaRPr lang="en-GB"/>
          </a:p>
        </xdr:txBody>
      </xdr:sp>
      <xdr:sp macro="" textlink="JobTitle">
        <xdr:nvSpPr>
          <xdr:cNvPr id="21" name="txtJobTitle">
            <a:extLst>
              <a:ext uri="{FF2B5EF4-FFF2-40B4-BE49-F238E27FC236}">
                <a16:creationId xmlns:a16="http://schemas.microsoft.com/office/drawing/2014/main" id="{78C6ADFC-99D7-B976-6776-8615D4DD557C}"/>
              </a:ext>
            </a:extLst>
          </xdr:cNvPr>
          <xdr:cNvSpPr txBox="1">
            <a:spLocks noChangeArrowheads="1" noTextEdit="1"/>
          </xdr:cNvSpPr>
        </xdr:nvSpPr>
        <xdr:spPr bwMode="auto">
          <a:xfrm>
            <a:off x="628650" y="695324"/>
            <a:ext cx="2438400" cy="219075"/>
          </a:xfrm>
          <a:prstGeom prst="rect">
            <a:avLst/>
          </a:prstGeom>
          <a:solidFill>
            <a:srgbClr val="FFFFFF">
              <a:alpha val="50000"/>
            </a:srgbClr>
          </a:solidFill>
          <a:ln w="0" cap="rnd">
            <a:noFill/>
            <a:prstDash val="sysDot"/>
            <a:miter lim="800000"/>
            <a:headEnd/>
            <a:tailEnd/>
          </a:ln>
        </xdr:spPr>
        <xdr:txBody>
          <a:bodyPr/>
          <a:lstStyle/>
          <a:p>
            <a:fld id="{F3465201-EA38-4A20-8381-E1AF0A9A1F41}" type="TxLink">
              <a:rPr lang="en-GB"/>
              <a:pPr/>
              <a:t>Aberdeen Harbour Expansion Project</a:t>
            </a:fld>
            <a:endParaRPr lang="en-GB"/>
          </a:p>
        </xdr:txBody>
      </xdr:sp>
      <xdr:sp macro="" textlink="Drawing_Reference">
        <xdr:nvSpPr>
          <xdr:cNvPr id="22" name="txtDrgRef">
            <a:extLst>
              <a:ext uri="{FF2B5EF4-FFF2-40B4-BE49-F238E27FC236}">
                <a16:creationId xmlns:a16="http://schemas.microsoft.com/office/drawing/2014/main" id="{C54FACF3-735B-1C68-08AC-500FC73FE735}"/>
              </a:ext>
            </a:extLst>
          </xdr:cNvPr>
          <xdr:cNvSpPr txBox="1">
            <a:spLocks noChangeArrowheads="1" noTextEdit="1"/>
          </xdr:cNvSpPr>
        </xdr:nvSpPr>
        <xdr:spPr bwMode="auto">
          <a:xfrm>
            <a:off x="4010025" y="695325"/>
            <a:ext cx="2057400" cy="171450"/>
          </a:xfrm>
          <a:prstGeom prst="rect">
            <a:avLst/>
          </a:prstGeom>
          <a:solidFill>
            <a:srgbClr val="FFFFFF">
              <a:alpha val="50000"/>
            </a:srgbClr>
          </a:solidFill>
          <a:ln w="0">
            <a:noFill/>
            <a:prstDash val="sysDot"/>
            <a:miter lim="800000"/>
            <a:headEnd/>
            <a:tailEnd/>
          </a:ln>
        </xdr:spPr>
        <xdr:txBody>
          <a:bodyPr tIns="0" bIns="0"/>
          <a:lstStyle/>
          <a:p>
            <a:fld id="{45FC97E0-6641-4BBC-B6C9-CFEAC7797A02}" type="TxLink">
              <a:rPr lang="en-GB"/>
              <a:pPr/>
              <a:t> </a:t>
            </a:fld>
            <a:endParaRPr lang="en-GB"/>
          </a:p>
        </xdr:txBody>
      </xdr:sp>
      <xdr:sp macro="" textlink="Member_Location">
        <xdr:nvSpPr>
          <xdr:cNvPr id="23" name="txtMemLoc">
            <a:extLst>
              <a:ext uri="{FF2B5EF4-FFF2-40B4-BE49-F238E27FC236}">
                <a16:creationId xmlns:a16="http://schemas.microsoft.com/office/drawing/2014/main" id="{BFB971A0-795D-0223-F256-F8A6F29AC837}"/>
              </a:ext>
            </a:extLst>
          </xdr:cNvPr>
          <xdr:cNvSpPr txBox="1">
            <a:spLocks noChangeArrowheads="1" noTextEdit="1"/>
          </xdr:cNvSpPr>
        </xdr:nvSpPr>
        <xdr:spPr bwMode="auto">
          <a:xfrm>
            <a:off x="4010025" y="428625"/>
            <a:ext cx="2057400" cy="200026"/>
          </a:xfrm>
          <a:prstGeom prst="rect">
            <a:avLst/>
          </a:prstGeom>
          <a:solidFill>
            <a:srgbClr val="FFFFFF">
              <a:alpha val="50000"/>
            </a:srgbClr>
          </a:solidFill>
          <a:ln w="0">
            <a:noFill/>
            <a:prstDash val="sysDot"/>
            <a:miter lim="800000"/>
            <a:headEnd/>
            <a:tailEnd/>
          </a:ln>
        </xdr:spPr>
        <xdr:txBody>
          <a:bodyPr/>
          <a:lstStyle/>
          <a:p>
            <a:fld id="{19337578-A729-4E2F-9EE8-F9C9E0E6EBD5}" type="TxLink">
              <a:rPr lang="en-GB"/>
              <a:pPr/>
              <a:t>0</a:t>
            </a:fld>
            <a:endParaRPr lang="en-GB"/>
          </a:p>
        </xdr:txBody>
      </xdr:sp>
      <xdr:sp macro="" textlink="">
        <xdr:nvSpPr>
          <xdr:cNvPr id="24" name="Line 14">
            <a:extLst>
              <a:ext uri="{FF2B5EF4-FFF2-40B4-BE49-F238E27FC236}">
                <a16:creationId xmlns:a16="http://schemas.microsoft.com/office/drawing/2014/main" id="{BAAE62BD-4B45-A683-CBDF-CE1A453A7AB3}"/>
              </a:ext>
            </a:extLst>
          </xdr:cNvPr>
          <xdr:cNvSpPr>
            <a:spLocks noChangeShapeType="1"/>
          </xdr:cNvSpPr>
        </xdr:nvSpPr>
        <xdr:spPr bwMode="auto">
          <a:xfrm flipH="1" flipV="1">
            <a:off x="42672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 name="Line 15">
            <a:extLst>
              <a:ext uri="{FF2B5EF4-FFF2-40B4-BE49-F238E27FC236}">
                <a16:creationId xmlns:a16="http://schemas.microsoft.com/office/drawing/2014/main" id="{00FE28F0-EFAC-D56B-FAFF-6EE85C9DF558}"/>
              </a:ext>
            </a:extLst>
          </xdr:cNvPr>
          <xdr:cNvSpPr>
            <a:spLocks noChangeShapeType="1"/>
          </xdr:cNvSpPr>
        </xdr:nvSpPr>
        <xdr:spPr bwMode="auto">
          <a:xfrm flipH="1" flipV="1">
            <a:off x="54864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6" name="Line 16">
            <a:extLst>
              <a:ext uri="{FF2B5EF4-FFF2-40B4-BE49-F238E27FC236}">
                <a16:creationId xmlns:a16="http://schemas.microsoft.com/office/drawing/2014/main" id="{2CD21960-F35C-49B1-8AE3-629C873F64B8}"/>
              </a:ext>
            </a:extLst>
          </xdr:cNvPr>
          <xdr:cNvSpPr>
            <a:spLocks noChangeShapeType="1"/>
          </xdr:cNvSpPr>
        </xdr:nvSpPr>
        <xdr:spPr bwMode="auto">
          <a:xfrm flipH="1">
            <a:off x="0" y="647700"/>
            <a:ext cx="609600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7" name="Line 17">
            <a:extLst>
              <a:ext uri="{FF2B5EF4-FFF2-40B4-BE49-F238E27FC236}">
                <a16:creationId xmlns:a16="http://schemas.microsoft.com/office/drawing/2014/main" id="{4D2B9C0D-B807-1F73-4F3A-C001D2A7FF74}"/>
              </a:ext>
            </a:extLst>
          </xdr:cNvPr>
          <xdr:cNvSpPr>
            <a:spLocks noChangeShapeType="1"/>
          </xdr:cNvSpPr>
        </xdr:nvSpPr>
        <xdr:spPr bwMode="auto">
          <a:xfrm flipH="1" flipV="1">
            <a:off x="3095625" y="885825"/>
            <a:ext cx="3000375"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8" name="Line 18">
            <a:extLst>
              <a:ext uri="{FF2B5EF4-FFF2-40B4-BE49-F238E27FC236}">
                <a16:creationId xmlns:a16="http://schemas.microsoft.com/office/drawing/2014/main" id="{4DD33585-5BDD-CADB-C6DA-214A91618DE1}"/>
              </a:ext>
            </a:extLst>
          </xdr:cNvPr>
          <xdr:cNvSpPr>
            <a:spLocks noChangeShapeType="1"/>
          </xdr:cNvSpPr>
        </xdr:nvSpPr>
        <xdr:spPr bwMode="auto">
          <a:xfrm flipH="1">
            <a:off x="9525" y="1276350"/>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 name="Line 19">
            <a:extLst>
              <a:ext uri="{FF2B5EF4-FFF2-40B4-BE49-F238E27FC236}">
                <a16:creationId xmlns:a16="http://schemas.microsoft.com/office/drawing/2014/main" id="{45C9317D-7BBC-26A6-AD81-39C3B06DD34A}"/>
              </a:ext>
            </a:extLst>
          </xdr:cNvPr>
          <xdr:cNvSpPr>
            <a:spLocks noChangeShapeType="1"/>
          </xdr:cNvSpPr>
        </xdr:nvSpPr>
        <xdr:spPr bwMode="auto">
          <a:xfrm flipV="1">
            <a:off x="6096000"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 name="Line 20">
            <a:extLst>
              <a:ext uri="{FF2B5EF4-FFF2-40B4-BE49-F238E27FC236}">
                <a16:creationId xmlns:a16="http://schemas.microsoft.com/office/drawing/2014/main" id="{385AE1D4-90C2-C8D9-649F-4C5BA1872B44}"/>
              </a:ext>
            </a:extLst>
          </xdr:cNvPr>
          <xdr:cNvSpPr>
            <a:spLocks noChangeShapeType="1"/>
          </xdr:cNvSpPr>
        </xdr:nvSpPr>
        <xdr:spPr bwMode="auto">
          <a:xfrm flipV="1">
            <a:off x="3095625" y="0"/>
            <a:ext cx="0" cy="1266825"/>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 name="Line 22">
            <a:extLst>
              <a:ext uri="{FF2B5EF4-FFF2-40B4-BE49-F238E27FC236}">
                <a16:creationId xmlns:a16="http://schemas.microsoft.com/office/drawing/2014/main" id="{5D9C08A5-CA73-1323-11CF-3C3F953134C6}"/>
              </a:ext>
            </a:extLst>
          </xdr:cNvPr>
          <xdr:cNvSpPr>
            <a:spLocks noChangeShapeType="1"/>
          </xdr:cNvSpPr>
        </xdr:nvSpPr>
        <xdr:spPr bwMode="auto">
          <a:xfrm flipH="1">
            <a:off x="3095625" y="409575"/>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 name="Line 23">
            <a:extLst>
              <a:ext uri="{FF2B5EF4-FFF2-40B4-BE49-F238E27FC236}">
                <a16:creationId xmlns:a16="http://schemas.microsoft.com/office/drawing/2014/main" id="{7788AB3E-D054-BA99-2350-858A4C1FEC24}"/>
              </a:ext>
            </a:extLst>
          </xdr:cNvPr>
          <xdr:cNvSpPr>
            <a:spLocks noChangeShapeType="1"/>
          </xdr:cNvSpPr>
        </xdr:nvSpPr>
        <xdr:spPr bwMode="auto">
          <a:xfrm flipV="1">
            <a:off x="9525"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3" name="Line 24">
            <a:extLst>
              <a:ext uri="{FF2B5EF4-FFF2-40B4-BE49-F238E27FC236}">
                <a16:creationId xmlns:a16="http://schemas.microsoft.com/office/drawing/2014/main" id="{87028139-B703-BF16-FF02-B46551D8D220}"/>
              </a:ext>
            </a:extLst>
          </xdr:cNvPr>
          <xdr:cNvSpPr>
            <a:spLocks noChangeShapeType="1"/>
          </xdr:cNvSpPr>
        </xdr:nvSpPr>
        <xdr:spPr bwMode="auto">
          <a:xfrm flipH="1">
            <a:off x="9525" y="9525"/>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4" name="Line 53">
            <a:extLst>
              <a:ext uri="{FF2B5EF4-FFF2-40B4-BE49-F238E27FC236}">
                <a16:creationId xmlns:a16="http://schemas.microsoft.com/office/drawing/2014/main" id="{B2C3D84D-6BD8-6DCB-E584-D9107BA922A3}"/>
              </a:ext>
            </a:extLst>
          </xdr:cNvPr>
          <xdr:cNvSpPr>
            <a:spLocks noChangeShapeType="1"/>
          </xdr:cNvSpPr>
        </xdr:nvSpPr>
        <xdr:spPr bwMode="auto">
          <a:xfrm flipH="1">
            <a:off x="3095625" y="152400"/>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5" name="lblJobNo">
            <a:extLst>
              <a:ext uri="{FF2B5EF4-FFF2-40B4-BE49-F238E27FC236}">
                <a16:creationId xmlns:a16="http://schemas.microsoft.com/office/drawing/2014/main" id="{16AD6B24-441E-CD96-1B50-B1E60FC0AE8F}"/>
              </a:ext>
            </a:extLst>
          </xdr:cNvPr>
          <xdr:cNvSpPr txBox="1">
            <a:spLocks noChangeArrowheads="1"/>
          </xdr:cNvSpPr>
        </xdr:nvSpPr>
        <xdr:spPr bwMode="auto">
          <a:xfrm>
            <a:off x="3133725" y="19050"/>
            <a:ext cx="352425"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Job No.</a:t>
            </a:r>
          </a:p>
        </xdr:txBody>
      </xdr:sp>
      <xdr:sp macro="" textlink="">
        <xdr:nvSpPr>
          <xdr:cNvPr id="36" name="lblMemLoc">
            <a:extLst>
              <a:ext uri="{FF2B5EF4-FFF2-40B4-BE49-F238E27FC236}">
                <a16:creationId xmlns:a16="http://schemas.microsoft.com/office/drawing/2014/main" id="{21776195-2BAF-ADE8-AF52-453386F032BC}"/>
              </a:ext>
            </a:extLst>
          </xdr:cNvPr>
          <xdr:cNvSpPr txBox="1">
            <a:spLocks noChangeArrowheads="1"/>
          </xdr:cNvSpPr>
        </xdr:nvSpPr>
        <xdr:spPr bwMode="auto">
          <a:xfrm>
            <a:off x="3143250" y="457200"/>
            <a:ext cx="8001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Member/Location</a:t>
            </a:r>
          </a:p>
        </xdr:txBody>
      </xdr:sp>
      <xdr:sp macro="" textlink="">
        <xdr:nvSpPr>
          <xdr:cNvPr id="37" name="lblMadeBy">
            <a:extLst>
              <a:ext uri="{FF2B5EF4-FFF2-40B4-BE49-F238E27FC236}">
                <a16:creationId xmlns:a16="http://schemas.microsoft.com/office/drawing/2014/main" id="{A25F608C-6CDA-1A43-44BA-85282A83337F}"/>
              </a:ext>
            </a:extLst>
          </xdr:cNvPr>
          <xdr:cNvSpPr txBox="1">
            <a:spLocks noChangeArrowheads="1"/>
          </xdr:cNvSpPr>
        </xdr:nvSpPr>
        <xdr:spPr bwMode="auto">
          <a:xfrm>
            <a:off x="3143250" y="942975"/>
            <a:ext cx="400050"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Made by</a:t>
            </a:r>
          </a:p>
        </xdr:txBody>
      </xdr:sp>
      <xdr:sp macro="" textlink="">
        <xdr:nvSpPr>
          <xdr:cNvPr id="38" name="lblJobTitle">
            <a:extLst>
              <a:ext uri="{FF2B5EF4-FFF2-40B4-BE49-F238E27FC236}">
                <a16:creationId xmlns:a16="http://schemas.microsoft.com/office/drawing/2014/main" id="{94EAF710-A73E-BD56-98D9-58E884742770}"/>
              </a:ext>
            </a:extLst>
          </xdr:cNvPr>
          <xdr:cNvSpPr txBox="1">
            <a:spLocks noChangeArrowheads="1"/>
          </xdr:cNvSpPr>
        </xdr:nvSpPr>
        <xdr:spPr bwMode="auto">
          <a:xfrm>
            <a:off x="9525" y="666750"/>
            <a:ext cx="504825" cy="1905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 Job Title</a:t>
            </a:r>
          </a:p>
          <a:p>
            <a:pPr algn="l" rtl="0">
              <a:defRPr sz="1000"/>
            </a:pPr>
            <a:endParaRPr lang="en-GB" sz="800" b="0" i="0" strike="noStrike">
              <a:solidFill>
                <a:srgbClr val="000000"/>
              </a:solidFill>
              <a:latin typeface="Arial"/>
              <a:cs typeface="Arial"/>
            </a:endParaRPr>
          </a:p>
        </xdr:txBody>
      </xdr:sp>
      <xdr:sp macro="" textlink="">
        <xdr:nvSpPr>
          <xdr:cNvPr id="39" name="lblChd">
            <a:extLst>
              <a:ext uri="{FF2B5EF4-FFF2-40B4-BE49-F238E27FC236}">
                <a16:creationId xmlns:a16="http://schemas.microsoft.com/office/drawing/2014/main" id="{192DCA1E-5488-EE1A-1803-5B3A3FCAFD7D}"/>
              </a:ext>
            </a:extLst>
          </xdr:cNvPr>
          <xdr:cNvSpPr txBox="1">
            <a:spLocks noChangeArrowheads="1"/>
          </xdr:cNvSpPr>
        </xdr:nvSpPr>
        <xdr:spPr bwMode="auto">
          <a:xfrm>
            <a:off x="5267325" y="942975"/>
            <a:ext cx="219075"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Chd.</a:t>
            </a:r>
          </a:p>
        </xdr:txBody>
      </xdr:sp>
      <xdr:sp macro="" textlink="">
        <xdr:nvSpPr>
          <xdr:cNvPr id="40" name="lblDate">
            <a:extLst>
              <a:ext uri="{FF2B5EF4-FFF2-40B4-BE49-F238E27FC236}">
                <a16:creationId xmlns:a16="http://schemas.microsoft.com/office/drawing/2014/main" id="{24F934B4-BC05-1AED-D647-1F228AE2FB3B}"/>
              </a:ext>
            </a:extLst>
          </xdr:cNvPr>
          <xdr:cNvSpPr txBox="1">
            <a:spLocks noChangeArrowheads="1"/>
          </xdr:cNvSpPr>
        </xdr:nvSpPr>
        <xdr:spPr bwMode="auto">
          <a:xfrm>
            <a:off x="4229100" y="942975"/>
            <a:ext cx="2476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Date</a:t>
            </a:r>
          </a:p>
        </xdr:txBody>
      </xdr:sp>
      <xdr:sp macro="" textlink="">
        <xdr:nvSpPr>
          <xdr:cNvPr id="41" name="lblDrgRef">
            <a:extLst>
              <a:ext uri="{FF2B5EF4-FFF2-40B4-BE49-F238E27FC236}">
                <a16:creationId xmlns:a16="http://schemas.microsoft.com/office/drawing/2014/main" id="{6FE93655-2288-D432-D1E6-3C227FAC9390}"/>
              </a:ext>
            </a:extLst>
          </xdr:cNvPr>
          <xdr:cNvSpPr txBox="1">
            <a:spLocks noChangeArrowheads="1"/>
          </xdr:cNvSpPr>
        </xdr:nvSpPr>
        <xdr:spPr bwMode="auto">
          <a:xfrm>
            <a:off x="3143250" y="685800"/>
            <a:ext cx="409575" cy="1524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Drg. Ref.</a:t>
            </a:r>
          </a:p>
        </xdr:txBody>
      </xdr:sp>
      <xdr:sp macro="" textlink="">
        <xdr:nvSpPr>
          <xdr:cNvPr id="42" name="lblSheetNo">
            <a:extLst>
              <a:ext uri="{FF2B5EF4-FFF2-40B4-BE49-F238E27FC236}">
                <a16:creationId xmlns:a16="http://schemas.microsoft.com/office/drawing/2014/main" id="{5E3F3FF0-3D5C-64C6-EEC5-F5953F163344}"/>
              </a:ext>
            </a:extLst>
          </xdr:cNvPr>
          <xdr:cNvSpPr txBox="1">
            <a:spLocks noChangeArrowheads="1"/>
          </xdr:cNvSpPr>
        </xdr:nvSpPr>
        <xdr:spPr bwMode="auto">
          <a:xfrm>
            <a:off x="4286250" y="19050"/>
            <a:ext cx="4572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Sheet No.</a:t>
            </a:r>
          </a:p>
        </xdr:txBody>
      </xdr:sp>
      <xdr:sp macro="" textlink="">
        <xdr:nvSpPr>
          <xdr:cNvPr id="43" name="lblRev">
            <a:extLst>
              <a:ext uri="{FF2B5EF4-FFF2-40B4-BE49-F238E27FC236}">
                <a16:creationId xmlns:a16="http://schemas.microsoft.com/office/drawing/2014/main" id="{30E5255E-DD01-68F3-5FC5-96D11F4FBFB3}"/>
              </a:ext>
            </a:extLst>
          </xdr:cNvPr>
          <xdr:cNvSpPr txBox="1">
            <a:spLocks noChangeArrowheads="1"/>
          </xdr:cNvSpPr>
        </xdr:nvSpPr>
        <xdr:spPr bwMode="auto">
          <a:xfrm>
            <a:off x="5514975" y="19050"/>
            <a:ext cx="2095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Rev.</a:t>
            </a:r>
          </a:p>
        </xdr:txBody>
      </xdr:sp>
      <xdr:sp macro="" textlink="">
        <xdr:nvSpPr>
          <xdr:cNvPr id="44" name="Text Box 37">
            <a:extLst>
              <a:ext uri="{FF2B5EF4-FFF2-40B4-BE49-F238E27FC236}">
                <a16:creationId xmlns:a16="http://schemas.microsoft.com/office/drawing/2014/main" id="{956B9585-EB17-B624-D6AE-A431DDF97372}"/>
              </a:ext>
            </a:extLst>
          </xdr:cNvPr>
          <xdr:cNvSpPr txBox="1">
            <a:spLocks noChangeArrowheads="1"/>
          </xdr:cNvSpPr>
        </xdr:nvSpPr>
        <xdr:spPr bwMode="auto">
          <a:xfrm>
            <a:off x="9525" y="933450"/>
            <a:ext cx="5715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GB" sz="800" b="0" i="0" strike="noStrike">
                <a:solidFill>
                  <a:srgbClr val="000000"/>
                </a:solidFill>
                <a:latin typeface="Arial"/>
                <a:cs typeface="Arial"/>
              </a:rPr>
              <a:t>Calculation</a:t>
            </a:r>
          </a:p>
        </xdr:txBody>
      </xdr:sp>
      <xdr:pic>
        <xdr:nvPicPr>
          <xdr:cNvPr id="45" name="Picture 44" descr="Arup26mm.png">
            <a:extLst>
              <a:ext uri="{FF2B5EF4-FFF2-40B4-BE49-F238E27FC236}">
                <a16:creationId xmlns:a16="http://schemas.microsoft.com/office/drawing/2014/main" id="{F5458DE3-7CBF-9598-9D8E-C1FF17F87A4C}"/>
              </a:ext>
            </a:extLst>
          </xdr:cNvPr>
          <xdr:cNvPicPr>
            <a:picLocks noChangeAspect="1"/>
          </xdr:cNvPicPr>
        </xdr:nvPicPr>
        <xdr:blipFill>
          <a:blip xmlns:r="http://schemas.openxmlformats.org/officeDocument/2006/relationships" r:embed="rId2" cstate="print"/>
          <a:stretch>
            <a:fillRect/>
          </a:stretch>
        </xdr:blipFill>
        <xdr:spPr>
          <a:xfrm>
            <a:off x="114300" y="152400"/>
            <a:ext cx="954026" cy="304801"/>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38100</xdr:colOff>
      <xdr:row>14</xdr:row>
      <xdr:rowOff>289560</xdr:rowOff>
    </xdr:from>
    <xdr:to>
      <xdr:col>11</xdr:col>
      <xdr:colOff>359683</xdr:colOff>
      <xdr:row>28</xdr:row>
      <xdr:rowOff>99060</xdr:rowOff>
    </xdr:to>
    <xdr:pic>
      <xdr:nvPicPr>
        <xdr:cNvPr id="2" name="Picture 1">
          <a:extLst>
            <a:ext uri="{FF2B5EF4-FFF2-40B4-BE49-F238E27FC236}">
              <a16:creationId xmlns:a16="http://schemas.microsoft.com/office/drawing/2014/main" id="{C24AAADB-481B-483C-83FE-4A972456CEE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421" t="2718" b="10974"/>
        <a:stretch>
          <a:fillRect/>
        </a:stretch>
      </xdr:blipFill>
      <xdr:spPr bwMode="auto">
        <a:xfrm>
          <a:off x="4629150" y="2689860"/>
          <a:ext cx="3036208" cy="293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0</xdr:colOff>
      <xdr:row>0</xdr:row>
      <xdr:rowOff>0</xdr:rowOff>
    </xdr:from>
    <xdr:to>
      <xdr:col>11</xdr:col>
      <xdr:colOff>685800</xdr:colOff>
      <xdr:row>8</xdr:row>
      <xdr:rowOff>2449</xdr:rowOff>
    </xdr:to>
    <xdr:grpSp>
      <xdr:nvGrpSpPr>
        <xdr:cNvPr id="3" name="Group 2">
          <a:extLst>
            <a:ext uri="{FF2B5EF4-FFF2-40B4-BE49-F238E27FC236}">
              <a16:creationId xmlns:a16="http://schemas.microsoft.com/office/drawing/2014/main" id="{F0C1D713-F424-48C4-B8EB-F2AA91D591AE}"/>
            </a:ext>
          </a:extLst>
        </xdr:cNvPr>
        <xdr:cNvGrpSpPr/>
      </xdr:nvGrpSpPr>
      <xdr:grpSpPr>
        <a:xfrm>
          <a:off x="0" y="0"/>
          <a:ext cx="7991475" cy="1307374"/>
          <a:chOff x="0" y="0"/>
          <a:chExt cx="6096000" cy="1276350"/>
        </a:xfrm>
      </xdr:grpSpPr>
      <xdr:sp macro="" textlink="">
        <xdr:nvSpPr>
          <xdr:cNvPr id="4" name="Rectangle 38">
            <a:extLst>
              <a:ext uri="{FF2B5EF4-FFF2-40B4-BE49-F238E27FC236}">
                <a16:creationId xmlns:a16="http://schemas.microsoft.com/office/drawing/2014/main" id="{CC77A257-F65F-48E2-8715-BFF318065615}"/>
              </a:ext>
            </a:extLst>
          </xdr:cNvPr>
          <xdr:cNvSpPr>
            <a:spLocks noChangeArrowheads="1"/>
          </xdr:cNvSpPr>
        </xdr:nvSpPr>
        <xdr:spPr bwMode="auto">
          <a:xfrm>
            <a:off x="628650" y="95250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5" name="txtSheetTitle">
            <a:extLst>
              <a:ext uri="{FF2B5EF4-FFF2-40B4-BE49-F238E27FC236}">
                <a16:creationId xmlns:a16="http://schemas.microsoft.com/office/drawing/2014/main" id="{CA12963D-89B0-4C8E-8AEB-F53C41D16840}"/>
              </a:ext>
            </a:extLst>
          </xdr:cNvPr>
          <xdr:cNvSpPr txBox="1">
            <a:spLocks noChangeArrowheads="1"/>
          </xdr:cNvSpPr>
        </xdr:nvSpPr>
        <xdr:spPr bwMode="auto">
          <a:xfrm>
            <a:off x="628650" y="962024"/>
            <a:ext cx="2438400" cy="238125"/>
          </a:xfrm>
          <a:prstGeom prst="rect">
            <a:avLst/>
          </a:prstGeom>
          <a:solidFill>
            <a:srgbClr val="FFFFFF">
              <a:alpha val="50195"/>
            </a:srgbClr>
          </a:solidFill>
          <a:ln>
            <a:noFill/>
          </a:ln>
          <a:extLst>
            <a:ext uri="{91240B29-F687-4F45-9708-019B960494DF}">
              <a14:hiddenLine xmlns:a14="http://schemas.microsoft.com/office/drawing/2010/main" w="0">
                <a:solidFill>
                  <a:srgbClr val="000000"/>
                </a:solidFill>
                <a:prstDash val="sysDot"/>
                <a:miter lim="800000"/>
                <a:headEnd/>
                <a:tailEnd/>
              </a14:hiddenLine>
            </a:ext>
          </a:extLst>
        </xdr:spPr>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a:effectLst/>
                <a:latin typeface="+mn-lt"/>
                <a:ea typeface="+mn-ea"/>
                <a:cs typeface="+mn-cs"/>
              </a:rPr>
              <a:t>Open</a:t>
            </a:r>
            <a:r>
              <a:rPr lang="en-GB" sz="1100" baseline="0">
                <a:effectLst/>
                <a:latin typeface="+mn-lt"/>
                <a:ea typeface="+mn-ea"/>
                <a:cs typeface="+mn-cs"/>
              </a:rPr>
              <a:t> Quay Piles - West Quay- Zone A</a:t>
            </a:r>
            <a:endParaRPr lang="en-GB">
              <a:effectLst/>
            </a:endParaRPr>
          </a:p>
          <a:p>
            <a:endParaRPr lang="en-GB"/>
          </a:p>
        </xdr:txBody>
      </xdr:sp>
      <xdr:sp macro="" textlink="">
        <xdr:nvSpPr>
          <xdr:cNvPr id="6" name="Rectangle 60">
            <a:extLst>
              <a:ext uri="{FF2B5EF4-FFF2-40B4-BE49-F238E27FC236}">
                <a16:creationId xmlns:a16="http://schemas.microsoft.com/office/drawing/2014/main" id="{5C19DF4D-BB9B-4AD8-BA25-1547CAC1A26A}"/>
              </a:ext>
            </a:extLst>
          </xdr:cNvPr>
          <xdr:cNvSpPr>
            <a:spLocks noChangeArrowheads="1"/>
          </xdr:cNvSpPr>
        </xdr:nvSpPr>
        <xdr:spPr bwMode="auto">
          <a:xfrm>
            <a:off x="628650" y="66675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7" name="Rectangle 62">
            <a:extLst>
              <a:ext uri="{FF2B5EF4-FFF2-40B4-BE49-F238E27FC236}">
                <a16:creationId xmlns:a16="http://schemas.microsoft.com/office/drawing/2014/main" id="{69742BF5-9992-4894-AEB0-D4AE9FFE98BF}"/>
              </a:ext>
            </a:extLst>
          </xdr:cNvPr>
          <xdr:cNvSpPr>
            <a:spLocks noChangeArrowheads="1"/>
          </xdr:cNvSpPr>
        </xdr:nvSpPr>
        <xdr:spPr bwMode="auto">
          <a:xfrm>
            <a:off x="5524500" y="171450"/>
            <a:ext cx="5334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8" name="Rectangle 64">
            <a:extLst>
              <a:ext uri="{FF2B5EF4-FFF2-40B4-BE49-F238E27FC236}">
                <a16:creationId xmlns:a16="http://schemas.microsoft.com/office/drawing/2014/main" id="{AE92B30F-B6CC-4506-B334-B684514D576A}"/>
              </a:ext>
            </a:extLst>
          </xdr:cNvPr>
          <xdr:cNvSpPr>
            <a:spLocks noChangeArrowheads="1"/>
          </xdr:cNvSpPr>
        </xdr:nvSpPr>
        <xdr:spPr bwMode="auto">
          <a:xfrm>
            <a:off x="4010025" y="666750"/>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9" name="Rectangle 63">
            <a:extLst>
              <a:ext uri="{FF2B5EF4-FFF2-40B4-BE49-F238E27FC236}">
                <a16:creationId xmlns:a16="http://schemas.microsoft.com/office/drawing/2014/main" id="{2FFA3DD0-775C-441E-808B-A61E84570E93}"/>
              </a:ext>
            </a:extLst>
          </xdr:cNvPr>
          <xdr:cNvSpPr>
            <a:spLocks noChangeArrowheads="1"/>
          </xdr:cNvSpPr>
        </xdr:nvSpPr>
        <xdr:spPr bwMode="auto">
          <a:xfrm>
            <a:off x="4010025" y="428625"/>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0" name="Rectangle 67">
            <a:extLst>
              <a:ext uri="{FF2B5EF4-FFF2-40B4-BE49-F238E27FC236}">
                <a16:creationId xmlns:a16="http://schemas.microsoft.com/office/drawing/2014/main" id="{884CF0B7-314F-4BC4-917C-8C437170E68E}"/>
              </a:ext>
            </a:extLst>
          </xdr:cNvPr>
          <xdr:cNvSpPr>
            <a:spLocks noChangeArrowheads="1"/>
          </xdr:cNvSpPr>
        </xdr:nvSpPr>
        <xdr:spPr bwMode="auto">
          <a:xfrm>
            <a:off x="5505450" y="923925"/>
            <a:ext cx="561975"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1" name="Rectangle 66">
            <a:extLst>
              <a:ext uri="{FF2B5EF4-FFF2-40B4-BE49-F238E27FC236}">
                <a16:creationId xmlns:a16="http://schemas.microsoft.com/office/drawing/2014/main" id="{03050A9B-7D65-4F05-8479-C511E6FA131D}"/>
              </a:ext>
            </a:extLst>
          </xdr:cNvPr>
          <xdr:cNvSpPr>
            <a:spLocks noChangeArrowheads="1"/>
          </xdr:cNvSpPr>
        </xdr:nvSpPr>
        <xdr:spPr bwMode="auto">
          <a:xfrm>
            <a:off x="4467225" y="923925"/>
            <a:ext cx="76200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2" name="Rectangle 65">
            <a:extLst>
              <a:ext uri="{FF2B5EF4-FFF2-40B4-BE49-F238E27FC236}">
                <a16:creationId xmlns:a16="http://schemas.microsoft.com/office/drawing/2014/main" id="{12A678C1-BCEA-4F66-96F9-3B7839738896}"/>
              </a:ext>
            </a:extLst>
          </xdr:cNvPr>
          <xdr:cNvSpPr>
            <a:spLocks noChangeArrowheads="1"/>
          </xdr:cNvSpPr>
        </xdr:nvSpPr>
        <xdr:spPr bwMode="auto">
          <a:xfrm>
            <a:off x="3629025" y="923925"/>
            <a:ext cx="55245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3" name="Rectangle 61">
            <a:extLst>
              <a:ext uri="{FF2B5EF4-FFF2-40B4-BE49-F238E27FC236}">
                <a16:creationId xmlns:a16="http://schemas.microsoft.com/office/drawing/2014/main" id="{77066CD6-6623-48EF-8ED8-F9ADDB290D25}"/>
              </a:ext>
            </a:extLst>
          </xdr:cNvPr>
          <xdr:cNvSpPr>
            <a:spLocks noChangeArrowheads="1"/>
          </xdr:cNvSpPr>
        </xdr:nvSpPr>
        <xdr:spPr bwMode="auto">
          <a:xfrm>
            <a:off x="3124200" y="171450"/>
            <a:ext cx="11049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4" name="Rectangle 39">
            <a:extLst>
              <a:ext uri="{FF2B5EF4-FFF2-40B4-BE49-F238E27FC236}">
                <a16:creationId xmlns:a16="http://schemas.microsoft.com/office/drawing/2014/main" id="{81C550B5-C2A0-4FE4-81C3-644601DACE7E}"/>
              </a:ext>
            </a:extLst>
          </xdr:cNvPr>
          <xdr:cNvSpPr>
            <a:spLocks noChangeArrowheads="1"/>
          </xdr:cNvSpPr>
        </xdr:nvSpPr>
        <xdr:spPr bwMode="auto">
          <a:xfrm>
            <a:off x="4295775" y="171450"/>
            <a:ext cx="116205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SheetNo">
        <xdr:nvSpPr>
          <xdr:cNvPr id="15" name="txtSheetNo">
            <a:extLst>
              <a:ext uri="{FF2B5EF4-FFF2-40B4-BE49-F238E27FC236}">
                <a16:creationId xmlns:a16="http://schemas.microsoft.com/office/drawing/2014/main" id="{5D6B620C-96BA-4397-BF49-3A9D85954B3B}"/>
              </a:ext>
            </a:extLst>
          </xdr:cNvPr>
          <xdr:cNvSpPr txBox="1">
            <a:spLocks noChangeArrowheads="1" noTextEdit="1"/>
          </xdr:cNvSpPr>
        </xdr:nvSpPr>
        <xdr:spPr bwMode="auto">
          <a:xfrm>
            <a:off x="4295775" y="152400"/>
            <a:ext cx="1171575" cy="238125"/>
          </a:xfrm>
          <a:prstGeom prst="rect">
            <a:avLst/>
          </a:prstGeom>
          <a:solidFill>
            <a:srgbClr val="FFFFFF">
              <a:alpha val="50000"/>
            </a:srgbClr>
          </a:solidFill>
          <a:ln w="0">
            <a:noFill/>
            <a:prstDash val="sysDot"/>
            <a:miter lim="800000"/>
            <a:headEnd/>
            <a:tailEnd/>
          </a:ln>
        </xdr:spPr>
        <xdr:txBody>
          <a:bodyPr/>
          <a:lstStyle/>
          <a:p>
            <a:fld id="{0138D352-6085-40FA-BBF5-9DB3C3BA9D91}" type="TxLink">
              <a:rPr lang="en-GB"/>
              <a:pPr/>
              <a:t> </a:t>
            </a:fld>
            <a:endParaRPr lang="en-GB"/>
          </a:p>
        </xdr:txBody>
      </xdr:sp>
      <xdr:sp macro="" textlink="MadeBy">
        <xdr:nvSpPr>
          <xdr:cNvPr id="16" name="txtMadeBy">
            <a:extLst>
              <a:ext uri="{FF2B5EF4-FFF2-40B4-BE49-F238E27FC236}">
                <a16:creationId xmlns:a16="http://schemas.microsoft.com/office/drawing/2014/main" id="{DD07494E-26E2-4911-AE3C-1653A0EC30A5}"/>
              </a:ext>
            </a:extLst>
          </xdr:cNvPr>
          <xdr:cNvSpPr txBox="1">
            <a:spLocks noChangeArrowheads="1" noTextEdit="1"/>
          </xdr:cNvSpPr>
        </xdr:nvSpPr>
        <xdr:spPr bwMode="auto">
          <a:xfrm>
            <a:off x="3629025" y="904875"/>
            <a:ext cx="552450" cy="323850"/>
          </a:xfrm>
          <a:prstGeom prst="rect">
            <a:avLst/>
          </a:prstGeom>
          <a:solidFill>
            <a:srgbClr val="FFFFFF">
              <a:alpha val="50000"/>
            </a:srgbClr>
          </a:solidFill>
          <a:ln w="0" cap="rnd">
            <a:noFill/>
            <a:prstDash val="sysDot"/>
            <a:miter lim="800000"/>
            <a:headEnd/>
            <a:tailEnd/>
          </a:ln>
        </xdr:spPr>
        <xdr:txBody>
          <a:bodyPr/>
          <a:lstStyle/>
          <a:p>
            <a:fld id="{7EE7AAC5-E9AF-436A-A2EC-CDE1A1A16D28}" type="TxLink">
              <a:rPr lang="en-GB"/>
              <a:pPr/>
              <a:t>DR/JK</a:t>
            </a:fld>
            <a:endParaRPr lang="en-GB"/>
          </a:p>
        </xdr:txBody>
      </xdr:sp>
      <xdr:sp macro="" textlink="Date">
        <xdr:nvSpPr>
          <xdr:cNvPr id="17" name="txtDate">
            <a:extLst>
              <a:ext uri="{FF2B5EF4-FFF2-40B4-BE49-F238E27FC236}">
                <a16:creationId xmlns:a16="http://schemas.microsoft.com/office/drawing/2014/main" id="{D3A18D7D-A7A8-4E38-B1B3-29278E333F8A}"/>
              </a:ext>
            </a:extLst>
          </xdr:cNvPr>
          <xdr:cNvSpPr txBox="1">
            <a:spLocks noChangeArrowheads="1" noTextEdit="1"/>
          </xdr:cNvSpPr>
        </xdr:nvSpPr>
        <xdr:spPr bwMode="auto">
          <a:xfrm>
            <a:off x="4476749" y="904875"/>
            <a:ext cx="762001" cy="323849"/>
          </a:xfrm>
          <a:prstGeom prst="rect">
            <a:avLst/>
          </a:prstGeom>
          <a:solidFill>
            <a:srgbClr val="FFFFFF">
              <a:alpha val="50000"/>
            </a:srgbClr>
          </a:solidFill>
          <a:ln w="0" cap="rnd">
            <a:noFill/>
            <a:prstDash val="sysDot"/>
            <a:miter lim="800000"/>
            <a:headEnd/>
            <a:tailEnd/>
          </a:ln>
        </xdr:spPr>
        <xdr:txBody>
          <a:bodyPr lIns="36000" rIns="36000"/>
          <a:lstStyle/>
          <a:p>
            <a:fld id="{43A0CF41-EB0C-4B3F-B5D2-945B716BC35E}" type="TxLink">
              <a:rPr lang="en-GB"/>
              <a:pPr/>
              <a:t>21/06/2018</a:t>
            </a:fld>
            <a:endParaRPr lang="en-GB"/>
          </a:p>
        </xdr:txBody>
      </xdr:sp>
      <xdr:sp macro="" textlink="JobNumber">
        <xdr:nvSpPr>
          <xdr:cNvPr id="18" name="txtJobNo">
            <a:extLst>
              <a:ext uri="{FF2B5EF4-FFF2-40B4-BE49-F238E27FC236}">
                <a16:creationId xmlns:a16="http://schemas.microsoft.com/office/drawing/2014/main" id="{857DE70C-9F50-4863-A06C-520CD540371D}"/>
              </a:ext>
            </a:extLst>
          </xdr:cNvPr>
          <xdr:cNvSpPr txBox="1">
            <a:spLocks noChangeArrowheads="1" noTextEdit="1"/>
          </xdr:cNvSpPr>
        </xdr:nvSpPr>
        <xdr:spPr bwMode="auto">
          <a:xfrm>
            <a:off x="3124200" y="152400"/>
            <a:ext cx="1114425" cy="238126"/>
          </a:xfrm>
          <a:prstGeom prst="rect">
            <a:avLst/>
          </a:prstGeom>
          <a:solidFill>
            <a:srgbClr val="FFFFFF">
              <a:alpha val="50000"/>
            </a:srgbClr>
          </a:solidFill>
          <a:ln w="0" cap="rnd">
            <a:noFill/>
            <a:prstDash val="sysDot"/>
            <a:miter lim="800000"/>
            <a:headEnd/>
            <a:tailEnd/>
          </a:ln>
        </xdr:spPr>
        <xdr:txBody>
          <a:bodyPr/>
          <a:lstStyle/>
          <a:p>
            <a:fld id="{12FF7581-71C6-4F7B-899A-63BE6424F74C}" type="TxLink">
              <a:rPr lang="en-GB"/>
              <a:pPr/>
              <a:t>253300-64</a:t>
            </a:fld>
            <a:endParaRPr lang="en-GB"/>
          </a:p>
        </xdr:txBody>
      </xdr:sp>
      <xdr:sp macro="" textlink="Checked">
        <xdr:nvSpPr>
          <xdr:cNvPr id="19" name="txtChd">
            <a:extLst>
              <a:ext uri="{FF2B5EF4-FFF2-40B4-BE49-F238E27FC236}">
                <a16:creationId xmlns:a16="http://schemas.microsoft.com/office/drawing/2014/main" id="{8E1B5BF3-544E-427B-83B4-2B049D78B931}"/>
              </a:ext>
            </a:extLst>
          </xdr:cNvPr>
          <xdr:cNvSpPr txBox="1">
            <a:spLocks noChangeArrowheads="1" noTextEdit="1"/>
          </xdr:cNvSpPr>
        </xdr:nvSpPr>
        <xdr:spPr bwMode="auto">
          <a:xfrm>
            <a:off x="5505450" y="933449"/>
            <a:ext cx="561975" cy="295275"/>
          </a:xfrm>
          <a:prstGeom prst="rect">
            <a:avLst/>
          </a:prstGeom>
          <a:solidFill>
            <a:srgbClr val="FFFFFF">
              <a:alpha val="50000"/>
            </a:srgbClr>
          </a:solidFill>
          <a:ln w="0" cap="rnd">
            <a:noFill/>
            <a:prstDash val="sysDot"/>
            <a:miter lim="800000"/>
            <a:headEnd/>
            <a:tailEnd/>
          </a:ln>
        </xdr:spPr>
        <xdr:txBody>
          <a:bodyPr/>
          <a:lstStyle/>
          <a:p>
            <a:fld id="{DD3FFBD0-7868-4AB5-A50A-19EA75ECDFFF}" type="TxLink">
              <a:rPr lang="en-GB"/>
              <a:pPr/>
              <a:t>JCM</a:t>
            </a:fld>
            <a:endParaRPr lang="en-GB"/>
          </a:p>
        </xdr:txBody>
      </xdr:sp>
      <xdr:sp macro="" textlink="Revision">
        <xdr:nvSpPr>
          <xdr:cNvPr id="20" name="txtRev">
            <a:extLst>
              <a:ext uri="{FF2B5EF4-FFF2-40B4-BE49-F238E27FC236}">
                <a16:creationId xmlns:a16="http://schemas.microsoft.com/office/drawing/2014/main" id="{9E8B6AF7-1065-4FBF-8C42-A3DB7D046A2B}"/>
              </a:ext>
            </a:extLst>
          </xdr:cNvPr>
          <xdr:cNvSpPr txBox="1">
            <a:spLocks noChangeArrowheads="1" noTextEdit="1"/>
          </xdr:cNvSpPr>
        </xdr:nvSpPr>
        <xdr:spPr bwMode="auto">
          <a:xfrm>
            <a:off x="5524500" y="161925"/>
            <a:ext cx="542925" cy="228600"/>
          </a:xfrm>
          <a:prstGeom prst="rect">
            <a:avLst/>
          </a:prstGeom>
          <a:solidFill>
            <a:srgbClr val="FFFFFF">
              <a:alpha val="50000"/>
            </a:srgbClr>
          </a:solidFill>
          <a:ln w="0" cap="rnd">
            <a:noFill/>
            <a:prstDash val="sysDot"/>
            <a:miter lim="800000"/>
            <a:headEnd/>
            <a:tailEnd/>
          </a:ln>
        </xdr:spPr>
        <xdr:txBody>
          <a:bodyPr/>
          <a:lstStyle/>
          <a:p>
            <a:fld id="{31D14602-4220-42DC-A278-07FFB3F3F1B6}" type="TxLink">
              <a:rPr lang="en-GB"/>
              <a:pPr/>
              <a:t>r2.4</a:t>
            </a:fld>
            <a:endParaRPr lang="en-GB"/>
          </a:p>
        </xdr:txBody>
      </xdr:sp>
      <xdr:sp macro="" textlink="JobTitle">
        <xdr:nvSpPr>
          <xdr:cNvPr id="21" name="txtJobTitle">
            <a:extLst>
              <a:ext uri="{FF2B5EF4-FFF2-40B4-BE49-F238E27FC236}">
                <a16:creationId xmlns:a16="http://schemas.microsoft.com/office/drawing/2014/main" id="{517603F7-7B33-43FA-B13D-B6CEAD1E6DB3}"/>
              </a:ext>
            </a:extLst>
          </xdr:cNvPr>
          <xdr:cNvSpPr txBox="1">
            <a:spLocks noChangeArrowheads="1" noTextEdit="1"/>
          </xdr:cNvSpPr>
        </xdr:nvSpPr>
        <xdr:spPr bwMode="auto">
          <a:xfrm>
            <a:off x="628650" y="695324"/>
            <a:ext cx="2438400" cy="219075"/>
          </a:xfrm>
          <a:prstGeom prst="rect">
            <a:avLst/>
          </a:prstGeom>
          <a:solidFill>
            <a:srgbClr val="FFFFFF">
              <a:alpha val="50000"/>
            </a:srgbClr>
          </a:solidFill>
          <a:ln w="0" cap="rnd">
            <a:noFill/>
            <a:prstDash val="sysDot"/>
            <a:miter lim="800000"/>
            <a:headEnd/>
            <a:tailEnd/>
          </a:ln>
        </xdr:spPr>
        <xdr:txBody>
          <a:bodyPr/>
          <a:lstStyle/>
          <a:p>
            <a:fld id="{F3465201-EA38-4A20-8381-E1AF0A9A1F41}" type="TxLink">
              <a:rPr lang="en-GB"/>
              <a:pPr/>
              <a:t>Aberdeen Harbour Expansion Project</a:t>
            </a:fld>
            <a:endParaRPr lang="en-GB"/>
          </a:p>
        </xdr:txBody>
      </xdr:sp>
      <xdr:sp macro="" textlink="Drawing_Reference">
        <xdr:nvSpPr>
          <xdr:cNvPr id="22" name="txtDrgRef">
            <a:extLst>
              <a:ext uri="{FF2B5EF4-FFF2-40B4-BE49-F238E27FC236}">
                <a16:creationId xmlns:a16="http://schemas.microsoft.com/office/drawing/2014/main" id="{CD6836FC-5E22-49DE-A63E-E32D1C70B681}"/>
              </a:ext>
            </a:extLst>
          </xdr:cNvPr>
          <xdr:cNvSpPr txBox="1">
            <a:spLocks noChangeArrowheads="1" noTextEdit="1"/>
          </xdr:cNvSpPr>
        </xdr:nvSpPr>
        <xdr:spPr bwMode="auto">
          <a:xfrm>
            <a:off x="4010025" y="695325"/>
            <a:ext cx="2057400" cy="171450"/>
          </a:xfrm>
          <a:prstGeom prst="rect">
            <a:avLst/>
          </a:prstGeom>
          <a:solidFill>
            <a:srgbClr val="FFFFFF">
              <a:alpha val="50000"/>
            </a:srgbClr>
          </a:solidFill>
          <a:ln w="0">
            <a:noFill/>
            <a:prstDash val="sysDot"/>
            <a:miter lim="800000"/>
            <a:headEnd/>
            <a:tailEnd/>
          </a:ln>
        </xdr:spPr>
        <xdr:txBody>
          <a:bodyPr tIns="0" bIns="0"/>
          <a:lstStyle/>
          <a:p>
            <a:fld id="{45FC97E0-6641-4BBC-B6C9-CFEAC7797A02}" type="TxLink">
              <a:rPr lang="en-GB"/>
              <a:pPr/>
              <a:t> </a:t>
            </a:fld>
            <a:endParaRPr lang="en-GB"/>
          </a:p>
        </xdr:txBody>
      </xdr:sp>
      <xdr:sp macro="" textlink="Member_Location">
        <xdr:nvSpPr>
          <xdr:cNvPr id="23" name="txtMemLoc">
            <a:extLst>
              <a:ext uri="{FF2B5EF4-FFF2-40B4-BE49-F238E27FC236}">
                <a16:creationId xmlns:a16="http://schemas.microsoft.com/office/drawing/2014/main" id="{C281B752-8D62-48C1-9318-D82B331EB3B1}"/>
              </a:ext>
            </a:extLst>
          </xdr:cNvPr>
          <xdr:cNvSpPr txBox="1">
            <a:spLocks noChangeArrowheads="1" noTextEdit="1"/>
          </xdr:cNvSpPr>
        </xdr:nvSpPr>
        <xdr:spPr bwMode="auto">
          <a:xfrm>
            <a:off x="4010025" y="428625"/>
            <a:ext cx="2057400" cy="200026"/>
          </a:xfrm>
          <a:prstGeom prst="rect">
            <a:avLst/>
          </a:prstGeom>
          <a:solidFill>
            <a:srgbClr val="FFFFFF">
              <a:alpha val="50000"/>
            </a:srgbClr>
          </a:solidFill>
          <a:ln w="0">
            <a:noFill/>
            <a:prstDash val="sysDot"/>
            <a:miter lim="800000"/>
            <a:headEnd/>
            <a:tailEnd/>
          </a:ln>
        </xdr:spPr>
        <xdr:txBody>
          <a:bodyPr/>
          <a:lstStyle/>
          <a:p>
            <a:fld id="{19337578-A729-4E2F-9EE8-F9C9E0E6EBD5}" type="TxLink">
              <a:rPr lang="en-GB"/>
              <a:pPr/>
              <a:t>0</a:t>
            </a:fld>
            <a:endParaRPr lang="en-GB"/>
          </a:p>
        </xdr:txBody>
      </xdr:sp>
      <xdr:sp macro="" textlink="">
        <xdr:nvSpPr>
          <xdr:cNvPr id="24" name="Line 14">
            <a:extLst>
              <a:ext uri="{FF2B5EF4-FFF2-40B4-BE49-F238E27FC236}">
                <a16:creationId xmlns:a16="http://schemas.microsoft.com/office/drawing/2014/main" id="{694FEAE5-F5B7-4BD1-A2F0-B96F220B1BE0}"/>
              </a:ext>
            </a:extLst>
          </xdr:cNvPr>
          <xdr:cNvSpPr>
            <a:spLocks noChangeShapeType="1"/>
          </xdr:cNvSpPr>
        </xdr:nvSpPr>
        <xdr:spPr bwMode="auto">
          <a:xfrm flipH="1" flipV="1">
            <a:off x="42672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 name="Line 15">
            <a:extLst>
              <a:ext uri="{FF2B5EF4-FFF2-40B4-BE49-F238E27FC236}">
                <a16:creationId xmlns:a16="http://schemas.microsoft.com/office/drawing/2014/main" id="{F72F898A-77CF-4274-98CE-31E13106B6F9}"/>
              </a:ext>
            </a:extLst>
          </xdr:cNvPr>
          <xdr:cNvSpPr>
            <a:spLocks noChangeShapeType="1"/>
          </xdr:cNvSpPr>
        </xdr:nvSpPr>
        <xdr:spPr bwMode="auto">
          <a:xfrm flipH="1" flipV="1">
            <a:off x="54864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6" name="Line 16">
            <a:extLst>
              <a:ext uri="{FF2B5EF4-FFF2-40B4-BE49-F238E27FC236}">
                <a16:creationId xmlns:a16="http://schemas.microsoft.com/office/drawing/2014/main" id="{325B94FA-A63F-4B00-A5F2-5105310B7B8B}"/>
              </a:ext>
            </a:extLst>
          </xdr:cNvPr>
          <xdr:cNvSpPr>
            <a:spLocks noChangeShapeType="1"/>
          </xdr:cNvSpPr>
        </xdr:nvSpPr>
        <xdr:spPr bwMode="auto">
          <a:xfrm flipH="1">
            <a:off x="0" y="647700"/>
            <a:ext cx="609600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7" name="Line 17">
            <a:extLst>
              <a:ext uri="{FF2B5EF4-FFF2-40B4-BE49-F238E27FC236}">
                <a16:creationId xmlns:a16="http://schemas.microsoft.com/office/drawing/2014/main" id="{7BA50485-C4AF-4E0D-B153-A09311F3CAC2}"/>
              </a:ext>
            </a:extLst>
          </xdr:cNvPr>
          <xdr:cNvSpPr>
            <a:spLocks noChangeShapeType="1"/>
          </xdr:cNvSpPr>
        </xdr:nvSpPr>
        <xdr:spPr bwMode="auto">
          <a:xfrm flipH="1" flipV="1">
            <a:off x="3095625" y="885825"/>
            <a:ext cx="3000375"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8" name="Line 18">
            <a:extLst>
              <a:ext uri="{FF2B5EF4-FFF2-40B4-BE49-F238E27FC236}">
                <a16:creationId xmlns:a16="http://schemas.microsoft.com/office/drawing/2014/main" id="{F310E0CD-7BE5-49A6-84C7-A58C969E841F}"/>
              </a:ext>
            </a:extLst>
          </xdr:cNvPr>
          <xdr:cNvSpPr>
            <a:spLocks noChangeShapeType="1"/>
          </xdr:cNvSpPr>
        </xdr:nvSpPr>
        <xdr:spPr bwMode="auto">
          <a:xfrm flipH="1">
            <a:off x="9525" y="1276350"/>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 name="Line 19">
            <a:extLst>
              <a:ext uri="{FF2B5EF4-FFF2-40B4-BE49-F238E27FC236}">
                <a16:creationId xmlns:a16="http://schemas.microsoft.com/office/drawing/2014/main" id="{9430DD96-C202-4949-890C-B06ED45FA951}"/>
              </a:ext>
            </a:extLst>
          </xdr:cNvPr>
          <xdr:cNvSpPr>
            <a:spLocks noChangeShapeType="1"/>
          </xdr:cNvSpPr>
        </xdr:nvSpPr>
        <xdr:spPr bwMode="auto">
          <a:xfrm flipV="1">
            <a:off x="6096000"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 name="Line 20">
            <a:extLst>
              <a:ext uri="{FF2B5EF4-FFF2-40B4-BE49-F238E27FC236}">
                <a16:creationId xmlns:a16="http://schemas.microsoft.com/office/drawing/2014/main" id="{63F8ECEE-D856-4585-8F7D-950440C2A033}"/>
              </a:ext>
            </a:extLst>
          </xdr:cNvPr>
          <xdr:cNvSpPr>
            <a:spLocks noChangeShapeType="1"/>
          </xdr:cNvSpPr>
        </xdr:nvSpPr>
        <xdr:spPr bwMode="auto">
          <a:xfrm flipV="1">
            <a:off x="3095625" y="0"/>
            <a:ext cx="0" cy="1266825"/>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 name="Line 22">
            <a:extLst>
              <a:ext uri="{FF2B5EF4-FFF2-40B4-BE49-F238E27FC236}">
                <a16:creationId xmlns:a16="http://schemas.microsoft.com/office/drawing/2014/main" id="{B4F925B2-2BAD-476A-AB97-EBAE4000FA73}"/>
              </a:ext>
            </a:extLst>
          </xdr:cNvPr>
          <xdr:cNvSpPr>
            <a:spLocks noChangeShapeType="1"/>
          </xdr:cNvSpPr>
        </xdr:nvSpPr>
        <xdr:spPr bwMode="auto">
          <a:xfrm flipH="1">
            <a:off x="3095625" y="409575"/>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 name="Line 23">
            <a:extLst>
              <a:ext uri="{FF2B5EF4-FFF2-40B4-BE49-F238E27FC236}">
                <a16:creationId xmlns:a16="http://schemas.microsoft.com/office/drawing/2014/main" id="{4287F6C7-96FC-48D7-BDE3-4C4F216F83D3}"/>
              </a:ext>
            </a:extLst>
          </xdr:cNvPr>
          <xdr:cNvSpPr>
            <a:spLocks noChangeShapeType="1"/>
          </xdr:cNvSpPr>
        </xdr:nvSpPr>
        <xdr:spPr bwMode="auto">
          <a:xfrm flipV="1">
            <a:off x="9525"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3" name="Line 24">
            <a:extLst>
              <a:ext uri="{FF2B5EF4-FFF2-40B4-BE49-F238E27FC236}">
                <a16:creationId xmlns:a16="http://schemas.microsoft.com/office/drawing/2014/main" id="{BA95FB5A-A998-43BA-A208-E7D06B21CA4B}"/>
              </a:ext>
            </a:extLst>
          </xdr:cNvPr>
          <xdr:cNvSpPr>
            <a:spLocks noChangeShapeType="1"/>
          </xdr:cNvSpPr>
        </xdr:nvSpPr>
        <xdr:spPr bwMode="auto">
          <a:xfrm flipH="1">
            <a:off x="9525" y="9525"/>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4" name="Line 53">
            <a:extLst>
              <a:ext uri="{FF2B5EF4-FFF2-40B4-BE49-F238E27FC236}">
                <a16:creationId xmlns:a16="http://schemas.microsoft.com/office/drawing/2014/main" id="{7C857C1C-6BEE-4E46-A275-16A82B45E49E}"/>
              </a:ext>
            </a:extLst>
          </xdr:cNvPr>
          <xdr:cNvSpPr>
            <a:spLocks noChangeShapeType="1"/>
          </xdr:cNvSpPr>
        </xdr:nvSpPr>
        <xdr:spPr bwMode="auto">
          <a:xfrm flipH="1">
            <a:off x="3095625" y="152400"/>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5" name="lblJobNo">
            <a:extLst>
              <a:ext uri="{FF2B5EF4-FFF2-40B4-BE49-F238E27FC236}">
                <a16:creationId xmlns:a16="http://schemas.microsoft.com/office/drawing/2014/main" id="{EFE53B39-C036-4625-869C-D9ED6E9D3A36}"/>
              </a:ext>
            </a:extLst>
          </xdr:cNvPr>
          <xdr:cNvSpPr txBox="1">
            <a:spLocks noChangeArrowheads="1"/>
          </xdr:cNvSpPr>
        </xdr:nvSpPr>
        <xdr:spPr bwMode="auto">
          <a:xfrm>
            <a:off x="3133725" y="19050"/>
            <a:ext cx="352425"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Job No.</a:t>
            </a:r>
          </a:p>
        </xdr:txBody>
      </xdr:sp>
      <xdr:sp macro="" textlink="">
        <xdr:nvSpPr>
          <xdr:cNvPr id="36" name="lblMemLoc">
            <a:extLst>
              <a:ext uri="{FF2B5EF4-FFF2-40B4-BE49-F238E27FC236}">
                <a16:creationId xmlns:a16="http://schemas.microsoft.com/office/drawing/2014/main" id="{1093F5F4-2CE1-44AA-919B-A590BFFC8EDC}"/>
              </a:ext>
            </a:extLst>
          </xdr:cNvPr>
          <xdr:cNvSpPr txBox="1">
            <a:spLocks noChangeArrowheads="1"/>
          </xdr:cNvSpPr>
        </xdr:nvSpPr>
        <xdr:spPr bwMode="auto">
          <a:xfrm>
            <a:off x="3143250" y="457200"/>
            <a:ext cx="8001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Member/Location</a:t>
            </a:r>
          </a:p>
        </xdr:txBody>
      </xdr:sp>
      <xdr:sp macro="" textlink="">
        <xdr:nvSpPr>
          <xdr:cNvPr id="37" name="lblMadeBy">
            <a:extLst>
              <a:ext uri="{FF2B5EF4-FFF2-40B4-BE49-F238E27FC236}">
                <a16:creationId xmlns:a16="http://schemas.microsoft.com/office/drawing/2014/main" id="{A4D31EDF-9297-4228-AFC7-1E039E2BCEEB}"/>
              </a:ext>
            </a:extLst>
          </xdr:cNvPr>
          <xdr:cNvSpPr txBox="1">
            <a:spLocks noChangeArrowheads="1"/>
          </xdr:cNvSpPr>
        </xdr:nvSpPr>
        <xdr:spPr bwMode="auto">
          <a:xfrm>
            <a:off x="3143250" y="942975"/>
            <a:ext cx="400050"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Made by</a:t>
            </a:r>
          </a:p>
        </xdr:txBody>
      </xdr:sp>
      <xdr:sp macro="" textlink="">
        <xdr:nvSpPr>
          <xdr:cNvPr id="38" name="lblJobTitle">
            <a:extLst>
              <a:ext uri="{FF2B5EF4-FFF2-40B4-BE49-F238E27FC236}">
                <a16:creationId xmlns:a16="http://schemas.microsoft.com/office/drawing/2014/main" id="{1106903B-FFFD-4BE2-89E9-FE2CBD0C38DD}"/>
              </a:ext>
            </a:extLst>
          </xdr:cNvPr>
          <xdr:cNvSpPr txBox="1">
            <a:spLocks noChangeArrowheads="1"/>
          </xdr:cNvSpPr>
        </xdr:nvSpPr>
        <xdr:spPr bwMode="auto">
          <a:xfrm>
            <a:off x="9525" y="666750"/>
            <a:ext cx="504825" cy="1905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 Job Title</a:t>
            </a:r>
          </a:p>
          <a:p>
            <a:pPr algn="l" rtl="0">
              <a:defRPr sz="1000"/>
            </a:pPr>
            <a:endParaRPr lang="en-GB" sz="800" b="0" i="0" strike="noStrike">
              <a:solidFill>
                <a:srgbClr val="000000"/>
              </a:solidFill>
              <a:latin typeface="Arial"/>
              <a:cs typeface="Arial"/>
            </a:endParaRPr>
          </a:p>
        </xdr:txBody>
      </xdr:sp>
      <xdr:sp macro="" textlink="">
        <xdr:nvSpPr>
          <xdr:cNvPr id="39" name="lblChd">
            <a:extLst>
              <a:ext uri="{FF2B5EF4-FFF2-40B4-BE49-F238E27FC236}">
                <a16:creationId xmlns:a16="http://schemas.microsoft.com/office/drawing/2014/main" id="{A06D1582-B24A-4946-846C-F7959BFDA4FC}"/>
              </a:ext>
            </a:extLst>
          </xdr:cNvPr>
          <xdr:cNvSpPr txBox="1">
            <a:spLocks noChangeArrowheads="1"/>
          </xdr:cNvSpPr>
        </xdr:nvSpPr>
        <xdr:spPr bwMode="auto">
          <a:xfrm>
            <a:off x="5267325" y="942975"/>
            <a:ext cx="219075"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Chd.</a:t>
            </a:r>
          </a:p>
        </xdr:txBody>
      </xdr:sp>
      <xdr:sp macro="" textlink="">
        <xdr:nvSpPr>
          <xdr:cNvPr id="40" name="lblDate">
            <a:extLst>
              <a:ext uri="{FF2B5EF4-FFF2-40B4-BE49-F238E27FC236}">
                <a16:creationId xmlns:a16="http://schemas.microsoft.com/office/drawing/2014/main" id="{E787C213-851C-46A9-8230-28B467748920}"/>
              </a:ext>
            </a:extLst>
          </xdr:cNvPr>
          <xdr:cNvSpPr txBox="1">
            <a:spLocks noChangeArrowheads="1"/>
          </xdr:cNvSpPr>
        </xdr:nvSpPr>
        <xdr:spPr bwMode="auto">
          <a:xfrm>
            <a:off x="4229100" y="942975"/>
            <a:ext cx="2476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Date</a:t>
            </a:r>
          </a:p>
        </xdr:txBody>
      </xdr:sp>
      <xdr:sp macro="" textlink="">
        <xdr:nvSpPr>
          <xdr:cNvPr id="41" name="lblDrgRef">
            <a:extLst>
              <a:ext uri="{FF2B5EF4-FFF2-40B4-BE49-F238E27FC236}">
                <a16:creationId xmlns:a16="http://schemas.microsoft.com/office/drawing/2014/main" id="{BEC9E63A-1638-4978-8A1A-547432410CFA}"/>
              </a:ext>
            </a:extLst>
          </xdr:cNvPr>
          <xdr:cNvSpPr txBox="1">
            <a:spLocks noChangeArrowheads="1"/>
          </xdr:cNvSpPr>
        </xdr:nvSpPr>
        <xdr:spPr bwMode="auto">
          <a:xfrm>
            <a:off x="3143250" y="685800"/>
            <a:ext cx="409575" cy="1524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Drg. Ref.</a:t>
            </a:r>
          </a:p>
        </xdr:txBody>
      </xdr:sp>
      <xdr:sp macro="" textlink="">
        <xdr:nvSpPr>
          <xdr:cNvPr id="42" name="lblSheetNo">
            <a:extLst>
              <a:ext uri="{FF2B5EF4-FFF2-40B4-BE49-F238E27FC236}">
                <a16:creationId xmlns:a16="http://schemas.microsoft.com/office/drawing/2014/main" id="{98FAF8AE-CF05-41C0-AC2E-0116B08C3821}"/>
              </a:ext>
            </a:extLst>
          </xdr:cNvPr>
          <xdr:cNvSpPr txBox="1">
            <a:spLocks noChangeArrowheads="1"/>
          </xdr:cNvSpPr>
        </xdr:nvSpPr>
        <xdr:spPr bwMode="auto">
          <a:xfrm>
            <a:off x="4286250" y="19050"/>
            <a:ext cx="4572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Sheet No.</a:t>
            </a:r>
          </a:p>
        </xdr:txBody>
      </xdr:sp>
      <xdr:sp macro="" textlink="">
        <xdr:nvSpPr>
          <xdr:cNvPr id="43" name="lblRev">
            <a:extLst>
              <a:ext uri="{FF2B5EF4-FFF2-40B4-BE49-F238E27FC236}">
                <a16:creationId xmlns:a16="http://schemas.microsoft.com/office/drawing/2014/main" id="{3E834FBC-E94C-45B9-AC38-C3456B00F3A6}"/>
              </a:ext>
            </a:extLst>
          </xdr:cNvPr>
          <xdr:cNvSpPr txBox="1">
            <a:spLocks noChangeArrowheads="1"/>
          </xdr:cNvSpPr>
        </xdr:nvSpPr>
        <xdr:spPr bwMode="auto">
          <a:xfrm>
            <a:off x="5514975" y="19050"/>
            <a:ext cx="2095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Rev.</a:t>
            </a:r>
          </a:p>
        </xdr:txBody>
      </xdr:sp>
      <xdr:sp macro="" textlink="">
        <xdr:nvSpPr>
          <xdr:cNvPr id="44" name="Text Box 37">
            <a:extLst>
              <a:ext uri="{FF2B5EF4-FFF2-40B4-BE49-F238E27FC236}">
                <a16:creationId xmlns:a16="http://schemas.microsoft.com/office/drawing/2014/main" id="{7E7DC3C5-9233-4D7A-B3B0-79F4868B0767}"/>
              </a:ext>
            </a:extLst>
          </xdr:cNvPr>
          <xdr:cNvSpPr txBox="1">
            <a:spLocks noChangeArrowheads="1"/>
          </xdr:cNvSpPr>
        </xdr:nvSpPr>
        <xdr:spPr bwMode="auto">
          <a:xfrm>
            <a:off x="9525" y="933450"/>
            <a:ext cx="5715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GB" sz="800" b="0" i="0" strike="noStrike">
                <a:solidFill>
                  <a:srgbClr val="000000"/>
                </a:solidFill>
                <a:latin typeface="Arial"/>
                <a:cs typeface="Arial"/>
              </a:rPr>
              <a:t>Calculation</a:t>
            </a:r>
          </a:p>
        </xdr:txBody>
      </xdr:sp>
      <xdr:pic>
        <xdr:nvPicPr>
          <xdr:cNvPr id="45" name="Picture 44" descr="Arup26mm.png">
            <a:extLst>
              <a:ext uri="{FF2B5EF4-FFF2-40B4-BE49-F238E27FC236}">
                <a16:creationId xmlns:a16="http://schemas.microsoft.com/office/drawing/2014/main" id="{CCB00B3F-F0BB-470B-96CA-9E50B3437B0C}"/>
              </a:ext>
            </a:extLst>
          </xdr:cNvPr>
          <xdr:cNvPicPr>
            <a:picLocks noChangeAspect="1"/>
          </xdr:cNvPicPr>
        </xdr:nvPicPr>
        <xdr:blipFill>
          <a:blip xmlns:r="http://schemas.openxmlformats.org/officeDocument/2006/relationships" r:embed="rId2" cstate="print"/>
          <a:stretch>
            <a:fillRect/>
          </a:stretch>
        </xdr:blipFill>
        <xdr:spPr>
          <a:xfrm>
            <a:off x="114300" y="152400"/>
            <a:ext cx="954026" cy="304801"/>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38100</xdr:colOff>
      <xdr:row>14</xdr:row>
      <xdr:rowOff>289560</xdr:rowOff>
    </xdr:from>
    <xdr:to>
      <xdr:col>11</xdr:col>
      <xdr:colOff>359683</xdr:colOff>
      <xdr:row>28</xdr:row>
      <xdr:rowOff>99060</xdr:rowOff>
    </xdr:to>
    <xdr:pic>
      <xdr:nvPicPr>
        <xdr:cNvPr id="2" name="Picture 1">
          <a:extLst>
            <a:ext uri="{FF2B5EF4-FFF2-40B4-BE49-F238E27FC236}">
              <a16:creationId xmlns:a16="http://schemas.microsoft.com/office/drawing/2014/main" id="{9601874A-F882-43AA-8E94-03819CCC8E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421" t="2718" b="10974"/>
        <a:stretch>
          <a:fillRect/>
        </a:stretch>
      </xdr:blipFill>
      <xdr:spPr bwMode="auto">
        <a:xfrm>
          <a:off x="4629150" y="2689860"/>
          <a:ext cx="3036208" cy="293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0</xdr:colOff>
      <xdr:row>0</xdr:row>
      <xdr:rowOff>0</xdr:rowOff>
    </xdr:from>
    <xdr:to>
      <xdr:col>11</xdr:col>
      <xdr:colOff>685800</xdr:colOff>
      <xdr:row>8</xdr:row>
      <xdr:rowOff>2449</xdr:rowOff>
    </xdr:to>
    <xdr:grpSp>
      <xdr:nvGrpSpPr>
        <xdr:cNvPr id="3" name="Group 2">
          <a:extLst>
            <a:ext uri="{FF2B5EF4-FFF2-40B4-BE49-F238E27FC236}">
              <a16:creationId xmlns:a16="http://schemas.microsoft.com/office/drawing/2014/main" id="{2910E32C-53E1-4343-93EF-5F9B452C9A47}"/>
            </a:ext>
          </a:extLst>
        </xdr:cNvPr>
        <xdr:cNvGrpSpPr/>
      </xdr:nvGrpSpPr>
      <xdr:grpSpPr>
        <a:xfrm>
          <a:off x="0" y="0"/>
          <a:ext cx="7999343" cy="1311101"/>
          <a:chOff x="0" y="0"/>
          <a:chExt cx="6096000" cy="1276350"/>
        </a:xfrm>
      </xdr:grpSpPr>
      <xdr:sp macro="" textlink="">
        <xdr:nvSpPr>
          <xdr:cNvPr id="4" name="Rectangle 38">
            <a:extLst>
              <a:ext uri="{FF2B5EF4-FFF2-40B4-BE49-F238E27FC236}">
                <a16:creationId xmlns:a16="http://schemas.microsoft.com/office/drawing/2014/main" id="{D22CAB03-C15C-E789-F645-0534DC885F78}"/>
              </a:ext>
            </a:extLst>
          </xdr:cNvPr>
          <xdr:cNvSpPr>
            <a:spLocks noChangeArrowheads="1"/>
          </xdr:cNvSpPr>
        </xdr:nvSpPr>
        <xdr:spPr bwMode="auto">
          <a:xfrm>
            <a:off x="628650" y="95250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5" name="txtSheetTitle">
            <a:extLst>
              <a:ext uri="{FF2B5EF4-FFF2-40B4-BE49-F238E27FC236}">
                <a16:creationId xmlns:a16="http://schemas.microsoft.com/office/drawing/2014/main" id="{16AEAE81-C717-78D3-C78C-4D38B8198AEE}"/>
              </a:ext>
            </a:extLst>
          </xdr:cNvPr>
          <xdr:cNvSpPr txBox="1">
            <a:spLocks noChangeArrowheads="1"/>
          </xdr:cNvSpPr>
        </xdr:nvSpPr>
        <xdr:spPr bwMode="auto">
          <a:xfrm>
            <a:off x="628650" y="962024"/>
            <a:ext cx="2438400" cy="238125"/>
          </a:xfrm>
          <a:prstGeom prst="rect">
            <a:avLst/>
          </a:prstGeom>
          <a:solidFill>
            <a:srgbClr val="FFFFFF">
              <a:alpha val="50195"/>
            </a:srgbClr>
          </a:solidFill>
          <a:ln>
            <a:noFill/>
          </a:ln>
          <a:extLst>
            <a:ext uri="{91240B29-F687-4F45-9708-019B960494DF}">
              <a14:hiddenLine xmlns:a14="http://schemas.microsoft.com/office/drawing/2010/main" w="0">
                <a:solidFill>
                  <a:srgbClr val="000000"/>
                </a:solidFill>
                <a:prstDash val="sysDot"/>
                <a:miter lim="800000"/>
                <a:headEnd/>
                <a:tailEnd/>
              </a14:hiddenLine>
            </a:ext>
          </a:extLst>
        </xdr:spPr>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a:effectLst/>
                <a:latin typeface="+mn-lt"/>
                <a:ea typeface="+mn-ea"/>
                <a:cs typeface="+mn-cs"/>
              </a:rPr>
              <a:t>Open</a:t>
            </a:r>
            <a:r>
              <a:rPr lang="en-GB" sz="1100" baseline="0">
                <a:effectLst/>
                <a:latin typeface="+mn-lt"/>
                <a:ea typeface="+mn-ea"/>
                <a:cs typeface="+mn-cs"/>
              </a:rPr>
              <a:t> Quay Piles - West Quay- Zone A</a:t>
            </a:r>
            <a:endParaRPr lang="en-GB">
              <a:effectLst/>
            </a:endParaRPr>
          </a:p>
          <a:p>
            <a:endParaRPr lang="en-GB"/>
          </a:p>
        </xdr:txBody>
      </xdr:sp>
      <xdr:sp macro="" textlink="">
        <xdr:nvSpPr>
          <xdr:cNvPr id="6" name="Rectangle 60">
            <a:extLst>
              <a:ext uri="{FF2B5EF4-FFF2-40B4-BE49-F238E27FC236}">
                <a16:creationId xmlns:a16="http://schemas.microsoft.com/office/drawing/2014/main" id="{9463AB10-FBF3-DD47-14A5-28ADCB8D724C}"/>
              </a:ext>
            </a:extLst>
          </xdr:cNvPr>
          <xdr:cNvSpPr>
            <a:spLocks noChangeArrowheads="1"/>
          </xdr:cNvSpPr>
        </xdr:nvSpPr>
        <xdr:spPr bwMode="auto">
          <a:xfrm>
            <a:off x="628650" y="66675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7" name="Rectangle 62">
            <a:extLst>
              <a:ext uri="{FF2B5EF4-FFF2-40B4-BE49-F238E27FC236}">
                <a16:creationId xmlns:a16="http://schemas.microsoft.com/office/drawing/2014/main" id="{4E3AE87C-4F21-2C92-1C78-C92606301D8A}"/>
              </a:ext>
            </a:extLst>
          </xdr:cNvPr>
          <xdr:cNvSpPr>
            <a:spLocks noChangeArrowheads="1"/>
          </xdr:cNvSpPr>
        </xdr:nvSpPr>
        <xdr:spPr bwMode="auto">
          <a:xfrm>
            <a:off x="5524500" y="171450"/>
            <a:ext cx="5334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8" name="Rectangle 64">
            <a:extLst>
              <a:ext uri="{FF2B5EF4-FFF2-40B4-BE49-F238E27FC236}">
                <a16:creationId xmlns:a16="http://schemas.microsoft.com/office/drawing/2014/main" id="{4EFFF4EE-B945-39AA-0BB4-900773C2A8BB}"/>
              </a:ext>
            </a:extLst>
          </xdr:cNvPr>
          <xdr:cNvSpPr>
            <a:spLocks noChangeArrowheads="1"/>
          </xdr:cNvSpPr>
        </xdr:nvSpPr>
        <xdr:spPr bwMode="auto">
          <a:xfrm>
            <a:off x="4010025" y="666750"/>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9" name="Rectangle 63">
            <a:extLst>
              <a:ext uri="{FF2B5EF4-FFF2-40B4-BE49-F238E27FC236}">
                <a16:creationId xmlns:a16="http://schemas.microsoft.com/office/drawing/2014/main" id="{C387C4EB-0D59-9D06-9FAD-4F394230080E}"/>
              </a:ext>
            </a:extLst>
          </xdr:cNvPr>
          <xdr:cNvSpPr>
            <a:spLocks noChangeArrowheads="1"/>
          </xdr:cNvSpPr>
        </xdr:nvSpPr>
        <xdr:spPr bwMode="auto">
          <a:xfrm>
            <a:off x="4010025" y="428625"/>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0" name="Rectangle 67">
            <a:extLst>
              <a:ext uri="{FF2B5EF4-FFF2-40B4-BE49-F238E27FC236}">
                <a16:creationId xmlns:a16="http://schemas.microsoft.com/office/drawing/2014/main" id="{11FCEA5B-70C3-2FF0-FD5E-CF5369E1D290}"/>
              </a:ext>
            </a:extLst>
          </xdr:cNvPr>
          <xdr:cNvSpPr>
            <a:spLocks noChangeArrowheads="1"/>
          </xdr:cNvSpPr>
        </xdr:nvSpPr>
        <xdr:spPr bwMode="auto">
          <a:xfrm>
            <a:off x="5505450" y="923925"/>
            <a:ext cx="561975"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1" name="Rectangle 66">
            <a:extLst>
              <a:ext uri="{FF2B5EF4-FFF2-40B4-BE49-F238E27FC236}">
                <a16:creationId xmlns:a16="http://schemas.microsoft.com/office/drawing/2014/main" id="{1416D567-3C91-0EE7-B066-2C63012E1719}"/>
              </a:ext>
            </a:extLst>
          </xdr:cNvPr>
          <xdr:cNvSpPr>
            <a:spLocks noChangeArrowheads="1"/>
          </xdr:cNvSpPr>
        </xdr:nvSpPr>
        <xdr:spPr bwMode="auto">
          <a:xfrm>
            <a:off x="4467225" y="923925"/>
            <a:ext cx="76200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2" name="Rectangle 65">
            <a:extLst>
              <a:ext uri="{FF2B5EF4-FFF2-40B4-BE49-F238E27FC236}">
                <a16:creationId xmlns:a16="http://schemas.microsoft.com/office/drawing/2014/main" id="{E132FE5F-C5FF-6EB1-0CA3-ED8D79EE8468}"/>
              </a:ext>
            </a:extLst>
          </xdr:cNvPr>
          <xdr:cNvSpPr>
            <a:spLocks noChangeArrowheads="1"/>
          </xdr:cNvSpPr>
        </xdr:nvSpPr>
        <xdr:spPr bwMode="auto">
          <a:xfrm>
            <a:off x="3629025" y="923925"/>
            <a:ext cx="55245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3" name="Rectangle 61">
            <a:extLst>
              <a:ext uri="{FF2B5EF4-FFF2-40B4-BE49-F238E27FC236}">
                <a16:creationId xmlns:a16="http://schemas.microsoft.com/office/drawing/2014/main" id="{CEF338D5-4393-315C-6536-34F92063C0AD}"/>
              </a:ext>
            </a:extLst>
          </xdr:cNvPr>
          <xdr:cNvSpPr>
            <a:spLocks noChangeArrowheads="1"/>
          </xdr:cNvSpPr>
        </xdr:nvSpPr>
        <xdr:spPr bwMode="auto">
          <a:xfrm>
            <a:off x="3124200" y="171450"/>
            <a:ext cx="11049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4" name="Rectangle 39">
            <a:extLst>
              <a:ext uri="{FF2B5EF4-FFF2-40B4-BE49-F238E27FC236}">
                <a16:creationId xmlns:a16="http://schemas.microsoft.com/office/drawing/2014/main" id="{73BA2F1D-D313-C55D-51A3-8800853CE05A}"/>
              </a:ext>
            </a:extLst>
          </xdr:cNvPr>
          <xdr:cNvSpPr>
            <a:spLocks noChangeArrowheads="1"/>
          </xdr:cNvSpPr>
        </xdr:nvSpPr>
        <xdr:spPr bwMode="auto">
          <a:xfrm>
            <a:off x="4295775" y="171450"/>
            <a:ext cx="116205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SheetNo">
        <xdr:nvSpPr>
          <xdr:cNvPr id="15" name="txtSheetNo">
            <a:extLst>
              <a:ext uri="{FF2B5EF4-FFF2-40B4-BE49-F238E27FC236}">
                <a16:creationId xmlns:a16="http://schemas.microsoft.com/office/drawing/2014/main" id="{13CBCA75-8A15-8C2D-162A-AAEAFFAB03AC}"/>
              </a:ext>
            </a:extLst>
          </xdr:cNvPr>
          <xdr:cNvSpPr txBox="1">
            <a:spLocks noChangeArrowheads="1" noTextEdit="1"/>
          </xdr:cNvSpPr>
        </xdr:nvSpPr>
        <xdr:spPr bwMode="auto">
          <a:xfrm>
            <a:off x="4295775" y="152400"/>
            <a:ext cx="1171575" cy="238125"/>
          </a:xfrm>
          <a:prstGeom prst="rect">
            <a:avLst/>
          </a:prstGeom>
          <a:solidFill>
            <a:srgbClr val="FFFFFF">
              <a:alpha val="50000"/>
            </a:srgbClr>
          </a:solidFill>
          <a:ln w="0">
            <a:noFill/>
            <a:prstDash val="sysDot"/>
            <a:miter lim="800000"/>
            <a:headEnd/>
            <a:tailEnd/>
          </a:ln>
        </xdr:spPr>
        <xdr:txBody>
          <a:bodyPr/>
          <a:lstStyle/>
          <a:p>
            <a:fld id="{0138D352-6085-40FA-BBF5-9DB3C3BA9D91}" type="TxLink">
              <a:rPr lang="en-GB"/>
              <a:pPr/>
              <a:t> </a:t>
            </a:fld>
            <a:endParaRPr lang="en-GB"/>
          </a:p>
        </xdr:txBody>
      </xdr:sp>
      <xdr:sp macro="" textlink="MadeBy">
        <xdr:nvSpPr>
          <xdr:cNvPr id="16" name="txtMadeBy">
            <a:extLst>
              <a:ext uri="{FF2B5EF4-FFF2-40B4-BE49-F238E27FC236}">
                <a16:creationId xmlns:a16="http://schemas.microsoft.com/office/drawing/2014/main" id="{7375DF0D-15F8-AE7E-741E-7109D44F2707}"/>
              </a:ext>
            </a:extLst>
          </xdr:cNvPr>
          <xdr:cNvSpPr txBox="1">
            <a:spLocks noChangeArrowheads="1" noTextEdit="1"/>
          </xdr:cNvSpPr>
        </xdr:nvSpPr>
        <xdr:spPr bwMode="auto">
          <a:xfrm>
            <a:off x="3629025" y="904875"/>
            <a:ext cx="552450" cy="323850"/>
          </a:xfrm>
          <a:prstGeom prst="rect">
            <a:avLst/>
          </a:prstGeom>
          <a:solidFill>
            <a:srgbClr val="FFFFFF">
              <a:alpha val="50000"/>
            </a:srgbClr>
          </a:solidFill>
          <a:ln w="0" cap="rnd">
            <a:noFill/>
            <a:prstDash val="sysDot"/>
            <a:miter lim="800000"/>
            <a:headEnd/>
            <a:tailEnd/>
          </a:ln>
        </xdr:spPr>
        <xdr:txBody>
          <a:bodyPr/>
          <a:lstStyle/>
          <a:p>
            <a:fld id="{7EE7AAC5-E9AF-436A-A2EC-CDE1A1A16D28}" type="TxLink">
              <a:rPr lang="en-GB"/>
              <a:pPr/>
              <a:t>DR/JK</a:t>
            </a:fld>
            <a:endParaRPr lang="en-GB"/>
          </a:p>
        </xdr:txBody>
      </xdr:sp>
      <xdr:sp macro="" textlink="Date">
        <xdr:nvSpPr>
          <xdr:cNvPr id="17" name="txtDate">
            <a:extLst>
              <a:ext uri="{FF2B5EF4-FFF2-40B4-BE49-F238E27FC236}">
                <a16:creationId xmlns:a16="http://schemas.microsoft.com/office/drawing/2014/main" id="{C5253A7C-4FDB-1406-ABD1-02F291487EC9}"/>
              </a:ext>
            </a:extLst>
          </xdr:cNvPr>
          <xdr:cNvSpPr txBox="1">
            <a:spLocks noChangeArrowheads="1" noTextEdit="1"/>
          </xdr:cNvSpPr>
        </xdr:nvSpPr>
        <xdr:spPr bwMode="auto">
          <a:xfrm>
            <a:off x="4476749" y="904875"/>
            <a:ext cx="762001" cy="323849"/>
          </a:xfrm>
          <a:prstGeom prst="rect">
            <a:avLst/>
          </a:prstGeom>
          <a:solidFill>
            <a:srgbClr val="FFFFFF">
              <a:alpha val="50000"/>
            </a:srgbClr>
          </a:solidFill>
          <a:ln w="0" cap="rnd">
            <a:noFill/>
            <a:prstDash val="sysDot"/>
            <a:miter lim="800000"/>
            <a:headEnd/>
            <a:tailEnd/>
          </a:ln>
        </xdr:spPr>
        <xdr:txBody>
          <a:bodyPr lIns="36000" rIns="36000"/>
          <a:lstStyle/>
          <a:p>
            <a:fld id="{43A0CF41-EB0C-4B3F-B5D2-945B716BC35E}" type="TxLink">
              <a:rPr lang="en-GB"/>
              <a:pPr/>
              <a:t>21/06/2018</a:t>
            </a:fld>
            <a:endParaRPr lang="en-GB"/>
          </a:p>
        </xdr:txBody>
      </xdr:sp>
      <xdr:sp macro="" textlink="JobNumber">
        <xdr:nvSpPr>
          <xdr:cNvPr id="18" name="txtJobNo">
            <a:extLst>
              <a:ext uri="{FF2B5EF4-FFF2-40B4-BE49-F238E27FC236}">
                <a16:creationId xmlns:a16="http://schemas.microsoft.com/office/drawing/2014/main" id="{56FB100A-0DDE-8963-9757-E876621F9D15}"/>
              </a:ext>
            </a:extLst>
          </xdr:cNvPr>
          <xdr:cNvSpPr txBox="1">
            <a:spLocks noChangeArrowheads="1" noTextEdit="1"/>
          </xdr:cNvSpPr>
        </xdr:nvSpPr>
        <xdr:spPr bwMode="auto">
          <a:xfrm>
            <a:off x="3124200" y="152400"/>
            <a:ext cx="1114425" cy="238126"/>
          </a:xfrm>
          <a:prstGeom prst="rect">
            <a:avLst/>
          </a:prstGeom>
          <a:solidFill>
            <a:srgbClr val="FFFFFF">
              <a:alpha val="50000"/>
            </a:srgbClr>
          </a:solidFill>
          <a:ln w="0" cap="rnd">
            <a:noFill/>
            <a:prstDash val="sysDot"/>
            <a:miter lim="800000"/>
            <a:headEnd/>
            <a:tailEnd/>
          </a:ln>
        </xdr:spPr>
        <xdr:txBody>
          <a:bodyPr/>
          <a:lstStyle/>
          <a:p>
            <a:fld id="{12FF7581-71C6-4F7B-899A-63BE6424F74C}" type="TxLink">
              <a:rPr lang="en-GB"/>
              <a:pPr/>
              <a:t>253300-64</a:t>
            </a:fld>
            <a:endParaRPr lang="en-GB"/>
          </a:p>
        </xdr:txBody>
      </xdr:sp>
      <xdr:sp macro="" textlink="Checked">
        <xdr:nvSpPr>
          <xdr:cNvPr id="19" name="txtChd">
            <a:extLst>
              <a:ext uri="{FF2B5EF4-FFF2-40B4-BE49-F238E27FC236}">
                <a16:creationId xmlns:a16="http://schemas.microsoft.com/office/drawing/2014/main" id="{EE29E35A-EB91-3436-2B36-96B1D810E1D6}"/>
              </a:ext>
            </a:extLst>
          </xdr:cNvPr>
          <xdr:cNvSpPr txBox="1">
            <a:spLocks noChangeArrowheads="1" noTextEdit="1"/>
          </xdr:cNvSpPr>
        </xdr:nvSpPr>
        <xdr:spPr bwMode="auto">
          <a:xfrm>
            <a:off x="5505450" y="933449"/>
            <a:ext cx="561975" cy="295275"/>
          </a:xfrm>
          <a:prstGeom prst="rect">
            <a:avLst/>
          </a:prstGeom>
          <a:solidFill>
            <a:srgbClr val="FFFFFF">
              <a:alpha val="50000"/>
            </a:srgbClr>
          </a:solidFill>
          <a:ln w="0" cap="rnd">
            <a:noFill/>
            <a:prstDash val="sysDot"/>
            <a:miter lim="800000"/>
            <a:headEnd/>
            <a:tailEnd/>
          </a:ln>
        </xdr:spPr>
        <xdr:txBody>
          <a:bodyPr/>
          <a:lstStyle/>
          <a:p>
            <a:fld id="{DD3FFBD0-7868-4AB5-A50A-19EA75ECDFFF}" type="TxLink">
              <a:rPr lang="en-GB"/>
              <a:pPr/>
              <a:t>JCM</a:t>
            </a:fld>
            <a:endParaRPr lang="en-GB"/>
          </a:p>
        </xdr:txBody>
      </xdr:sp>
      <xdr:sp macro="" textlink="Revision">
        <xdr:nvSpPr>
          <xdr:cNvPr id="20" name="txtRev">
            <a:extLst>
              <a:ext uri="{FF2B5EF4-FFF2-40B4-BE49-F238E27FC236}">
                <a16:creationId xmlns:a16="http://schemas.microsoft.com/office/drawing/2014/main" id="{4B58FDBC-5087-4EB2-83CD-BBCDA815FADE}"/>
              </a:ext>
            </a:extLst>
          </xdr:cNvPr>
          <xdr:cNvSpPr txBox="1">
            <a:spLocks noChangeArrowheads="1" noTextEdit="1"/>
          </xdr:cNvSpPr>
        </xdr:nvSpPr>
        <xdr:spPr bwMode="auto">
          <a:xfrm>
            <a:off x="5524500" y="161925"/>
            <a:ext cx="542925" cy="228600"/>
          </a:xfrm>
          <a:prstGeom prst="rect">
            <a:avLst/>
          </a:prstGeom>
          <a:solidFill>
            <a:srgbClr val="FFFFFF">
              <a:alpha val="50000"/>
            </a:srgbClr>
          </a:solidFill>
          <a:ln w="0" cap="rnd">
            <a:noFill/>
            <a:prstDash val="sysDot"/>
            <a:miter lim="800000"/>
            <a:headEnd/>
            <a:tailEnd/>
          </a:ln>
        </xdr:spPr>
        <xdr:txBody>
          <a:bodyPr/>
          <a:lstStyle/>
          <a:p>
            <a:fld id="{31D14602-4220-42DC-A278-07FFB3F3F1B6}" type="TxLink">
              <a:rPr lang="en-GB"/>
              <a:pPr/>
              <a:t>r2.4</a:t>
            </a:fld>
            <a:endParaRPr lang="en-GB"/>
          </a:p>
        </xdr:txBody>
      </xdr:sp>
      <xdr:sp macro="" textlink="JobTitle">
        <xdr:nvSpPr>
          <xdr:cNvPr id="21" name="txtJobTitle">
            <a:extLst>
              <a:ext uri="{FF2B5EF4-FFF2-40B4-BE49-F238E27FC236}">
                <a16:creationId xmlns:a16="http://schemas.microsoft.com/office/drawing/2014/main" id="{D631805C-0419-2BE8-0B6B-612D51A78D97}"/>
              </a:ext>
            </a:extLst>
          </xdr:cNvPr>
          <xdr:cNvSpPr txBox="1">
            <a:spLocks noChangeArrowheads="1" noTextEdit="1"/>
          </xdr:cNvSpPr>
        </xdr:nvSpPr>
        <xdr:spPr bwMode="auto">
          <a:xfrm>
            <a:off x="628650" y="695324"/>
            <a:ext cx="2438400" cy="219075"/>
          </a:xfrm>
          <a:prstGeom prst="rect">
            <a:avLst/>
          </a:prstGeom>
          <a:solidFill>
            <a:srgbClr val="FFFFFF">
              <a:alpha val="50000"/>
            </a:srgbClr>
          </a:solidFill>
          <a:ln w="0" cap="rnd">
            <a:noFill/>
            <a:prstDash val="sysDot"/>
            <a:miter lim="800000"/>
            <a:headEnd/>
            <a:tailEnd/>
          </a:ln>
        </xdr:spPr>
        <xdr:txBody>
          <a:bodyPr/>
          <a:lstStyle/>
          <a:p>
            <a:fld id="{F3465201-EA38-4A20-8381-E1AF0A9A1F41}" type="TxLink">
              <a:rPr lang="en-GB"/>
              <a:pPr/>
              <a:t>Aberdeen Harbour Expansion Project</a:t>
            </a:fld>
            <a:endParaRPr lang="en-GB"/>
          </a:p>
        </xdr:txBody>
      </xdr:sp>
      <xdr:sp macro="" textlink="Drawing_Reference">
        <xdr:nvSpPr>
          <xdr:cNvPr id="22" name="txtDrgRef">
            <a:extLst>
              <a:ext uri="{FF2B5EF4-FFF2-40B4-BE49-F238E27FC236}">
                <a16:creationId xmlns:a16="http://schemas.microsoft.com/office/drawing/2014/main" id="{8903D893-6E8E-E8D4-39D0-87DFFABE5A89}"/>
              </a:ext>
            </a:extLst>
          </xdr:cNvPr>
          <xdr:cNvSpPr txBox="1">
            <a:spLocks noChangeArrowheads="1" noTextEdit="1"/>
          </xdr:cNvSpPr>
        </xdr:nvSpPr>
        <xdr:spPr bwMode="auto">
          <a:xfrm>
            <a:off x="4010025" y="695325"/>
            <a:ext cx="2057400" cy="171450"/>
          </a:xfrm>
          <a:prstGeom prst="rect">
            <a:avLst/>
          </a:prstGeom>
          <a:solidFill>
            <a:srgbClr val="FFFFFF">
              <a:alpha val="50000"/>
            </a:srgbClr>
          </a:solidFill>
          <a:ln w="0">
            <a:noFill/>
            <a:prstDash val="sysDot"/>
            <a:miter lim="800000"/>
            <a:headEnd/>
            <a:tailEnd/>
          </a:ln>
        </xdr:spPr>
        <xdr:txBody>
          <a:bodyPr tIns="0" bIns="0"/>
          <a:lstStyle/>
          <a:p>
            <a:fld id="{45FC97E0-6641-4BBC-B6C9-CFEAC7797A02}" type="TxLink">
              <a:rPr lang="en-GB"/>
              <a:pPr/>
              <a:t> </a:t>
            </a:fld>
            <a:endParaRPr lang="en-GB"/>
          </a:p>
        </xdr:txBody>
      </xdr:sp>
      <xdr:sp macro="" textlink="Member_Location">
        <xdr:nvSpPr>
          <xdr:cNvPr id="23" name="txtMemLoc">
            <a:extLst>
              <a:ext uri="{FF2B5EF4-FFF2-40B4-BE49-F238E27FC236}">
                <a16:creationId xmlns:a16="http://schemas.microsoft.com/office/drawing/2014/main" id="{85EBC033-FBC1-A788-6273-E0233385B52B}"/>
              </a:ext>
            </a:extLst>
          </xdr:cNvPr>
          <xdr:cNvSpPr txBox="1">
            <a:spLocks noChangeArrowheads="1" noTextEdit="1"/>
          </xdr:cNvSpPr>
        </xdr:nvSpPr>
        <xdr:spPr bwMode="auto">
          <a:xfrm>
            <a:off x="4010025" y="428625"/>
            <a:ext cx="2057400" cy="200026"/>
          </a:xfrm>
          <a:prstGeom prst="rect">
            <a:avLst/>
          </a:prstGeom>
          <a:solidFill>
            <a:srgbClr val="FFFFFF">
              <a:alpha val="50000"/>
            </a:srgbClr>
          </a:solidFill>
          <a:ln w="0">
            <a:noFill/>
            <a:prstDash val="sysDot"/>
            <a:miter lim="800000"/>
            <a:headEnd/>
            <a:tailEnd/>
          </a:ln>
        </xdr:spPr>
        <xdr:txBody>
          <a:bodyPr/>
          <a:lstStyle/>
          <a:p>
            <a:fld id="{19337578-A729-4E2F-9EE8-F9C9E0E6EBD5}" type="TxLink">
              <a:rPr lang="en-GB"/>
              <a:pPr/>
              <a:t>0</a:t>
            </a:fld>
            <a:endParaRPr lang="en-GB"/>
          </a:p>
        </xdr:txBody>
      </xdr:sp>
      <xdr:sp macro="" textlink="">
        <xdr:nvSpPr>
          <xdr:cNvPr id="24" name="Line 14">
            <a:extLst>
              <a:ext uri="{FF2B5EF4-FFF2-40B4-BE49-F238E27FC236}">
                <a16:creationId xmlns:a16="http://schemas.microsoft.com/office/drawing/2014/main" id="{A8F5FE70-5F05-0F9E-7F66-D73F9A80640B}"/>
              </a:ext>
            </a:extLst>
          </xdr:cNvPr>
          <xdr:cNvSpPr>
            <a:spLocks noChangeShapeType="1"/>
          </xdr:cNvSpPr>
        </xdr:nvSpPr>
        <xdr:spPr bwMode="auto">
          <a:xfrm flipH="1" flipV="1">
            <a:off x="42672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 name="Line 15">
            <a:extLst>
              <a:ext uri="{FF2B5EF4-FFF2-40B4-BE49-F238E27FC236}">
                <a16:creationId xmlns:a16="http://schemas.microsoft.com/office/drawing/2014/main" id="{478E08F1-9962-8013-C046-933D5F24EEEF}"/>
              </a:ext>
            </a:extLst>
          </xdr:cNvPr>
          <xdr:cNvSpPr>
            <a:spLocks noChangeShapeType="1"/>
          </xdr:cNvSpPr>
        </xdr:nvSpPr>
        <xdr:spPr bwMode="auto">
          <a:xfrm flipH="1" flipV="1">
            <a:off x="54864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6" name="Line 16">
            <a:extLst>
              <a:ext uri="{FF2B5EF4-FFF2-40B4-BE49-F238E27FC236}">
                <a16:creationId xmlns:a16="http://schemas.microsoft.com/office/drawing/2014/main" id="{D76B7012-E906-6B8D-B6B1-74CB0F0DE061}"/>
              </a:ext>
            </a:extLst>
          </xdr:cNvPr>
          <xdr:cNvSpPr>
            <a:spLocks noChangeShapeType="1"/>
          </xdr:cNvSpPr>
        </xdr:nvSpPr>
        <xdr:spPr bwMode="auto">
          <a:xfrm flipH="1">
            <a:off x="0" y="647700"/>
            <a:ext cx="609600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7" name="Line 17">
            <a:extLst>
              <a:ext uri="{FF2B5EF4-FFF2-40B4-BE49-F238E27FC236}">
                <a16:creationId xmlns:a16="http://schemas.microsoft.com/office/drawing/2014/main" id="{1583BECD-24E4-29B5-90D2-87A2426E3DAC}"/>
              </a:ext>
            </a:extLst>
          </xdr:cNvPr>
          <xdr:cNvSpPr>
            <a:spLocks noChangeShapeType="1"/>
          </xdr:cNvSpPr>
        </xdr:nvSpPr>
        <xdr:spPr bwMode="auto">
          <a:xfrm flipH="1" flipV="1">
            <a:off x="3095625" y="885825"/>
            <a:ext cx="3000375"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8" name="Line 18">
            <a:extLst>
              <a:ext uri="{FF2B5EF4-FFF2-40B4-BE49-F238E27FC236}">
                <a16:creationId xmlns:a16="http://schemas.microsoft.com/office/drawing/2014/main" id="{BF68B203-F7A7-38FA-B572-39A554CC5097}"/>
              </a:ext>
            </a:extLst>
          </xdr:cNvPr>
          <xdr:cNvSpPr>
            <a:spLocks noChangeShapeType="1"/>
          </xdr:cNvSpPr>
        </xdr:nvSpPr>
        <xdr:spPr bwMode="auto">
          <a:xfrm flipH="1">
            <a:off x="9525" y="1276350"/>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 name="Line 19">
            <a:extLst>
              <a:ext uri="{FF2B5EF4-FFF2-40B4-BE49-F238E27FC236}">
                <a16:creationId xmlns:a16="http://schemas.microsoft.com/office/drawing/2014/main" id="{41EA95A3-7975-9AB5-5807-FF5064A5E7DF}"/>
              </a:ext>
            </a:extLst>
          </xdr:cNvPr>
          <xdr:cNvSpPr>
            <a:spLocks noChangeShapeType="1"/>
          </xdr:cNvSpPr>
        </xdr:nvSpPr>
        <xdr:spPr bwMode="auto">
          <a:xfrm flipV="1">
            <a:off x="6096000"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 name="Line 20">
            <a:extLst>
              <a:ext uri="{FF2B5EF4-FFF2-40B4-BE49-F238E27FC236}">
                <a16:creationId xmlns:a16="http://schemas.microsoft.com/office/drawing/2014/main" id="{5B12127B-140B-29C2-1EC2-BCB151262FA1}"/>
              </a:ext>
            </a:extLst>
          </xdr:cNvPr>
          <xdr:cNvSpPr>
            <a:spLocks noChangeShapeType="1"/>
          </xdr:cNvSpPr>
        </xdr:nvSpPr>
        <xdr:spPr bwMode="auto">
          <a:xfrm flipV="1">
            <a:off x="3095625" y="0"/>
            <a:ext cx="0" cy="1266825"/>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 name="Line 22">
            <a:extLst>
              <a:ext uri="{FF2B5EF4-FFF2-40B4-BE49-F238E27FC236}">
                <a16:creationId xmlns:a16="http://schemas.microsoft.com/office/drawing/2014/main" id="{EA6D5BEC-D127-EA67-5354-D0981F435457}"/>
              </a:ext>
            </a:extLst>
          </xdr:cNvPr>
          <xdr:cNvSpPr>
            <a:spLocks noChangeShapeType="1"/>
          </xdr:cNvSpPr>
        </xdr:nvSpPr>
        <xdr:spPr bwMode="auto">
          <a:xfrm flipH="1">
            <a:off x="3095625" y="409575"/>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 name="Line 23">
            <a:extLst>
              <a:ext uri="{FF2B5EF4-FFF2-40B4-BE49-F238E27FC236}">
                <a16:creationId xmlns:a16="http://schemas.microsoft.com/office/drawing/2014/main" id="{7A37F9BD-9BB2-8B07-0442-2591ACB91805}"/>
              </a:ext>
            </a:extLst>
          </xdr:cNvPr>
          <xdr:cNvSpPr>
            <a:spLocks noChangeShapeType="1"/>
          </xdr:cNvSpPr>
        </xdr:nvSpPr>
        <xdr:spPr bwMode="auto">
          <a:xfrm flipV="1">
            <a:off x="9525"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3" name="Line 24">
            <a:extLst>
              <a:ext uri="{FF2B5EF4-FFF2-40B4-BE49-F238E27FC236}">
                <a16:creationId xmlns:a16="http://schemas.microsoft.com/office/drawing/2014/main" id="{6A007929-3DC1-2592-1DC0-FADAA279C0C0}"/>
              </a:ext>
            </a:extLst>
          </xdr:cNvPr>
          <xdr:cNvSpPr>
            <a:spLocks noChangeShapeType="1"/>
          </xdr:cNvSpPr>
        </xdr:nvSpPr>
        <xdr:spPr bwMode="auto">
          <a:xfrm flipH="1">
            <a:off x="9525" y="9525"/>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4" name="Line 53">
            <a:extLst>
              <a:ext uri="{FF2B5EF4-FFF2-40B4-BE49-F238E27FC236}">
                <a16:creationId xmlns:a16="http://schemas.microsoft.com/office/drawing/2014/main" id="{A1D69AB8-7074-20C3-D338-6C4A665B6803}"/>
              </a:ext>
            </a:extLst>
          </xdr:cNvPr>
          <xdr:cNvSpPr>
            <a:spLocks noChangeShapeType="1"/>
          </xdr:cNvSpPr>
        </xdr:nvSpPr>
        <xdr:spPr bwMode="auto">
          <a:xfrm flipH="1">
            <a:off x="3095625" y="152400"/>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5" name="lblJobNo">
            <a:extLst>
              <a:ext uri="{FF2B5EF4-FFF2-40B4-BE49-F238E27FC236}">
                <a16:creationId xmlns:a16="http://schemas.microsoft.com/office/drawing/2014/main" id="{F2E8941C-7F8D-16AB-22C1-38E3B4C680B1}"/>
              </a:ext>
            </a:extLst>
          </xdr:cNvPr>
          <xdr:cNvSpPr txBox="1">
            <a:spLocks noChangeArrowheads="1"/>
          </xdr:cNvSpPr>
        </xdr:nvSpPr>
        <xdr:spPr bwMode="auto">
          <a:xfrm>
            <a:off x="3133725" y="19050"/>
            <a:ext cx="352425"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Job No.</a:t>
            </a:r>
          </a:p>
        </xdr:txBody>
      </xdr:sp>
      <xdr:sp macro="" textlink="">
        <xdr:nvSpPr>
          <xdr:cNvPr id="36" name="lblMemLoc">
            <a:extLst>
              <a:ext uri="{FF2B5EF4-FFF2-40B4-BE49-F238E27FC236}">
                <a16:creationId xmlns:a16="http://schemas.microsoft.com/office/drawing/2014/main" id="{54549C30-2558-2F89-CD9B-5AD8E646497E}"/>
              </a:ext>
            </a:extLst>
          </xdr:cNvPr>
          <xdr:cNvSpPr txBox="1">
            <a:spLocks noChangeArrowheads="1"/>
          </xdr:cNvSpPr>
        </xdr:nvSpPr>
        <xdr:spPr bwMode="auto">
          <a:xfrm>
            <a:off x="3143250" y="457200"/>
            <a:ext cx="8001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Member/Location</a:t>
            </a:r>
          </a:p>
        </xdr:txBody>
      </xdr:sp>
      <xdr:sp macro="" textlink="">
        <xdr:nvSpPr>
          <xdr:cNvPr id="37" name="lblMadeBy">
            <a:extLst>
              <a:ext uri="{FF2B5EF4-FFF2-40B4-BE49-F238E27FC236}">
                <a16:creationId xmlns:a16="http://schemas.microsoft.com/office/drawing/2014/main" id="{D952ED9C-2EA6-1829-DECF-728A08576823}"/>
              </a:ext>
            </a:extLst>
          </xdr:cNvPr>
          <xdr:cNvSpPr txBox="1">
            <a:spLocks noChangeArrowheads="1"/>
          </xdr:cNvSpPr>
        </xdr:nvSpPr>
        <xdr:spPr bwMode="auto">
          <a:xfrm>
            <a:off x="3143250" y="942975"/>
            <a:ext cx="400050"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Made by</a:t>
            </a:r>
          </a:p>
        </xdr:txBody>
      </xdr:sp>
      <xdr:sp macro="" textlink="">
        <xdr:nvSpPr>
          <xdr:cNvPr id="38" name="lblJobTitle">
            <a:extLst>
              <a:ext uri="{FF2B5EF4-FFF2-40B4-BE49-F238E27FC236}">
                <a16:creationId xmlns:a16="http://schemas.microsoft.com/office/drawing/2014/main" id="{0F90E07B-CA5C-D399-63CB-45E51DDCD07D}"/>
              </a:ext>
            </a:extLst>
          </xdr:cNvPr>
          <xdr:cNvSpPr txBox="1">
            <a:spLocks noChangeArrowheads="1"/>
          </xdr:cNvSpPr>
        </xdr:nvSpPr>
        <xdr:spPr bwMode="auto">
          <a:xfrm>
            <a:off x="9525" y="666750"/>
            <a:ext cx="504825" cy="1905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 Job Title</a:t>
            </a:r>
          </a:p>
          <a:p>
            <a:pPr algn="l" rtl="0">
              <a:defRPr sz="1000"/>
            </a:pPr>
            <a:endParaRPr lang="en-GB" sz="800" b="0" i="0" strike="noStrike">
              <a:solidFill>
                <a:srgbClr val="000000"/>
              </a:solidFill>
              <a:latin typeface="Arial"/>
              <a:cs typeface="Arial"/>
            </a:endParaRPr>
          </a:p>
        </xdr:txBody>
      </xdr:sp>
      <xdr:sp macro="" textlink="">
        <xdr:nvSpPr>
          <xdr:cNvPr id="39" name="lblChd">
            <a:extLst>
              <a:ext uri="{FF2B5EF4-FFF2-40B4-BE49-F238E27FC236}">
                <a16:creationId xmlns:a16="http://schemas.microsoft.com/office/drawing/2014/main" id="{0825202C-0C80-49B4-CB02-165BAC49EDF0}"/>
              </a:ext>
            </a:extLst>
          </xdr:cNvPr>
          <xdr:cNvSpPr txBox="1">
            <a:spLocks noChangeArrowheads="1"/>
          </xdr:cNvSpPr>
        </xdr:nvSpPr>
        <xdr:spPr bwMode="auto">
          <a:xfrm>
            <a:off x="5267325" y="942975"/>
            <a:ext cx="219075"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Chd.</a:t>
            </a:r>
          </a:p>
        </xdr:txBody>
      </xdr:sp>
      <xdr:sp macro="" textlink="">
        <xdr:nvSpPr>
          <xdr:cNvPr id="40" name="lblDate">
            <a:extLst>
              <a:ext uri="{FF2B5EF4-FFF2-40B4-BE49-F238E27FC236}">
                <a16:creationId xmlns:a16="http://schemas.microsoft.com/office/drawing/2014/main" id="{891E479C-7064-023E-A96C-5FD765352968}"/>
              </a:ext>
            </a:extLst>
          </xdr:cNvPr>
          <xdr:cNvSpPr txBox="1">
            <a:spLocks noChangeArrowheads="1"/>
          </xdr:cNvSpPr>
        </xdr:nvSpPr>
        <xdr:spPr bwMode="auto">
          <a:xfrm>
            <a:off x="4229100" y="942975"/>
            <a:ext cx="2476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Date</a:t>
            </a:r>
          </a:p>
        </xdr:txBody>
      </xdr:sp>
      <xdr:sp macro="" textlink="">
        <xdr:nvSpPr>
          <xdr:cNvPr id="41" name="lblDrgRef">
            <a:extLst>
              <a:ext uri="{FF2B5EF4-FFF2-40B4-BE49-F238E27FC236}">
                <a16:creationId xmlns:a16="http://schemas.microsoft.com/office/drawing/2014/main" id="{A8A8E4B4-A1E4-9AE5-EFE8-9E87292435E9}"/>
              </a:ext>
            </a:extLst>
          </xdr:cNvPr>
          <xdr:cNvSpPr txBox="1">
            <a:spLocks noChangeArrowheads="1"/>
          </xdr:cNvSpPr>
        </xdr:nvSpPr>
        <xdr:spPr bwMode="auto">
          <a:xfrm>
            <a:off x="3143250" y="685800"/>
            <a:ext cx="409575" cy="1524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Drg. Ref.</a:t>
            </a:r>
          </a:p>
        </xdr:txBody>
      </xdr:sp>
      <xdr:sp macro="" textlink="">
        <xdr:nvSpPr>
          <xdr:cNvPr id="42" name="lblSheetNo">
            <a:extLst>
              <a:ext uri="{FF2B5EF4-FFF2-40B4-BE49-F238E27FC236}">
                <a16:creationId xmlns:a16="http://schemas.microsoft.com/office/drawing/2014/main" id="{58C7F785-7A7F-0889-89EC-7DC0A9C1108B}"/>
              </a:ext>
            </a:extLst>
          </xdr:cNvPr>
          <xdr:cNvSpPr txBox="1">
            <a:spLocks noChangeArrowheads="1"/>
          </xdr:cNvSpPr>
        </xdr:nvSpPr>
        <xdr:spPr bwMode="auto">
          <a:xfrm>
            <a:off x="4286250" y="19050"/>
            <a:ext cx="4572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Sheet No.</a:t>
            </a:r>
          </a:p>
        </xdr:txBody>
      </xdr:sp>
      <xdr:sp macro="" textlink="">
        <xdr:nvSpPr>
          <xdr:cNvPr id="43" name="lblRev">
            <a:extLst>
              <a:ext uri="{FF2B5EF4-FFF2-40B4-BE49-F238E27FC236}">
                <a16:creationId xmlns:a16="http://schemas.microsoft.com/office/drawing/2014/main" id="{DB39A68E-AF4A-A728-1F52-BDC718E59DA7}"/>
              </a:ext>
            </a:extLst>
          </xdr:cNvPr>
          <xdr:cNvSpPr txBox="1">
            <a:spLocks noChangeArrowheads="1"/>
          </xdr:cNvSpPr>
        </xdr:nvSpPr>
        <xdr:spPr bwMode="auto">
          <a:xfrm>
            <a:off x="5514975" y="19050"/>
            <a:ext cx="2095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Rev.</a:t>
            </a:r>
          </a:p>
        </xdr:txBody>
      </xdr:sp>
      <xdr:sp macro="" textlink="">
        <xdr:nvSpPr>
          <xdr:cNvPr id="44" name="Text Box 37">
            <a:extLst>
              <a:ext uri="{FF2B5EF4-FFF2-40B4-BE49-F238E27FC236}">
                <a16:creationId xmlns:a16="http://schemas.microsoft.com/office/drawing/2014/main" id="{3CCF4212-3348-FAFD-AAB5-323D4BEAFE2A}"/>
              </a:ext>
            </a:extLst>
          </xdr:cNvPr>
          <xdr:cNvSpPr txBox="1">
            <a:spLocks noChangeArrowheads="1"/>
          </xdr:cNvSpPr>
        </xdr:nvSpPr>
        <xdr:spPr bwMode="auto">
          <a:xfrm>
            <a:off x="9525" y="933450"/>
            <a:ext cx="5715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GB" sz="800" b="0" i="0" strike="noStrike">
                <a:solidFill>
                  <a:srgbClr val="000000"/>
                </a:solidFill>
                <a:latin typeface="Arial"/>
                <a:cs typeface="Arial"/>
              </a:rPr>
              <a:t>Calculation</a:t>
            </a:r>
          </a:p>
        </xdr:txBody>
      </xdr:sp>
      <xdr:pic>
        <xdr:nvPicPr>
          <xdr:cNvPr id="45" name="Picture 44" descr="Arup26mm.png">
            <a:extLst>
              <a:ext uri="{FF2B5EF4-FFF2-40B4-BE49-F238E27FC236}">
                <a16:creationId xmlns:a16="http://schemas.microsoft.com/office/drawing/2014/main" id="{8B6B297C-C400-D3E5-B1B5-A003D95CC005}"/>
              </a:ext>
            </a:extLst>
          </xdr:cNvPr>
          <xdr:cNvPicPr>
            <a:picLocks noChangeAspect="1"/>
          </xdr:cNvPicPr>
        </xdr:nvPicPr>
        <xdr:blipFill>
          <a:blip xmlns:r="http://schemas.openxmlformats.org/officeDocument/2006/relationships" r:embed="rId2" cstate="print"/>
          <a:stretch>
            <a:fillRect/>
          </a:stretch>
        </xdr:blipFill>
        <xdr:spPr>
          <a:xfrm>
            <a:off x="114300" y="152400"/>
            <a:ext cx="954026" cy="30480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38100</xdr:colOff>
      <xdr:row>14</xdr:row>
      <xdr:rowOff>289560</xdr:rowOff>
    </xdr:from>
    <xdr:to>
      <xdr:col>11</xdr:col>
      <xdr:colOff>359683</xdr:colOff>
      <xdr:row>28</xdr:row>
      <xdr:rowOff>99060</xdr:rowOff>
    </xdr:to>
    <xdr:pic>
      <xdr:nvPicPr>
        <xdr:cNvPr id="2" name="Picture 1">
          <a:extLst>
            <a:ext uri="{FF2B5EF4-FFF2-40B4-BE49-F238E27FC236}">
              <a16:creationId xmlns:a16="http://schemas.microsoft.com/office/drawing/2014/main" id="{7BB8535E-FD29-4D1E-BB20-02EFEE052C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421" t="2718" b="10974"/>
        <a:stretch>
          <a:fillRect/>
        </a:stretch>
      </xdr:blipFill>
      <xdr:spPr bwMode="auto">
        <a:xfrm>
          <a:off x="4629150" y="2689860"/>
          <a:ext cx="3036208" cy="293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0</xdr:colOff>
      <xdr:row>0</xdr:row>
      <xdr:rowOff>0</xdr:rowOff>
    </xdr:from>
    <xdr:to>
      <xdr:col>11</xdr:col>
      <xdr:colOff>685800</xdr:colOff>
      <xdr:row>8</xdr:row>
      <xdr:rowOff>2449</xdr:rowOff>
    </xdr:to>
    <xdr:grpSp>
      <xdr:nvGrpSpPr>
        <xdr:cNvPr id="3" name="Group 2">
          <a:extLst>
            <a:ext uri="{FF2B5EF4-FFF2-40B4-BE49-F238E27FC236}">
              <a16:creationId xmlns:a16="http://schemas.microsoft.com/office/drawing/2014/main" id="{9D03C66C-F329-4739-A682-E98B597C7300}"/>
            </a:ext>
          </a:extLst>
        </xdr:cNvPr>
        <xdr:cNvGrpSpPr/>
      </xdr:nvGrpSpPr>
      <xdr:grpSpPr>
        <a:xfrm>
          <a:off x="0" y="0"/>
          <a:ext cx="7999343" cy="1311101"/>
          <a:chOff x="0" y="0"/>
          <a:chExt cx="6096000" cy="1276350"/>
        </a:xfrm>
      </xdr:grpSpPr>
      <xdr:sp macro="" textlink="">
        <xdr:nvSpPr>
          <xdr:cNvPr id="4" name="Rectangle 38">
            <a:extLst>
              <a:ext uri="{FF2B5EF4-FFF2-40B4-BE49-F238E27FC236}">
                <a16:creationId xmlns:a16="http://schemas.microsoft.com/office/drawing/2014/main" id="{9B71377C-7813-4D53-D714-7CCCFBBB307E}"/>
              </a:ext>
            </a:extLst>
          </xdr:cNvPr>
          <xdr:cNvSpPr>
            <a:spLocks noChangeArrowheads="1"/>
          </xdr:cNvSpPr>
        </xdr:nvSpPr>
        <xdr:spPr bwMode="auto">
          <a:xfrm>
            <a:off x="628650" y="95250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5" name="txtSheetTitle">
            <a:extLst>
              <a:ext uri="{FF2B5EF4-FFF2-40B4-BE49-F238E27FC236}">
                <a16:creationId xmlns:a16="http://schemas.microsoft.com/office/drawing/2014/main" id="{22F43C59-D3E5-3982-25D8-9605875D3C5D}"/>
              </a:ext>
            </a:extLst>
          </xdr:cNvPr>
          <xdr:cNvSpPr txBox="1">
            <a:spLocks noChangeArrowheads="1"/>
          </xdr:cNvSpPr>
        </xdr:nvSpPr>
        <xdr:spPr bwMode="auto">
          <a:xfrm>
            <a:off x="628650" y="962024"/>
            <a:ext cx="2438400" cy="238125"/>
          </a:xfrm>
          <a:prstGeom prst="rect">
            <a:avLst/>
          </a:prstGeom>
          <a:solidFill>
            <a:srgbClr val="FFFFFF">
              <a:alpha val="50195"/>
            </a:srgbClr>
          </a:solidFill>
          <a:ln>
            <a:noFill/>
          </a:ln>
          <a:extLst>
            <a:ext uri="{91240B29-F687-4F45-9708-019B960494DF}">
              <a14:hiddenLine xmlns:a14="http://schemas.microsoft.com/office/drawing/2010/main" w="0">
                <a:solidFill>
                  <a:srgbClr val="000000"/>
                </a:solidFill>
                <a:prstDash val="sysDot"/>
                <a:miter lim="800000"/>
                <a:headEnd/>
                <a:tailEnd/>
              </a14:hiddenLine>
            </a:ext>
          </a:extLst>
        </xdr:spPr>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a:effectLst/>
                <a:latin typeface="+mn-lt"/>
                <a:ea typeface="+mn-ea"/>
                <a:cs typeface="+mn-cs"/>
              </a:rPr>
              <a:t>Open</a:t>
            </a:r>
            <a:r>
              <a:rPr lang="en-GB" sz="1100" baseline="0">
                <a:effectLst/>
                <a:latin typeface="+mn-lt"/>
                <a:ea typeface="+mn-ea"/>
                <a:cs typeface="+mn-cs"/>
              </a:rPr>
              <a:t> Quay Piles - West Quay- Zone A</a:t>
            </a:r>
            <a:endParaRPr lang="en-GB">
              <a:effectLst/>
            </a:endParaRPr>
          </a:p>
          <a:p>
            <a:endParaRPr lang="en-GB"/>
          </a:p>
        </xdr:txBody>
      </xdr:sp>
      <xdr:sp macro="" textlink="">
        <xdr:nvSpPr>
          <xdr:cNvPr id="6" name="Rectangle 60">
            <a:extLst>
              <a:ext uri="{FF2B5EF4-FFF2-40B4-BE49-F238E27FC236}">
                <a16:creationId xmlns:a16="http://schemas.microsoft.com/office/drawing/2014/main" id="{FE867962-C7FB-313C-6D6C-D43E1F3628FD}"/>
              </a:ext>
            </a:extLst>
          </xdr:cNvPr>
          <xdr:cNvSpPr>
            <a:spLocks noChangeArrowheads="1"/>
          </xdr:cNvSpPr>
        </xdr:nvSpPr>
        <xdr:spPr bwMode="auto">
          <a:xfrm>
            <a:off x="628650" y="66675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7" name="Rectangle 62">
            <a:extLst>
              <a:ext uri="{FF2B5EF4-FFF2-40B4-BE49-F238E27FC236}">
                <a16:creationId xmlns:a16="http://schemas.microsoft.com/office/drawing/2014/main" id="{76192903-DEC2-A49A-2E75-3A6E948610E7}"/>
              </a:ext>
            </a:extLst>
          </xdr:cNvPr>
          <xdr:cNvSpPr>
            <a:spLocks noChangeArrowheads="1"/>
          </xdr:cNvSpPr>
        </xdr:nvSpPr>
        <xdr:spPr bwMode="auto">
          <a:xfrm>
            <a:off x="5524500" y="171450"/>
            <a:ext cx="5334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8" name="Rectangle 64">
            <a:extLst>
              <a:ext uri="{FF2B5EF4-FFF2-40B4-BE49-F238E27FC236}">
                <a16:creationId xmlns:a16="http://schemas.microsoft.com/office/drawing/2014/main" id="{4028E13E-AC48-7A1A-3385-EEDED016A536}"/>
              </a:ext>
            </a:extLst>
          </xdr:cNvPr>
          <xdr:cNvSpPr>
            <a:spLocks noChangeArrowheads="1"/>
          </xdr:cNvSpPr>
        </xdr:nvSpPr>
        <xdr:spPr bwMode="auto">
          <a:xfrm>
            <a:off x="4010025" y="666750"/>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9" name="Rectangle 63">
            <a:extLst>
              <a:ext uri="{FF2B5EF4-FFF2-40B4-BE49-F238E27FC236}">
                <a16:creationId xmlns:a16="http://schemas.microsoft.com/office/drawing/2014/main" id="{CEA5220D-E4A4-FF3A-F6DF-7A384AA78ADE}"/>
              </a:ext>
            </a:extLst>
          </xdr:cNvPr>
          <xdr:cNvSpPr>
            <a:spLocks noChangeArrowheads="1"/>
          </xdr:cNvSpPr>
        </xdr:nvSpPr>
        <xdr:spPr bwMode="auto">
          <a:xfrm>
            <a:off x="4010025" y="428625"/>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0" name="Rectangle 67">
            <a:extLst>
              <a:ext uri="{FF2B5EF4-FFF2-40B4-BE49-F238E27FC236}">
                <a16:creationId xmlns:a16="http://schemas.microsoft.com/office/drawing/2014/main" id="{5C66E885-0103-2898-1E28-BDC7D28B7F44}"/>
              </a:ext>
            </a:extLst>
          </xdr:cNvPr>
          <xdr:cNvSpPr>
            <a:spLocks noChangeArrowheads="1"/>
          </xdr:cNvSpPr>
        </xdr:nvSpPr>
        <xdr:spPr bwMode="auto">
          <a:xfrm>
            <a:off x="5505450" y="923925"/>
            <a:ext cx="561975"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1" name="Rectangle 66">
            <a:extLst>
              <a:ext uri="{FF2B5EF4-FFF2-40B4-BE49-F238E27FC236}">
                <a16:creationId xmlns:a16="http://schemas.microsoft.com/office/drawing/2014/main" id="{008DA741-9845-0336-30E8-1B62B8D347FD}"/>
              </a:ext>
            </a:extLst>
          </xdr:cNvPr>
          <xdr:cNvSpPr>
            <a:spLocks noChangeArrowheads="1"/>
          </xdr:cNvSpPr>
        </xdr:nvSpPr>
        <xdr:spPr bwMode="auto">
          <a:xfrm>
            <a:off x="4467225" y="923925"/>
            <a:ext cx="76200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2" name="Rectangle 65">
            <a:extLst>
              <a:ext uri="{FF2B5EF4-FFF2-40B4-BE49-F238E27FC236}">
                <a16:creationId xmlns:a16="http://schemas.microsoft.com/office/drawing/2014/main" id="{546C935C-E7D7-6DA2-27D6-30BA09DA3D10}"/>
              </a:ext>
            </a:extLst>
          </xdr:cNvPr>
          <xdr:cNvSpPr>
            <a:spLocks noChangeArrowheads="1"/>
          </xdr:cNvSpPr>
        </xdr:nvSpPr>
        <xdr:spPr bwMode="auto">
          <a:xfrm>
            <a:off x="3629025" y="923925"/>
            <a:ext cx="55245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3" name="Rectangle 61">
            <a:extLst>
              <a:ext uri="{FF2B5EF4-FFF2-40B4-BE49-F238E27FC236}">
                <a16:creationId xmlns:a16="http://schemas.microsoft.com/office/drawing/2014/main" id="{973FAC77-7493-2E0C-DB5A-8D78B69374D5}"/>
              </a:ext>
            </a:extLst>
          </xdr:cNvPr>
          <xdr:cNvSpPr>
            <a:spLocks noChangeArrowheads="1"/>
          </xdr:cNvSpPr>
        </xdr:nvSpPr>
        <xdr:spPr bwMode="auto">
          <a:xfrm>
            <a:off x="3124200" y="171450"/>
            <a:ext cx="11049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4" name="Rectangle 39">
            <a:extLst>
              <a:ext uri="{FF2B5EF4-FFF2-40B4-BE49-F238E27FC236}">
                <a16:creationId xmlns:a16="http://schemas.microsoft.com/office/drawing/2014/main" id="{83284CC8-B6D1-5F95-E626-D8CB3549B2BE}"/>
              </a:ext>
            </a:extLst>
          </xdr:cNvPr>
          <xdr:cNvSpPr>
            <a:spLocks noChangeArrowheads="1"/>
          </xdr:cNvSpPr>
        </xdr:nvSpPr>
        <xdr:spPr bwMode="auto">
          <a:xfrm>
            <a:off x="4295775" y="171450"/>
            <a:ext cx="116205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SheetNo">
        <xdr:nvSpPr>
          <xdr:cNvPr id="15" name="txtSheetNo">
            <a:extLst>
              <a:ext uri="{FF2B5EF4-FFF2-40B4-BE49-F238E27FC236}">
                <a16:creationId xmlns:a16="http://schemas.microsoft.com/office/drawing/2014/main" id="{B83F9F2E-E3A0-37D3-BF9D-689202430A73}"/>
              </a:ext>
            </a:extLst>
          </xdr:cNvPr>
          <xdr:cNvSpPr txBox="1">
            <a:spLocks noChangeArrowheads="1" noTextEdit="1"/>
          </xdr:cNvSpPr>
        </xdr:nvSpPr>
        <xdr:spPr bwMode="auto">
          <a:xfrm>
            <a:off x="4295775" y="152400"/>
            <a:ext cx="1171575" cy="238125"/>
          </a:xfrm>
          <a:prstGeom prst="rect">
            <a:avLst/>
          </a:prstGeom>
          <a:solidFill>
            <a:srgbClr val="FFFFFF">
              <a:alpha val="50000"/>
            </a:srgbClr>
          </a:solidFill>
          <a:ln w="0">
            <a:noFill/>
            <a:prstDash val="sysDot"/>
            <a:miter lim="800000"/>
            <a:headEnd/>
            <a:tailEnd/>
          </a:ln>
        </xdr:spPr>
        <xdr:txBody>
          <a:bodyPr/>
          <a:lstStyle/>
          <a:p>
            <a:fld id="{0138D352-6085-40FA-BBF5-9DB3C3BA9D91}" type="TxLink">
              <a:rPr lang="en-GB"/>
              <a:pPr/>
              <a:t> </a:t>
            </a:fld>
            <a:endParaRPr lang="en-GB"/>
          </a:p>
        </xdr:txBody>
      </xdr:sp>
      <xdr:sp macro="" textlink="MadeBy">
        <xdr:nvSpPr>
          <xdr:cNvPr id="16" name="txtMadeBy">
            <a:extLst>
              <a:ext uri="{FF2B5EF4-FFF2-40B4-BE49-F238E27FC236}">
                <a16:creationId xmlns:a16="http://schemas.microsoft.com/office/drawing/2014/main" id="{D9285ED1-90F1-D51D-696A-D149BD8AFF8B}"/>
              </a:ext>
            </a:extLst>
          </xdr:cNvPr>
          <xdr:cNvSpPr txBox="1">
            <a:spLocks noChangeArrowheads="1" noTextEdit="1"/>
          </xdr:cNvSpPr>
        </xdr:nvSpPr>
        <xdr:spPr bwMode="auto">
          <a:xfrm>
            <a:off x="3629025" y="904875"/>
            <a:ext cx="552450" cy="323850"/>
          </a:xfrm>
          <a:prstGeom prst="rect">
            <a:avLst/>
          </a:prstGeom>
          <a:solidFill>
            <a:srgbClr val="FFFFFF">
              <a:alpha val="50000"/>
            </a:srgbClr>
          </a:solidFill>
          <a:ln w="0" cap="rnd">
            <a:noFill/>
            <a:prstDash val="sysDot"/>
            <a:miter lim="800000"/>
            <a:headEnd/>
            <a:tailEnd/>
          </a:ln>
        </xdr:spPr>
        <xdr:txBody>
          <a:bodyPr/>
          <a:lstStyle/>
          <a:p>
            <a:fld id="{7EE7AAC5-E9AF-436A-A2EC-CDE1A1A16D28}" type="TxLink">
              <a:rPr lang="en-GB"/>
              <a:pPr/>
              <a:t>DR/JK</a:t>
            </a:fld>
            <a:endParaRPr lang="en-GB"/>
          </a:p>
        </xdr:txBody>
      </xdr:sp>
      <xdr:sp macro="" textlink="Date">
        <xdr:nvSpPr>
          <xdr:cNvPr id="17" name="txtDate">
            <a:extLst>
              <a:ext uri="{FF2B5EF4-FFF2-40B4-BE49-F238E27FC236}">
                <a16:creationId xmlns:a16="http://schemas.microsoft.com/office/drawing/2014/main" id="{FB541BDD-5279-9A69-D15D-51E3D6B60181}"/>
              </a:ext>
            </a:extLst>
          </xdr:cNvPr>
          <xdr:cNvSpPr txBox="1">
            <a:spLocks noChangeArrowheads="1" noTextEdit="1"/>
          </xdr:cNvSpPr>
        </xdr:nvSpPr>
        <xdr:spPr bwMode="auto">
          <a:xfrm>
            <a:off x="4476749" y="904875"/>
            <a:ext cx="762001" cy="323849"/>
          </a:xfrm>
          <a:prstGeom prst="rect">
            <a:avLst/>
          </a:prstGeom>
          <a:solidFill>
            <a:srgbClr val="FFFFFF">
              <a:alpha val="50000"/>
            </a:srgbClr>
          </a:solidFill>
          <a:ln w="0" cap="rnd">
            <a:noFill/>
            <a:prstDash val="sysDot"/>
            <a:miter lim="800000"/>
            <a:headEnd/>
            <a:tailEnd/>
          </a:ln>
        </xdr:spPr>
        <xdr:txBody>
          <a:bodyPr lIns="36000" rIns="36000"/>
          <a:lstStyle/>
          <a:p>
            <a:fld id="{43A0CF41-EB0C-4B3F-B5D2-945B716BC35E}" type="TxLink">
              <a:rPr lang="en-GB"/>
              <a:pPr/>
              <a:t>21/06/2018</a:t>
            </a:fld>
            <a:endParaRPr lang="en-GB"/>
          </a:p>
        </xdr:txBody>
      </xdr:sp>
      <xdr:sp macro="" textlink="JobNumber">
        <xdr:nvSpPr>
          <xdr:cNvPr id="18" name="txtJobNo">
            <a:extLst>
              <a:ext uri="{FF2B5EF4-FFF2-40B4-BE49-F238E27FC236}">
                <a16:creationId xmlns:a16="http://schemas.microsoft.com/office/drawing/2014/main" id="{2C770D8B-DA42-D93A-EF75-5336A79E32FE}"/>
              </a:ext>
            </a:extLst>
          </xdr:cNvPr>
          <xdr:cNvSpPr txBox="1">
            <a:spLocks noChangeArrowheads="1" noTextEdit="1"/>
          </xdr:cNvSpPr>
        </xdr:nvSpPr>
        <xdr:spPr bwMode="auto">
          <a:xfrm>
            <a:off x="3124200" y="152400"/>
            <a:ext cx="1114425" cy="238126"/>
          </a:xfrm>
          <a:prstGeom prst="rect">
            <a:avLst/>
          </a:prstGeom>
          <a:solidFill>
            <a:srgbClr val="FFFFFF">
              <a:alpha val="50000"/>
            </a:srgbClr>
          </a:solidFill>
          <a:ln w="0" cap="rnd">
            <a:noFill/>
            <a:prstDash val="sysDot"/>
            <a:miter lim="800000"/>
            <a:headEnd/>
            <a:tailEnd/>
          </a:ln>
        </xdr:spPr>
        <xdr:txBody>
          <a:bodyPr/>
          <a:lstStyle/>
          <a:p>
            <a:fld id="{12FF7581-71C6-4F7B-899A-63BE6424F74C}" type="TxLink">
              <a:rPr lang="en-GB"/>
              <a:pPr/>
              <a:t>253300-64</a:t>
            </a:fld>
            <a:endParaRPr lang="en-GB"/>
          </a:p>
        </xdr:txBody>
      </xdr:sp>
      <xdr:sp macro="" textlink="Checked">
        <xdr:nvSpPr>
          <xdr:cNvPr id="19" name="txtChd">
            <a:extLst>
              <a:ext uri="{FF2B5EF4-FFF2-40B4-BE49-F238E27FC236}">
                <a16:creationId xmlns:a16="http://schemas.microsoft.com/office/drawing/2014/main" id="{D119BBFA-36E2-1FAF-E987-28BCDF28EE97}"/>
              </a:ext>
            </a:extLst>
          </xdr:cNvPr>
          <xdr:cNvSpPr txBox="1">
            <a:spLocks noChangeArrowheads="1" noTextEdit="1"/>
          </xdr:cNvSpPr>
        </xdr:nvSpPr>
        <xdr:spPr bwMode="auto">
          <a:xfrm>
            <a:off x="5505450" y="933449"/>
            <a:ext cx="561975" cy="295275"/>
          </a:xfrm>
          <a:prstGeom prst="rect">
            <a:avLst/>
          </a:prstGeom>
          <a:solidFill>
            <a:srgbClr val="FFFFFF">
              <a:alpha val="50000"/>
            </a:srgbClr>
          </a:solidFill>
          <a:ln w="0" cap="rnd">
            <a:noFill/>
            <a:prstDash val="sysDot"/>
            <a:miter lim="800000"/>
            <a:headEnd/>
            <a:tailEnd/>
          </a:ln>
        </xdr:spPr>
        <xdr:txBody>
          <a:bodyPr/>
          <a:lstStyle/>
          <a:p>
            <a:fld id="{DD3FFBD0-7868-4AB5-A50A-19EA75ECDFFF}" type="TxLink">
              <a:rPr lang="en-GB"/>
              <a:pPr/>
              <a:t>JCM</a:t>
            </a:fld>
            <a:endParaRPr lang="en-GB"/>
          </a:p>
        </xdr:txBody>
      </xdr:sp>
      <xdr:sp macro="" textlink="Revision">
        <xdr:nvSpPr>
          <xdr:cNvPr id="20" name="txtRev">
            <a:extLst>
              <a:ext uri="{FF2B5EF4-FFF2-40B4-BE49-F238E27FC236}">
                <a16:creationId xmlns:a16="http://schemas.microsoft.com/office/drawing/2014/main" id="{327E52FE-5B11-5CF1-5258-09EC551E442E}"/>
              </a:ext>
            </a:extLst>
          </xdr:cNvPr>
          <xdr:cNvSpPr txBox="1">
            <a:spLocks noChangeArrowheads="1" noTextEdit="1"/>
          </xdr:cNvSpPr>
        </xdr:nvSpPr>
        <xdr:spPr bwMode="auto">
          <a:xfrm>
            <a:off x="5524500" y="161925"/>
            <a:ext cx="542925" cy="228600"/>
          </a:xfrm>
          <a:prstGeom prst="rect">
            <a:avLst/>
          </a:prstGeom>
          <a:solidFill>
            <a:srgbClr val="FFFFFF">
              <a:alpha val="50000"/>
            </a:srgbClr>
          </a:solidFill>
          <a:ln w="0" cap="rnd">
            <a:noFill/>
            <a:prstDash val="sysDot"/>
            <a:miter lim="800000"/>
            <a:headEnd/>
            <a:tailEnd/>
          </a:ln>
        </xdr:spPr>
        <xdr:txBody>
          <a:bodyPr/>
          <a:lstStyle/>
          <a:p>
            <a:fld id="{31D14602-4220-42DC-A278-07FFB3F3F1B6}" type="TxLink">
              <a:rPr lang="en-GB"/>
              <a:pPr/>
              <a:t>r2.4</a:t>
            </a:fld>
            <a:endParaRPr lang="en-GB"/>
          </a:p>
        </xdr:txBody>
      </xdr:sp>
      <xdr:sp macro="" textlink="JobTitle">
        <xdr:nvSpPr>
          <xdr:cNvPr id="21" name="txtJobTitle">
            <a:extLst>
              <a:ext uri="{FF2B5EF4-FFF2-40B4-BE49-F238E27FC236}">
                <a16:creationId xmlns:a16="http://schemas.microsoft.com/office/drawing/2014/main" id="{0032AAB1-DE6A-F58F-353E-EDF12F727CDB}"/>
              </a:ext>
            </a:extLst>
          </xdr:cNvPr>
          <xdr:cNvSpPr txBox="1">
            <a:spLocks noChangeArrowheads="1" noTextEdit="1"/>
          </xdr:cNvSpPr>
        </xdr:nvSpPr>
        <xdr:spPr bwMode="auto">
          <a:xfrm>
            <a:off x="628650" y="695324"/>
            <a:ext cx="2438400" cy="219075"/>
          </a:xfrm>
          <a:prstGeom prst="rect">
            <a:avLst/>
          </a:prstGeom>
          <a:solidFill>
            <a:srgbClr val="FFFFFF">
              <a:alpha val="50000"/>
            </a:srgbClr>
          </a:solidFill>
          <a:ln w="0" cap="rnd">
            <a:noFill/>
            <a:prstDash val="sysDot"/>
            <a:miter lim="800000"/>
            <a:headEnd/>
            <a:tailEnd/>
          </a:ln>
        </xdr:spPr>
        <xdr:txBody>
          <a:bodyPr/>
          <a:lstStyle/>
          <a:p>
            <a:fld id="{F3465201-EA38-4A20-8381-E1AF0A9A1F41}" type="TxLink">
              <a:rPr lang="en-GB"/>
              <a:pPr/>
              <a:t>Aberdeen Harbour Expansion Project</a:t>
            </a:fld>
            <a:endParaRPr lang="en-GB"/>
          </a:p>
        </xdr:txBody>
      </xdr:sp>
      <xdr:sp macro="" textlink="Drawing_Reference">
        <xdr:nvSpPr>
          <xdr:cNvPr id="22" name="txtDrgRef">
            <a:extLst>
              <a:ext uri="{FF2B5EF4-FFF2-40B4-BE49-F238E27FC236}">
                <a16:creationId xmlns:a16="http://schemas.microsoft.com/office/drawing/2014/main" id="{ABCF1265-923C-78A1-86B3-1B973F73967D}"/>
              </a:ext>
            </a:extLst>
          </xdr:cNvPr>
          <xdr:cNvSpPr txBox="1">
            <a:spLocks noChangeArrowheads="1" noTextEdit="1"/>
          </xdr:cNvSpPr>
        </xdr:nvSpPr>
        <xdr:spPr bwMode="auto">
          <a:xfrm>
            <a:off x="4010025" y="695325"/>
            <a:ext cx="2057400" cy="171450"/>
          </a:xfrm>
          <a:prstGeom prst="rect">
            <a:avLst/>
          </a:prstGeom>
          <a:solidFill>
            <a:srgbClr val="FFFFFF">
              <a:alpha val="50000"/>
            </a:srgbClr>
          </a:solidFill>
          <a:ln w="0">
            <a:noFill/>
            <a:prstDash val="sysDot"/>
            <a:miter lim="800000"/>
            <a:headEnd/>
            <a:tailEnd/>
          </a:ln>
        </xdr:spPr>
        <xdr:txBody>
          <a:bodyPr tIns="0" bIns="0"/>
          <a:lstStyle/>
          <a:p>
            <a:fld id="{45FC97E0-6641-4BBC-B6C9-CFEAC7797A02}" type="TxLink">
              <a:rPr lang="en-GB"/>
              <a:pPr/>
              <a:t> </a:t>
            </a:fld>
            <a:endParaRPr lang="en-GB"/>
          </a:p>
        </xdr:txBody>
      </xdr:sp>
      <xdr:sp macro="" textlink="Member_Location">
        <xdr:nvSpPr>
          <xdr:cNvPr id="23" name="txtMemLoc">
            <a:extLst>
              <a:ext uri="{FF2B5EF4-FFF2-40B4-BE49-F238E27FC236}">
                <a16:creationId xmlns:a16="http://schemas.microsoft.com/office/drawing/2014/main" id="{58C8938A-48DA-C7DB-E12D-A7508D2CFB0E}"/>
              </a:ext>
            </a:extLst>
          </xdr:cNvPr>
          <xdr:cNvSpPr txBox="1">
            <a:spLocks noChangeArrowheads="1" noTextEdit="1"/>
          </xdr:cNvSpPr>
        </xdr:nvSpPr>
        <xdr:spPr bwMode="auto">
          <a:xfrm>
            <a:off x="4010025" y="428625"/>
            <a:ext cx="2057400" cy="200026"/>
          </a:xfrm>
          <a:prstGeom prst="rect">
            <a:avLst/>
          </a:prstGeom>
          <a:solidFill>
            <a:srgbClr val="FFFFFF">
              <a:alpha val="50000"/>
            </a:srgbClr>
          </a:solidFill>
          <a:ln w="0">
            <a:noFill/>
            <a:prstDash val="sysDot"/>
            <a:miter lim="800000"/>
            <a:headEnd/>
            <a:tailEnd/>
          </a:ln>
        </xdr:spPr>
        <xdr:txBody>
          <a:bodyPr/>
          <a:lstStyle/>
          <a:p>
            <a:fld id="{19337578-A729-4E2F-9EE8-F9C9E0E6EBD5}" type="TxLink">
              <a:rPr lang="en-GB"/>
              <a:pPr/>
              <a:t>0</a:t>
            </a:fld>
            <a:endParaRPr lang="en-GB"/>
          </a:p>
        </xdr:txBody>
      </xdr:sp>
      <xdr:sp macro="" textlink="">
        <xdr:nvSpPr>
          <xdr:cNvPr id="24" name="Line 14">
            <a:extLst>
              <a:ext uri="{FF2B5EF4-FFF2-40B4-BE49-F238E27FC236}">
                <a16:creationId xmlns:a16="http://schemas.microsoft.com/office/drawing/2014/main" id="{4A824355-AE66-8E71-1FC6-911F9ACBACF3}"/>
              </a:ext>
            </a:extLst>
          </xdr:cNvPr>
          <xdr:cNvSpPr>
            <a:spLocks noChangeShapeType="1"/>
          </xdr:cNvSpPr>
        </xdr:nvSpPr>
        <xdr:spPr bwMode="auto">
          <a:xfrm flipH="1" flipV="1">
            <a:off x="42672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 name="Line 15">
            <a:extLst>
              <a:ext uri="{FF2B5EF4-FFF2-40B4-BE49-F238E27FC236}">
                <a16:creationId xmlns:a16="http://schemas.microsoft.com/office/drawing/2014/main" id="{D91DC880-8FAD-492F-D120-4C623D4092C7}"/>
              </a:ext>
            </a:extLst>
          </xdr:cNvPr>
          <xdr:cNvSpPr>
            <a:spLocks noChangeShapeType="1"/>
          </xdr:cNvSpPr>
        </xdr:nvSpPr>
        <xdr:spPr bwMode="auto">
          <a:xfrm flipH="1" flipV="1">
            <a:off x="54864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6" name="Line 16">
            <a:extLst>
              <a:ext uri="{FF2B5EF4-FFF2-40B4-BE49-F238E27FC236}">
                <a16:creationId xmlns:a16="http://schemas.microsoft.com/office/drawing/2014/main" id="{BEBFFE3B-BEA3-C56F-F97F-319C27DCD1C5}"/>
              </a:ext>
            </a:extLst>
          </xdr:cNvPr>
          <xdr:cNvSpPr>
            <a:spLocks noChangeShapeType="1"/>
          </xdr:cNvSpPr>
        </xdr:nvSpPr>
        <xdr:spPr bwMode="auto">
          <a:xfrm flipH="1">
            <a:off x="0" y="647700"/>
            <a:ext cx="609600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7" name="Line 17">
            <a:extLst>
              <a:ext uri="{FF2B5EF4-FFF2-40B4-BE49-F238E27FC236}">
                <a16:creationId xmlns:a16="http://schemas.microsoft.com/office/drawing/2014/main" id="{49A19FEE-A34B-3DF4-4714-153F750646EA}"/>
              </a:ext>
            </a:extLst>
          </xdr:cNvPr>
          <xdr:cNvSpPr>
            <a:spLocks noChangeShapeType="1"/>
          </xdr:cNvSpPr>
        </xdr:nvSpPr>
        <xdr:spPr bwMode="auto">
          <a:xfrm flipH="1" flipV="1">
            <a:off x="3095625" y="885825"/>
            <a:ext cx="3000375"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8" name="Line 18">
            <a:extLst>
              <a:ext uri="{FF2B5EF4-FFF2-40B4-BE49-F238E27FC236}">
                <a16:creationId xmlns:a16="http://schemas.microsoft.com/office/drawing/2014/main" id="{E9147B31-457E-AFC9-9F3D-A09C6A5345F9}"/>
              </a:ext>
            </a:extLst>
          </xdr:cNvPr>
          <xdr:cNvSpPr>
            <a:spLocks noChangeShapeType="1"/>
          </xdr:cNvSpPr>
        </xdr:nvSpPr>
        <xdr:spPr bwMode="auto">
          <a:xfrm flipH="1">
            <a:off x="9525" y="1276350"/>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 name="Line 19">
            <a:extLst>
              <a:ext uri="{FF2B5EF4-FFF2-40B4-BE49-F238E27FC236}">
                <a16:creationId xmlns:a16="http://schemas.microsoft.com/office/drawing/2014/main" id="{4BF3F6E2-ADAA-19A7-A136-049CB00D5DC7}"/>
              </a:ext>
            </a:extLst>
          </xdr:cNvPr>
          <xdr:cNvSpPr>
            <a:spLocks noChangeShapeType="1"/>
          </xdr:cNvSpPr>
        </xdr:nvSpPr>
        <xdr:spPr bwMode="auto">
          <a:xfrm flipV="1">
            <a:off x="6096000"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 name="Line 20">
            <a:extLst>
              <a:ext uri="{FF2B5EF4-FFF2-40B4-BE49-F238E27FC236}">
                <a16:creationId xmlns:a16="http://schemas.microsoft.com/office/drawing/2014/main" id="{2E8A3486-6058-FEF2-58DE-A424617CD98F}"/>
              </a:ext>
            </a:extLst>
          </xdr:cNvPr>
          <xdr:cNvSpPr>
            <a:spLocks noChangeShapeType="1"/>
          </xdr:cNvSpPr>
        </xdr:nvSpPr>
        <xdr:spPr bwMode="auto">
          <a:xfrm flipV="1">
            <a:off x="3095625" y="0"/>
            <a:ext cx="0" cy="1266825"/>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 name="Line 22">
            <a:extLst>
              <a:ext uri="{FF2B5EF4-FFF2-40B4-BE49-F238E27FC236}">
                <a16:creationId xmlns:a16="http://schemas.microsoft.com/office/drawing/2014/main" id="{FD0E6A12-217B-FF62-AF8D-730FB9782186}"/>
              </a:ext>
            </a:extLst>
          </xdr:cNvPr>
          <xdr:cNvSpPr>
            <a:spLocks noChangeShapeType="1"/>
          </xdr:cNvSpPr>
        </xdr:nvSpPr>
        <xdr:spPr bwMode="auto">
          <a:xfrm flipH="1">
            <a:off x="3095625" y="409575"/>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 name="Line 23">
            <a:extLst>
              <a:ext uri="{FF2B5EF4-FFF2-40B4-BE49-F238E27FC236}">
                <a16:creationId xmlns:a16="http://schemas.microsoft.com/office/drawing/2014/main" id="{098AB7A0-0E57-99C5-0A32-D39777BE1A11}"/>
              </a:ext>
            </a:extLst>
          </xdr:cNvPr>
          <xdr:cNvSpPr>
            <a:spLocks noChangeShapeType="1"/>
          </xdr:cNvSpPr>
        </xdr:nvSpPr>
        <xdr:spPr bwMode="auto">
          <a:xfrm flipV="1">
            <a:off x="9525"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3" name="Line 24">
            <a:extLst>
              <a:ext uri="{FF2B5EF4-FFF2-40B4-BE49-F238E27FC236}">
                <a16:creationId xmlns:a16="http://schemas.microsoft.com/office/drawing/2014/main" id="{1ABDD730-4892-FC65-6AFA-94B408FE6429}"/>
              </a:ext>
            </a:extLst>
          </xdr:cNvPr>
          <xdr:cNvSpPr>
            <a:spLocks noChangeShapeType="1"/>
          </xdr:cNvSpPr>
        </xdr:nvSpPr>
        <xdr:spPr bwMode="auto">
          <a:xfrm flipH="1">
            <a:off x="9525" y="9525"/>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4" name="Line 53">
            <a:extLst>
              <a:ext uri="{FF2B5EF4-FFF2-40B4-BE49-F238E27FC236}">
                <a16:creationId xmlns:a16="http://schemas.microsoft.com/office/drawing/2014/main" id="{44D280DD-5826-03B3-A5E7-183A39815079}"/>
              </a:ext>
            </a:extLst>
          </xdr:cNvPr>
          <xdr:cNvSpPr>
            <a:spLocks noChangeShapeType="1"/>
          </xdr:cNvSpPr>
        </xdr:nvSpPr>
        <xdr:spPr bwMode="auto">
          <a:xfrm flipH="1">
            <a:off x="3095625" y="152400"/>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5" name="lblJobNo">
            <a:extLst>
              <a:ext uri="{FF2B5EF4-FFF2-40B4-BE49-F238E27FC236}">
                <a16:creationId xmlns:a16="http://schemas.microsoft.com/office/drawing/2014/main" id="{839898C2-727B-2E72-7D95-67F25C43CCB4}"/>
              </a:ext>
            </a:extLst>
          </xdr:cNvPr>
          <xdr:cNvSpPr txBox="1">
            <a:spLocks noChangeArrowheads="1"/>
          </xdr:cNvSpPr>
        </xdr:nvSpPr>
        <xdr:spPr bwMode="auto">
          <a:xfrm>
            <a:off x="3133725" y="19050"/>
            <a:ext cx="352425"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Job No.</a:t>
            </a:r>
          </a:p>
        </xdr:txBody>
      </xdr:sp>
      <xdr:sp macro="" textlink="">
        <xdr:nvSpPr>
          <xdr:cNvPr id="36" name="lblMemLoc">
            <a:extLst>
              <a:ext uri="{FF2B5EF4-FFF2-40B4-BE49-F238E27FC236}">
                <a16:creationId xmlns:a16="http://schemas.microsoft.com/office/drawing/2014/main" id="{04C9D4D4-1D1E-5208-2026-AE23C772E0E6}"/>
              </a:ext>
            </a:extLst>
          </xdr:cNvPr>
          <xdr:cNvSpPr txBox="1">
            <a:spLocks noChangeArrowheads="1"/>
          </xdr:cNvSpPr>
        </xdr:nvSpPr>
        <xdr:spPr bwMode="auto">
          <a:xfrm>
            <a:off x="3143250" y="457200"/>
            <a:ext cx="8001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Member/Location</a:t>
            </a:r>
          </a:p>
        </xdr:txBody>
      </xdr:sp>
      <xdr:sp macro="" textlink="">
        <xdr:nvSpPr>
          <xdr:cNvPr id="37" name="lblMadeBy">
            <a:extLst>
              <a:ext uri="{FF2B5EF4-FFF2-40B4-BE49-F238E27FC236}">
                <a16:creationId xmlns:a16="http://schemas.microsoft.com/office/drawing/2014/main" id="{135A14A2-E1DA-BB66-F815-45C9E9CA8F73}"/>
              </a:ext>
            </a:extLst>
          </xdr:cNvPr>
          <xdr:cNvSpPr txBox="1">
            <a:spLocks noChangeArrowheads="1"/>
          </xdr:cNvSpPr>
        </xdr:nvSpPr>
        <xdr:spPr bwMode="auto">
          <a:xfrm>
            <a:off x="3143250" y="942975"/>
            <a:ext cx="400050"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Made by</a:t>
            </a:r>
          </a:p>
        </xdr:txBody>
      </xdr:sp>
      <xdr:sp macro="" textlink="">
        <xdr:nvSpPr>
          <xdr:cNvPr id="38" name="lblJobTitle">
            <a:extLst>
              <a:ext uri="{FF2B5EF4-FFF2-40B4-BE49-F238E27FC236}">
                <a16:creationId xmlns:a16="http://schemas.microsoft.com/office/drawing/2014/main" id="{FFB0C4D1-5BF4-0F86-1451-7D78D5CB0EDD}"/>
              </a:ext>
            </a:extLst>
          </xdr:cNvPr>
          <xdr:cNvSpPr txBox="1">
            <a:spLocks noChangeArrowheads="1"/>
          </xdr:cNvSpPr>
        </xdr:nvSpPr>
        <xdr:spPr bwMode="auto">
          <a:xfrm>
            <a:off x="9525" y="666750"/>
            <a:ext cx="504825" cy="1905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 Job Title</a:t>
            </a:r>
          </a:p>
          <a:p>
            <a:pPr algn="l" rtl="0">
              <a:defRPr sz="1000"/>
            </a:pPr>
            <a:endParaRPr lang="en-GB" sz="800" b="0" i="0" strike="noStrike">
              <a:solidFill>
                <a:srgbClr val="000000"/>
              </a:solidFill>
              <a:latin typeface="Arial"/>
              <a:cs typeface="Arial"/>
            </a:endParaRPr>
          </a:p>
        </xdr:txBody>
      </xdr:sp>
      <xdr:sp macro="" textlink="">
        <xdr:nvSpPr>
          <xdr:cNvPr id="39" name="lblChd">
            <a:extLst>
              <a:ext uri="{FF2B5EF4-FFF2-40B4-BE49-F238E27FC236}">
                <a16:creationId xmlns:a16="http://schemas.microsoft.com/office/drawing/2014/main" id="{07021990-7768-566E-D296-9E3B864B18BC}"/>
              </a:ext>
            </a:extLst>
          </xdr:cNvPr>
          <xdr:cNvSpPr txBox="1">
            <a:spLocks noChangeArrowheads="1"/>
          </xdr:cNvSpPr>
        </xdr:nvSpPr>
        <xdr:spPr bwMode="auto">
          <a:xfrm>
            <a:off x="5267325" y="942975"/>
            <a:ext cx="219075"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Chd.</a:t>
            </a:r>
          </a:p>
        </xdr:txBody>
      </xdr:sp>
      <xdr:sp macro="" textlink="">
        <xdr:nvSpPr>
          <xdr:cNvPr id="40" name="lblDate">
            <a:extLst>
              <a:ext uri="{FF2B5EF4-FFF2-40B4-BE49-F238E27FC236}">
                <a16:creationId xmlns:a16="http://schemas.microsoft.com/office/drawing/2014/main" id="{0EB39419-3C29-306E-62F3-12D0156ED635}"/>
              </a:ext>
            </a:extLst>
          </xdr:cNvPr>
          <xdr:cNvSpPr txBox="1">
            <a:spLocks noChangeArrowheads="1"/>
          </xdr:cNvSpPr>
        </xdr:nvSpPr>
        <xdr:spPr bwMode="auto">
          <a:xfrm>
            <a:off x="4229100" y="942975"/>
            <a:ext cx="2476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Date</a:t>
            </a:r>
          </a:p>
        </xdr:txBody>
      </xdr:sp>
      <xdr:sp macro="" textlink="">
        <xdr:nvSpPr>
          <xdr:cNvPr id="41" name="lblDrgRef">
            <a:extLst>
              <a:ext uri="{FF2B5EF4-FFF2-40B4-BE49-F238E27FC236}">
                <a16:creationId xmlns:a16="http://schemas.microsoft.com/office/drawing/2014/main" id="{5F24560F-2E16-2B8F-9A97-F5688B74D827}"/>
              </a:ext>
            </a:extLst>
          </xdr:cNvPr>
          <xdr:cNvSpPr txBox="1">
            <a:spLocks noChangeArrowheads="1"/>
          </xdr:cNvSpPr>
        </xdr:nvSpPr>
        <xdr:spPr bwMode="auto">
          <a:xfrm>
            <a:off x="3143250" y="685800"/>
            <a:ext cx="409575" cy="1524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Drg. Ref.</a:t>
            </a:r>
          </a:p>
        </xdr:txBody>
      </xdr:sp>
      <xdr:sp macro="" textlink="">
        <xdr:nvSpPr>
          <xdr:cNvPr id="42" name="lblSheetNo">
            <a:extLst>
              <a:ext uri="{FF2B5EF4-FFF2-40B4-BE49-F238E27FC236}">
                <a16:creationId xmlns:a16="http://schemas.microsoft.com/office/drawing/2014/main" id="{A1FC9F2C-8C1D-0AF4-CC4D-ADF4FE50536A}"/>
              </a:ext>
            </a:extLst>
          </xdr:cNvPr>
          <xdr:cNvSpPr txBox="1">
            <a:spLocks noChangeArrowheads="1"/>
          </xdr:cNvSpPr>
        </xdr:nvSpPr>
        <xdr:spPr bwMode="auto">
          <a:xfrm>
            <a:off x="4286250" y="19050"/>
            <a:ext cx="4572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Sheet No.</a:t>
            </a:r>
          </a:p>
        </xdr:txBody>
      </xdr:sp>
      <xdr:sp macro="" textlink="">
        <xdr:nvSpPr>
          <xdr:cNvPr id="43" name="lblRev">
            <a:extLst>
              <a:ext uri="{FF2B5EF4-FFF2-40B4-BE49-F238E27FC236}">
                <a16:creationId xmlns:a16="http://schemas.microsoft.com/office/drawing/2014/main" id="{C0D02B15-1ECF-9783-62F7-03DFF21CCF8A}"/>
              </a:ext>
            </a:extLst>
          </xdr:cNvPr>
          <xdr:cNvSpPr txBox="1">
            <a:spLocks noChangeArrowheads="1"/>
          </xdr:cNvSpPr>
        </xdr:nvSpPr>
        <xdr:spPr bwMode="auto">
          <a:xfrm>
            <a:off x="5514975" y="19050"/>
            <a:ext cx="2095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Rev.</a:t>
            </a:r>
          </a:p>
        </xdr:txBody>
      </xdr:sp>
      <xdr:sp macro="" textlink="">
        <xdr:nvSpPr>
          <xdr:cNvPr id="44" name="Text Box 37">
            <a:extLst>
              <a:ext uri="{FF2B5EF4-FFF2-40B4-BE49-F238E27FC236}">
                <a16:creationId xmlns:a16="http://schemas.microsoft.com/office/drawing/2014/main" id="{44C8AAAA-948C-931C-D5F2-1B3138017021}"/>
              </a:ext>
            </a:extLst>
          </xdr:cNvPr>
          <xdr:cNvSpPr txBox="1">
            <a:spLocks noChangeArrowheads="1"/>
          </xdr:cNvSpPr>
        </xdr:nvSpPr>
        <xdr:spPr bwMode="auto">
          <a:xfrm>
            <a:off x="9525" y="933450"/>
            <a:ext cx="5715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GB" sz="800" b="0" i="0" strike="noStrike">
                <a:solidFill>
                  <a:srgbClr val="000000"/>
                </a:solidFill>
                <a:latin typeface="Arial"/>
                <a:cs typeface="Arial"/>
              </a:rPr>
              <a:t>Calculation</a:t>
            </a:r>
          </a:p>
        </xdr:txBody>
      </xdr:sp>
      <xdr:pic>
        <xdr:nvPicPr>
          <xdr:cNvPr id="45" name="Picture 44" descr="Arup26mm.png">
            <a:extLst>
              <a:ext uri="{FF2B5EF4-FFF2-40B4-BE49-F238E27FC236}">
                <a16:creationId xmlns:a16="http://schemas.microsoft.com/office/drawing/2014/main" id="{DC26CAF2-D355-E5B0-5149-6D4DFE9618EF}"/>
              </a:ext>
            </a:extLst>
          </xdr:cNvPr>
          <xdr:cNvPicPr>
            <a:picLocks noChangeAspect="1"/>
          </xdr:cNvPicPr>
        </xdr:nvPicPr>
        <xdr:blipFill>
          <a:blip xmlns:r="http://schemas.openxmlformats.org/officeDocument/2006/relationships" r:embed="rId2" cstate="print"/>
          <a:stretch>
            <a:fillRect/>
          </a:stretch>
        </xdr:blipFill>
        <xdr:spPr>
          <a:xfrm>
            <a:off x="114300" y="152400"/>
            <a:ext cx="954026" cy="304801"/>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1</xdr:colOff>
      <xdr:row>3</xdr:row>
      <xdr:rowOff>54428</xdr:rowOff>
    </xdr:from>
    <xdr:to>
      <xdr:col>14</xdr:col>
      <xdr:colOff>809626</xdr:colOff>
      <xdr:row>10</xdr:row>
      <xdr:rowOff>16055</xdr:rowOff>
    </xdr:to>
    <xdr:grpSp>
      <xdr:nvGrpSpPr>
        <xdr:cNvPr id="2" name="Group 1">
          <a:extLst>
            <a:ext uri="{FF2B5EF4-FFF2-40B4-BE49-F238E27FC236}">
              <a16:creationId xmlns:a16="http://schemas.microsoft.com/office/drawing/2014/main" id="{00000000-0008-0000-1700-000002000000}"/>
            </a:ext>
          </a:extLst>
        </xdr:cNvPr>
        <xdr:cNvGrpSpPr/>
      </xdr:nvGrpSpPr>
      <xdr:grpSpPr>
        <a:xfrm>
          <a:off x="1" y="715575"/>
          <a:ext cx="7488331" cy="1339951"/>
          <a:chOff x="0" y="0"/>
          <a:chExt cx="6096000" cy="1276350"/>
        </a:xfrm>
      </xdr:grpSpPr>
      <xdr:sp macro="" textlink="">
        <xdr:nvSpPr>
          <xdr:cNvPr id="3" name="Rectangle 38">
            <a:extLst>
              <a:ext uri="{FF2B5EF4-FFF2-40B4-BE49-F238E27FC236}">
                <a16:creationId xmlns:a16="http://schemas.microsoft.com/office/drawing/2014/main" id="{00000000-0008-0000-1700-000003000000}"/>
              </a:ext>
            </a:extLst>
          </xdr:cNvPr>
          <xdr:cNvSpPr>
            <a:spLocks noChangeArrowheads="1"/>
          </xdr:cNvSpPr>
        </xdr:nvSpPr>
        <xdr:spPr bwMode="auto">
          <a:xfrm>
            <a:off x="628650" y="95250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4" name="txtSheetTitle">
            <a:extLst>
              <a:ext uri="{FF2B5EF4-FFF2-40B4-BE49-F238E27FC236}">
                <a16:creationId xmlns:a16="http://schemas.microsoft.com/office/drawing/2014/main" id="{00000000-0008-0000-1700-000004000000}"/>
              </a:ext>
            </a:extLst>
          </xdr:cNvPr>
          <xdr:cNvSpPr txBox="1">
            <a:spLocks noChangeArrowheads="1"/>
          </xdr:cNvSpPr>
        </xdr:nvSpPr>
        <xdr:spPr bwMode="auto">
          <a:xfrm>
            <a:off x="628650" y="871484"/>
            <a:ext cx="2438400" cy="238125"/>
          </a:xfrm>
          <a:prstGeom prst="rect">
            <a:avLst/>
          </a:prstGeom>
          <a:solidFill>
            <a:srgbClr val="FFFFFF">
              <a:alpha val="50195"/>
            </a:srgbClr>
          </a:solidFill>
          <a:ln>
            <a:noFill/>
          </a:ln>
          <a:extLst>
            <a:ext uri="{91240B29-F687-4F45-9708-019B960494DF}">
              <a14:hiddenLine xmlns:a14="http://schemas.microsoft.com/office/drawing/2010/main" w="0">
                <a:solidFill>
                  <a:srgbClr val="000000"/>
                </a:solidFill>
                <a:prstDash val="sysDot"/>
                <a:miter lim="800000"/>
                <a:headEnd/>
                <a:tailEnd/>
              </a14:hiddenLine>
            </a:ext>
          </a:extLst>
        </xdr:spPr>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a:effectLst/>
                <a:latin typeface="+mn-lt"/>
                <a:ea typeface="+mn-ea"/>
                <a:cs typeface="+mn-cs"/>
              </a:rPr>
              <a:t>Investigation into effect of pile diameter</a:t>
            </a:r>
            <a:r>
              <a:rPr lang="en-GB" sz="1100" baseline="0">
                <a:effectLst/>
                <a:latin typeface="+mn-lt"/>
                <a:ea typeface="+mn-ea"/>
                <a:cs typeface="+mn-cs"/>
              </a:rPr>
              <a:t> on reinforcement within the piles</a:t>
            </a:r>
            <a:endParaRPr lang="en-GB">
              <a:effectLst/>
            </a:endParaRPr>
          </a:p>
          <a:p>
            <a:endParaRPr lang="en-GB"/>
          </a:p>
        </xdr:txBody>
      </xdr:sp>
      <xdr:sp macro="" textlink="">
        <xdr:nvSpPr>
          <xdr:cNvPr id="5" name="Rectangle 60">
            <a:extLst>
              <a:ext uri="{FF2B5EF4-FFF2-40B4-BE49-F238E27FC236}">
                <a16:creationId xmlns:a16="http://schemas.microsoft.com/office/drawing/2014/main" id="{00000000-0008-0000-1700-000005000000}"/>
              </a:ext>
            </a:extLst>
          </xdr:cNvPr>
          <xdr:cNvSpPr>
            <a:spLocks noChangeArrowheads="1"/>
          </xdr:cNvSpPr>
        </xdr:nvSpPr>
        <xdr:spPr bwMode="auto">
          <a:xfrm>
            <a:off x="628650" y="66675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6" name="Rectangle 62">
            <a:extLst>
              <a:ext uri="{FF2B5EF4-FFF2-40B4-BE49-F238E27FC236}">
                <a16:creationId xmlns:a16="http://schemas.microsoft.com/office/drawing/2014/main" id="{00000000-0008-0000-1700-000006000000}"/>
              </a:ext>
            </a:extLst>
          </xdr:cNvPr>
          <xdr:cNvSpPr>
            <a:spLocks noChangeArrowheads="1"/>
          </xdr:cNvSpPr>
        </xdr:nvSpPr>
        <xdr:spPr bwMode="auto">
          <a:xfrm>
            <a:off x="5524500" y="171450"/>
            <a:ext cx="5334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7" name="Rectangle 64">
            <a:extLst>
              <a:ext uri="{FF2B5EF4-FFF2-40B4-BE49-F238E27FC236}">
                <a16:creationId xmlns:a16="http://schemas.microsoft.com/office/drawing/2014/main" id="{00000000-0008-0000-1700-000007000000}"/>
              </a:ext>
            </a:extLst>
          </xdr:cNvPr>
          <xdr:cNvSpPr>
            <a:spLocks noChangeArrowheads="1"/>
          </xdr:cNvSpPr>
        </xdr:nvSpPr>
        <xdr:spPr bwMode="auto">
          <a:xfrm>
            <a:off x="4010025" y="666750"/>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8" name="Rectangle 63">
            <a:extLst>
              <a:ext uri="{FF2B5EF4-FFF2-40B4-BE49-F238E27FC236}">
                <a16:creationId xmlns:a16="http://schemas.microsoft.com/office/drawing/2014/main" id="{00000000-0008-0000-1700-000008000000}"/>
              </a:ext>
            </a:extLst>
          </xdr:cNvPr>
          <xdr:cNvSpPr>
            <a:spLocks noChangeArrowheads="1"/>
          </xdr:cNvSpPr>
        </xdr:nvSpPr>
        <xdr:spPr bwMode="auto">
          <a:xfrm>
            <a:off x="4010025" y="428625"/>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9" name="Rectangle 67">
            <a:extLst>
              <a:ext uri="{FF2B5EF4-FFF2-40B4-BE49-F238E27FC236}">
                <a16:creationId xmlns:a16="http://schemas.microsoft.com/office/drawing/2014/main" id="{00000000-0008-0000-1700-000009000000}"/>
              </a:ext>
            </a:extLst>
          </xdr:cNvPr>
          <xdr:cNvSpPr>
            <a:spLocks noChangeArrowheads="1"/>
          </xdr:cNvSpPr>
        </xdr:nvSpPr>
        <xdr:spPr bwMode="auto">
          <a:xfrm>
            <a:off x="5505450" y="923925"/>
            <a:ext cx="561975"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0" name="Rectangle 66">
            <a:extLst>
              <a:ext uri="{FF2B5EF4-FFF2-40B4-BE49-F238E27FC236}">
                <a16:creationId xmlns:a16="http://schemas.microsoft.com/office/drawing/2014/main" id="{00000000-0008-0000-1700-00000A000000}"/>
              </a:ext>
            </a:extLst>
          </xdr:cNvPr>
          <xdr:cNvSpPr>
            <a:spLocks noChangeArrowheads="1"/>
          </xdr:cNvSpPr>
        </xdr:nvSpPr>
        <xdr:spPr bwMode="auto">
          <a:xfrm>
            <a:off x="4467225" y="923925"/>
            <a:ext cx="76200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1" name="Rectangle 65">
            <a:extLst>
              <a:ext uri="{FF2B5EF4-FFF2-40B4-BE49-F238E27FC236}">
                <a16:creationId xmlns:a16="http://schemas.microsoft.com/office/drawing/2014/main" id="{00000000-0008-0000-1700-00000B000000}"/>
              </a:ext>
            </a:extLst>
          </xdr:cNvPr>
          <xdr:cNvSpPr>
            <a:spLocks noChangeArrowheads="1"/>
          </xdr:cNvSpPr>
        </xdr:nvSpPr>
        <xdr:spPr bwMode="auto">
          <a:xfrm>
            <a:off x="3629025" y="923925"/>
            <a:ext cx="55245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2" name="Rectangle 61">
            <a:extLst>
              <a:ext uri="{FF2B5EF4-FFF2-40B4-BE49-F238E27FC236}">
                <a16:creationId xmlns:a16="http://schemas.microsoft.com/office/drawing/2014/main" id="{00000000-0008-0000-1700-00000C000000}"/>
              </a:ext>
            </a:extLst>
          </xdr:cNvPr>
          <xdr:cNvSpPr>
            <a:spLocks noChangeArrowheads="1"/>
          </xdr:cNvSpPr>
        </xdr:nvSpPr>
        <xdr:spPr bwMode="auto">
          <a:xfrm>
            <a:off x="3124200" y="171450"/>
            <a:ext cx="11049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3" name="Rectangle 39">
            <a:extLst>
              <a:ext uri="{FF2B5EF4-FFF2-40B4-BE49-F238E27FC236}">
                <a16:creationId xmlns:a16="http://schemas.microsoft.com/office/drawing/2014/main" id="{00000000-0008-0000-1700-00000D000000}"/>
              </a:ext>
            </a:extLst>
          </xdr:cNvPr>
          <xdr:cNvSpPr>
            <a:spLocks noChangeArrowheads="1"/>
          </xdr:cNvSpPr>
        </xdr:nvSpPr>
        <xdr:spPr bwMode="auto">
          <a:xfrm>
            <a:off x="4295775" y="171450"/>
            <a:ext cx="116205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SheetNo">
        <xdr:nvSpPr>
          <xdr:cNvPr id="14" name="txtSheetNo">
            <a:extLst>
              <a:ext uri="{FF2B5EF4-FFF2-40B4-BE49-F238E27FC236}">
                <a16:creationId xmlns:a16="http://schemas.microsoft.com/office/drawing/2014/main" id="{00000000-0008-0000-1700-00000E000000}"/>
              </a:ext>
            </a:extLst>
          </xdr:cNvPr>
          <xdr:cNvSpPr txBox="1">
            <a:spLocks noChangeArrowheads="1" noTextEdit="1"/>
          </xdr:cNvSpPr>
        </xdr:nvSpPr>
        <xdr:spPr bwMode="auto">
          <a:xfrm>
            <a:off x="4295775" y="152400"/>
            <a:ext cx="1171575" cy="238125"/>
          </a:xfrm>
          <a:prstGeom prst="rect">
            <a:avLst/>
          </a:prstGeom>
          <a:solidFill>
            <a:srgbClr val="FFFFFF">
              <a:alpha val="50000"/>
            </a:srgbClr>
          </a:solidFill>
          <a:ln w="0">
            <a:noFill/>
            <a:prstDash val="sysDot"/>
            <a:miter lim="800000"/>
            <a:headEnd/>
            <a:tailEnd/>
          </a:ln>
        </xdr:spPr>
        <xdr:txBody>
          <a:bodyPr/>
          <a:lstStyle/>
          <a:p>
            <a:fld id="{0138D352-6085-40FA-BBF5-9DB3C3BA9D91}" type="TxLink">
              <a:rPr lang="en-GB"/>
              <a:pPr/>
              <a:t>0</a:t>
            </a:fld>
            <a:endParaRPr lang="en-GB"/>
          </a:p>
        </xdr:txBody>
      </xdr:sp>
      <xdr:sp macro="" textlink="MadeBy">
        <xdr:nvSpPr>
          <xdr:cNvPr id="15" name="txtMadeBy">
            <a:extLst>
              <a:ext uri="{FF2B5EF4-FFF2-40B4-BE49-F238E27FC236}">
                <a16:creationId xmlns:a16="http://schemas.microsoft.com/office/drawing/2014/main" id="{00000000-0008-0000-1700-00000F000000}"/>
              </a:ext>
            </a:extLst>
          </xdr:cNvPr>
          <xdr:cNvSpPr txBox="1">
            <a:spLocks noChangeArrowheads="1" noTextEdit="1"/>
          </xdr:cNvSpPr>
        </xdr:nvSpPr>
        <xdr:spPr bwMode="auto">
          <a:xfrm>
            <a:off x="3629025" y="904875"/>
            <a:ext cx="552450" cy="323850"/>
          </a:xfrm>
          <a:prstGeom prst="rect">
            <a:avLst/>
          </a:prstGeom>
          <a:solidFill>
            <a:srgbClr val="FFFFFF">
              <a:alpha val="50000"/>
            </a:srgbClr>
          </a:solidFill>
          <a:ln w="0" cap="rnd">
            <a:noFill/>
            <a:prstDash val="sysDot"/>
            <a:miter lim="800000"/>
            <a:headEnd/>
            <a:tailEnd/>
          </a:ln>
        </xdr:spPr>
        <xdr:txBody>
          <a:bodyPr/>
          <a:lstStyle/>
          <a:p>
            <a:fld id="{7EE7AAC5-E9AF-436A-A2EC-CDE1A1A16D28}" type="TxLink">
              <a:rPr lang="en-GB"/>
              <a:pPr/>
              <a:t>DR/JK</a:t>
            </a:fld>
            <a:endParaRPr lang="en-GB"/>
          </a:p>
        </xdr:txBody>
      </xdr:sp>
      <xdr:sp macro="" textlink="Date">
        <xdr:nvSpPr>
          <xdr:cNvPr id="16" name="txtDate">
            <a:extLst>
              <a:ext uri="{FF2B5EF4-FFF2-40B4-BE49-F238E27FC236}">
                <a16:creationId xmlns:a16="http://schemas.microsoft.com/office/drawing/2014/main" id="{00000000-0008-0000-1700-000010000000}"/>
              </a:ext>
            </a:extLst>
          </xdr:cNvPr>
          <xdr:cNvSpPr txBox="1">
            <a:spLocks noChangeArrowheads="1" noTextEdit="1"/>
          </xdr:cNvSpPr>
        </xdr:nvSpPr>
        <xdr:spPr bwMode="auto">
          <a:xfrm>
            <a:off x="4476749" y="904875"/>
            <a:ext cx="762001" cy="323849"/>
          </a:xfrm>
          <a:prstGeom prst="rect">
            <a:avLst/>
          </a:prstGeom>
          <a:solidFill>
            <a:srgbClr val="FFFFFF">
              <a:alpha val="50000"/>
            </a:srgbClr>
          </a:solidFill>
          <a:ln w="0" cap="rnd">
            <a:noFill/>
            <a:prstDash val="sysDot"/>
            <a:miter lim="800000"/>
            <a:headEnd/>
            <a:tailEnd/>
          </a:ln>
        </xdr:spPr>
        <xdr:txBody>
          <a:bodyPr lIns="36000" rIns="36000"/>
          <a:lstStyle/>
          <a:p>
            <a:fld id="{43A0CF41-EB0C-4B3F-B5D2-945B716BC35E}" type="TxLink">
              <a:rPr lang="en-GB"/>
              <a:pPr/>
              <a:t>21/06/2018</a:t>
            </a:fld>
            <a:endParaRPr lang="en-GB"/>
          </a:p>
        </xdr:txBody>
      </xdr:sp>
      <xdr:sp macro="" textlink="JobNumber">
        <xdr:nvSpPr>
          <xdr:cNvPr id="17" name="txtJobNo">
            <a:extLst>
              <a:ext uri="{FF2B5EF4-FFF2-40B4-BE49-F238E27FC236}">
                <a16:creationId xmlns:a16="http://schemas.microsoft.com/office/drawing/2014/main" id="{00000000-0008-0000-1700-000011000000}"/>
              </a:ext>
            </a:extLst>
          </xdr:cNvPr>
          <xdr:cNvSpPr txBox="1">
            <a:spLocks noChangeArrowheads="1" noTextEdit="1"/>
          </xdr:cNvSpPr>
        </xdr:nvSpPr>
        <xdr:spPr bwMode="auto">
          <a:xfrm>
            <a:off x="3124200" y="152400"/>
            <a:ext cx="1114425" cy="238126"/>
          </a:xfrm>
          <a:prstGeom prst="rect">
            <a:avLst/>
          </a:prstGeom>
          <a:solidFill>
            <a:srgbClr val="FFFFFF">
              <a:alpha val="50000"/>
            </a:srgbClr>
          </a:solidFill>
          <a:ln w="0" cap="rnd">
            <a:noFill/>
            <a:prstDash val="sysDot"/>
            <a:miter lim="800000"/>
            <a:headEnd/>
            <a:tailEnd/>
          </a:ln>
        </xdr:spPr>
        <xdr:txBody>
          <a:bodyPr/>
          <a:lstStyle/>
          <a:p>
            <a:fld id="{12FF7581-71C6-4F7B-899A-63BE6424F74C}" type="TxLink">
              <a:rPr lang="en-GB"/>
              <a:pPr/>
              <a:t>253300-64</a:t>
            </a:fld>
            <a:endParaRPr lang="en-GB"/>
          </a:p>
        </xdr:txBody>
      </xdr:sp>
      <xdr:sp macro="" textlink="Checked">
        <xdr:nvSpPr>
          <xdr:cNvPr id="18" name="txtChd">
            <a:extLst>
              <a:ext uri="{FF2B5EF4-FFF2-40B4-BE49-F238E27FC236}">
                <a16:creationId xmlns:a16="http://schemas.microsoft.com/office/drawing/2014/main" id="{00000000-0008-0000-1700-000012000000}"/>
              </a:ext>
            </a:extLst>
          </xdr:cNvPr>
          <xdr:cNvSpPr txBox="1">
            <a:spLocks noChangeArrowheads="1" noTextEdit="1"/>
          </xdr:cNvSpPr>
        </xdr:nvSpPr>
        <xdr:spPr bwMode="auto">
          <a:xfrm>
            <a:off x="5505450" y="933449"/>
            <a:ext cx="561975" cy="295275"/>
          </a:xfrm>
          <a:prstGeom prst="rect">
            <a:avLst/>
          </a:prstGeom>
          <a:solidFill>
            <a:srgbClr val="FFFFFF">
              <a:alpha val="50000"/>
            </a:srgbClr>
          </a:solidFill>
          <a:ln w="0" cap="rnd">
            <a:noFill/>
            <a:prstDash val="sysDot"/>
            <a:miter lim="800000"/>
            <a:headEnd/>
            <a:tailEnd/>
          </a:ln>
        </xdr:spPr>
        <xdr:txBody>
          <a:bodyPr/>
          <a:lstStyle/>
          <a:p>
            <a:fld id="{DD3FFBD0-7868-4AB5-A50A-19EA75ECDFFF}" type="TxLink">
              <a:rPr lang="en-GB"/>
              <a:pPr/>
              <a:t>JCM</a:t>
            </a:fld>
            <a:endParaRPr lang="en-GB"/>
          </a:p>
        </xdr:txBody>
      </xdr:sp>
      <xdr:sp macro="" textlink="Revision">
        <xdr:nvSpPr>
          <xdr:cNvPr id="19" name="txtRev">
            <a:extLst>
              <a:ext uri="{FF2B5EF4-FFF2-40B4-BE49-F238E27FC236}">
                <a16:creationId xmlns:a16="http://schemas.microsoft.com/office/drawing/2014/main" id="{00000000-0008-0000-1700-000013000000}"/>
              </a:ext>
            </a:extLst>
          </xdr:cNvPr>
          <xdr:cNvSpPr txBox="1">
            <a:spLocks noChangeArrowheads="1" noTextEdit="1"/>
          </xdr:cNvSpPr>
        </xdr:nvSpPr>
        <xdr:spPr bwMode="auto">
          <a:xfrm>
            <a:off x="5524500" y="161925"/>
            <a:ext cx="542925" cy="228600"/>
          </a:xfrm>
          <a:prstGeom prst="rect">
            <a:avLst/>
          </a:prstGeom>
          <a:solidFill>
            <a:srgbClr val="FFFFFF">
              <a:alpha val="50000"/>
            </a:srgbClr>
          </a:solidFill>
          <a:ln w="0" cap="rnd">
            <a:noFill/>
            <a:prstDash val="sysDot"/>
            <a:miter lim="800000"/>
            <a:headEnd/>
            <a:tailEnd/>
          </a:ln>
        </xdr:spPr>
        <xdr:txBody>
          <a:bodyPr/>
          <a:lstStyle/>
          <a:p>
            <a:fld id="{31D14602-4220-42DC-A278-07FFB3F3F1B6}" type="TxLink">
              <a:rPr lang="en-GB"/>
              <a:pPr/>
              <a:t> </a:t>
            </a:fld>
            <a:endParaRPr lang="en-GB"/>
          </a:p>
        </xdr:txBody>
      </xdr:sp>
      <xdr:sp macro="" textlink="JobTitle">
        <xdr:nvSpPr>
          <xdr:cNvPr id="20" name="txtJobTitle">
            <a:extLst>
              <a:ext uri="{FF2B5EF4-FFF2-40B4-BE49-F238E27FC236}">
                <a16:creationId xmlns:a16="http://schemas.microsoft.com/office/drawing/2014/main" id="{00000000-0008-0000-1700-000014000000}"/>
              </a:ext>
            </a:extLst>
          </xdr:cNvPr>
          <xdr:cNvSpPr txBox="1">
            <a:spLocks noChangeArrowheads="1" noTextEdit="1"/>
          </xdr:cNvSpPr>
        </xdr:nvSpPr>
        <xdr:spPr bwMode="auto">
          <a:xfrm>
            <a:off x="628650" y="695324"/>
            <a:ext cx="2438400" cy="219075"/>
          </a:xfrm>
          <a:prstGeom prst="rect">
            <a:avLst/>
          </a:prstGeom>
          <a:solidFill>
            <a:srgbClr val="FFFFFF">
              <a:alpha val="50000"/>
            </a:srgbClr>
          </a:solidFill>
          <a:ln w="0" cap="rnd">
            <a:noFill/>
            <a:prstDash val="sysDot"/>
            <a:miter lim="800000"/>
            <a:headEnd/>
            <a:tailEnd/>
          </a:ln>
        </xdr:spPr>
        <xdr:txBody>
          <a:bodyPr/>
          <a:lstStyle/>
          <a:p>
            <a:fld id="{F3465201-EA38-4A20-8381-E1AF0A9A1F41}" type="TxLink">
              <a:rPr lang="en-GB"/>
              <a:pPr/>
              <a:t>Aberdeen Harbour Expansion Project</a:t>
            </a:fld>
            <a:endParaRPr lang="en-GB"/>
          </a:p>
        </xdr:txBody>
      </xdr:sp>
      <xdr:sp macro="" textlink="Drawing_Reference">
        <xdr:nvSpPr>
          <xdr:cNvPr id="21" name="txtDrgRef">
            <a:extLst>
              <a:ext uri="{FF2B5EF4-FFF2-40B4-BE49-F238E27FC236}">
                <a16:creationId xmlns:a16="http://schemas.microsoft.com/office/drawing/2014/main" id="{00000000-0008-0000-1700-000015000000}"/>
              </a:ext>
            </a:extLst>
          </xdr:cNvPr>
          <xdr:cNvSpPr txBox="1">
            <a:spLocks noChangeArrowheads="1" noTextEdit="1"/>
          </xdr:cNvSpPr>
        </xdr:nvSpPr>
        <xdr:spPr bwMode="auto">
          <a:xfrm>
            <a:off x="4010025" y="695325"/>
            <a:ext cx="2057400" cy="171450"/>
          </a:xfrm>
          <a:prstGeom prst="rect">
            <a:avLst/>
          </a:prstGeom>
          <a:solidFill>
            <a:srgbClr val="FFFFFF">
              <a:alpha val="50000"/>
            </a:srgbClr>
          </a:solidFill>
          <a:ln w="0">
            <a:noFill/>
            <a:prstDash val="sysDot"/>
            <a:miter lim="800000"/>
            <a:headEnd/>
            <a:tailEnd/>
          </a:ln>
        </xdr:spPr>
        <xdr:txBody>
          <a:bodyPr tIns="0" bIns="0"/>
          <a:lstStyle/>
          <a:p>
            <a:fld id="{45FC97E0-6641-4BBC-B6C9-CFEAC7797A02}" type="TxLink">
              <a:rPr lang="en-GB"/>
              <a:pPr/>
              <a:t>0</a:t>
            </a:fld>
            <a:endParaRPr lang="en-GB"/>
          </a:p>
        </xdr:txBody>
      </xdr:sp>
      <xdr:sp macro="" textlink="Member_Location">
        <xdr:nvSpPr>
          <xdr:cNvPr id="22" name="txtMemLoc">
            <a:extLst>
              <a:ext uri="{FF2B5EF4-FFF2-40B4-BE49-F238E27FC236}">
                <a16:creationId xmlns:a16="http://schemas.microsoft.com/office/drawing/2014/main" id="{00000000-0008-0000-1700-000016000000}"/>
              </a:ext>
            </a:extLst>
          </xdr:cNvPr>
          <xdr:cNvSpPr txBox="1">
            <a:spLocks noChangeArrowheads="1" noTextEdit="1"/>
          </xdr:cNvSpPr>
        </xdr:nvSpPr>
        <xdr:spPr bwMode="auto">
          <a:xfrm>
            <a:off x="4010025" y="428625"/>
            <a:ext cx="2057400" cy="200026"/>
          </a:xfrm>
          <a:prstGeom prst="rect">
            <a:avLst/>
          </a:prstGeom>
          <a:solidFill>
            <a:srgbClr val="FFFFFF">
              <a:alpha val="50000"/>
            </a:srgbClr>
          </a:solidFill>
          <a:ln w="0">
            <a:noFill/>
            <a:prstDash val="sysDot"/>
            <a:miter lim="800000"/>
            <a:headEnd/>
            <a:tailEnd/>
          </a:ln>
        </xdr:spPr>
        <xdr:txBody>
          <a:bodyPr/>
          <a:lstStyle/>
          <a:p>
            <a:fld id="{19337578-A729-4E2F-9EE8-F9C9E0E6EBD5}" type="TxLink">
              <a:rPr lang="en-GB"/>
              <a:pPr/>
              <a:t>0</a:t>
            </a:fld>
            <a:endParaRPr lang="en-GB"/>
          </a:p>
        </xdr:txBody>
      </xdr:sp>
      <xdr:sp macro="" textlink="">
        <xdr:nvSpPr>
          <xdr:cNvPr id="23" name="Line 14">
            <a:extLst>
              <a:ext uri="{FF2B5EF4-FFF2-40B4-BE49-F238E27FC236}">
                <a16:creationId xmlns:a16="http://schemas.microsoft.com/office/drawing/2014/main" id="{00000000-0008-0000-1700-000017000000}"/>
              </a:ext>
            </a:extLst>
          </xdr:cNvPr>
          <xdr:cNvSpPr>
            <a:spLocks noChangeShapeType="1"/>
          </xdr:cNvSpPr>
        </xdr:nvSpPr>
        <xdr:spPr bwMode="auto">
          <a:xfrm flipH="1" flipV="1">
            <a:off x="42672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 name="Line 15">
            <a:extLst>
              <a:ext uri="{FF2B5EF4-FFF2-40B4-BE49-F238E27FC236}">
                <a16:creationId xmlns:a16="http://schemas.microsoft.com/office/drawing/2014/main" id="{00000000-0008-0000-1700-000018000000}"/>
              </a:ext>
            </a:extLst>
          </xdr:cNvPr>
          <xdr:cNvSpPr>
            <a:spLocks noChangeShapeType="1"/>
          </xdr:cNvSpPr>
        </xdr:nvSpPr>
        <xdr:spPr bwMode="auto">
          <a:xfrm flipH="1" flipV="1">
            <a:off x="54864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 name="Line 16">
            <a:extLst>
              <a:ext uri="{FF2B5EF4-FFF2-40B4-BE49-F238E27FC236}">
                <a16:creationId xmlns:a16="http://schemas.microsoft.com/office/drawing/2014/main" id="{00000000-0008-0000-1700-000019000000}"/>
              </a:ext>
            </a:extLst>
          </xdr:cNvPr>
          <xdr:cNvSpPr>
            <a:spLocks noChangeShapeType="1"/>
          </xdr:cNvSpPr>
        </xdr:nvSpPr>
        <xdr:spPr bwMode="auto">
          <a:xfrm flipH="1">
            <a:off x="0" y="647700"/>
            <a:ext cx="609600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6" name="Line 17">
            <a:extLst>
              <a:ext uri="{FF2B5EF4-FFF2-40B4-BE49-F238E27FC236}">
                <a16:creationId xmlns:a16="http://schemas.microsoft.com/office/drawing/2014/main" id="{00000000-0008-0000-1700-00001A000000}"/>
              </a:ext>
            </a:extLst>
          </xdr:cNvPr>
          <xdr:cNvSpPr>
            <a:spLocks noChangeShapeType="1"/>
          </xdr:cNvSpPr>
        </xdr:nvSpPr>
        <xdr:spPr bwMode="auto">
          <a:xfrm flipH="1" flipV="1">
            <a:off x="3095625" y="885825"/>
            <a:ext cx="3000375"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7" name="Line 18">
            <a:extLst>
              <a:ext uri="{FF2B5EF4-FFF2-40B4-BE49-F238E27FC236}">
                <a16:creationId xmlns:a16="http://schemas.microsoft.com/office/drawing/2014/main" id="{00000000-0008-0000-1700-00001B000000}"/>
              </a:ext>
            </a:extLst>
          </xdr:cNvPr>
          <xdr:cNvSpPr>
            <a:spLocks noChangeShapeType="1"/>
          </xdr:cNvSpPr>
        </xdr:nvSpPr>
        <xdr:spPr bwMode="auto">
          <a:xfrm flipH="1">
            <a:off x="9525" y="1276350"/>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8" name="Line 19">
            <a:extLst>
              <a:ext uri="{FF2B5EF4-FFF2-40B4-BE49-F238E27FC236}">
                <a16:creationId xmlns:a16="http://schemas.microsoft.com/office/drawing/2014/main" id="{00000000-0008-0000-1700-00001C000000}"/>
              </a:ext>
            </a:extLst>
          </xdr:cNvPr>
          <xdr:cNvSpPr>
            <a:spLocks noChangeShapeType="1"/>
          </xdr:cNvSpPr>
        </xdr:nvSpPr>
        <xdr:spPr bwMode="auto">
          <a:xfrm flipV="1">
            <a:off x="6096000"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 name="Line 20">
            <a:extLst>
              <a:ext uri="{FF2B5EF4-FFF2-40B4-BE49-F238E27FC236}">
                <a16:creationId xmlns:a16="http://schemas.microsoft.com/office/drawing/2014/main" id="{00000000-0008-0000-1700-00001D000000}"/>
              </a:ext>
            </a:extLst>
          </xdr:cNvPr>
          <xdr:cNvSpPr>
            <a:spLocks noChangeShapeType="1"/>
          </xdr:cNvSpPr>
        </xdr:nvSpPr>
        <xdr:spPr bwMode="auto">
          <a:xfrm flipV="1">
            <a:off x="3095625" y="0"/>
            <a:ext cx="0" cy="1266825"/>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 name="Line 22">
            <a:extLst>
              <a:ext uri="{FF2B5EF4-FFF2-40B4-BE49-F238E27FC236}">
                <a16:creationId xmlns:a16="http://schemas.microsoft.com/office/drawing/2014/main" id="{00000000-0008-0000-1700-00001E000000}"/>
              </a:ext>
            </a:extLst>
          </xdr:cNvPr>
          <xdr:cNvSpPr>
            <a:spLocks noChangeShapeType="1"/>
          </xdr:cNvSpPr>
        </xdr:nvSpPr>
        <xdr:spPr bwMode="auto">
          <a:xfrm flipH="1">
            <a:off x="3095625" y="409575"/>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 name="Line 23">
            <a:extLst>
              <a:ext uri="{FF2B5EF4-FFF2-40B4-BE49-F238E27FC236}">
                <a16:creationId xmlns:a16="http://schemas.microsoft.com/office/drawing/2014/main" id="{00000000-0008-0000-1700-00001F000000}"/>
              </a:ext>
            </a:extLst>
          </xdr:cNvPr>
          <xdr:cNvSpPr>
            <a:spLocks noChangeShapeType="1"/>
          </xdr:cNvSpPr>
        </xdr:nvSpPr>
        <xdr:spPr bwMode="auto">
          <a:xfrm flipV="1">
            <a:off x="9525"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 name="Line 24">
            <a:extLst>
              <a:ext uri="{FF2B5EF4-FFF2-40B4-BE49-F238E27FC236}">
                <a16:creationId xmlns:a16="http://schemas.microsoft.com/office/drawing/2014/main" id="{00000000-0008-0000-1700-000020000000}"/>
              </a:ext>
            </a:extLst>
          </xdr:cNvPr>
          <xdr:cNvSpPr>
            <a:spLocks noChangeShapeType="1"/>
          </xdr:cNvSpPr>
        </xdr:nvSpPr>
        <xdr:spPr bwMode="auto">
          <a:xfrm flipH="1">
            <a:off x="9525" y="9525"/>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3" name="Line 53">
            <a:extLst>
              <a:ext uri="{FF2B5EF4-FFF2-40B4-BE49-F238E27FC236}">
                <a16:creationId xmlns:a16="http://schemas.microsoft.com/office/drawing/2014/main" id="{00000000-0008-0000-1700-000021000000}"/>
              </a:ext>
            </a:extLst>
          </xdr:cNvPr>
          <xdr:cNvSpPr>
            <a:spLocks noChangeShapeType="1"/>
          </xdr:cNvSpPr>
        </xdr:nvSpPr>
        <xdr:spPr bwMode="auto">
          <a:xfrm flipH="1">
            <a:off x="3095625" y="152400"/>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4" name="lblJobNo">
            <a:extLst>
              <a:ext uri="{FF2B5EF4-FFF2-40B4-BE49-F238E27FC236}">
                <a16:creationId xmlns:a16="http://schemas.microsoft.com/office/drawing/2014/main" id="{00000000-0008-0000-1700-000022000000}"/>
              </a:ext>
            </a:extLst>
          </xdr:cNvPr>
          <xdr:cNvSpPr txBox="1">
            <a:spLocks noChangeArrowheads="1"/>
          </xdr:cNvSpPr>
        </xdr:nvSpPr>
        <xdr:spPr bwMode="auto">
          <a:xfrm>
            <a:off x="3133725" y="19050"/>
            <a:ext cx="352425"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Job No.</a:t>
            </a:r>
          </a:p>
        </xdr:txBody>
      </xdr:sp>
      <xdr:sp macro="" textlink="">
        <xdr:nvSpPr>
          <xdr:cNvPr id="35" name="lblMemLoc">
            <a:extLst>
              <a:ext uri="{FF2B5EF4-FFF2-40B4-BE49-F238E27FC236}">
                <a16:creationId xmlns:a16="http://schemas.microsoft.com/office/drawing/2014/main" id="{00000000-0008-0000-1700-000023000000}"/>
              </a:ext>
            </a:extLst>
          </xdr:cNvPr>
          <xdr:cNvSpPr txBox="1">
            <a:spLocks noChangeArrowheads="1"/>
          </xdr:cNvSpPr>
        </xdr:nvSpPr>
        <xdr:spPr bwMode="auto">
          <a:xfrm>
            <a:off x="3143250" y="457200"/>
            <a:ext cx="8001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Member/Location</a:t>
            </a:r>
          </a:p>
        </xdr:txBody>
      </xdr:sp>
      <xdr:sp macro="" textlink="">
        <xdr:nvSpPr>
          <xdr:cNvPr id="36" name="lblMadeBy">
            <a:extLst>
              <a:ext uri="{FF2B5EF4-FFF2-40B4-BE49-F238E27FC236}">
                <a16:creationId xmlns:a16="http://schemas.microsoft.com/office/drawing/2014/main" id="{00000000-0008-0000-1700-000024000000}"/>
              </a:ext>
            </a:extLst>
          </xdr:cNvPr>
          <xdr:cNvSpPr txBox="1">
            <a:spLocks noChangeArrowheads="1"/>
          </xdr:cNvSpPr>
        </xdr:nvSpPr>
        <xdr:spPr bwMode="auto">
          <a:xfrm>
            <a:off x="3143250" y="942975"/>
            <a:ext cx="400050"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Made by</a:t>
            </a:r>
          </a:p>
        </xdr:txBody>
      </xdr:sp>
      <xdr:sp macro="" textlink="">
        <xdr:nvSpPr>
          <xdr:cNvPr id="37" name="lblJobTitle">
            <a:extLst>
              <a:ext uri="{FF2B5EF4-FFF2-40B4-BE49-F238E27FC236}">
                <a16:creationId xmlns:a16="http://schemas.microsoft.com/office/drawing/2014/main" id="{00000000-0008-0000-1700-000025000000}"/>
              </a:ext>
            </a:extLst>
          </xdr:cNvPr>
          <xdr:cNvSpPr txBox="1">
            <a:spLocks noChangeArrowheads="1"/>
          </xdr:cNvSpPr>
        </xdr:nvSpPr>
        <xdr:spPr bwMode="auto">
          <a:xfrm>
            <a:off x="9525" y="666750"/>
            <a:ext cx="504825" cy="1905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 Job Title</a:t>
            </a:r>
          </a:p>
          <a:p>
            <a:pPr algn="l" rtl="0">
              <a:defRPr sz="1000"/>
            </a:pPr>
            <a:endParaRPr lang="en-GB" sz="800" b="0" i="0" strike="noStrike">
              <a:solidFill>
                <a:srgbClr val="000000"/>
              </a:solidFill>
              <a:latin typeface="Arial"/>
              <a:cs typeface="Arial"/>
            </a:endParaRPr>
          </a:p>
        </xdr:txBody>
      </xdr:sp>
      <xdr:sp macro="" textlink="">
        <xdr:nvSpPr>
          <xdr:cNvPr id="38" name="lblChd">
            <a:extLst>
              <a:ext uri="{FF2B5EF4-FFF2-40B4-BE49-F238E27FC236}">
                <a16:creationId xmlns:a16="http://schemas.microsoft.com/office/drawing/2014/main" id="{00000000-0008-0000-1700-000026000000}"/>
              </a:ext>
            </a:extLst>
          </xdr:cNvPr>
          <xdr:cNvSpPr txBox="1">
            <a:spLocks noChangeArrowheads="1"/>
          </xdr:cNvSpPr>
        </xdr:nvSpPr>
        <xdr:spPr bwMode="auto">
          <a:xfrm>
            <a:off x="5267325" y="942975"/>
            <a:ext cx="219075"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Chd.</a:t>
            </a:r>
          </a:p>
        </xdr:txBody>
      </xdr:sp>
      <xdr:sp macro="" textlink="">
        <xdr:nvSpPr>
          <xdr:cNvPr id="39" name="lblDate">
            <a:extLst>
              <a:ext uri="{FF2B5EF4-FFF2-40B4-BE49-F238E27FC236}">
                <a16:creationId xmlns:a16="http://schemas.microsoft.com/office/drawing/2014/main" id="{00000000-0008-0000-1700-000027000000}"/>
              </a:ext>
            </a:extLst>
          </xdr:cNvPr>
          <xdr:cNvSpPr txBox="1">
            <a:spLocks noChangeArrowheads="1"/>
          </xdr:cNvSpPr>
        </xdr:nvSpPr>
        <xdr:spPr bwMode="auto">
          <a:xfrm>
            <a:off x="4229100" y="942975"/>
            <a:ext cx="2476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Date</a:t>
            </a:r>
          </a:p>
        </xdr:txBody>
      </xdr:sp>
      <xdr:sp macro="" textlink="">
        <xdr:nvSpPr>
          <xdr:cNvPr id="40" name="lblDrgRef">
            <a:extLst>
              <a:ext uri="{FF2B5EF4-FFF2-40B4-BE49-F238E27FC236}">
                <a16:creationId xmlns:a16="http://schemas.microsoft.com/office/drawing/2014/main" id="{00000000-0008-0000-1700-000028000000}"/>
              </a:ext>
            </a:extLst>
          </xdr:cNvPr>
          <xdr:cNvSpPr txBox="1">
            <a:spLocks noChangeArrowheads="1"/>
          </xdr:cNvSpPr>
        </xdr:nvSpPr>
        <xdr:spPr bwMode="auto">
          <a:xfrm>
            <a:off x="3143250" y="685800"/>
            <a:ext cx="409575" cy="1524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Drg. Ref.</a:t>
            </a:r>
          </a:p>
        </xdr:txBody>
      </xdr:sp>
      <xdr:sp macro="" textlink="">
        <xdr:nvSpPr>
          <xdr:cNvPr id="41" name="lblSheetNo">
            <a:extLst>
              <a:ext uri="{FF2B5EF4-FFF2-40B4-BE49-F238E27FC236}">
                <a16:creationId xmlns:a16="http://schemas.microsoft.com/office/drawing/2014/main" id="{00000000-0008-0000-1700-000029000000}"/>
              </a:ext>
            </a:extLst>
          </xdr:cNvPr>
          <xdr:cNvSpPr txBox="1">
            <a:spLocks noChangeArrowheads="1"/>
          </xdr:cNvSpPr>
        </xdr:nvSpPr>
        <xdr:spPr bwMode="auto">
          <a:xfrm>
            <a:off x="4286250" y="19050"/>
            <a:ext cx="4572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Sheet No.</a:t>
            </a:r>
          </a:p>
        </xdr:txBody>
      </xdr:sp>
      <xdr:sp macro="" textlink="">
        <xdr:nvSpPr>
          <xdr:cNvPr id="42" name="lblRev">
            <a:extLst>
              <a:ext uri="{FF2B5EF4-FFF2-40B4-BE49-F238E27FC236}">
                <a16:creationId xmlns:a16="http://schemas.microsoft.com/office/drawing/2014/main" id="{00000000-0008-0000-1700-00002A000000}"/>
              </a:ext>
            </a:extLst>
          </xdr:cNvPr>
          <xdr:cNvSpPr txBox="1">
            <a:spLocks noChangeArrowheads="1"/>
          </xdr:cNvSpPr>
        </xdr:nvSpPr>
        <xdr:spPr bwMode="auto">
          <a:xfrm>
            <a:off x="5514975" y="19050"/>
            <a:ext cx="2095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Rev.</a:t>
            </a:r>
          </a:p>
        </xdr:txBody>
      </xdr:sp>
      <xdr:sp macro="" textlink="">
        <xdr:nvSpPr>
          <xdr:cNvPr id="43" name="Text Box 37">
            <a:extLst>
              <a:ext uri="{FF2B5EF4-FFF2-40B4-BE49-F238E27FC236}">
                <a16:creationId xmlns:a16="http://schemas.microsoft.com/office/drawing/2014/main" id="{00000000-0008-0000-1700-00002B000000}"/>
              </a:ext>
            </a:extLst>
          </xdr:cNvPr>
          <xdr:cNvSpPr txBox="1">
            <a:spLocks noChangeArrowheads="1"/>
          </xdr:cNvSpPr>
        </xdr:nvSpPr>
        <xdr:spPr bwMode="auto">
          <a:xfrm>
            <a:off x="9525" y="933450"/>
            <a:ext cx="5715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GB" sz="800" b="0" i="0" strike="noStrike">
                <a:solidFill>
                  <a:srgbClr val="000000"/>
                </a:solidFill>
                <a:latin typeface="Arial"/>
                <a:cs typeface="Arial"/>
              </a:rPr>
              <a:t>Calculation</a:t>
            </a:r>
          </a:p>
        </xdr:txBody>
      </xdr:sp>
      <xdr:pic>
        <xdr:nvPicPr>
          <xdr:cNvPr id="44" name="Picture 43" descr="Arup26mm.png">
            <a:extLst>
              <a:ext uri="{FF2B5EF4-FFF2-40B4-BE49-F238E27FC236}">
                <a16:creationId xmlns:a16="http://schemas.microsoft.com/office/drawing/2014/main" id="{00000000-0008-0000-1700-00002C000000}"/>
              </a:ext>
            </a:extLst>
          </xdr:cNvPr>
          <xdr:cNvPicPr>
            <a:picLocks noChangeAspect="1"/>
          </xdr:cNvPicPr>
        </xdr:nvPicPr>
        <xdr:blipFill>
          <a:blip xmlns:r="http://schemas.openxmlformats.org/officeDocument/2006/relationships" r:embed="rId1" cstate="print"/>
          <a:stretch>
            <a:fillRect/>
          </a:stretch>
        </xdr:blipFill>
        <xdr:spPr>
          <a:xfrm>
            <a:off x="114300" y="152400"/>
            <a:ext cx="954026" cy="304801"/>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file:///\\global\europe\newcastle\Jobs\250000\253300\00%20AHEP\04%20DELIVERABLES\4-05%20Project%20Wide%20Quays\4-05.5%20Structures\Calcs\Suspended%20deck%20design\Global%20deck%20design%20model\for%20Duncan-%20Pile%20Reinforcement%20Design\Shear%20Link%20Design\Shear%20Links%20Calcs.xls?FC24B979" TargetMode="External"/><Relationship Id="rId1" Type="http://schemas.openxmlformats.org/officeDocument/2006/relationships/externalLinkPath" Target="file:///\\FC24B979\Shear%20Links%20Calc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lobal\europe\newcastle\Jobs\250000\253300\00%20AHEP\04%20DELIVERABLES\4-05%20Project%20Wide%20Quays\4-05.5%20Structures\Calcs\Suspended%20deck%20design\Global%20deck%20design%20model\WQ%20Piles\1500%20dia%201%20joint\Anchorage%20&amp;%20Lap%20lengths.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lobal\europe\newcastle\Jobs\250000\253300\00%20AHEP\04%20DELIVERABLES\4-05%20Project%20Wide%20Quays\4-05.5%20Structures\Calcs\Suspended%20deck%20design\Global%20deck%20design%20model\Pile%20reinforcement%20design14.06.17.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lobal\europe\newcastle\Jobs\250000\253300\00%20AHEP\04%20DELIVERABLES\4-05%20Project%20Wide%20Quays\4-05.5%20Structures\Calcs\Suspended%20deck%20design\Global%20deck%20design%20model\WQ%20Piles\Rev%202%20WQ%20Pile%20des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
      <sheetName val="B"/>
      <sheetName val="C"/>
      <sheetName val="D"/>
      <sheetName val="E"/>
      <sheetName val="F"/>
      <sheetName val="2011NST04 method SI units"/>
      <sheetName val="Lists"/>
    </sheetNames>
    <sheetDataSet>
      <sheetData sheetId="0">
        <row r="5">
          <cell r="F5" t="str">
            <v>Enter Data on cover sheet</v>
          </cell>
        </row>
        <row r="15">
          <cell r="F15" t="str">
            <v>Shear Design for circular sections with plane (discrete) or spiral links to EN1992 (with UK NA) and Arup 2011 NST 04</v>
          </cell>
        </row>
        <row r="30">
          <cell r="F30" t="str">
            <v>r2.4</v>
          </cell>
        </row>
      </sheetData>
      <sheetData sheetId="1"/>
      <sheetData sheetId="2" refreshError="1"/>
      <sheetData sheetId="3" refreshError="1"/>
      <sheetData sheetId="4" refreshError="1"/>
      <sheetData sheetId="5" refreshError="1"/>
      <sheetData sheetId="6" refreshError="1"/>
      <sheetData sheetId="7" refreshError="1"/>
      <sheetData sheetId="8">
        <row r="3">
          <cell r="B3">
            <v>8</v>
          </cell>
          <cell r="D3" t="str">
            <v>Links</v>
          </cell>
          <cell r="F3">
            <v>12</v>
          </cell>
          <cell r="H3">
            <v>1.5</v>
          </cell>
          <cell r="J3">
            <v>1</v>
          </cell>
        </row>
        <row r="4">
          <cell r="B4">
            <v>10</v>
          </cell>
          <cell r="D4" t="str">
            <v>Spiral</v>
          </cell>
          <cell r="F4">
            <v>16</v>
          </cell>
          <cell r="H4">
            <v>1.65</v>
          </cell>
          <cell r="J4">
            <v>0.85</v>
          </cell>
        </row>
        <row r="5">
          <cell r="B5">
            <v>12</v>
          </cell>
          <cell r="F5">
            <v>20</v>
          </cell>
        </row>
        <row r="6">
          <cell r="B6">
            <v>16</v>
          </cell>
          <cell r="F6">
            <v>25</v>
          </cell>
        </row>
        <row r="7">
          <cell r="B7">
            <v>20</v>
          </cell>
          <cell r="F7">
            <v>32</v>
          </cell>
        </row>
        <row r="8">
          <cell r="B8">
            <v>25</v>
          </cell>
          <cell r="F8">
            <v>40</v>
          </cell>
        </row>
        <row r="9">
          <cell r="F9">
            <v>50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alculations"/>
      <sheetName val="Tension (constant cover)"/>
      <sheetName val="Tension (constant Fck)"/>
      <sheetName val="Compression"/>
    </sheetNames>
    <sheetDataSet>
      <sheetData sheetId="0"/>
      <sheetData sheetId="1">
        <row r="76">
          <cell r="L76" t="str">
            <v>C12/15</v>
          </cell>
        </row>
        <row r="77">
          <cell r="L77" t="str">
            <v>C16/20</v>
          </cell>
        </row>
        <row r="78">
          <cell r="L78" t="str">
            <v>C20/25</v>
          </cell>
        </row>
        <row r="79">
          <cell r="L79" t="str">
            <v>C25/30</v>
          </cell>
        </row>
        <row r="80">
          <cell r="L80" t="str">
            <v>C30/37</v>
          </cell>
        </row>
        <row r="81">
          <cell r="L81" t="str">
            <v>C32/40</v>
          </cell>
        </row>
        <row r="82">
          <cell r="L82" t="str">
            <v>C35/45</v>
          </cell>
        </row>
        <row r="83">
          <cell r="L83" t="str">
            <v>C40/50</v>
          </cell>
        </row>
        <row r="84">
          <cell r="L84" t="str">
            <v>C45/55</v>
          </cell>
        </row>
        <row r="85">
          <cell r="L85" t="str">
            <v>C50/60</v>
          </cell>
        </row>
        <row r="86">
          <cell r="L86" t="str">
            <v>C55/67</v>
          </cell>
        </row>
        <row r="87">
          <cell r="L87" t="str">
            <v>C60/75</v>
          </cell>
        </row>
        <row r="88">
          <cell r="L88" t="str">
            <v>C70/85</v>
          </cell>
        </row>
        <row r="89">
          <cell r="L89" t="str">
            <v>C80/95</v>
          </cell>
        </row>
        <row r="90">
          <cell r="L90" t="str">
            <v>C90/105</v>
          </cell>
        </row>
      </sheetData>
      <sheetData sheetId="2"/>
      <sheetData sheetId="3">
        <row r="44">
          <cell r="K44" t="b">
            <v>1</v>
          </cell>
        </row>
      </sheetData>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Notes"/>
      <sheetName val="Summary"/>
      <sheetName val="7.5m Pile (Zones A+B)"/>
      <sheetName val="15m Pile  (Zones C+D)"/>
      <sheetName val="15m Pile  (Zones E+F)"/>
      <sheetName val="15m Pile"/>
      <sheetName val="Calc(L)"/>
      <sheetName val="Calc(side)"/>
    </sheetNames>
    <sheetDataSet>
      <sheetData sheetId="0">
        <row r="5">
          <cell r="F5" t="str">
            <v>AHEP</v>
          </cell>
        </row>
        <row r="17">
          <cell r="F17">
            <v>0</v>
          </cell>
        </row>
        <row r="19">
          <cell r="F19">
            <v>0</v>
          </cell>
        </row>
        <row r="21">
          <cell r="F21">
            <v>0</v>
          </cell>
        </row>
      </sheetData>
      <sheetData sheetId="1" refreshError="1"/>
      <sheetData sheetId="2"/>
      <sheetData sheetId="3">
        <row r="55">
          <cell r="M55" t="str">
            <v>Myz,upper (kNm)</v>
          </cell>
        </row>
      </sheetData>
      <sheetData sheetId="4">
        <row r="65">
          <cell r="M65" t="str">
            <v>Myz,upper (kNm)</v>
          </cell>
        </row>
      </sheetData>
      <sheetData sheetId="5">
        <row r="65">
          <cell r="M65" t="str">
            <v>Myz (kNm)</v>
          </cell>
        </row>
      </sheetData>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Thermal reduction reasoning"/>
      <sheetName val="Zone A"/>
      <sheetName val="Envelope Zone A"/>
      <sheetName val="Max permutation (Zone A, top)"/>
      <sheetName val="Shear in Zone A (top 3m)"/>
      <sheetName val="Shear in Zone A (3-3.5m)"/>
      <sheetName val="Shear in Zone A (3.5-5.5m)"/>
      <sheetName val="Shear in Zone A (5.5-7.5m)"/>
      <sheetName val="Shear in Zone A (7.5-16m)"/>
      <sheetName val="Shear in Zone A (16-30m)"/>
      <sheetName val="Zone B"/>
      <sheetName val="Envelope Zone B"/>
      <sheetName val="Max permutation (Zone B, top)"/>
      <sheetName val="Shear in Zone B (top 14m)"/>
      <sheetName val="Shear in Zone B (top 14-20m)"/>
      <sheetName val="Shear in Zone B (below 20m)"/>
      <sheetName val="Zone C"/>
      <sheetName val="Envelope Zone C"/>
      <sheetName val="Max permutation (Zone C, top)"/>
      <sheetName val="Shear in Zone C (top 3m)"/>
      <sheetName val="Shear in Zone C (3-5m)"/>
      <sheetName val="Shear in Zone C (5-16m)"/>
      <sheetName val="Shear in Zone C (16m-end)"/>
      <sheetName val="Zone D"/>
      <sheetName val="Envelope Zone D"/>
      <sheetName val="Max permutation (Zone D, top)"/>
      <sheetName val="Shear in Zone D (top 14m)"/>
      <sheetName val="Shear in Zone D (14-22m)"/>
      <sheetName val="Shear in Zone D (22-32m)"/>
      <sheetName val="Zone E"/>
      <sheetName val="Envelope Zone E"/>
      <sheetName val="Max permutation (Zone E, top)"/>
      <sheetName val="Shear in Zone E (top 2m)"/>
      <sheetName val="Shear in Zone E (2-5m)"/>
      <sheetName val="Shear in Zone E (5-16m)"/>
      <sheetName val="Shear in Zone E (16-24m)"/>
      <sheetName val="Zone F"/>
      <sheetName val="Envelope Zone F"/>
      <sheetName val="Max permutation (Zone F, top)"/>
      <sheetName val="Shear in Zone F (top 14m)"/>
      <sheetName val="Shear in Zone F (14-22m)"/>
      <sheetName val="Summary (07.09)"/>
      <sheetName val="Summary (03.07)"/>
      <sheetName val="Summary (21.06)"/>
      <sheetName val="North Quay Estimate"/>
      <sheetName val="Summary Mass Calc"/>
      <sheetName val="AdSec Section Capacitie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47">
          <cell r="Q47">
            <v>18</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I11"/>
  <sheetViews>
    <sheetView view="pageBreakPreview" topLeftCell="A7" zoomScale="160" zoomScaleNormal="100" zoomScaleSheetLayoutView="160" workbookViewId="0">
      <selection activeCell="A7" sqref="A7:I7"/>
    </sheetView>
  </sheetViews>
  <sheetFormatPr defaultColWidth="8.85546875" defaultRowHeight="12.75"/>
  <cols>
    <col min="1" max="1" width="14.42578125" style="4" customWidth="1"/>
    <col min="2" max="2" width="10" style="4" customWidth="1"/>
    <col min="3" max="3" width="7.5703125" style="4" customWidth="1"/>
    <col min="4" max="5" width="8.85546875" style="4"/>
    <col min="6" max="7" width="10.42578125" style="4" bestFit="1" customWidth="1"/>
    <col min="8" max="8" width="8.85546875" style="4"/>
    <col min="9" max="9" width="12.42578125" style="4" customWidth="1"/>
    <col min="10" max="10" width="9.42578125" style="4" customWidth="1"/>
    <col min="11" max="16384" width="8.85546875" style="4"/>
  </cols>
  <sheetData>
    <row r="1" spans="1:9" ht="99.75" customHeight="1"/>
    <row r="3" spans="1:9" ht="15">
      <c r="A3" s="109" t="s">
        <v>0</v>
      </c>
    </row>
    <row r="5" spans="1:9" ht="95.1" customHeight="1">
      <c r="A5" s="141" t="s">
        <v>1</v>
      </c>
      <c r="B5" s="141"/>
      <c r="C5" s="141"/>
      <c r="D5" s="141"/>
      <c r="E5" s="141"/>
      <c r="F5" s="141"/>
      <c r="G5" s="141"/>
      <c r="H5" s="141"/>
      <c r="I5" s="141"/>
    </row>
    <row r="7" spans="1:9" ht="69" customHeight="1">
      <c r="A7" s="141" t="s">
        <v>2</v>
      </c>
      <c r="B7" s="141"/>
      <c r="C7" s="141"/>
      <c r="D7" s="141"/>
      <c r="E7" s="141"/>
      <c r="F7" s="141"/>
      <c r="G7" s="141"/>
      <c r="H7" s="141"/>
      <c r="I7" s="141"/>
    </row>
    <row r="9" spans="1:9" ht="72" customHeight="1">
      <c r="A9" s="141" t="s">
        <v>3</v>
      </c>
      <c r="B9" s="141"/>
      <c r="C9" s="141"/>
      <c r="D9" s="141"/>
      <c r="E9" s="141"/>
      <c r="F9" s="141"/>
      <c r="G9" s="141"/>
      <c r="H9" s="141"/>
      <c r="I9" s="141"/>
    </row>
    <row r="11" spans="1:9">
      <c r="A11" s="108"/>
      <c r="B11" s="108"/>
      <c r="C11" s="108"/>
      <c r="D11" s="108"/>
      <c r="E11" s="108"/>
      <c r="F11" s="108"/>
      <c r="G11" s="108"/>
      <c r="H11" s="108"/>
      <c r="I11" s="108"/>
    </row>
  </sheetData>
  <mergeCells count="3">
    <mergeCell ref="A5:I5"/>
    <mergeCell ref="A7:I7"/>
    <mergeCell ref="A9:I9"/>
  </mergeCells>
  <pageMargins left="0.51181102362204722" right="0.51181102362204722" top="0.59055118110236227" bottom="0.70866141732283472" header="0.51181102362204722" footer="0.39370078740157483"/>
  <pageSetup paperSize="9" orientation="portrait" r:id="rId1"/>
  <headerFooter>
    <oddFooter>&amp;L&amp;8&amp;Z
&amp;F : &amp;A&amp;R&amp;8Page &amp;P of &amp;N
Printed &amp;D  Time &amp;T</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4">
    <tabColor rgb="FFFF0000"/>
  </sheetPr>
  <dimension ref="A1:AL105"/>
  <sheetViews>
    <sheetView topLeftCell="A91" zoomScale="70" zoomScaleNormal="70" workbookViewId="0">
      <selection activeCell="AK25" sqref="AK25"/>
    </sheetView>
  </sheetViews>
  <sheetFormatPr defaultColWidth="8.85546875" defaultRowHeight="15"/>
  <cols>
    <col min="1" max="1" width="14.5703125" customWidth="1"/>
    <col min="2" max="2" width="12.42578125" customWidth="1"/>
    <col min="3" max="3" width="11.42578125" customWidth="1"/>
    <col min="4" max="4" width="10.85546875" customWidth="1"/>
    <col min="5" max="5" width="9.5703125" bestFit="1" customWidth="1"/>
    <col min="6" max="6" width="14.140625" customWidth="1"/>
    <col min="7" max="7" width="12.5703125" customWidth="1"/>
    <col min="8" max="8" width="12.5703125" bestFit="1" customWidth="1"/>
    <col min="9" max="9" width="14.42578125" customWidth="1"/>
    <col min="10" max="10" width="13.85546875" customWidth="1"/>
    <col min="11" max="11" width="12" customWidth="1"/>
    <col min="12" max="12" width="11" customWidth="1"/>
    <col min="14" max="14" width="13.42578125" customWidth="1"/>
    <col min="15" max="15" width="12.42578125" customWidth="1"/>
    <col min="16" max="16" width="11.42578125" customWidth="1"/>
    <col min="17" max="17" width="10" customWidth="1"/>
    <col min="21" max="21" width="9.5703125" customWidth="1"/>
  </cols>
  <sheetData>
    <row r="1" spans="1:36" ht="18.75">
      <c r="A1" s="1" t="s">
        <v>104</v>
      </c>
    </row>
    <row r="2" spans="1:36" ht="18.75">
      <c r="A2" s="1" t="s">
        <v>105</v>
      </c>
      <c r="F2" s="1" t="s">
        <v>106</v>
      </c>
    </row>
    <row r="4" spans="1:36">
      <c r="A4" s="145" t="s">
        <v>107</v>
      </c>
      <c r="B4" s="146" t="s">
        <v>108</v>
      </c>
      <c r="C4" s="146" t="s">
        <v>109</v>
      </c>
      <c r="D4" s="146" t="s">
        <v>110</v>
      </c>
      <c r="F4" s="145" t="s">
        <v>107</v>
      </c>
      <c r="G4" s="146" t="s">
        <v>108</v>
      </c>
      <c r="H4" s="146" t="s">
        <v>109</v>
      </c>
      <c r="I4" s="146" t="s">
        <v>110</v>
      </c>
    </row>
    <row r="5" spans="1:36">
      <c r="A5" s="145"/>
      <c r="B5" s="146"/>
      <c r="C5" s="146"/>
      <c r="D5" s="146"/>
      <c r="F5" s="145"/>
      <c r="G5" s="146"/>
      <c r="H5" s="146"/>
      <c r="I5" s="146"/>
    </row>
    <row r="6" spans="1:36">
      <c r="A6" s="100">
        <v>0</v>
      </c>
      <c r="B6" s="101">
        <v>360</v>
      </c>
      <c r="C6" s="97">
        <f>B6*(PI()*1.2^2/4)</f>
        <v>407.15040790523722</v>
      </c>
      <c r="D6" s="97">
        <f>C6*(A7-A6)</f>
        <v>2035.7520395261861</v>
      </c>
      <c r="F6" s="100">
        <v>0</v>
      </c>
      <c r="G6" s="101">
        <v>180</v>
      </c>
      <c r="H6" s="97">
        <f>G6*(PI()*1.2^2/4)</f>
        <v>203.57520395261861</v>
      </c>
      <c r="I6" s="97">
        <f>H6*(F7-F6)</f>
        <v>5089.3800988154653</v>
      </c>
    </row>
    <row r="7" spans="1:36">
      <c r="A7" s="100">
        <v>5</v>
      </c>
      <c r="B7" s="101">
        <v>180</v>
      </c>
      <c r="C7" s="97">
        <f>B7*(PI()*1.2^2/4)</f>
        <v>203.57520395261861</v>
      </c>
      <c r="D7" s="97">
        <f>C7*(A8-A7)</f>
        <v>3053.628059289279</v>
      </c>
      <c r="F7" s="100">
        <v>25</v>
      </c>
      <c r="G7" s="101">
        <v>0</v>
      </c>
      <c r="H7" s="97">
        <f>G7*(PI()*1.2^2/4)</f>
        <v>0</v>
      </c>
      <c r="I7" s="97">
        <f>H7*(F8-F7)</f>
        <v>0</v>
      </c>
    </row>
    <row r="8" spans="1:36" ht="15.75" thickBot="1">
      <c r="A8" s="100">
        <v>20</v>
      </c>
      <c r="B8" s="100">
        <v>0</v>
      </c>
      <c r="C8" s="97">
        <f>B8*(PI()*1.2^2/4)</f>
        <v>0</v>
      </c>
      <c r="D8" s="97">
        <f>C8*($C$13-A8)</f>
        <v>0</v>
      </c>
      <c r="I8" s="99">
        <f>SUM(I6:I7)</f>
        <v>5089.3800988154653</v>
      </c>
      <c r="J8" t="s">
        <v>111</v>
      </c>
      <c r="P8" s="96"/>
    </row>
    <row r="9" spans="1:36" ht="16.5" thickTop="1" thickBot="1">
      <c r="D9" s="99">
        <f>SUM(D6:D8)</f>
        <v>5089.3800988154653</v>
      </c>
      <c r="E9" t="s">
        <v>111</v>
      </c>
    </row>
    <row r="10" spans="1:36" ht="15.75" thickTop="1">
      <c r="G10" s="144" t="s">
        <v>112</v>
      </c>
      <c r="H10" s="144"/>
      <c r="I10" s="144"/>
      <c r="J10" s="144" t="s">
        <v>113</v>
      </c>
      <c r="K10" s="144"/>
      <c r="L10" s="144"/>
      <c r="M10" s="144" t="s">
        <v>218</v>
      </c>
      <c r="N10" s="144"/>
      <c r="O10" s="144"/>
    </row>
    <row r="11" spans="1:36">
      <c r="A11" t="s">
        <v>115</v>
      </c>
      <c r="C11" s="5">
        <v>7850</v>
      </c>
      <c r="D11" t="s">
        <v>116</v>
      </c>
      <c r="G11" s="3" t="s">
        <v>219</v>
      </c>
      <c r="H11" s="3" t="s">
        <v>220</v>
      </c>
      <c r="I11" s="3" t="s">
        <v>221</v>
      </c>
      <c r="J11" s="3" t="s">
        <v>219</v>
      </c>
      <c r="K11" s="3" t="s">
        <v>220</v>
      </c>
      <c r="L11" s="3" t="s">
        <v>221</v>
      </c>
      <c r="M11" s="3" t="s">
        <v>219</v>
      </c>
      <c r="N11" s="3" t="s">
        <v>220</v>
      </c>
      <c r="O11" s="3" t="s">
        <v>221</v>
      </c>
    </row>
    <row r="12" spans="1:36">
      <c r="A12" t="s">
        <v>119</v>
      </c>
      <c r="C12" s="5">
        <v>1.2</v>
      </c>
      <c r="D12" t="s">
        <v>4</v>
      </c>
      <c r="F12" s="3" t="s">
        <v>117</v>
      </c>
      <c r="G12" s="128">
        <f>25*I8</f>
        <v>127234.50247038664</v>
      </c>
      <c r="H12" s="129" t="s">
        <v>118</v>
      </c>
      <c r="I12" s="130" t="s">
        <v>118</v>
      </c>
      <c r="J12" s="128">
        <f>25*D9</f>
        <v>127234.50247038664</v>
      </c>
      <c r="K12" s="130" t="s">
        <v>118</v>
      </c>
      <c r="L12" s="130" t="s">
        <v>118</v>
      </c>
      <c r="M12" s="128">
        <f>25*D9+25*I8</f>
        <v>254469.00494077327</v>
      </c>
      <c r="N12" s="130" t="s">
        <v>118</v>
      </c>
      <c r="O12" s="130" t="s">
        <v>118</v>
      </c>
      <c r="P12" s="96"/>
      <c r="Q12" s="96"/>
      <c r="R12" s="96"/>
    </row>
    <row r="13" spans="1:36">
      <c r="A13" t="s">
        <v>122</v>
      </c>
      <c r="C13">
        <f>AJ14</f>
        <v>37.571521739130453</v>
      </c>
      <c r="D13" t="s">
        <v>4</v>
      </c>
      <c r="F13" s="3" t="s">
        <v>222</v>
      </c>
      <c r="G13" s="105" t="e">
        <f>'ss_ IFIR Summary (03.07)'!G12</f>
        <v>#REF!</v>
      </c>
      <c r="H13" s="107" t="e">
        <f>G13/G12</f>
        <v>#REF!</v>
      </c>
      <c r="I13" s="130" t="s">
        <v>118</v>
      </c>
      <c r="J13" s="105" t="e">
        <f>'ss_ IFIR Summary (03.07)'!I12</f>
        <v>#REF!</v>
      </c>
      <c r="K13" s="107" t="e">
        <f>J13/J12</f>
        <v>#REF!</v>
      </c>
      <c r="L13" s="130" t="s">
        <v>118</v>
      </c>
      <c r="M13" s="105" t="e">
        <f>'ss_ IFIR Summary (03.07)'!K12</f>
        <v>#REF!</v>
      </c>
      <c r="N13" s="107" t="e">
        <f>M13/M12</f>
        <v>#REF!</v>
      </c>
      <c r="O13" s="130" t="s">
        <v>118</v>
      </c>
      <c r="R13" s="117"/>
    </row>
    <row r="14" spans="1:36">
      <c r="A14" t="s">
        <v>123</v>
      </c>
      <c r="C14" s="121">
        <f>PI()*(C12-2*(0.085+0.016/2))+0.47</f>
        <v>3.6555749507400499</v>
      </c>
      <c r="D14" t="s">
        <v>4</v>
      </c>
      <c r="F14" s="3" t="s">
        <v>120</v>
      </c>
      <c r="G14" s="105" t="e">
        <f>Q40+O70+O102</f>
        <v>#REF!</v>
      </c>
      <c r="H14" s="107" t="e">
        <f>G14/G12</f>
        <v>#REF!</v>
      </c>
      <c r="I14" s="107" t="e">
        <f>G14/G13</f>
        <v>#REF!</v>
      </c>
      <c r="J14" s="105" t="e">
        <f>Q26+O55+O85</f>
        <v>#REF!</v>
      </c>
      <c r="K14" s="107" t="e">
        <f>J14/J12</f>
        <v>#REF!</v>
      </c>
      <c r="L14" s="107" t="e">
        <f>J14/J13</f>
        <v>#REF!</v>
      </c>
      <c r="M14" s="105" t="e">
        <f>Q26+Q40+O55+O70+O85+O102</f>
        <v>#REF!</v>
      </c>
      <c r="N14" s="107" t="e">
        <f>M14/M12</f>
        <v>#REF!</v>
      </c>
      <c r="O14" s="107" t="e">
        <f>M14/M13</f>
        <v>#REF!</v>
      </c>
      <c r="R14" s="117"/>
      <c r="AH14" t="s">
        <v>124</v>
      </c>
      <c r="AJ14" s="104">
        <f>AVERAGE(AJ18:AJ25,AJ30:AJ37,AK45:AK48,AK58:AK61,AK73:AK83,AK89:AK99)</f>
        <v>37.571521739130453</v>
      </c>
    </row>
    <row r="15" spans="1:36" ht="14.1" customHeight="1">
      <c r="G15" s="119"/>
      <c r="J15" s="119"/>
      <c r="M15" s="119"/>
    </row>
    <row r="16" spans="1:36" ht="18" customHeight="1">
      <c r="A16" s="1" t="s">
        <v>125</v>
      </c>
      <c r="P16" s="144" t="s">
        <v>126</v>
      </c>
      <c r="Q16" s="144"/>
      <c r="T16" t="s">
        <v>197</v>
      </c>
      <c r="AF16" s="144" t="s">
        <v>127</v>
      </c>
      <c r="AG16" s="144"/>
      <c r="AH16" s="144"/>
      <c r="AI16" s="144"/>
      <c r="AJ16" s="144"/>
    </row>
    <row r="17" spans="1:37">
      <c r="P17" s="3" t="s">
        <v>17</v>
      </c>
      <c r="Q17" s="3" t="s">
        <v>110</v>
      </c>
      <c r="T17" s="5">
        <v>8</v>
      </c>
      <c r="AF17" s="3" t="s">
        <v>17</v>
      </c>
      <c r="AG17" s="3" t="s">
        <v>128</v>
      </c>
      <c r="AH17" s="3" t="s">
        <v>129</v>
      </c>
      <c r="AI17" s="3" t="s">
        <v>130</v>
      </c>
      <c r="AJ17" s="3" t="s">
        <v>131</v>
      </c>
    </row>
    <row r="18" spans="1:37">
      <c r="A18" s="145" t="s">
        <v>107</v>
      </c>
      <c r="B18" s="146" t="s">
        <v>132</v>
      </c>
      <c r="C18" s="144" t="s">
        <v>133</v>
      </c>
      <c r="D18" s="144"/>
      <c r="E18" s="144"/>
      <c r="F18" s="144"/>
      <c r="G18" s="144"/>
      <c r="H18" s="144"/>
      <c r="I18" s="144"/>
      <c r="J18" s="144" t="s">
        <v>72</v>
      </c>
      <c r="K18" s="144"/>
      <c r="L18" s="144"/>
      <c r="M18" s="144"/>
      <c r="N18" s="146" t="s">
        <v>109</v>
      </c>
      <c r="O18" s="146" t="s">
        <v>110</v>
      </c>
      <c r="P18" s="111" t="s">
        <v>134</v>
      </c>
      <c r="Q18" s="3" t="e">
        <f>IF($A$23&gt;AJ18,$N$22*(AJ18-$A$22)+SUM($O$20:$O$21),IF($A$24&gt;AJ18,$N$23*(AJ18-$A$23)+SUM($O$20:$O$22),IF($A$25&gt;AJ18,$N$24*(AJ18-$A$24)+SUM($O$20:$O$23),$N$24*($A$25-$A$24)+SUM($O$20:$O$23))))</f>
        <v>#REF!</v>
      </c>
      <c r="AF18" s="111" t="s">
        <v>134</v>
      </c>
      <c r="AG18" s="112" t="s">
        <v>135</v>
      </c>
      <c r="AH18" s="127">
        <v>-35.5</v>
      </c>
      <c r="AI18" s="114">
        <v>500</v>
      </c>
      <c r="AJ18" s="97">
        <f>AG18-AH18+AI18/1000</f>
        <v>39.965000000000003</v>
      </c>
    </row>
    <row r="19" spans="1:37">
      <c r="A19" s="145"/>
      <c r="B19" s="146"/>
      <c r="C19" s="3" t="s">
        <v>136</v>
      </c>
      <c r="D19" s="3" t="s">
        <v>137</v>
      </c>
      <c r="F19" s="3" t="s">
        <v>136</v>
      </c>
      <c r="G19" s="3" t="s">
        <v>137</v>
      </c>
      <c r="H19" s="3" t="s">
        <v>138</v>
      </c>
      <c r="I19" s="3" t="s">
        <v>109</v>
      </c>
      <c r="J19" s="3" t="s">
        <v>136</v>
      </c>
      <c r="K19" s="3" t="s">
        <v>139</v>
      </c>
      <c r="L19" s="3" t="s">
        <v>138</v>
      </c>
      <c r="M19" s="3" t="s">
        <v>109</v>
      </c>
      <c r="N19" s="146"/>
      <c r="O19" s="146"/>
      <c r="P19" s="111" t="s">
        <v>140</v>
      </c>
      <c r="Q19" s="3" t="e">
        <f t="shared" ref="Q19:Q25" si="0">IF($A$23&gt;AJ19,$N$22*(AJ19-$A$22)+SUM($O$20:$O$21),IF($A$24&gt;AJ19,$N$23*(AJ19-$A$23)+SUM($O$20:$O$22),IF($A$25&gt;AJ19,$N$24*(AJ19-$A$24)+SUM($O$20:$O$23),$N$24*($A$25-$A$24)+SUM($O$20:$O$23))))</f>
        <v>#REF!</v>
      </c>
      <c r="T19" t="s">
        <v>223</v>
      </c>
      <c r="AF19" s="111" t="s">
        <v>140</v>
      </c>
      <c r="AG19" s="112" t="s">
        <v>135</v>
      </c>
      <c r="AH19" s="127">
        <v>-35</v>
      </c>
      <c r="AI19" s="114">
        <v>500</v>
      </c>
      <c r="AJ19" s="97">
        <f t="shared" ref="AJ19:AJ24" si="1">AG19-AH19+AI19/1000</f>
        <v>39.465000000000003</v>
      </c>
    </row>
    <row r="20" spans="1:37">
      <c r="A20" s="100">
        <v>0</v>
      </c>
      <c r="B20" s="100">
        <v>40</v>
      </c>
      <c r="C20" s="100">
        <v>40</v>
      </c>
      <c r="D20" s="100">
        <v>18</v>
      </c>
      <c r="E20" s="103" t="s">
        <v>141</v>
      </c>
      <c r="F20" s="100">
        <v>32</v>
      </c>
      <c r="G20" s="100">
        <v>18</v>
      </c>
      <c r="H20" s="98" t="e">
        <f>#REF!</f>
        <v>#REF!</v>
      </c>
      <c r="I20" s="97">
        <f t="shared" ref="I20:I25" si="2">$C$11*((D20*PI()*((C20/1000)^2)/4)+(G20*PI()*((F20/1000)^2)/4))</f>
        <v>291.20301952066802</v>
      </c>
      <c r="J20" s="100" t="e">
        <f>#REF!</f>
        <v>#REF!</v>
      </c>
      <c r="K20" s="100" t="e">
        <f>#REF!</f>
        <v>#REF!</v>
      </c>
      <c r="L20" s="98" t="e">
        <f>MAX(#REF!,#REF!,#REF!,#REF!)</f>
        <v>#REF!</v>
      </c>
      <c r="M20" s="97" t="e">
        <f>$C$11*$C$14*PI()*((J20/1000)^2)/4*1000/K20</f>
        <v>#REF!</v>
      </c>
      <c r="N20" s="97" t="e">
        <f t="shared" ref="N20:N25" si="3">I20+M20</f>
        <v>#REF!</v>
      </c>
      <c r="O20" s="97" t="e">
        <f>N20*(A21-A20)</f>
        <v>#REF!</v>
      </c>
      <c r="P20" s="111" t="s">
        <v>142</v>
      </c>
      <c r="Q20" s="3" t="e">
        <f t="shared" si="0"/>
        <v>#REF!</v>
      </c>
      <c r="T20" s="96" t="e">
        <f>Q26/T17</f>
        <v>#REF!</v>
      </c>
      <c r="U20" t="s">
        <v>111</v>
      </c>
      <c r="AC20" s="104" t="e">
        <f>O20</f>
        <v>#REF!</v>
      </c>
      <c r="AF20" s="111" t="s">
        <v>142</v>
      </c>
      <c r="AG20" s="112" t="s">
        <v>135</v>
      </c>
      <c r="AH20" s="127">
        <v>-34.5</v>
      </c>
      <c r="AI20" s="114">
        <v>500</v>
      </c>
      <c r="AJ20" s="97">
        <f t="shared" si="1"/>
        <v>38.965000000000003</v>
      </c>
    </row>
    <row r="21" spans="1:37">
      <c r="A21" s="100">
        <v>4.3</v>
      </c>
      <c r="B21" s="100">
        <v>40</v>
      </c>
      <c r="C21" s="100">
        <v>32</v>
      </c>
      <c r="D21" s="100">
        <v>18</v>
      </c>
      <c r="E21" s="103" t="s">
        <v>141</v>
      </c>
      <c r="F21" s="100">
        <v>0</v>
      </c>
      <c r="G21" s="100">
        <v>0</v>
      </c>
      <c r="H21" s="98" t="e">
        <f>#REF!</f>
        <v>#REF!</v>
      </c>
      <c r="I21" s="97">
        <f t="shared" si="2"/>
        <v>113.64020273977286</v>
      </c>
      <c r="J21" s="100">
        <v>25</v>
      </c>
      <c r="K21" s="100">
        <v>150</v>
      </c>
      <c r="L21" s="98" t="e">
        <f>MAX(#REF!,#REF!)</f>
        <v>#REF!</v>
      </c>
      <c r="M21" s="97">
        <f t="shared" ref="M21:M25" si="4">$C$11*$C$14*PI()*((J21/1000)^2)/4*1000/K21</f>
        <v>93.90830225796951</v>
      </c>
      <c r="N21" s="97">
        <f t="shared" si="3"/>
        <v>207.54850499774238</v>
      </c>
      <c r="O21" s="97">
        <f>N21*(A22-A21)</f>
        <v>664.15521599277565</v>
      </c>
      <c r="P21" s="111" t="s">
        <v>143</v>
      </c>
      <c r="Q21" s="3" t="e">
        <f t="shared" si="0"/>
        <v>#REF!</v>
      </c>
      <c r="AC21" s="104">
        <f>O21</f>
        <v>664.15521599277565</v>
      </c>
      <c r="AF21" s="111" t="s">
        <v>143</v>
      </c>
      <c r="AG21" s="112" t="s">
        <v>135</v>
      </c>
      <c r="AH21" s="127">
        <v>-34.5</v>
      </c>
      <c r="AI21" s="114">
        <v>500</v>
      </c>
      <c r="AJ21" s="97">
        <f t="shared" si="1"/>
        <v>38.965000000000003</v>
      </c>
    </row>
    <row r="22" spans="1:37">
      <c r="A22" s="100">
        <v>7.5</v>
      </c>
      <c r="B22" s="100">
        <v>40</v>
      </c>
      <c r="C22" s="100">
        <v>32</v>
      </c>
      <c r="D22" s="100">
        <v>18</v>
      </c>
      <c r="E22" s="103" t="s">
        <v>141</v>
      </c>
      <c r="F22" s="100">
        <v>25</v>
      </c>
      <c r="G22" s="100">
        <v>18</v>
      </c>
      <c r="H22" s="98" t="e">
        <f>H21</f>
        <v>#REF!</v>
      </c>
      <c r="I22" s="97">
        <f t="shared" si="2"/>
        <v>183.00067804481006</v>
      </c>
      <c r="J22" s="100">
        <v>16</v>
      </c>
      <c r="K22" s="100">
        <v>300</v>
      </c>
      <c r="L22" s="98" t="e">
        <f>MAX(#REF!,#REF!)</f>
        <v>#REF!</v>
      </c>
      <c r="M22" s="97">
        <f t="shared" si="4"/>
        <v>19.232420302432153</v>
      </c>
      <c r="N22" s="97">
        <f t="shared" si="3"/>
        <v>202.23309834724222</v>
      </c>
      <c r="O22" s="97">
        <f>N22*(A23-A22)</f>
        <v>202.23309834724222</v>
      </c>
      <c r="P22" s="111" t="s">
        <v>144</v>
      </c>
      <c r="Q22" s="3" t="e">
        <f t="shared" si="0"/>
        <v>#REF!</v>
      </c>
      <c r="AC22" s="104">
        <f>O22</f>
        <v>202.23309834724222</v>
      </c>
      <c r="AF22" s="111" t="s">
        <v>144</v>
      </c>
      <c r="AG22" s="112" t="s">
        <v>135</v>
      </c>
      <c r="AH22" s="127">
        <v>-22</v>
      </c>
      <c r="AI22" s="114">
        <v>1000</v>
      </c>
      <c r="AJ22" s="97">
        <f t="shared" si="1"/>
        <v>26.965</v>
      </c>
    </row>
    <row r="23" spans="1:37">
      <c r="A23" s="100">
        <v>8.5</v>
      </c>
      <c r="B23" s="100">
        <v>40</v>
      </c>
      <c r="C23" s="100">
        <v>25</v>
      </c>
      <c r="D23" s="100">
        <v>18</v>
      </c>
      <c r="E23" s="103" t="s">
        <v>141</v>
      </c>
      <c r="F23" s="100">
        <v>0</v>
      </c>
      <c r="G23" s="100">
        <v>0</v>
      </c>
      <c r="H23" s="98" t="e">
        <f>#REF!</f>
        <v>#REF!</v>
      </c>
      <c r="I23" s="97">
        <f t="shared" si="2"/>
        <v>69.36047530503717</v>
      </c>
      <c r="J23" s="100">
        <v>16</v>
      </c>
      <c r="K23" s="100">
        <v>240</v>
      </c>
      <c r="L23" s="98" t="e">
        <f>MAX(#REF!,#REF!)</f>
        <v>#REF!</v>
      </c>
      <c r="M23" s="97">
        <f t="shared" si="4"/>
        <v>24.04052537804019</v>
      </c>
      <c r="N23" s="97">
        <f t="shared" si="3"/>
        <v>93.401000683077356</v>
      </c>
      <c r="O23" s="97">
        <f>N23*(A24-A23)</f>
        <v>915.32980669415815</v>
      </c>
      <c r="P23" s="111" t="s">
        <v>145</v>
      </c>
      <c r="Q23" s="3" t="e">
        <f t="shared" si="0"/>
        <v>#REF!</v>
      </c>
      <c r="AC23" s="104">
        <f>O23</f>
        <v>915.32980669415815</v>
      </c>
      <c r="AF23" s="111" t="s">
        <v>145</v>
      </c>
      <c r="AG23" s="112" t="s">
        <v>135</v>
      </c>
      <c r="AH23" s="127">
        <v>-22</v>
      </c>
      <c r="AI23" s="114">
        <v>1000</v>
      </c>
      <c r="AJ23" s="97">
        <f t="shared" si="1"/>
        <v>26.965</v>
      </c>
    </row>
    <row r="24" spans="1:37">
      <c r="A24" s="100">
        <v>18.3</v>
      </c>
      <c r="B24" s="100">
        <v>40</v>
      </c>
      <c r="C24" s="100">
        <v>16</v>
      </c>
      <c r="D24" s="100">
        <v>18</v>
      </c>
      <c r="E24" s="103" t="s">
        <v>141</v>
      </c>
      <c r="F24" s="100">
        <v>0</v>
      </c>
      <c r="G24" s="100">
        <v>0</v>
      </c>
      <c r="H24" s="98" t="e">
        <f>H23</f>
        <v>#REF!</v>
      </c>
      <c r="I24" s="97">
        <f t="shared" si="2"/>
        <v>28.410050684943215</v>
      </c>
      <c r="J24" s="100">
        <v>16</v>
      </c>
      <c r="K24" s="100">
        <v>300</v>
      </c>
      <c r="L24" s="98" t="e">
        <f>MAX(#REF!,#REF!)</f>
        <v>#REF!</v>
      </c>
      <c r="M24" s="97">
        <f t="shared" si="4"/>
        <v>19.232420302432153</v>
      </c>
      <c r="N24" s="97">
        <f t="shared" si="3"/>
        <v>47.642470987375368</v>
      </c>
      <c r="O24" s="97">
        <f>IF(A25&gt;AK25,N24*(AK25-A24),N24*(A25-A24))</f>
        <v>557.41691055229182</v>
      </c>
      <c r="P24" s="111" t="s">
        <v>146</v>
      </c>
      <c r="Q24" s="3" t="e">
        <f t="shared" si="0"/>
        <v>#REF!</v>
      </c>
      <c r="AC24">
        <f>N24*(21-A24)</f>
        <v>128.63467166591346</v>
      </c>
      <c r="AF24" s="111" t="s">
        <v>146</v>
      </c>
      <c r="AG24" s="112" t="s">
        <v>135</v>
      </c>
      <c r="AH24" s="127">
        <v>-19</v>
      </c>
      <c r="AI24" s="114">
        <v>1000</v>
      </c>
      <c r="AJ24" s="97">
        <f t="shared" si="1"/>
        <v>23.965</v>
      </c>
    </row>
    <row r="25" spans="1:37">
      <c r="A25" s="100">
        <v>30</v>
      </c>
      <c r="B25" s="100">
        <v>40</v>
      </c>
      <c r="C25" s="100">
        <v>0</v>
      </c>
      <c r="D25" s="100">
        <v>0</v>
      </c>
      <c r="E25" s="103" t="s">
        <v>141</v>
      </c>
      <c r="F25" s="100">
        <v>0</v>
      </c>
      <c r="G25" s="100">
        <v>0</v>
      </c>
      <c r="H25" s="98"/>
      <c r="I25" s="97">
        <f t="shared" si="2"/>
        <v>0</v>
      </c>
      <c r="J25" s="100">
        <v>0</v>
      </c>
      <c r="K25" s="100">
        <v>300</v>
      </c>
      <c r="L25" s="98"/>
      <c r="M25" s="97">
        <f t="shared" si="4"/>
        <v>0</v>
      </c>
      <c r="N25" s="97">
        <f t="shared" si="3"/>
        <v>0</v>
      </c>
      <c r="O25" s="97">
        <f>IF(A25&gt;AK25,0,N25*(AK25-A25))</f>
        <v>0</v>
      </c>
      <c r="P25" s="111" t="s">
        <v>147</v>
      </c>
      <c r="Q25" s="3" t="e">
        <f t="shared" si="0"/>
        <v>#REF!</v>
      </c>
      <c r="AF25" s="111" t="s">
        <v>147</v>
      </c>
      <c r="AG25" s="112" t="s">
        <v>135</v>
      </c>
      <c r="AH25" s="127">
        <v>-16</v>
      </c>
      <c r="AI25" s="114">
        <v>1000</v>
      </c>
      <c r="AJ25" s="97">
        <f>AG25-AH25+AI25/1000</f>
        <v>20.965</v>
      </c>
      <c r="AK25" s="104">
        <f>AVERAGE(AJ18:AJ25)</f>
        <v>32.027500000000003</v>
      </c>
    </row>
    <row r="26" spans="1:37" ht="15.75" thickBot="1">
      <c r="Q26" s="99" t="e">
        <f>SUM(Q18:Q25)</f>
        <v>#REF!</v>
      </c>
      <c r="R26" s="89" t="s">
        <v>148</v>
      </c>
      <c r="S26" s="102" t="e">
        <f>Q26/$D$9/8</f>
        <v>#REF!</v>
      </c>
      <c r="T26" t="s">
        <v>121</v>
      </c>
      <c r="V26" s="96"/>
      <c r="AC26" s="99" t="e">
        <f>SUM(AC20:AC24)</f>
        <v>#REF!</v>
      </c>
      <c r="AD26" s="115" t="e">
        <f>O26-AC26</f>
        <v>#REF!</v>
      </c>
    </row>
    <row r="27" spans="1:37" ht="15.75" thickTop="1">
      <c r="Q27" s="110"/>
      <c r="R27" s="89" t="s">
        <v>148</v>
      </c>
      <c r="S27" s="102" t="e">
        <f>Q26/'ss_ IFIR Summary (03.07)'!Q26</f>
        <v>#REF!</v>
      </c>
      <c r="T27" t="s">
        <v>224</v>
      </c>
    </row>
    <row r="28" spans="1:37" ht="18.75">
      <c r="A28" s="1" t="s">
        <v>149</v>
      </c>
      <c r="Q28" s="110"/>
      <c r="AF28" s="144" t="s">
        <v>150</v>
      </c>
      <c r="AG28" s="144"/>
      <c r="AH28" s="144"/>
      <c r="AI28" s="144"/>
      <c r="AJ28" s="144"/>
    </row>
    <row r="29" spans="1:37">
      <c r="Q29" s="110"/>
      <c r="AF29" s="3" t="s">
        <v>17</v>
      </c>
      <c r="AG29" s="3" t="s">
        <v>128</v>
      </c>
      <c r="AH29" s="3" t="s">
        <v>129</v>
      </c>
      <c r="AI29" s="3" t="s">
        <v>130</v>
      </c>
      <c r="AJ29" s="3" t="s">
        <v>131</v>
      </c>
    </row>
    <row r="30" spans="1:37" ht="14.45" customHeight="1">
      <c r="A30" s="145" t="s">
        <v>151</v>
      </c>
      <c r="B30" s="146" t="s">
        <v>132</v>
      </c>
      <c r="C30" s="144" t="s">
        <v>133</v>
      </c>
      <c r="D30" s="144"/>
      <c r="E30" s="144"/>
      <c r="F30" s="144"/>
      <c r="G30" s="144"/>
      <c r="H30" s="144"/>
      <c r="I30" s="144"/>
      <c r="J30" s="144" t="s">
        <v>72</v>
      </c>
      <c r="K30" s="144"/>
      <c r="L30" s="144"/>
      <c r="M30" s="144"/>
      <c r="N30" s="146" t="s">
        <v>109</v>
      </c>
      <c r="O30" s="146" t="s">
        <v>110</v>
      </c>
      <c r="P30" s="144" t="s">
        <v>152</v>
      </c>
      <c r="Q30" s="144"/>
      <c r="T30" t="s">
        <v>197</v>
      </c>
      <c r="AF30" s="111" t="s">
        <v>153</v>
      </c>
      <c r="AG30" s="112" t="s">
        <v>154</v>
      </c>
      <c r="AH30" s="127">
        <v>-35</v>
      </c>
      <c r="AI30" s="114">
        <v>1000</v>
      </c>
      <c r="AJ30" s="97">
        <f t="shared" ref="AJ30:AJ37" si="5">AG30-AH30+AI30/1000</f>
        <v>39.765000000000001</v>
      </c>
    </row>
    <row r="31" spans="1:37">
      <c r="A31" s="145"/>
      <c r="B31" s="146"/>
      <c r="C31" s="3" t="s">
        <v>136</v>
      </c>
      <c r="D31" s="3" t="s">
        <v>137</v>
      </c>
      <c r="F31" s="3" t="s">
        <v>136</v>
      </c>
      <c r="G31" s="3" t="s">
        <v>137</v>
      </c>
      <c r="H31" s="3" t="s">
        <v>138</v>
      </c>
      <c r="I31" s="3" t="s">
        <v>109</v>
      </c>
      <c r="J31" s="3" t="s">
        <v>136</v>
      </c>
      <c r="K31" s="3" t="s">
        <v>139</v>
      </c>
      <c r="L31" s="3" t="s">
        <v>138</v>
      </c>
      <c r="M31" s="3" t="s">
        <v>109</v>
      </c>
      <c r="N31" s="146"/>
      <c r="O31" s="146"/>
      <c r="P31" s="3" t="s">
        <v>17</v>
      </c>
      <c r="Q31" s="3" t="s">
        <v>110</v>
      </c>
      <c r="T31" s="5">
        <v>8</v>
      </c>
      <c r="AF31" s="111" t="s">
        <v>155</v>
      </c>
      <c r="AG31" s="112" t="s">
        <v>154</v>
      </c>
      <c r="AH31" s="127">
        <v>-35</v>
      </c>
      <c r="AI31" s="114">
        <v>1000</v>
      </c>
      <c r="AJ31" s="97">
        <f t="shared" si="5"/>
        <v>39.765000000000001</v>
      </c>
    </row>
    <row r="32" spans="1:37">
      <c r="A32" s="100">
        <v>0</v>
      </c>
      <c r="B32" s="100">
        <v>40</v>
      </c>
      <c r="C32" s="100">
        <v>25</v>
      </c>
      <c r="D32" s="100">
        <v>18</v>
      </c>
      <c r="E32" s="103" t="s">
        <v>141</v>
      </c>
      <c r="F32" s="100">
        <v>0</v>
      </c>
      <c r="G32" s="100">
        <v>0</v>
      </c>
      <c r="H32" s="98" t="e">
        <f>#REF!</f>
        <v>#REF!</v>
      </c>
      <c r="I32" s="97">
        <f t="shared" ref="I32:I39" si="6">$C$11*((D32*PI()*((C32/1000)^2)/4)+(G32*PI()*((F32/1000)^2)/4))</f>
        <v>69.36047530503717</v>
      </c>
      <c r="J32" s="100">
        <v>16</v>
      </c>
      <c r="K32" s="100">
        <v>300</v>
      </c>
      <c r="L32" s="98" t="e">
        <f>MAX(#REF!,#REF!)</f>
        <v>#REF!</v>
      </c>
      <c r="M32" s="97">
        <f>$C$11*$C$14*PI()*((J32/1000)^2)/4*1000/K32</f>
        <v>19.232420302432153</v>
      </c>
      <c r="N32" s="97">
        <f t="shared" ref="N32:N39" si="7">I32+M32</f>
        <v>88.59289560746933</v>
      </c>
      <c r="O32" s="97">
        <f t="shared" ref="O32:O37" si="8">N32*(A33-A32)</f>
        <v>310.07513462614264</v>
      </c>
      <c r="P32" s="111" t="s">
        <v>153</v>
      </c>
      <c r="Q32" s="3">
        <f>IF($A$37&gt;AJ30,$N$36*(AJ30-$A$36)+SUM($O$32:$O$35),IF($A$38&gt;AJ30,$N$37*(AJ30-$A$37)+SUM($O$32:$O$36),IF($A$39&gt;AJ30,$N$38*(AJ30-$A$38)+SUM($O$32:$O$37),$N$38*($A$39-$A$38)+SUM($O$32:$O$37))))</f>
        <v>2348.1862966578037</v>
      </c>
      <c r="U32" s="122"/>
      <c r="AC32" s="104">
        <f t="shared" ref="AC32:AC38" si="9">O32</f>
        <v>310.07513462614264</v>
      </c>
      <c r="AF32" s="111" t="s">
        <v>156</v>
      </c>
      <c r="AG32" s="112" t="s">
        <v>154</v>
      </c>
      <c r="AH32" s="127">
        <v>-34.5</v>
      </c>
      <c r="AI32" s="114">
        <v>1000</v>
      </c>
      <c r="AJ32" s="97">
        <f t="shared" si="5"/>
        <v>39.265000000000001</v>
      </c>
    </row>
    <row r="33" spans="1:38">
      <c r="A33" s="100">
        <v>3.5</v>
      </c>
      <c r="B33" s="100">
        <v>40</v>
      </c>
      <c r="C33" s="100">
        <v>25</v>
      </c>
      <c r="D33" s="100">
        <v>18</v>
      </c>
      <c r="E33" s="103" t="s">
        <v>141</v>
      </c>
      <c r="F33" s="100">
        <v>20</v>
      </c>
      <c r="G33" s="100">
        <v>18</v>
      </c>
      <c r="H33" s="98" t="e">
        <f>#REF!</f>
        <v>#REF!</v>
      </c>
      <c r="I33" s="97">
        <f t="shared" si="6"/>
        <v>113.75117950026096</v>
      </c>
      <c r="J33" s="100">
        <v>16</v>
      </c>
      <c r="K33" s="100">
        <v>240</v>
      </c>
      <c r="L33" s="98" t="e">
        <f>L32</f>
        <v>#REF!</v>
      </c>
      <c r="M33" s="97">
        <f t="shared" ref="M33:M39" si="10">$C$11*$C$14*PI()*((J33/1000)^2)/4*1000/K33</f>
        <v>24.04052537804019</v>
      </c>
      <c r="N33" s="97">
        <f t="shared" si="7"/>
        <v>137.79170487830115</v>
      </c>
      <c r="O33" s="97">
        <f t="shared" si="8"/>
        <v>137.79170487830115</v>
      </c>
      <c r="P33" s="111" t="s">
        <v>155</v>
      </c>
      <c r="Q33" s="3">
        <f t="shared" ref="Q33:Q39" si="11">IF($A$37&gt;AJ31,$N$36*(AJ31-$A$36)+SUM($O$32:$O$35),IF($A$38&gt;AJ31,$N$37*(AJ31-$A$37)+SUM($O$32:$O$36),IF($A$39&gt;AJ31,$N$38*(AJ31-$A$38)+SUM($O$32:$O$37),$N$38*($A$39-$A$38)+SUM($O$32:$O$37))))</f>
        <v>2348.1862966578037</v>
      </c>
      <c r="T33" t="s">
        <v>223</v>
      </c>
      <c r="U33" s="122"/>
      <c r="AC33" s="104">
        <f t="shared" si="9"/>
        <v>137.79170487830115</v>
      </c>
      <c r="AF33" s="111" t="s">
        <v>157</v>
      </c>
      <c r="AG33" s="112" t="s">
        <v>154</v>
      </c>
      <c r="AH33" s="127">
        <v>-34.5</v>
      </c>
      <c r="AI33" s="114">
        <v>1000</v>
      </c>
      <c r="AJ33" s="97">
        <f t="shared" si="5"/>
        <v>39.265000000000001</v>
      </c>
    </row>
    <row r="34" spans="1:38">
      <c r="A34" s="100">
        <v>4.5</v>
      </c>
      <c r="B34" s="100">
        <v>40</v>
      </c>
      <c r="C34" s="100">
        <v>20</v>
      </c>
      <c r="D34" s="100">
        <v>18</v>
      </c>
      <c r="E34" s="103" t="s">
        <v>141</v>
      </c>
      <c r="F34" s="100">
        <v>0</v>
      </c>
      <c r="G34" s="100">
        <v>0</v>
      </c>
      <c r="H34" s="98" t="e">
        <f>H33</f>
        <v>#REF!</v>
      </c>
      <c r="I34" s="97">
        <f t="shared" si="6"/>
        <v>44.390704195223783</v>
      </c>
      <c r="J34" s="100">
        <v>16</v>
      </c>
      <c r="K34" s="100">
        <v>300</v>
      </c>
      <c r="L34" s="98" t="e">
        <f>L32</f>
        <v>#REF!</v>
      </c>
      <c r="M34" s="97">
        <f t="shared" si="10"/>
        <v>19.232420302432153</v>
      </c>
      <c r="N34" s="97">
        <f t="shared" si="7"/>
        <v>63.623124497655937</v>
      </c>
      <c r="O34" s="97">
        <f t="shared" si="8"/>
        <v>636.23124497655931</v>
      </c>
      <c r="P34" s="111" t="s">
        <v>156</v>
      </c>
      <c r="Q34" s="3">
        <f t="shared" si="11"/>
        <v>2348.1862966578037</v>
      </c>
      <c r="T34" s="96">
        <f>Q40/T31</f>
        <v>1985.2697739114715</v>
      </c>
      <c r="U34" t="s">
        <v>111</v>
      </c>
      <c r="AC34" s="104">
        <f t="shared" si="9"/>
        <v>636.23124497655931</v>
      </c>
      <c r="AF34" s="111" t="s">
        <v>158</v>
      </c>
      <c r="AG34" s="112" t="s">
        <v>154</v>
      </c>
      <c r="AH34" s="127">
        <v>-19</v>
      </c>
      <c r="AI34" s="114">
        <v>1500</v>
      </c>
      <c r="AJ34" s="97">
        <f t="shared" si="5"/>
        <v>24.265000000000001</v>
      </c>
    </row>
    <row r="35" spans="1:38">
      <c r="A35" s="100">
        <v>14.5</v>
      </c>
      <c r="B35" s="100">
        <v>40</v>
      </c>
      <c r="C35" s="100">
        <v>20</v>
      </c>
      <c r="D35" s="100">
        <v>18</v>
      </c>
      <c r="E35" s="103" t="s">
        <v>141</v>
      </c>
      <c r="F35" s="100">
        <v>20</v>
      </c>
      <c r="G35" s="100">
        <v>18</v>
      </c>
      <c r="H35" s="98" t="e">
        <f>#REF!</f>
        <v>#REF!</v>
      </c>
      <c r="I35" s="97">
        <f t="shared" si="6"/>
        <v>88.781408390447567</v>
      </c>
      <c r="J35" s="100">
        <v>16</v>
      </c>
      <c r="K35" s="100">
        <v>240</v>
      </c>
      <c r="L35" s="98" t="e">
        <f>MAX(#REF!,#REF!)</f>
        <v>#REF!</v>
      </c>
      <c r="M35" s="97">
        <f t="shared" si="10"/>
        <v>24.04052537804019</v>
      </c>
      <c r="N35" s="97">
        <f t="shared" si="7"/>
        <v>112.82193376848775</v>
      </c>
      <c r="O35" s="97">
        <f t="shared" si="8"/>
        <v>112.82193376848775</v>
      </c>
      <c r="P35" s="111" t="s">
        <v>157</v>
      </c>
      <c r="Q35" s="3">
        <f t="shared" si="11"/>
        <v>2348.1862966578037</v>
      </c>
      <c r="U35" s="122"/>
      <c r="AC35" s="104">
        <f t="shared" si="9"/>
        <v>112.82193376848775</v>
      </c>
      <c r="AF35" s="111" t="s">
        <v>159</v>
      </c>
      <c r="AG35" s="112" t="s">
        <v>154</v>
      </c>
      <c r="AH35" s="127">
        <v>-19</v>
      </c>
      <c r="AI35" s="114">
        <v>1500</v>
      </c>
      <c r="AJ35" s="97">
        <f t="shared" si="5"/>
        <v>24.265000000000001</v>
      </c>
    </row>
    <row r="36" spans="1:38">
      <c r="A36" s="100">
        <v>15.5</v>
      </c>
      <c r="B36" s="100">
        <v>40</v>
      </c>
      <c r="C36" s="100">
        <v>20</v>
      </c>
      <c r="D36" s="100">
        <v>18</v>
      </c>
      <c r="E36" s="103" t="s">
        <v>141</v>
      </c>
      <c r="F36" s="100">
        <v>0</v>
      </c>
      <c r="G36" s="100">
        <v>0</v>
      </c>
      <c r="H36" s="98" t="e">
        <f>H35</f>
        <v>#REF!</v>
      </c>
      <c r="I36" s="97">
        <f t="shared" si="6"/>
        <v>44.390704195223783</v>
      </c>
      <c r="J36" s="100">
        <v>16</v>
      </c>
      <c r="K36" s="100">
        <v>300</v>
      </c>
      <c r="L36" s="98" t="e">
        <f>L35</f>
        <v>#REF!</v>
      </c>
      <c r="M36" s="97">
        <f t="shared" si="10"/>
        <v>19.232420302432153</v>
      </c>
      <c r="N36" s="97">
        <f t="shared" si="7"/>
        <v>63.623124497655937</v>
      </c>
      <c r="O36" s="97">
        <f t="shared" si="8"/>
        <v>159.05781124413983</v>
      </c>
      <c r="P36" s="111" t="s">
        <v>158</v>
      </c>
      <c r="Q36" s="3">
        <f t="shared" si="11"/>
        <v>1693.816957646203</v>
      </c>
      <c r="U36" s="122"/>
      <c r="AC36" s="104">
        <f t="shared" si="9"/>
        <v>159.05781124413983</v>
      </c>
      <c r="AF36" s="111" t="s">
        <v>160</v>
      </c>
      <c r="AG36" s="112" t="s">
        <v>154</v>
      </c>
      <c r="AH36" s="127">
        <v>-17</v>
      </c>
      <c r="AI36" s="114">
        <v>1500</v>
      </c>
      <c r="AJ36" s="97">
        <f t="shared" si="5"/>
        <v>22.265000000000001</v>
      </c>
    </row>
    <row r="37" spans="1:38">
      <c r="A37" s="100">
        <v>18</v>
      </c>
      <c r="B37" s="100">
        <v>40</v>
      </c>
      <c r="C37" s="100">
        <v>20</v>
      </c>
      <c r="D37" s="100">
        <v>18</v>
      </c>
      <c r="E37" s="103" t="s">
        <v>141</v>
      </c>
      <c r="F37" s="100">
        <v>16</v>
      </c>
      <c r="G37" s="100">
        <v>18</v>
      </c>
      <c r="H37" s="98" t="e">
        <f>#REF!</f>
        <v>#REF!</v>
      </c>
      <c r="I37" s="97">
        <f t="shared" si="6"/>
        <v>72.800754880167005</v>
      </c>
      <c r="J37" s="100">
        <v>16</v>
      </c>
      <c r="K37" s="100">
        <v>240</v>
      </c>
      <c r="L37" s="98" t="e">
        <f>MAX(#REF!,#REF!)</f>
        <v>#REF!</v>
      </c>
      <c r="M37" s="97">
        <f t="shared" si="10"/>
        <v>24.04052537804019</v>
      </c>
      <c r="N37" s="97">
        <f t="shared" si="7"/>
        <v>96.841280258207192</v>
      </c>
      <c r="O37" s="97">
        <f t="shared" si="8"/>
        <v>77.473024206565825</v>
      </c>
      <c r="P37" s="111" t="s">
        <v>159</v>
      </c>
      <c r="Q37" s="3">
        <f t="shared" si="11"/>
        <v>1693.816957646203</v>
      </c>
      <c r="U37" s="122"/>
      <c r="AC37" s="104">
        <f t="shared" si="9"/>
        <v>77.473024206565825</v>
      </c>
      <c r="AF37" s="111" t="s">
        <v>161</v>
      </c>
      <c r="AG37" s="112" t="s">
        <v>154</v>
      </c>
      <c r="AH37" s="127">
        <v>-15</v>
      </c>
      <c r="AI37" s="114">
        <v>1500</v>
      </c>
      <c r="AJ37" s="97">
        <f t="shared" si="5"/>
        <v>20.265000000000001</v>
      </c>
      <c r="AK37" s="104">
        <f>AVERAGE(AJ30:AJ37)</f>
        <v>31.139999999999993</v>
      </c>
    </row>
    <row r="38" spans="1:38">
      <c r="A38" s="100">
        <v>18.8</v>
      </c>
      <c r="B38" s="100">
        <v>40</v>
      </c>
      <c r="C38" s="100">
        <v>16</v>
      </c>
      <c r="D38" s="100">
        <v>18</v>
      </c>
      <c r="E38" s="103" t="s">
        <v>141</v>
      </c>
      <c r="F38" s="100">
        <v>0</v>
      </c>
      <c r="G38" s="100">
        <v>0</v>
      </c>
      <c r="H38" s="98" t="e">
        <f>H37</f>
        <v>#REF!</v>
      </c>
      <c r="I38" s="97">
        <f t="shared" si="6"/>
        <v>28.410050684943215</v>
      </c>
      <c r="J38" s="100">
        <v>16</v>
      </c>
      <c r="K38" s="100">
        <v>300</v>
      </c>
      <c r="L38" s="98" t="e">
        <f>L37</f>
        <v>#REF!</v>
      </c>
      <c r="M38" s="97">
        <f t="shared" si="10"/>
        <v>19.232420302432153</v>
      </c>
      <c r="N38" s="97">
        <f t="shared" si="7"/>
        <v>47.642470987375368</v>
      </c>
      <c r="O38" s="97">
        <f>IF(A39&gt;AK37,N38*(AK37-A38),N38*(A39-A38))</f>
        <v>587.90809198421175</v>
      </c>
      <c r="P38" s="111" t="s">
        <v>160</v>
      </c>
      <c r="Q38" s="3">
        <f t="shared" si="11"/>
        <v>1598.5320156714522</v>
      </c>
      <c r="U38" s="122"/>
      <c r="AC38" s="104">
        <f t="shared" si="9"/>
        <v>587.90809198421175</v>
      </c>
    </row>
    <row r="39" spans="1:38">
      <c r="A39" s="100">
        <v>38</v>
      </c>
      <c r="B39" s="100">
        <v>40</v>
      </c>
      <c r="C39" s="100">
        <v>0</v>
      </c>
      <c r="D39" s="100">
        <v>0</v>
      </c>
      <c r="E39" s="103" t="s">
        <v>141</v>
      </c>
      <c r="F39" s="100">
        <v>0</v>
      </c>
      <c r="G39" s="100">
        <v>0</v>
      </c>
      <c r="H39" s="98" t="e">
        <f>H38</f>
        <v>#REF!</v>
      </c>
      <c r="I39" s="97">
        <f t="shared" si="6"/>
        <v>0</v>
      </c>
      <c r="J39" s="100">
        <v>16</v>
      </c>
      <c r="K39" s="100">
        <v>300</v>
      </c>
      <c r="L39" s="98" t="e">
        <f>L38</f>
        <v>#REF!</v>
      </c>
      <c r="M39" s="97">
        <f t="shared" si="10"/>
        <v>19.232420302432153</v>
      </c>
      <c r="N39" s="97">
        <f t="shared" si="7"/>
        <v>19.232420302432153</v>
      </c>
      <c r="O39" s="97">
        <f>IF(A39&gt;AK37,0,N39*(AK37-A39))</f>
        <v>0</v>
      </c>
      <c r="P39" s="111" t="s">
        <v>161</v>
      </c>
      <c r="Q39" s="3">
        <f t="shared" si="11"/>
        <v>1503.2470736967016</v>
      </c>
      <c r="U39" s="122"/>
      <c r="AC39">
        <f>N39*(30-A39)</f>
        <v>-153.85936241945723</v>
      </c>
    </row>
    <row r="40" spans="1:38" ht="15.75" thickBot="1">
      <c r="Q40" s="99">
        <f>SUM(Q32:Q39)</f>
        <v>15882.158191291772</v>
      </c>
      <c r="R40" s="89" t="s">
        <v>148</v>
      </c>
      <c r="S40" s="102">
        <f>Q40/$I$8/8</f>
        <v>0.39008086159128413</v>
      </c>
      <c r="T40" t="s">
        <v>121</v>
      </c>
      <c r="V40" s="96"/>
      <c r="AC40" s="99">
        <f>SUM(AC32:AC38)</f>
        <v>2021.3589456844084</v>
      </c>
      <c r="AD40" s="115">
        <f>O40-AC40</f>
        <v>-2021.3589456844084</v>
      </c>
    </row>
    <row r="41" spans="1:38" ht="15.75" thickTop="1">
      <c r="O41" s="104"/>
      <c r="R41" s="89" t="s">
        <v>148</v>
      </c>
      <c r="S41" s="102">
        <f>Q40/'ss_ IFIR Summary (03.07)'!Q40</f>
        <v>0.85892887884221258</v>
      </c>
      <c r="T41" t="s">
        <v>224</v>
      </c>
    </row>
    <row r="42" spans="1:38" ht="18.75">
      <c r="A42" s="1" t="s">
        <v>162</v>
      </c>
    </row>
    <row r="43" spans="1:38">
      <c r="AG43" s="144" t="s">
        <v>163</v>
      </c>
      <c r="AH43" s="144"/>
      <c r="AI43" s="144"/>
      <c r="AJ43" s="144"/>
      <c r="AK43" s="144"/>
    </row>
    <row r="44" spans="1:38" ht="14.45" customHeight="1">
      <c r="A44" s="145" t="s">
        <v>151</v>
      </c>
      <c r="B44" s="146" t="s">
        <v>132</v>
      </c>
      <c r="C44" s="144" t="s">
        <v>133</v>
      </c>
      <c r="D44" s="144"/>
      <c r="E44" s="144"/>
      <c r="F44" s="144"/>
      <c r="G44" s="144"/>
      <c r="H44" s="144"/>
      <c r="I44" s="144"/>
      <c r="J44" s="144" t="s">
        <v>72</v>
      </c>
      <c r="K44" s="144"/>
      <c r="L44" s="144"/>
      <c r="M44" s="144"/>
      <c r="N44" s="146" t="s">
        <v>109</v>
      </c>
      <c r="O44" s="146" t="s">
        <v>110</v>
      </c>
      <c r="Q44" t="s">
        <v>164</v>
      </c>
      <c r="AG44" s="3" t="s">
        <v>17</v>
      </c>
      <c r="AH44" s="3" t="s">
        <v>128</v>
      </c>
      <c r="AI44" s="3" t="s">
        <v>129</v>
      </c>
      <c r="AJ44" s="3" t="s">
        <v>130</v>
      </c>
      <c r="AK44" s="3" t="s">
        <v>131</v>
      </c>
    </row>
    <row r="45" spans="1:38">
      <c r="A45" s="145"/>
      <c r="B45" s="146"/>
      <c r="C45" s="3" t="s">
        <v>136</v>
      </c>
      <c r="D45" s="3" t="s">
        <v>137</v>
      </c>
      <c r="F45" s="3" t="s">
        <v>136</v>
      </c>
      <c r="G45" s="3" t="s">
        <v>137</v>
      </c>
      <c r="H45" s="3" t="s">
        <v>138</v>
      </c>
      <c r="I45" s="3" t="s">
        <v>109</v>
      </c>
      <c r="J45" s="3" t="s">
        <v>136</v>
      </c>
      <c r="K45" s="3" t="s">
        <v>139</v>
      </c>
      <c r="L45" s="3" t="s">
        <v>138</v>
      </c>
      <c r="M45" s="3" t="s">
        <v>109</v>
      </c>
      <c r="N45" s="146"/>
      <c r="O45" s="146"/>
      <c r="Q45" s="5">
        <v>4</v>
      </c>
      <c r="AC45" s="104">
        <f t="shared" ref="AC45:AC52" si="12">O46</f>
        <v>6623.9147345925658</v>
      </c>
      <c r="AD45" s="104"/>
      <c r="AE45" s="104"/>
      <c r="AF45" s="104"/>
      <c r="AG45" s="111" t="s">
        <v>165</v>
      </c>
      <c r="AH45" s="112" t="s">
        <v>135</v>
      </c>
      <c r="AI45" s="127">
        <v>-33.5</v>
      </c>
      <c r="AJ45" s="114">
        <v>3500</v>
      </c>
      <c r="AK45" s="97">
        <f t="shared" ref="AK45:AK46" si="13">AH45-AI45+AJ45/1000</f>
        <v>40.965000000000003</v>
      </c>
    </row>
    <row r="46" spans="1:38">
      <c r="A46" s="100">
        <v>0</v>
      </c>
      <c r="B46" s="100">
        <v>40</v>
      </c>
      <c r="C46" s="100">
        <v>40</v>
      </c>
      <c r="D46" s="100">
        <v>18</v>
      </c>
      <c r="E46" s="103" t="s">
        <v>141</v>
      </c>
      <c r="F46" s="100">
        <v>32</v>
      </c>
      <c r="G46" s="100">
        <v>18</v>
      </c>
      <c r="H46" s="98" t="e">
        <f>#REF!</f>
        <v>#REF!</v>
      </c>
      <c r="I46" s="97">
        <f>$C$11*((D46*PI()*((C46/1000)^2)/4)+(G46*PI()*((F46/1000)^2)/4))</f>
        <v>291.20301952066802</v>
      </c>
      <c r="J46" s="100">
        <v>25</v>
      </c>
      <c r="K46" s="100">
        <v>150</v>
      </c>
      <c r="L46" s="98" t="e">
        <f>MAX(#REF!,#REF!)</f>
        <v>#REF!</v>
      </c>
      <c r="M46" s="97">
        <f>$C$11*$C$14*PI()*((J46/1000)^2)/4*1000/K46</f>
        <v>93.90830225796951</v>
      </c>
      <c r="N46" s="97">
        <f>I46+M46</f>
        <v>385.11132177863755</v>
      </c>
      <c r="O46" s="97">
        <f>$Q$45*N46*(A47-A46)</f>
        <v>6623.9147345925658</v>
      </c>
      <c r="AC46" s="104" t="e">
        <f t="shared" si="12"/>
        <v>#REF!</v>
      </c>
      <c r="AD46" s="104"/>
      <c r="AE46" s="104"/>
      <c r="AF46" s="104"/>
      <c r="AG46" s="111" t="s">
        <v>166</v>
      </c>
      <c r="AH46" s="112" t="s">
        <v>135</v>
      </c>
      <c r="AI46" s="127">
        <v>-33</v>
      </c>
      <c r="AJ46" s="114">
        <v>3500</v>
      </c>
      <c r="AK46" s="97">
        <f t="shared" si="13"/>
        <v>40.465000000000003</v>
      </c>
    </row>
    <row r="47" spans="1:38">
      <c r="A47" s="100">
        <v>4.3</v>
      </c>
      <c r="B47" s="100">
        <v>40</v>
      </c>
      <c r="C47" s="100">
        <v>40</v>
      </c>
      <c r="D47" s="100" t="e">
        <f>#REF!</f>
        <v>#REF!</v>
      </c>
      <c r="E47" s="103" t="s">
        <v>141</v>
      </c>
      <c r="F47" s="100">
        <v>0</v>
      </c>
      <c r="G47" s="100">
        <v>0</v>
      </c>
      <c r="H47" s="98" t="e">
        <f>#REF!</f>
        <v>#REF!</v>
      </c>
      <c r="I47" s="97" t="e">
        <f>$C$11*((D47*PI()*((C47/1000)^2)/4)+(G47*PI()*((F47/1000)^2)/4))</f>
        <v>#REF!</v>
      </c>
      <c r="J47" s="100">
        <v>25</v>
      </c>
      <c r="K47" s="100">
        <v>150</v>
      </c>
      <c r="L47" s="98" t="e">
        <f>MAX(#REF!,#REF!)</f>
        <v>#REF!</v>
      </c>
      <c r="M47" s="97">
        <f t="shared" ref="M47:M54" si="14">$C$11*$C$14*PI()*((J47/1000)^2)/4*1000/K47</f>
        <v>93.90830225796951</v>
      </c>
      <c r="N47" s="97" t="e">
        <f t="shared" ref="N47:N54" si="15">I47+M47</f>
        <v>#REF!</v>
      </c>
      <c r="O47" s="97" t="e">
        <f t="shared" ref="O47:O53" si="16">$Q$45*N47*(A48-A47)</f>
        <v>#REF!</v>
      </c>
      <c r="Q47" t="s">
        <v>223</v>
      </c>
      <c r="AC47" s="104">
        <f t="shared" si="12"/>
        <v>1862.6126389386011</v>
      </c>
      <c r="AD47" s="104"/>
      <c r="AE47" s="104"/>
      <c r="AF47" s="104"/>
      <c r="AG47" s="111" t="s">
        <v>169</v>
      </c>
      <c r="AH47" s="112" t="s">
        <v>135</v>
      </c>
      <c r="AI47" s="127">
        <v>-27</v>
      </c>
      <c r="AJ47" s="114">
        <v>3500</v>
      </c>
      <c r="AK47" s="97">
        <f>AH47-AI47+AJ47/1000</f>
        <v>34.465000000000003</v>
      </c>
    </row>
    <row r="48" spans="1:38">
      <c r="A48" s="100">
        <v>5</v>
      </c>
      <c r="B48" s="100">
        <v>40</v>
      </c>
      <c r="C48" s="100">
        <v>40</v>
      </c>
      <c r="D48" s="100">
        <v>18</v>
      </c>
      <c r="E48" s="103" t="s">
        <v>141</v>
      </c>
      <c r="F48" s="100">
        <v>32</v>
      </c>
      <c r="G48" s="100">
        <v>18</v>
      </c>
      <c r="H48" s="98" t="e">
        <f>H47</f>
        <v>#REF!</v>
      </c>
      <c r="I48" s="97">
        <f>$C$11*((D48*PI()*((C48/1000)^2)/4)+(G48*PI()*((F48/1000)^2)/4))</f>
        <v>291.20301952066802</v>
      </c>
      <c r="J48" s="100">
        <v>16</v>
      </c>
      <c r="K48" s="100">
        <v>300</v>
      </c>
      <c r="L48" s="98" t="e">
        <f>MAX(#REF!,#REF!)</f>
        <v>#REF!</v>
      </c>
      <c r="M48" s="97">
        <f t="shared" si="14"/>
        <v>19.232420302432153</v>
      </c>
      <c r="N48" s="97">
        <f t="shared" si="15"/>
        <v>310.43543982310018</v>
      </c>
      <c r="O48" s="97">
        <f t="shared" si="16"/>
        <v>1862.6126389386011</v>
      </c>
      <c r="Q48" s="96" t="e">
        <f>O55/Q45</f>
        <v>#REF!</v>
      </c>
      <c r="R48" t="s">
        <v>111</v>
      </c>
      <c r="AC48" s="104">
        <f t="shared" si="12"/>
        <v>165.21687374137557</v>
      </c>
      <c r="AD48" s="104"/>
      <c r="AE48" s="104"/>
      <c r="AF48" s="104"/>
      <c r="AG48" s="111" t="s">
        <v>170</v>
      </c>
      <c r="AH48" s="112" t="s">
        <v>135</v>
      </c>
      <c r="AI48" s="127">
        <v>-24.5</v>
      </c>
      <c r="AJ48" s="114">
        <v>3500</v>
      </c>
      <c r="AK48" s="97">
        <f>AH48-AI48+AJ48/1000</f>
        <v>31.965</v>
      </c>
      <c r="AL48" s="104">
        <f>AVERAGE(AK45:AK48)</f>
        <v>36.965000000000003</v>
      </c>
    </row>
    <row r="49" spans="1:38">
      <c r="A49" s="100">
        <v>6.5</v>
      </c>
      <c r="B49" s="100">
        <v>40</v>
      </c>
      <c r="C49" s="100">
        <v>32</v>
      </c>
      <c r="D49" s="100">
        <v>18</v>
      </c>
      <c r="E49" s="103" t="s">
        <v>141</v>
      </c>
      <c r="F49" s="100">
        <v>0</v>
      </c>
      <c r="G49" s="100">
        <v>0</v>
      </c>
      <c r="H49" s="98" t="e">
        <f>H48</f>
        <v>#REF!</v>
      </c>
      <c r="I49" s="97">
        <f t="shared" ref="I49:I54" si="17">$C$11*((D49*PI()*((C49/1000)^2)/4)+(G49*PI()*((F49/1000)^2)/4))</f>
        <v>113.64020273977286</v>
      </c>
      <c r="J49" s="100">
        <v>16</v>
      </c>
      <c r="K49" s="100">
        <v>240</v>
      </c>
      <c r="L49" s="98" t="e">
        <f>L48</f>
        <v>#REF!</v>
      </c>
      <c r="M49" s="97">
        <f t="shared" si="14"/>
        <v>24.04052537804019</v>
      </c>
      <c r="N49" s="97">
        <f t="shared" si="15"/>
        <v>137.68072811781306</v>
      </c>
      <c r="O49" s="97">
        <f t="shared" si="16"/>
        <v>165.21687374137557</v>
      </c>
      <c r="AC49" s="104">
        <f t="shared" si="12"/>
        <v>3826.7315436155045</v>
      </c>
      <c r="AD49" s="104"/>
      <c r="AE49" s="104"/>
      <c r="AF49" s="104"/>
    </row>
    <row r="50" spans="1:38">
      <c r="A50" s="100">
        <v>6.8</v>
      </c>
      <c r="B50" s="100">
        <v>40</v>
      </c>
      <c r="C50" s="100">
        <v>32</v>
      </c>
      <c r="D50" s="100">
        <v>18</v>
      </c>
      <c r="E50" s="103" t="s">
        <v>141</v>
      </c>
      <c r="F50" s="100">
        <v>0</v>
      </c>
      <c r="G50" s="100">
        <v>0</v>
      </c>
      <c r="H50" s="98" t="e">
        <f>H49</f>
        <v>#REF!</v>
      </c>
      <c r="I50" s="97">
        <f t="shared" si="17"/>
        <v>113.64020273977286</v>
      </c>
      <c r="J50" s="100">
        <v>16</v>
      </c>
      <c r="K50" s="100">
        <v>300</v>
      </c>
      <c r="L50" s="98" t="e">
        <f>L49</f>
        <v>#REF!</v>
      </c>
      <c r="M50" s="97">
        <f t="shared" si="14"/>
        <v>19.232420302432153</v>
      </c>
      <c r="N50" s="97">
        <f t="shared" si="15"/>
        <v>132.87262304220502</v>
      </c>
      <c r="O50" s="97">
        <f t="shared" si="16"/>
        <v>3826.7315436155045</v>
      </c>
      <c r="AC50" s="104">
        <f t="shared" si="12"/>
        <v>1652.1687374137568</v>
      </c>
      <c r="AD50" s="104"/>
      <c r="AE50" s="104"/>
      <c r="AF50" s="104"/>
    </row>
    <row r="51" spans="1:38">
      <c r="A51" s="100">
        <v>14</v>
      </c>
      <c r="B51" s="100">
        <v>40</v>
      </c>
      <c r="C51" s="100">
        <v>32</v>
      </c>
      <c r="D51" s="100">
        <v>18</v>
      </c>
      <c r="E51" s="103" t="s">
        <v>141</v>
      </c>
      <c r="F51" s="100">
        <v>0</v>
      </c>
      <c r="G51" s="100">
        <v>0</v>
      </c>
      <c r="H51" s="98" t="e">
        <f>#REF!</f>
        <v>#REF!</v>
      </c>
      <c r="I51" s="97">
        <f t="shared" si="17"/>
        <v>113.64020273977286</v>
      </c>
      <c r="J51" s="100">
        <v>16</v>
      </c>
      <c r="K51" s="100">
        <v>240</v>
      </c>
      <c r="L51" s="98" t="e">
        <f>MAX(#REF!,#REF!)</f>
        <v>#REF!</v>
      </c>
      <c r="M51" s="97">
        <f t="shared" si="14"/>
        <v>24.04052537804019</v>
      </c>
      <c r="N51" s="97">
        <f t="shared" si="15"/>
        <v>137.68072811781306</v>
      </c>
      <c r="O51" s="97">
        <f t="shared" si="16"/>
        <v>1652.1687374137568</v>
      </c>
      <c r="AC51" s="104">
        <f t="shared" si="12"/>
        <v>2657.4524608441006</v>
      </c>
    </row>
    <row r="52" spans="1:38">
      <c r="A52" s="100">
        <v>17</v>
      </c>
      <c r="B52" s="100">
        <v>40</v>
      </c>
      <c r="C52" s="100">
        <v>32</v>
      </c>
      <c r="D52" s="100">
        <v>18</v>
      </c>
      <c r="E52" s="103" t="s">
        <v>141</v>
      </c>
      <c r="F52" s="100">
        <v>0</v>
      </c>
      <c r="G52" s="100">
        <v>0</v>
      </c>
      <c r="H52" s="98" t="e">
        <f>H51</f>
        <v>#REF!</v>
      </c>
      <c r="I52" s="97">
        <f t="shared" si="17"/>
        <v>113.64020273977286</v>
      </c>
      <c r="J52" s="100">
        <v>16</v>
      </c>
      <c r="K52" s="100">
        <v>300</v>
      </c>
      <c r="L52" s="98" t="e">
        <f>L51</f>
        <v>#REF!</v>
      </c>
      <c r="M52" s="97">
        <f t="shared" si="14"/>
        <v>19.232420302432153</v>
      </c>
      <c r="N52" s="97">
        <f t="shared" si="15"/>
        <v>132.87262304220502</v>
      </c>
      <c r="O52" s="97">
        <f t="shared" si="16"/>
        <v>2657.4524608441006</v>
      </c>
      <c r="AC52" s="104">
        <f t="shared" si="12"/>
        <v>516.10455592687481</v>
      </c>
    </row>
    <row r="53" spans="1:38">
      <c r="A53" s="100">
        <v>22</v>
      </c>
      <c r="B53" s="100">
        <v>40</v>
      </c>
      <c r="C53" s="100">
        <v>32</v>
      </c>
      <c r="D53" s="100">
        <v>18</v>
      </c>
      <c r="E53" s="103" t="s">
        <v>141</v>
      </c>
      <c r="F53" s="100">
        <v>16</v>
      </c>
      <c r="G53" s="100">
        <v>18</v>
      </c>
      <c r="H53" s="98" t="e">
        <f>MAX(#REF!)</f>
        <v>#REF!</v>
      </c>
      <c r="I53" s="97">
        <f t="shared" si="17"/>
        <v>142.05025342471609</v>
      </c>
      <c r="J53" s="100">
        <v>16</v>
      </c>
      <c r="K53" s="100">
        <v>300</v>
      </c>
      <c r="L53" s="98"/>
      <c r="M53" s="97">
        <f t="shared" si="14"/>
        <v>19.232420302432153</v>
      </c>
      <c r="N53" s="97">
        <f t="shared" si="15"/>
        <v>161.28267372714825</v>
      </c>
      <c r="O53" s="97">
        <f t="shared" si="16"/>
        <v>516.10455592687481</v>
      </c>
      <c r="AC53">
        <f>N54*(21-A54)</f>
        <v>-85.756447777275696</v>
      </c>
    </row>
    <row r="54" spans="1:38" ht="15.75" thickBot="1">
      <c r="A54" s="100">
        <v>22.8</v>
      </c>
      <c r="B54" s="100">
        <v>40</v>
      </c>
      <c r="C54" s="100">
        <v>16</v>
      </c>
      <c r="D54" s="100">
        <v>18</v>
      </c>
      <c r="E54" s="103" t="s">
        <v>141</v>
      </c>
      <c r="F54" s="100">
        <v>0</v>
      </c>
      <c r="G54" s="100">
        <v>0</v>
      </c>
      <c r="H54" s="98" t="e">
        <f>H53</f>
        <v>#REF!</v>
      </c>
      <c r="I54" s="97">
        <f t="shared" si="17"/>
        <v>28.410050684943215</v>
      </c>
      <c r="J54" s="100">
        <v>16</v>
      </c>
      <c r="K54" s="100">
        <v>300</v>
      </c>
      <c r="L54" s="98"/>
      <c r="M54" s="97">
        <f t="shared" si="14"/>
        <v>19.232420302432153</v>
      </c>
      <c r="N54" s="97">
        <f t="shared" si="15"/>
        <v>47.642470987375368</v>
      </c>
      <c r="O54" s="97">
        <f>$Q$45*N54*($AL$48-A54)</f>
        <v>2699.4224061446889</v>
      </c>
      <c r="AC54" s="99" t="e">
        <f>SUM(AC45:AC53)</f>
        <v>#REF!</v>
      </c>
      <c r="AD54" s="115" t="e">
        <f>O55-AC54</f>
        <v>#REF!</v>
      </c>
      <c r="AE54" s="115"/>
      <c r="AF54" s="115"/>
    </row>
    <row r="55" spans="1:38" ht="16.5" thickTop="1" thickBot="1">
      <c r="O55" s="99" t="e">
        <f>SUM(O46:O54)</f>
        <v>#REF!</v>
      </c>
      <c r="P55" s="89" t="s">
        <v>148</v>
      </c>
      <c r="Q55" s="102" t="e">
        <f>O55/$D$9/Q45</f>
        <v>#REF!</v>
      </c>
      <c r="R55" t="s">
        <v>121</v>
      </c>
    </row>
    <row r="56" spans="1:38" ht="15.75" thickTop="1">
      <c r="P56" s="89" t="s">
        <v>148</v>
      </c>
      <c r="Q56" s="102" t="e">
        <f>(O55/Q45)/('ss_ IFIR Summary (03.07)'!O55/'ss_ IFIR Summary (03.07)'!Q45)</f>
        <v>#REF!</v>
      </c>
      <c r="R56" t="s">
        <v>224</v>
      </c>
      <c r="AG56" s="144" t="s">
        <v>171</v>
      </c>
      <c r="AH56" s="144"/>
      <c r="AI56" s="144"/>
      <c r="AJ56" s="144"/>
      <c r="AK56" s="144"/>
    </row>
    <row r="57" spans="1:38" ht="18.75">
      <c r="A57" s="1" t="s">
        <v>172</v>
      </c>
      <c r="AG57" s="3" t="s">
        <v>17</v>
      </c>
      <c r="AH57" s="3" t="s">
        <v>128</v>
      </c>
      <c r="AI57" s="3" t="s">
        <v>129</v>
      </c>
      <c r="AJ57" s="3" t="s">
        <v>130</v>
      </c>
      <c r="AK57" s="3" t="s">
        <v>131</v>
      </c>
    </row>
    <row r="58" spans="1:38">
      <c r="AG58" s="111" t="s">
        <v>173</v>
      </c>
      <c r="AH58" s="112" t="s">
        <v>154</v>
      </c>
      <c r="AI58" s="127">
        <v>-34</v>
      </c>
      <c r="AJ58" s="114">
        <v>4000</v>
      </c>
      <c r="AK58" s="97">
        <f t="shared" ref="AK58:AK59" si="18">AH58-AI58+AJ58/1000</f>
        <v>41.765000000000001</v>
      </c>
    </row>
    <row r="59" spans="1:38" ht="14.45" customHeight="1">
      <c r="A59" s="145" t="s">
        <v>151</v>
      </c>
      <c r="B59" s="146" t="s">
        <v>132</v>
      </c>
      <c r="C59" s="144" t="s">
        <v>133</v>
      </c>
      <c r="D59" s="144"/>
      <c r="E59" s="144"/>
      <c r="F59" s="144"/>
      <c r="G59" s="144"/>
      <c r="H59" s="144"/>
      <c r="I59" s="144"/>
      <c r="J59" s="144" t="s">
        <v>72</v>
      </c>
      <c r="K59" s="144"/>
      <c r="L59" s="144"/>
      <c r="M59" s="144"/>
      <c r="N59" s="146" t="s">
        <v>109</v>
      </c>
      <c r="O59" s="146" t="s">
        <v>110</v>
      </c>
      <c r="Q59" t="s">
        <v>174</v>
      </c>
      <c r="AG59" s="111" t="s">
        <v>175</v>
      </c>
      <c r="AH59" s="112" t="s">
        <v>154</v>
      </c>
      <c r="AI59" s="127">
        <v>-33</v>
      </c>
      <c r="AJ59" s="114">
        <v>4000</v>
      </c>
      <c r="AK59" s="97">
        <f t="shared" si="18"/>
        <v>40.765000000000001</v>
      </c>
    </row>
    <row r="60" spans="1:38">
      <c r="A60" s="145"/>
      <c r="B60" s="146"/>
      <c r="C60" s="3" t="s">
        <v>136</v>
      </c>
      <c r="D60" s="3" t="s">
        <v>137</v>
      </c>
      <c r="F60" s="3" t="s">
        <v>136</v>
      </c>
      <c r="G60" s="3" t="s">
        <v>137</v>
      </c>
      <c r="H60" s="3" t="s">
        <v>138</v>
      </c>
      <c r="I60" s="3" t="s">
        <v>109</v>
      </c>
      <c r="J60" s="3" t="s">
        <v>136</v>
      </c>
      <c r="K60" s="3" t="s">
        <v>139</v>
      </c>
      <c r="L60" s="3" t="s">
        <v>138</v>
      </c>
      <c r="M60" s="3" t="s">
        <v>109</v>
      </c>
      <c r="N60" s="146"/>
      <c r="O60" s="146"/>
      <c r="Q60" s="5">
        <v>4</v>
      </c>
      <c r="AC60" s="104" t="e">
        <f>O61</f>
        <v>#REF!</v>
      </c>
      <c r="AG60" s="111" t="s">
        <v>178</v>
      </c>
      <c r="AH60" s="112" t="s">
        <v>154</v>
      </c>
      <c r="AI60" s="127">
        <v>-22.5</v>
      </c>
      <c r="AJ60" s="114">
        <v>4000</v>
      </c>
      <c r="AK60" s="97">
        <f>AH60-AI60+AJ60/1000</f>
        <v>30.265000000000001</v>
      </c>
    </row>
    <row r="61" spans="1:38">
      <c r="A61" s="100">
        <v>0</v>
      </c>
      <c r="B61" s="100">
        <v>40</v>
      </c>
      <c r="C61" s="100">
        <v>25</v>
      </c>
      <c r="D61" s="100" t="e">
        <f>#REF!</f>
        <v>#REF!</v>
      </c>
      <c r="E61" s="103" t="s">
        <v>141</v>
      </c>
      <c r="F61" s="100">
        <v>0</v>
      </c>
      <c r="G61" s="100">
        <v>0</v>
      </c>
      <c r="H61" s="98" t="e">
        <f>#REF!</f>
        <v>#REF!</v>
      </c>
      <c r="I61" s="97" t="e">
        <f>$C$11*((D61*PI()*((C61/1000)^2)/4)+(G61*PI()*((F61/1000)^2)/4))</f>
        <v>#REF!</v>
      </c>
      <c r="J61" s="100">
        <v>16</v>
      </c>
      <c r="K61" s="100">
        <v>300</v>
      </c>
      <c r="L61" s="98" t="e">
        <f>MAX(#REF!,#REF!)</f>
        <v>#REF!</v>
      </c>
      <c r="M61" s="97">
        <f>$C$11*$C$14*PI()*((J61/1000)^2)/4*1000/K61</f>
        <v>19.232420302432153</v>
      </c>
      <c r="N61" s="97" t="e">
        <f>I61+M61</f>
        <v>#REF!</v>
      </c>
      <c r="O61" s="97" t="e">
        <f>$Q$60*N61*(A62-A61)</f>
        <v>#REF!</v>
      </c>
      <c r="AC61" s="104">
        <f>O62</f>
        <v>947.720225475039</v>
      </c>
      <c r="AG61" s="111" t="s">
        <v>179</v>
      </c>
      <c r="AH61" s="112" t="s">
        <v>154</v>
      </c>
      <c r="AI61" s="127">
        <v>-20.5</v>
      </c>
      <c r="AJ61" s="114">
        <v>4000</v>
      </c>
      <c r="AK61" s="97">
        <f>AH61-AI61+AJ61/1000</f>
        <v>28.265000000000001</v>
      </c>
      <c r="AL61" s="104">
        <f>AVERAGE(AK58:AK61)</f>
        <v>35.265000000000001</v>
      </c>
    </row>
    <row r="62" spans="1:38">
      <c r="A62" s="100">
        <v>10.5</v>
      </c>
      <c r="B62" s="100">
        <v>40</v>
      </c>
      <c r="C62" s="100">
        <v>25</v>
      </c>
      <c r="D62" s="100">
        <v>18</v>
      </c>
      <c r="E62" s="103" t="s">
        <v>141</v>
      </c>
      <c r="F62" s="100">
        <v>25</v>
      </c>
      <c r="G62" s="100">
        <v>18</v>
      </c>
      <c r="H62" s="98" t="e">
        <f>#REF!</f>
        <v>#REF!</v>
      </c>
      <c r="I62" s="97">
        <f>$C$11*((D62*PI()*((C62/1000)^2)/4)+(G62*PI()*((F62/1000)^2)/4))</f>
        <v>138.72095061007434</v>
      </c>
      <c r="J62" s="100">
        <v>16</v>
      </c>
      <c r="K62" s="100">
        <v>300</v>
      </c>
      <c r="L62" s="98" t="e">
        <f>MAX(#REF!,#REF!)</f>
        <v>#REF!</v>
      </c>
      <c r="M62" s="97">
        <f t="shared" ref="M62:M69" si="19">$C$11*$C$14*PI()*((J62/1000)^2)/4*1000/K62</f>
        <v>19.232420302432153</v>
      </c>
      <c r="N62" s="97">
        <f>I62+M62</f>
        <v>157.9533709125065</v>
      </c>
      <c r="O62" s="97">
        <f>$Q$60*N62*(A63-A62)</f>
        <v>947.720225475039</v>
      </c>
      <c r="Q62" t="s">
        <v>223</v>
      </c>
      <c r="AC62" s="104">
        <f>O63</f>
        <v>283.49726594390211</v>
      </c>
    </row>
    <row r="63" spans="1:38">
      <c r="A63" s="100">
        <v>12</v>
      </c>
      <c r="B63" s="100">
        <v>40</v>
      </c>
      <c r="C63" s="100">
        <v>25</v>
      </c>
      <c r="D63" s="100">
        <v>18</v>
      </c>
      <c r="E63" s="103" t="s">
        <v>141</v>
      </c>
      <c r="F63" s="100">
        <v>0</v>
      </c>
      <c r="G63" s="100">
        <v>0</v>
      </c>
      <c r="H63" s="98" t="e">
        <f>#REF!</f>
        <v>#REF!</v>
      </c>
      <c r="I63" s="97">
        <f>$C$11*((D63*PI()*((C63/1000)^2)/4)+(G63*PI()*((F63/1000)^2)/4))</f>
        <v>69.36047530503717</v>
      </c>
      <c r="J63" s="100">
        <v>16</v>
      </c>
      <c r="K63" s="100">
        <v>300</v>
      </c>
      <c r="L63" s="98" t="e">
        <f>MAX(#REF!,#REF!)</f>
        <v>#REF!</v>
      </c>
      <c r="M63" s="97">
        <f t="shared" si="19"/>
        <v>19.232420302432153</v>
      </c>
      <c r="N63" s="97">
        <f>I63+M63</f>
        <v>88.59289560746933</v>
      </c>
      <c r="O63" s="97">
        <f>$Q$60*N63*(A64-A63)</f>
        <v>283.49726594390211</v>
      </c>
      <c r="Q63" s="96" t="e">
        <f>O70/Q60</f>
        <v>#REF!</v>
      </c>
      <c r="R63" t="s">
        <v>111</v>
      </c>
      <c r="AC63">
        <f>N69*(30-A69)</f>
        <v>-127.24624899531187</v>
      </c>
    </row>
    <row r="64" spans="1:38" ht="15.75" thickBot="1">
      <c r="A64" s="100">
        <v>12.8</v>
      </c>
      <c r="B64" s="100">
        <v>40</v>
      </c>
      <c r="C64" s="100">
        <v>25</v>
      </c>
      <c r="D64" s="100">
        <v>18</v>
      </c>
      <c r="E64" s="103" t="s">
        <v>141</v>
      </c>
      <c r="F64" s="100">
        <v>32</v>
      </c>
      <c r="G64" s="100">
        <v>18</v>
      </c>
      <c r="H64" s="98" t="e">
        <f>#REF!</f>
        <v>#REF!</v>
      </c>
      <c r="I64" s="97">
        <f t="shared" ref="I64:I68" si="20">$C$11*((D64*PI()*((C64/1000)^2)/4)+(G64*PI()*((F64/1000)^2)/4))</f>
        <v>183.00067804481006</v>
      </c>
      <c r="J64" s="100">
        <v>16</v>
      </c>
      <c r="K64" s="100">
        <v>300</v>
      </c>
      <c r="L64" s="98" t="e">
        <f>MAX(#REF!,#REF!)</f>
        <v>#REF!</v>
      </c>
      <c r="M64" s="97">
        <f t="shared" si="19"/>
        <v>19.232420302432153</v>
      </c>
      <c r="N64" s="97">
        <f t="shared" ref="N64:N68" si="21">I64+M64</f>
        <v>202.23309834724222</v>
      </c>
      <c r="O64" s="97">
        <f t="shared" ref="O64:O68" si="22">$Q$60*N64*(A65-A64)</f>
        <v>970.71887206676206</v>
      </c>
      <c r="AC64" s="99" t="e">
        <f>SUM(AC60:AC63)</f>
        <v>#REF!</v>
      </c>
      <c r="AD64" s="115" t="e">
        <f>O70-AC64</f>
        <v>#REF!</v>
      </c>
      <c r="AG64" s="104"/>
      <c r="AH64" s="104"/>
      <c r="AI64" s="104"/>
      <c r="AJ64" s="104"/>
      <c r="AK64" s="104"/>
      <c r="AL64" s="104"/>
    </row>
    <row r="65" spans="1:38" ht="15.75" thickTop="1">
      <c r="A65" s="100">
        <v>14</v>
      </c>
      <c r="B65" s="100">
        <v>40</v>
      </c>
      <c r="C65" s="100">
        <v>32</v>
      </c>
      <c r="D65" s="100">
        <v>18</v>
      </c>
      <c r="E65" s="103" t="s">
        <v>141</v>
      </c>
      <c r="F65" s="100">
        <v>0</v>
      </c>
      <c r="G65" s="100">
        <v>0</v>
      </c>
      <c r="H65" s="98" t="e">
        <f>#REF!</f>
        <v>#REF!</v>
      </c>
      <c r="I65" s="97">
        <f t="shared" si="20"/>
        <v>113.64020273977286</v>
      </c>
      <c r="J65" s="100">
        <v>16</v>
      </c>
      <c r="K65" s="100">
        <v>300</v>
      </c>
      <c r="L65" s="98" t="e">
        <f>MAX(#REF!,#REF!)</f>
        <v>#REF!</v>
      </c>
      <c r="M65" s="97">
        <f t="shared" si="19"/>
        <v>19.232420302432153</v>
      </c>
      <c r="N65" s="97">
        <f t="shared" si="21"/>
        <v>132.87262304220502</v>
      </c>
      <c r="O65" s="97">
        <f t="shared" si="22"/>
        <v>4783.414429519381</v>
      </c>
      <c r="AG65" s="104"/>
      <c r="AH65" s="104"/>
      <c r="AI65" s="104"/>
      <c r="AJ65" s="104"/>
      <c r="AK65" s="104"/>
      <c r="AL65" s="104"/>
    </row>
    <row r="66" spans="1:38">
      <c r="A66" s="100">
        <v>23</v>
      </c>
      <c r="B66" s="100">
        <v>40</v>
      </c>
      <c r="C66" s="100">
        <v>32</v>
      </c>
      <c r="D66" s="100">
        <v>18</v>
      </c>
      <c r="E66" s="103" t="s">
        <v>141</v>
      </c>
      <c r="F66" s="100">
        <v>25</v>
      </c>
      <c r="G66" s="100">
        <v>18</v>
      </c>
      <c r="H66" s="98" t="e">
        <f>#REF!</f>
        <v>#REF!</v>
      </c>
      <c r="I66" s="97">
        <f t="shared" si="20"/>
        <v>183.00067804481006</v>
      </c>
      <c r="J66" s="100">
        <v>16</v>
      </c>
      <c r="K66" s="100">
        <v>300</v>
      </c>
      <c r="L66" s="98" t="e">
        <f>MAX(#REF!,#REF!)</f>
        <v>#REF!</v>
      </c>
      <c r="M66" s="97">
        <f t="shared" si="19"/>
        <v>19.232420302432153</v>
      </c>
      <c r="N66" s="97">
        <f t="shared" si="21"/>
        <v>202.23309834724222</v>
      </c>
      <c r="O66" s="97">
        <f t="shared" si="22"/>
        <v>970.71887206676206</v>
      </c>
      <c r="AG66" s="104"/>
      <c r="AH66" s="104"/>
      <c r="AI66" s="104"/>
      <c r="AJ66" s="104"/>
      <c r="AK66" s="104"/>
      <c r="AL66" s="104"/>
    </row>
    <row r="67" spans="1:38">
      <c r="A67" s="100">
        <v>24.2</v>
      </c>
      <c r="B67" s="100">
        <v>40</v>
      </c>
      <c r="C67" s="100">
        <v>25</v>
      </c>
      <c r="D67" s="100">
        <v>18</v>
      </c>
      <c r="E67" s="103" t="s">
        <v>141</v>
      </c>
      <c r="F67" s="100">
        <v>0</v>
      </c>
      <c r="G67" s="100">
        <v>0</v>
      </c>
      <c r="H67" s="98" t="e">
        <f>#REF!</f>
        <v>#REF!</v>
      </c>
      <c r="I67" s="97">
        <f t="shared" si="20"/>
        <v>69.36047530503717</v>
      </c>
      <c r="J67" s="100">
        <v>16</v>
      </c>
      <c r="K67" s="100">
        <v>300</v>
      </c>
      <c r="L67" s="98" t="e">
        <f>MAX(#REF!,#REF!)</f>
        <v>#REF!</v>
      </c>
      <c r="M67" s="97">
        <f t="shared" si="19"/>
        <v>19.232420302432153</v>
      </c>
      <c r="N67" s="97">
        <f t="shared" si="21"/>
        <v>88.59289560746933</v>
      </c>
      <c r="O67" s="97">
        <f t="shared" si="22"/>
        <v>2409.7267605231659</v>
      </c>
      <c r="AG67" s="104"/>
      <c r="AH67" s="104"/>
      <c r="AI67" s="104"/>
      <c r="AJ67" s="104"/>
      <c r="AK67" s="104"/>
      <c r="AL67" s="104"/>
    </row>
    <row r="68" spans="1:38">
      <c r="A68" s="100">
        <v>31</v>
      </c>
      <c r="B68" s="100">
        <v>40</v>
      </c>
      <c r="C68" s="100">
        <v>25</v>
      </c>
      <c r="D68" s="100">
        <v>18</v>
      </c>
      <c r="E68" s="103" t="s">
        <v>141</v>
      </c>
      <c r="F68" s="100">
        <v>20</v>
      </c>
      <c r="G68" s="100">
        <v>18</v>
      </c>
      <c r="H68" s="98" t="e">
        <f>#REF!</f>
        <v>#REF!</v>
      </c>
      <c r="I68" s="97">
        <f t="shared" si="20"/>
        <v>113.75117950026096</v>
      </c>
      <c r="J68" s="100">
        <v>16</v>
      </c>
      <c r="K68" s="100">
        <v>300</v>
      </c>
      <c r="L68" s="98" t="e">
        <f>MAX(#REF!,#REF!)</f>
        <v>#REF!</v>
      </c>
      <c r="M68" s="97">
        <f t="shared" si="19"/>
        <v>19.232420302432153</v>
      </c>
      <c r="N68" s="97">
        <f t="shared" si="21"/>
        <v>132.98359980269311</v>
      </c>
      <c r="O68" s="97">
        <f t="shared" si="22"/>
        <v>531.93439921077243</v>
      </c>
      <c r="AL68" s="104"/>
    </row>
    <row r="69" spans="1:38">
      <c r="A69" s="100">
        <v>32</v>
      </c>
      <c r="B69" s="100">
        <v>40</v>
      </c>
      <c r="C69" s="100">
        <v>20</v>
      </c>
      <c r="D69" s="100">
        <v>18</v>
      </c>
      <c r="E69" s="103" t="s">
        <v>141</v>
      </c>
      <c r="F69" s="100">
        <v>0</v>
      </c>
      <c r="G69" s="100">
        <v>0</v>
      </c>
      <c r="H69" s="98" t="e">
        <f>MAX(#REF!)</f>
        <v>#REF!</v>
      </c>
      <c r="I69" s="97">
        <f>$C$11*((D69*PI()*((C69/1000)^2)/4)+(G69*PI()*((F69/1000)^2)/4))</f>
        <v>44.390704195223783</v>
      </c>
      <c r="J69" s="100">
        <v>16</v>
      </c>
      <c r="K69" s="100">
        <v>300</v>
      </c>
      <c r="L69" s="98"/>
      <c r="M69" s="97">
        <f t="shared" si="19"/>
        <v>19.232420302432153</v>
      </c>
      <c r="N69" s="97">
        <f>I69+M69</f>
        <v>63.623124497655937</v>
      </c>
      <c r="O69" s="97">
        <f>$Q$60*N69*($AL$61-A69)</f>
        <v>830.91800593938672</v>
      </c>
    </row>
    <row r="70" spans="1:38" ht="15.75" thickBot="1">
      <c r="O70" s="99" t="e">
        <f>SUM(O61:O69)</f>
        <v>#REF!</v>
      </c>
      <c r="P70" s="89" t="s">
        <v>148</v>
      </c>
      <c r="Q70" s="102" t="e">
        <f>O70/$I$8/Q60</f>
        <v>#REF!</v>
      </c>
      <c r="R70" t="s">
        <v>121</v>
      </c>
      <c r="AG70" s="144" t="s">
        <v>181</v>
      </c>
      <c r="AH70" s="144"/>
      <c r="AI70" s="144"/>
      <c r="AJ70" s="144"/>
      <c r="AK70" s="144"/>
    </row>
    <row r="71" spans="1:38" ht="15.75" thickTop="1">
      <c r="K71" s="104"/>
      <c r="P71" s="89" t="s">
        <v>148</v>
      </c>
      <c r="Q71" s="102" t="e">
        <f>(O70/Q60)/('ss_ IFIR Summary (03.07)'!O65/'ss_ IFIR Summary (03.07)'!Q60)</f>
        <v>#REF!</v>
      </c>
      <c r="R71" t="s">
        <v>224</v>
      </c>
      <c r="AG71" s="3" t="s">
        <v>17</v>
      </c>
      <c r="AH71" s="3" t="s">
        <v>128</v>
      </c>
      <c r="AI71" s="3" t="s">
        <v>129</v>
      </c>
      <c r="AJ71" s="3" t="s">
        <v>130</v>
      </c>
      <c r="AK71" s="3" t="s">
        <v>131</v>
      </c>
    </row>
    <row r="72" spans="1:38" ht="18.75">
      <c r="A72" s="1" t="s">
        <v>180</v>
      </c>
      <c r="AG72" s="111" t="s">
        <v>167</v>
      </c>
      <c r="AH72" s="112" t="s">
        <v>135</v>
      </c>
      <c r="AI72" s="127">
        <v>-34.5</v>
      </c>
      <c r="AJ72" s="114">
        <v>3000</v>
      </c>
      <c r="AK72" s="97">
        <f t="shared" ref="AK72" si="23">AH72-AI72+AJ72/1000</f>
        <v>41.465000000000003</v>
      </c>
    </row>
    <row r="73" spans="1:38">
      <c r="AG73" s="111" t="s">
        <v>183</v>
      </c>
      <c r="AH73" s="112" t="s">
        <v>135</v>
      </c>
      <c r="AI73" s="127">
        <v>-35</v>
      </c>
      <c r="AJ73" s="114">
        <v>3000</v>
      </c>
      <c r="AK73" s="97">
        <f>AH73-AI73+AJ73/1000</f>
        <v>41.965000000000003</v>
      </c>
    </row>
    <row r="74" spans="1:38" ht="14.45" customHeight="1">
      <c r="A74" s="147" t="s">
        <v>151</v>
      </c>
      <c r="B74" s="149" t="s">
        <v>132</v>
      </c>
      <c r="C74" s="144" t="s">
        <v>133</v>
      </c>
      <c r="D74" s="144"/>
      <c r="E74" s="144"/>
      <c r="F74" s="144"/>
      <c r="G74" s="144"/>
      <c r="H74" s="144"/>
      <c r="I74" s="144"/>
      <c r="J74" s="151" t="s">
        <v>72</v>
      </c>
      <c r="K74" s="152"/>
      <c r="L74" s="152"/>
      <c r="M74" s="153"/>
      <c r="N74" s="149" t="s">
        <v>109</v>
      </c>
      <c r="O74" s="149" t="s">
        <v>110</v>
      </c>
      <c r="Q74" t="s">
        <v>182</v>
      </c>
      <c r="AG74" s="111" t="s">
        <v>184</v>
      </c>
      <c r="AH74" s="112" t="s">
        <v>135</v>
      </c>
      <c r="AI74" s="127">
        <v>-35</v>
      </c>
      <c r="AJ74" s="114">
        <v>3000</v>
      </c>
      <c r="AK74" s="97">
        <f t="shared" ref="AK74:AK84" si="24">AH74-AI74+AJ74/1000</f>
        <v>41.965000000000003</v>
      </c>
    </row>
    <row r="75" spans="1:38">
      <c r="A75" s="148"/>
      <c r="B75" s="150"/>
      <c r="C75" s="3" t="s">
        <v>136</v>
      </c>
      <c r="D75" s="3" t="s">
        <v>137</v>
      </c>
      <c r="F75" s="3" t="s">
        <v>136</v>
      </c>
      <c r="G75" s="3" t="s">
        <v>137</v>
      </c>
      <c r="H75" s="3" t="s">
        <v>138</v>
      </c>
      <c r="I75" s="3" t="s">
        <v>109</v>
      </c>
      <c r="J75" s="3" t="s">
        <v>136</v>
      </c>
      <c r="K75" s="3" t="s">
        <v>139</v>
      </c>
      <c r="L75" s="3" t="s">
        <v>138</v>
      </c>
      <c r="M75" s="3" t="s">
        <v>109</v>
      </c>
      <c r="N75" s="150"/>
      <c r="O75" s="150"/>
      <c r="Q75" s="5">
        <v>13</v>
      </c>
      <c r="AC75" s="104">
        <f t="shared" ref="AC75:AC82" si="25">O76</f>
        <v>11461.220285381763</v>
      </c>
      <c r="AD75" s="104"/>
      <c r="AE75" s="104"/>
      <c r="AF75" s="104"/>
      <c r="AG75" s="111" t="s">
        <v>185</v>
      </c>
      <c r="AH75" s="112" t="s">
        <v>135</v>
      </c>
      <c r="AI75" s="127">
        <v>-35.5</v>
      </c>
      <c r="AJ75" s="114">
        <v>3000</v>
      </c>
      <c r="AK75" s="97">
        <f t="shared" si="24"/>
        <v>42.465000000000003</v>
      </c>
    </row>
    <row r="76" spans="1:38">
      <c r="A76" s="100">
        <v>0</v>
      </c>
      <c r="B76" s="100">
        <v>40</v>
      </c>
      <c r="C76" s="100">
        <v>40</v>
      </c>
      <c r="D76" s="100">
        <v>18</v>
      </c>
      <c r="E76" s="103" t="s">
        <v>141</v>
      </c>
      <c r="F76" s="100">
        <v>25</v>
      </c>
      <c r="G76" s="100">
        <v>18</v>
      </c>
      <c r="H76" s="98" t="e">
        <f>#REF!</f>
        <v>#REF!</v>
      </c>
      <c r="I76" s="97">
        <f>$C$11*((D76*PI()*((C76/1000)^2)/4)+(G76*PI()*((F76/1000)^2)/4))</f>
        <v>246.9232920859323</v>
      </c>
      <c r="J76" s="100">
        <v>25</v>
      </c>
      <c r="K76" s="100">
        <v>300</v>
      </c>
      <c r="L76" s="98" t="e">
        <f>MAX(#REF!,#REF!)</f>
        <v>#REF!</v>
      </c>
      <c r="M76" s="97">
        <f>$C$11*$C$14*PI()*((J76/1000)^2)/4*1000/K76</f>
        <v>46.954151128984755</v>
      </c>
      <c r="N76" s="97">
        <f>I76+M76</f>
        <v>293.87744321491704</v>
      </c>
      <c r="O76" s="97">
        <f>$Q$75*N76*(A77-A76)</f>
        <v>11461.220285381763</v>
      </c>
      <c r="AC76" s="104">
        <f t="shared" si="25"/>
        <v>4378.080874242658</v>
      </c>
      <c r="AD76" s="104"/>
      <c r="AE76" s="104"/>
      <c r="AF76" s="104"/>
      <c r="AG76" s="111" t="s">
        <v>186</v>
      </c>
      <c r="AH76" s="112" t="s">
        <v>135</v>
      </c>
      <c r="AI76" s="127">
        <v>-36</v>
      </c>
      <c r="AJ76" s="114">
        <v>3000</v>
      </c>
      <c r="AK76" s="97">
        <f t="shared" si="24"/>
        <v>42.965000000000003</v>
      </c>
    </row>
    <row r="77" spans="1:38">
      <c r="A77" s="100">
        <v>3</v>
      </c>
      <c r="B77" s="100">
        <v>40</v>
      </c>
      <c r="C77" s="100">
        <v>40</v>
      </c>
      <c r="D77" s="100">
        <v>18</v>
      </c>
      <c r="E77" s="103" t="s">
        <v>141</v>
      </c>
      <c r="F77" s="100">
        <v>0</v>
      </c>
      <c r="G77" s="100">
        <v>0</v>
      </c>
      <c r="H77" s="98" t="e">
        <f>#REF!</f>
        <v>#REF!</v>
      </c>
      <c r="I77" s="97">
        <f t="shared" ref="I77:I84" si="26">$C$11*((D77*PI()*((C77/1000)^2)/4)+(G77*PI()*((F77/1000)^2)/4))</f>
        <v>177.56281678089513</v>
      </c>
      <c r="J77" s="100">
        <v>25</v>
      </c>
      <c r="K77" s="100">
        <v>300</v>
      </c>
      <c r="L77" s="98" t="e">
        <f>MAX(#REF!,#REF!)</f>
        <v>#REF!</v>
      </c>
      <c r="M77" s="97">
        <f t="shared" ref="M77:M84" si="27">$C$11*$C$14*PI()*((J77/1000)^2)/4*1000/K77</f>
        <v>46.954151128984755</v>
      </c>
      <c r="N77" s="97">
        <f t="shared" ref="N77:N84" si="28">I77+M77</f>
        <v>224.5169679098799</v>
      </c>
      <c r="O77" s="97">
        <f t="shared" ref="O77:O83" si="29">$Q$75*N77*(A78-A77)</f>
        <v>4378.080874242658</v>
      </c>
      <c r="Q77" t="s">
        <v>223</v>
      </c>
      <c r="AC77" s="104">
        <f t="shared" si="25"/>
        <v>3460.024261048738</v>
      </c>
      <c r="AD77" s="104"/>
      <c r="AE77" s="104"/>
      <c r="AF77" s="104"/>
      <c r="AG77" s="111" t="s">
        <v>187</v>
      </c>
      <c r="AH77" s="112" t="s">
        <v>135</v>
      </c>
      <c r="AI77" s="127">
        <v>-37</v>
      </c>
      <c r="AJ77" s="114">
        <v>3000</v>
      </c>
      <c r="AK77" s="97">
        <f t="shared" si="24"/>
        <v>43.965000000000003</v>
      </c>
    </row>
    <row r="78" spans="1:38">
      <c r="A78" s="100">
        <v>4.5</v>
      </c>
      <c r="B78" s="100">
        <v>40</v>
      </c>
      <c r="C78" s="100">
        <v>40</v>
      </c>
      <c r="D78" s="100">
        <v>18</v>
      </c>
      <c r="E78" s="103" t="s">
        <v>141</v>
      </c>
      <c r="F78" s="100">
        <v>25</v>
      </c>
      <c r="G78" s="100">
        <v>18</v>
      </c>
      <c r="H78" s="98" t="e">
        <f>#REF!</f>
        <v>#REF!</v>
      </c>
      <c r="I78" s="97">
        <f t="shared" si="26"/>
        <v>246.9232920859323</v>
      </c>
      <c r="J78" s="100">
        <v>16</v>
      </c>
      <c r="K78" s="100">
        <v>300</v>
      </c>
      <c r="L78" s="98" t="e">
        <f>MAX(#REF!,#REF!)</f>
        <v>#REF!</v>
      </c>
      <c r="M78" s="97">
        <f t="shared" si="27"/>
        <v>19.232420302432153</v>
      </c>
      <c r="N78" s="97">
        <f t="shared" si="28"/>
        <v>266.15571238836446</v>
      </c>
      <c r="O78" s="97">
        <f t="shared" si="29"/>
        <v>3460.024261048738</v>
      </c>
      <c r="Q78" s="96">
        <f>O85/Q75</f>
        <v>5158.5478188345896</v>
      </c>
      <c r="R78" t="s">
        <v>111</v>
      </c>
      <c r="AC78" s="104">
        <f t="shared" si="25"/>
        <v>1578.4769115440072</v>
      </c>
      <c r="AD78" s="104"/>
      <c r="AE78" s="104"/>
      <c r="AF78" s="104"/>
      <c r="AG78" s="111" t="s">
        <v>188</v>
      </c>
      <c r="AH78" s="112" t="s">
        <v>135</v>
      </c>
      <c r="AI78" s="127">
        <v>-37</v>
      </c>
      <c r="AJ78" s="114">
        <v>3000</v>
      </c>
      <c r="AK78" s="97">
        <f t="shared" si="24"/>
        <v>43.965000000000003</v>
      </c>
    </row>
    <row r="79" spans="1:38">
      <c r="A79" s="100">
        <v>5.5</v>
      </c>
      <c r="B79" s="100">
        <v>40</v>
      </c>
      <c r="C79" s="100">
        <v>25</v>
      </c>
      <c r="D79" s="100">
        <v>18</v>
      </c>
      <c r="E79" s="103" t="s">
        <v>141</v>
      </c>
      <c r="F79" s="100">
        <v>0</v>
      </c>
      <c r="G79" s="100">
        <v>0</v>
      </c>
      <c r="H79" s="98" t="e">
        <f>H78</f>
        <v>#REF!</v>
      </c>
      <c r="I79" s="97">
        <f t="shared" si="26"/>
        <v>69.36047530503717</v>
      </c>
      <c r="J79" s="100">
        <v>16</v>
      </c>
      <c r="K79" s="100">
        <v>240</v>
      </c>
      <c r="L79" s="98" t="e">
        <f>L78</f>
        <v>#REF!</v>
      </c>
      <c r="M79" s="97">
        <f t="shared" si="27"/>
        <v>24.04052537804019</v>
      </c>
      <c r="N79" s="97">
        <f t="shared" si="28"/>
        <v>93.401000683077356</v>
      </c>
      <c r="O79" s="97">
        <f t="shared" si="29"/>
        <v>1578.4769115440072</v>
      </c>
      <c r="AC79" s="104">
        <f t="shared" si="25"/>
        <v>18929.018005301874</v>
      </c>
      <c r="AD79" s="104"/>
      <c r="AE79" s="104"/>
      <c r="AF79" s="104"/>
      <c r="AG79" s="111" t="s">
        <v>189</v>
      </c>
      <c r="AH79" s="112" t="s">
        <v>135</v>
      </c>
      <c r="AI79" s="127">
        <v>-37.5</v>
      </c>
      <c r="AJ79" s="114">
        <v>3000</v>
      </c>
      <c r="AK79" s="97">
        <f t="shared" si="24"/>
        <v>44.465000000000003</v>
      </c>
    </row>
    <row r="80" spans="1:38">
      <c r="A80" s="100">
        <v>6.8</v>
      </c>
      <c r="B80" s="100">
        <v>40</v>
      </c>
      <c r="C80" s="100">
        <v>25</v>
      </c>
      <c r="D80" s="100">
        <v>18</v>
      </c>
      <c r="E80" s="103" t="s">
        <v>141</v>
      </c>
      <c r="F80" s="100">
        <v>32</v>
      </c>
      <c r="G80" s="100">
        <v>18</v>
      </c>
      <c r="H80" s="98" t="e">
        <f>H79</f>
        <v>#REF!</v>
      </c>
      <c r="I80" s="97">
        <f t="shared" si="26"/>
        <v>183.00067804481006</v>
      </c>
      <c r="J80" s="100">
        <v>16</v>
      </c>
      <c r="K80" s="100">
        <v>300</v>
      </c>
      <c r="L80" s="98" t="e">
        <f>L79</f>
        <v>#REF!</v>
      </c>
      <c r="M80" s="97">
        <f t="shared" si="27"/>
        <v>19.232420302432153</v>
      </c>
      <c r="N80" s="97">
        <f t="shared" si="28"/>
        <v>202.23309834724222</v>
      </c>
      <c r="O80" s="97">
        <f t="shared" si="29"/>
        <v>18929.018005301874</v>
      </c>
      <c r="AC80" s="104">
        <f t="shared" si="25"/>
        <v>894.92473276578494</v>
      </c>
      <c r="AD80" s="104"/>
      <c r="AE80" s="104"/>
      <c r="AF80" s="104"/>
      <c r="AG80" s="111" t="s">
        <v>190</v>
      </c>
      <c r="AH80" s="112" t="s">
        <v>135</v>
      </c>
      <c r="AI80" s="127">
        <v>-37.5</v>
      </c>
      <c r="AJ80" s="114">
        <v>3000</v>
      </c>
      <c r="AK80" s="97">
        <f t="shared" si="24"/>
        <v>44.465000000000003</v>
      </c>
    </row>
    <row r="81" spans="1:38">
      <c r="A81" s="100">
        <v>14</v>
      </c>
      <c r="B81" s="100">
        <v>40</v>
      </c>
      <c r="C81" s="100">
        <v>32</v>
      </c>
      <c r="D81" s="100">
        <v>18</v>
      </c>
      <c r="E81" s="103" t="s">
        <v>141</v>
      </c>
      <c r="F81" s="100">
        <v>0</v>
      </c>
      <c r="G81" s="100">
        <v>0</v>
      </c>
      <c r="H81" s="98" t="e">
        <f>#REF!</f>
        <v>#REF!</v>
      </c>
      <c r="I81" s="97">
        <f t="shared" si="26"/>
        <v>113.64020273977286</v>
      </c>
      <c r="J81" s="100">
        <v>16</v>
      </c>
      <c r="K81" s="100">
        <v>240</v>
      </c>
      <c r="L81" s="98" t="e">
        <f>MAX(#REF!,#REF!)</f>
        <v>#REF!</v>
      </c>
      <c r="M81" s="97">
        <f t="shared" si="27"/>
        <v>24.04052537804019</v>
      </c>
      <c r="N81" s="97">
        <f t="shared" si="28"/>
        <v>137.68072811781306</v>
      </c>
      <c r="O81" s="97">
        <f t="shared" si="29"/>
        <v>894.92473276578494</v>
      </c>
      <c r="AC81" s="104">
        <f t="shared" si="25"/>
        <v>12955.080746614989</v>
      </c>
      <c r="AG81" s="111" t="s">
        <v>191</v>
      </c>
      <c r="AH81" s="112" t="s">
        <v>135</v>
      </c>
      <c r="AI81" s="127">
        <v>-35</v>
      </c>
      <c r="AJ81" s="114">
        <v>3500</v>
      </c>
      <c r="AK81" s="97">
        <f t="shared" si="24"/>
        <v>42.465000000000003</v>
      </c>
    </row>
    <row r="82" spans="1:38">
      <c r="A82" s="100">
        <v>14.5</v>
      </c>
      <c r="B82" s="100">
        <v>40</v>
      </c>
      <c r="C82" s="100">
        <v>32</v>
      </c>
      <c r="D82" s="100">
        <v>18</v>
      </c>
      <c r="E82" s="103" t="s">
        <v>141</v>
      </c>
      <c r="F82" s="100">
        <v>0</v>
      </c>
      <c r="G82" s="100">
        <v>0</v>
      </c>
      <c r="H82" s="98" t="e">
        <f>H81</f>
        <v>#REF!</v>
      </c>
      <c r="I82" s="97">
        <f t="shared" si="26"/>
        <v>113.64020273977286</v>
      </c>
      <c r="J82" s="100">
        <v>16</v>
      </c>
      <c r="K82" s="100">
        <v>300</v>
      </c>
      <c r="L82" s="98" t="e">
        <f>L81</f>
        <v>#REF!</v>
      </c>
      <c r="M82" s="97">
        <f t="shared" si="27"/>
        <v>19.232420302432153</v>
      </c>
      <c r="N82" s="97">
        <f t="shared" si="28"/>
        <v>132.87262304220502</v>
      </c>
      <c r="O82" s="97">
        <f t="shared" si="29"/>
        <v>12955.080746614989</v>
      </c>
      <c r="AC82" s="104">
        <f t="shared" si="25"/>
        <v>1677.3398067623432</v>
      </c>
      <c r="AG82" s="111" t="s">
        <v>192</v>
      </c>
      <c r="AH82" s="112" t="s">
        <v>135</v>
      </c>
      <c r="AI82" s="127">
        <v>-32.5</v>
      </c>
      <c r="AJ82" s="114">
        <v>3500</v>
      </c>
      <c r="AK82" s="97">
        <f t="shared" si="24"/>
        <v>39.965000000000003</v>
      </c>
    </row>
    <row r="83" spans="1:38">
      <c r="A83" s="100">
        <v>22</v>
      </c>
      <c r="B83" s="100">
        <v>40</v>
      </c>
      <c r="C83" s="100">
        <v>32</v>
      </c>
      <c r="D83" s="100">
        <v>18</v>
      </c>
      <c r="E83" s="103" t="s">
        <v>141</v>
      </c>
      <c r="F83" s="100">
        <v>16</v>
      </c>
      <c r="G83" s="100">
        <v>18</v>
      </c>
      <c r="H83" s="98" t="e">
        <f>MAX(#REF!)</f>
        <v>#REF!</v>
      </c>
      <c r="I83" s="97">
        <f t="shared" si="26"/>
        <v>142.05025342471609</v>
      </c>
      <c r="J83" s="100">
        <v>16</v>
      </c>
      <c r="K83" s="100">
        <v>300</v>
      </c>
      <c r="L83" s="98"/>
      <c r="M83" s="97">
        <f t="shared" si="27"/>
        <v>19.232420302432153</v>
      </c>
      <c r="N83" s="97">
        <f t="shared" si="28"/>
        <v>161.28267372714825</v>
      </c>
      <c r="O83" s="97">
        <f t="shared" si="29"/>
        <v>1677.3398067623432</v>
      </c>
      <c r="AC83">
        <f>N84*(21-A84)</f>
        <v>-85.756447777275696</v>
      </c>
      <c r="AG83" s="111" t="s">
        <v>193</v>
      </c>
      <c r="AH83" s="112" t="s">
        <v>135</v>
      </c>
      <c r="AI83" s="127">
        <v>-29.5</v>
      </c>
      <c r="AJ83" s="114">
        <v>3500</v>
      </c>
      <c r="AK83" s="97">
        <f t="shared" si="24"/>
        <v>36.965000000000003</v>
      </c>
    </row>
    <row r="84" spans="1:38" ht="15.75" thickBot="1">
      <c r="A84" s="100">
        <v>22.8</v>
      </c>
      <c r="B84" s="100">
        <v>40</v>
      </c>
      <c r="C84" s="100">
        <v>16</v>
      </c>
      <c r="D84" s="100">
        <v>18</v>
      </c>
      <c r="E84" s="103" t="s">
        <v>141</v>
      </c>
      <c r="F84" s="100">
        <v>0</v>
      </c>
      <c r="G84" s="100">
        <v>0</v>
      </c>
      <c r="H84" s="98" t="e">
        <f>H83</f>
        <v>#REF!</v>
      </c>
      <c r="I84" s="97">
        <f t="shared" si="26"/>
        <v>28.410050684943215</v>
      </c>
      <c r="J84" s="100">
        <v>16</v>
      </c>
      <c r="K84" s="100">
        <v>300</v>
      </c>
      <c r="L84" s="98"/>
      <c r="M84" s="97">
        <f t="shared" si="27"/>
        <v>19.232420302432153</v>
      </c>
      <c r="N84" s="97">
        <f t="shared" si="28"/>
        <v>47.642470987375368</v>
      </c>
      <c r="O84" s="97">
        <f>$Q$75*N84*(AL84-A84)</f>
        <v>11726.956021187518</v>
      </c>
      <c r="AC84" s="99">
        <f>SUM(AC75:AC83)</f>
        <v>55248.409175884881</v>
      </c>
      <c r="AD84" s="115">
        <f>O85-AC84</f>
        <v>11812.71246896479</v>
      </c>
      <c r="AE84" s="116"/>
      <c r="AF84" s="116"/>
      <c r="AG84" s="111" t="s">
        <v>168</v>
      </c>
      <c r="AH84" s="112" t="s">
        <v>135</v>
      </c>
      <c r="AI84" s="127">
        <v>-28</v>
      </c>
      <c r="AJ84" s="114">
        <v>3500</v>
      </c>
      <c r="AK84" s="97">
        <f t="shared" si="24"/>
        <v>35.465000000000003</v>
      </c>
      <c r="AL84" s="104">
        <f>AVERAGE(AK72:AK84)</f>
        <v>41.734230769230784</v>
      </c>
    </row>
    <row r="85" spans="1:38" ht="16.5" thickTop="1" thickBot="1">
      <c r="O85" s="99">
        <f>SUM(O76:O84)</f>
        <v>67061.121644849671</v>
      </c>
      <c r="P85" s="89" t="s">
        <v>148</v>
      </c>
      <c r="Q85" s="102">
        <f>O85/$D$9/Q75</f>
        <v>1.0135905982017777</v>
      </c>
      <c r="R85" t="s">
        <v>121</v>
      </c>
    </row>
    <row r="86" spans="1:38" ht="15.75" thickTop="1">
      <c r="P86" s="89" t="s">
        <v>148</v>
      </c>
      <c r="Q86" s="102">
        <f>(O85/Q75)/('ss_ IFIR Summary (03.07)'!O80/'ss_ IFIR Summary (03.07)'!Q70)</f>
        <v>0.83731421272484674</v>
      </c>
      <c r="R86" t="s">
        <v>224</v>
      </c>
      <c r="AG86" s="144" t="s">
        <v>194</v>
      </c>
      <c r="AH86" s="144"/>
      <c r="AI86" s="144"/>
      <c r="AJ86" s="144"/>
      <c r="AK86" s="144"/>
    </row>
    <row r="87" spans="1:38" ht="18.75">
      <c r="A87" s="1" t="s">
        <v>195</v>
      </c>
      <c r="AG87" s="3" t="s">
        <v>17</v>
      </c>
      <c r="AH87" s="3" t="s">
        <v>128</v>
      </c>
      <c r="AI87" s="3" t="s">
        <v>129</v>
      </c>
      <c r="AJ87" s="3" t="s">
        <v>130</v>
      </c>
      <c r="AK87" s="3" t="s">
        <v>131</v>
      </c>
    </row>
    <row r="88" spans="1:38">
      <c r="AG88" s="111" t="s">
        <v>176</v>
      </c>
      <c r="AH88" s="112" t="s">
        <v>154</v>
      </c>
      <c r="AI88" s="127">
        <v>-33</v>
      </c>
      <c r="AJ88" s="114">
        <v>4000</v>
      </c>
      <c r="AK88" s="97">
        <f>AH88-AI88+AJ88/1000</f>
        <v>40.765000000000001</v>
      </c>
    </row>
    <row r="89" spans="1:38">
      <c r="A89" s="145" t="s">
        <v>151</v>
      </c>
      <c r="B89" s="146" t="s">
        <v>132</v>
      </c>
      <c r="C89" s="144" t="s">
        <v>133</v>
      </c>
      <c r="D89" s="144"/>
      <c r="E89" s="144"/>
      <c r="F89" s="144"/>
      <c r="G89" s="144"/>
      <c r="H89" s="144"/>
      <c r="I89" s="144"/>
      <c r="J89" s="144" t="s">
        <v>72</v>
      </c>
      <c r="K89" s="144"/>
      <c r="L89" s="144"/>
      <c r="M89" s="144"/>
      <c r="N89" s="146" t="s">
        <v>109</v>
      </c>
      <c r="O89" s="146" t="s">
        <v>110</v>
      </c>
      <c r="Q89" t="s">
        <v>197</v>
      </c>
      <c r="AG89" s="111" t="s">
        <v>196</v>
      </c>
      <c r="AH89" s="112" t="s">
        <v>154</v>
      </c>
      <c r="AI89" s="127">
        <v>-34.5</v>
      </c>
      <c r="AJ89" s="114">
        <v>3500</v>
      </c>
      <c r="AK89" s="97">
        <f t="shared" ref="AK89:AK99" si="30">AH89-AI89+AJ89/1000</f>
        <v>41.765000000000001</v>
      </c>
    </row>
    <row r="90" spans="1:38">
      <c r="A90" s="145"/>
      <c r="B90" s="146"/>
      <c r="C90" s="3" t="s">
        <v>136</v>
      </c>
      <c r="D90" s="3" t="s">
        <v>137</v>
      </c>
      <c r="F90" s="3" t="s">
        <v>136</v>
      </c>
      <c r="G90" s="3" t="s">
        <v>137</v>
      </c>
      <c r="H90" s="3" t="s">
        <v>138</v>
      </c>
      <c r="I90" s="3" t="s">
        <v>109</v>
      </c>
      <c r="J90" s="3" t="s">
        <v>136</v>
      </c>
      <c r="K90" s="3" t="s">
        <v>139</v>
      </c>
      <c r="L90" s="3" t="s">
        <v>138</v>
      </c>
      <c r="M90" s="3" t="s">
        <v>109</v>
      </c>
      <c r="N90" s="146"/>
      <c r="O90" s="146"/>
      <c r="Q90" s="5">
        <v>13</v>
      </c>
      <c r="AC90" s="104">
        <f>O91</f>
        <v>12092.930250419564</v>
      </c>
      <c r="AG90" s="111" t="s">
        <v>198</v>
      </c>
      <c r="AH90" s="112" t="s">
        <v>154</v>
      </c>
      <c r="AI90" s="127">
        <v>-35</v>
      </c>
      <c r="AJ90" s="114">
        <v>3500</v>
      </c>
      <c r="AK90" s="97">
        <f t="shared" si="30"/>
        <v>42.265000000000001</v>
      </c>
    </row>
    <row r="91" spans="1:38">
      <c r="A91" s="100">
        <v>0</v>
      </c>
      <c r="B91" s="100">
        <v>40</v>
      </c>
      <c r="C91" s="100">
        <v>25</v>
      </c>
      <c r="D91" s="100">
        <f>'[4]Max permutation (Zone D, top)'!$Q$47</f>
        <v>18</v>
      </c>
      <c r="E91" s="103" t="s">
        <v>141</v>
      </c>
      <c r="F91" s="100">
        <v>0</v>
      </c>
      <c r="G91" s="100">
        <v>0</v>
      </c>
      <c r="H91" s="98" t="e">
        <f>#REF!</f>
        <v>#REF!</v>
      </c>
      <c r="I91" s="97">
        <f>$C$11*((D91*PI()*((C91/1000)^2)/4)+(G91*PI()*((F91/1000)^2)/4))</f>
        <v>69.36047530503717</v>
      </c>
      <c r="J91" s="100">
        <v>16</v>
      </c>
      <c r="K91" s="100">
        <v>300</v>
      </c>
      <c r="L91" s="98" t="e">
        <f>MAX(#REF!,#REF!)</f>
        <v>#REF!</v>
      </c>
      <c r="M91" s="97">
        <f>$C$11*$C$14*PI()*((J91/1000)^2)/4*1000/K91</f>
        <v>19.232420302432153</v>
      </c>
      <c r="N91" s="97">
        <f>I91+M91</f>
        <v>88.59289560746933</v>
      </c>
      <c r="O91" s="97">
        <f>$Q$90*N91*(A92-A91)</f>
        <v>12092.930250419564</v>
      </c>
      <c r="AC91" s="104">
        <f>O92</f>
        <v>3080.0907327938767</v>
      </c>
      <c r="AG91" s="111" t="s">
        <v>199</v>
      </c>
      <c r="AH91" s="112" t="s">
        <v>154</v>
      </c>
      <c r="AI91" s="127">
        <v>-36</v>
      </c>
      <c r="AJ91" s="114">
        <v>3500</v>
      </c>
      <c r="AK91" s="97">
        <f t="shared" si="30"/>
        <v>43.265000000000001</v>
      </c>
    </row>
    <row r="92" spans="1:38">
      <c r="A92" s="100">
        <v>10.5</v>
      </c>
      <c r="B92" s="100">
        <v>40</v>
      </c>
      <c r="C92" s="100">
        <v>25</v>
      </c>
      <c r="D92" s="100">
        <v>18</v>
      </c>
      <c r="E92" s="103" t="s">
        <v>141</v>
      </c>
      <c r="F92" s="100">
        <v>25</v>
      </c>
      <c r="G92" s="100">
        <v>18</v>
      </c>
      <c r="H92" s="98" t="e">
        <f>#REF!</f>
        <v>#REF!</v>
      </c>
      <c r="I92" s="97">
        <f>$C$11*((D92*PI()*((C92/1000)^2)/4)+(G92*PI()*((F92/1000)^2)/4))</f>
        <v>138.72095061007434</v>
      </c>
      <c r="J92" s="100">
        <v>16</v>
      </c>
      <c r="K92" s="100">
        <v>300</v>
      </c>
      <c r="L92" s="98" t="e">
        <f>MAX(#REF!,#REF!)</f>
        <v>#REF!</v>
      </c>
      <c r="M92" s="97">
        <f t="shared" ref="M92:M101" si="31">$C$11*$C$14*PI()*((J92/1000)^2)/4*1000/K92</f>
        <v>19.232420302432153</v>
      </c>
      <c r="N92" s="97">
        <f>I92+M92</f>
        <v>157.9533709125065</v>
      </c>
      <c r="O92" s="97">
        <f>$Q$90*N92*(A93-A92)</f>
        <v>3080.0907327938767</v>
      </c>
      <c r="Q92" t="s">
        <v>223</v>
      </c>
      <c r="AC92">
        <f>N93*(30-A93)</f>
        <v>1594.672120934448</v>
      </c>
      <c r="AG92" s="111" t="s">
        <v>200</v>
      </c>
      <c r="AH92" s="112" t="s">
        <v>154</v>
      </c>
      <c r="AI92" s="127">
        <v>-36.5</v>
      </c>
      <c r="AJ92" s="114">
        <v>3500</v>
      </c>
      <c r="AK92" s="97">
        <f t="shared" si="30"/>
        <v>43.765000000000001</v>
      </c>
    </row>
    <row r="93" spans="1:38">
      <c r="A93" s="100">
        <v>12</v>
      </c>
      <c r="B93" s="100">
        <v>40</v>
      </c>
      <c r="C93" s="100">
        <v>25</v>
      </c>
      <c r="D93" s="100">
        <v>18</v>
      </c>
      <c r="E93" s="103" t="s">
        <v>141</v>
      </c>
      <c r="F93" s="100">
        <v>0</v>
      </c>
      <c r="G93" s="100">
        <v>0</v>
      </c>
      <c r="H93" s="98" t="e">
        <f>#REF!</f>
        <v>#REF!</v>
      </c>
      <c r="I93" s="97">
        <f>$C$11*((D93*PI()*((C93/1000)^2)/4)+(G93*PI()*((F93/1000)^2)/4))</f>
        <v>69.36047530503717</v>
      </c>
      <c r="J93" s="100">
        <v>16</v>
      </c>
      <c r="K93" s="100">
        <v>300</v>
      </c>
      <c r="L93" s="98"/>
      <c r="M93" s="97">
        <f t="shared" si="31"/>
        <v>19.232420302432153</v>
      </c>
      <c r="N93" s="97">
        <f>I93+M93</f>
        <v>88.59289560746933</v>
      </c>
      <c r="O93" s="97">
        <f>$Q$90*N93*(A94-A93)</f>
        <v>921.36611431768188</v>
      </c>
      <c r="Q93" s="96">
        <f>O102/Q90</f>
        <v>4686.645155084113</v>
      </c>
      <c r="R93" t="s">
        <v>111</v>
      </c>
      <c r="AC93">
        <f>N101*(30-A94)</f>
        <v>819.45050098285628</v>
      </c>
      <c r="AG93" s="111" t="s">
        <v>201</v>
      </c>
      <c r="AH93" s="112" t="s">
        <v>154</v>
      </c>
      <c r="AI93" s="127">
        <v>-37.5</v>
      </c>
      <c r="AJ93" s="114">
        <v>3500</v>
      </c>
      <c r="AK93" s="97">
        <f t="shared" si="30"/>
        <v>44.765000000000001</v>
      </c>
    </row>
    <row r="94" spans="1:38" ht="15.75" thickBot="1">
      <c r="A94" s="100">
        <v>12.8</v>
      </c>
      <c r="B94" s="100">
        <v>40</v>
      </c>
      <c r="C94" s="100">
        <v>25</v>
      </c>
      <c r="D94" s="100">
        <v>18</v>
      </c>
      <c r="E94" s="103" t="s">
        <v>141</v>
      </c>
      <c r="F94" s="100">
        <v>32</v>
      </c>
      <c r="G94" s="100">
        <v>18</v>
      </c>
      <c r="H94" s="98" t="e">
        <f>#REF!</f>
        <v>#REF!</v>
      </c>
      <c r="I94" s="97">
        <f t="shared" ref="I94:I100" si="32">$C$11*((D94*PI()*((C94/1000)^2)/4)+(G94*PI()*((F94/1000)^2)/4))</f>
        <v>183.00067804481006</v>
      </c>
      <c r="J94" s="100">
        <v>16</v>
      </c>
      <c r="K94" s="100">
        <v>300</v>
      </c>
      <c r="L94" s="98"/>
      <c r="M94" s="97">
        <f t="shared" si="31"/>
        <v>19.232420302432153</v>
      </c>
      <c r="N94" s="97">
        <f t="shared" ref="N94:N100" si="33">I94+M94</f>
        <v>202.23309834724222</v>
      </c>
      <c r="O94" s="97">
        <f t="shared" ref="O94:O100" si="34">$Q$90*N94*(A95-A94)</f>
        <v>3154.8363342169769</v>
      </c>
      <c r="AC94" s="99">
        <f>SUM(AC90:AC93)</f>
        <v>17587.143605130746</v>
      </c>
      <c r="AD94" s="115">
        <f>O102-AC94</f>
        <v>43339.243410962721</v>
      </c>
      <c r="AG94" s="111" t="s">
        <v>202</v>
      </c>
      <c r="AH94" s="112" t="s">
        <v>154</v>
      </c>
      <c r="AI94" s="127">
        <v>-37</v>
      </c>
      <c r="AJ94" s="114">
        <v>3500</v>
      </c>
      <c r="AK94" s="97">
        <f t="shared" si="30"/>
        <v>44.265000000000001</v>
      </c>
    </row>
    <row r="95" spans="1:38" ht="15.75" thickTop="1">
      <c r="A95" s="100">
        <v>14</v>
      </c>
      <c r="B95" s="100">
        <v>40</v>
      </c>
      <c r="C95" s="100">
        <v>32</v>
      </c>
      <c r="D95" s="100">
        <v>18</v>
      </c>
      <c r="E95" s="103" t="s">
        <v>141</v>
      </c>
      <c r="F95" s="100">
        <v>0</v>
      </c>
      <c r="G95" s="100">
        <v>0</v>
      </c>
      <c r="H95" s="98" t="e">
        <f>#REF!</f>
        <v>#REF!</v>
      </c>
      <c r="I95" s="97">
        <f t="shared" si="32"/>
        <v>113.64020273977286</v>
      </c>
      <c r="J95" s="100">
        <v>16</v>
      </c>
      <c r="K95" s="100">
        <v>300</v>
      </c>
      <c r="L95" s="98"/>
      <c r="M95" s="97">
        <f t="shared" si="31"/>
        <v>19.232420302432153</v>
      </c>
      <c r="N95" s="97">
        <f t="shared" si="33"/>
        <v>132.87262304220502</v>
      </c>
      <c r="O95" s="97">
        <f t="shared" si="34"/>
        <v>10882.267827156593</v>
      </c>
      <c r="AG95" s="111" t="s">
        <v>203</v>
      </c>
      <c r="AH95" s="112" t="s">
        <v>154</v>
      </c>
      <c r="AI95" s="127">
        <v>-37</v>
      </c>
      <c r="AJ95" s="114">
        <v>3500</v>
      </c>
      <c r="AK95" s="97">
        <f t="shared" si="30"/>
        <v>44.265000000000001</v>
      </c>
    </row>
    <row r="96" spans="1:38">
      <c r="A96" s="100">
        <v>20.3</v>
      </c>
      <c r="B96" s="100">
        <v>40</v>
      </c>
      <c r="C96" s="100">
        <v>32</v>
      </c>
      <c r="D96" s="100">
        <v>18</v>
      </c>
      <c r="E96" s="103" t="s">
        <v>141</v>
      </c>
      <c r="F96" s="100">
        <v>32</v>
      </c>
      <c r="G96" s="100">
        <v>18</v>
      </c>
      <c r="H96" s="98" t="e">
        <f>#REF!</f>
        <v>#REF!</v>
      </c>
      <c r="I96" s="97">
        <f t="shared" si="32"/>
        <v>227.28040547954572</v>
      </c>
      <c r="J96" s="100">
        <v>16</v>
      </c>
      <c r="K96" s="100">
        <v>300</v>
      </c>
      <c r="L96" s="98"/>
      <c r="M96" s="97">
        <f t="shared" si="31"/>
        <v>19.232420302432153</v>
      </c>
      <c r="N96" s="97">
        <f t="shared" si="33"/>
        <v>246.51282578197788</v>
      </c>
      <c r="O96" s="97">
        <f t="shared" si="34"/>
        <v>4807.0001027485687</v>
      </c>
      <c r="AG96" s="111" t="s">
        <v>204</v>
      </c>
      <c r="AH96" s="112" t="s">
        <v>154</v>
      </c>
      <c r="AI96" s="127">
        <v>-36</v>
      </c>
      <c r="AJ96" s="114">
        <v>3500</v>
      </c>
      <c r="AK96" s="97">
        <f t="shared" si="30"/>
        <v>43.265000000000001</v>
      </c>
    </row>
    <row r="97" spans="1:38">
      <c r="A97" s="100">
        <v>21.8</v>
      </c>
      <c r="B97" s="100">
        <v>40</v>
      </c>
      <c r="C97" s="100">
        <v>32</v>
      </c>
      <c r="D97" s="100">
        <v>18</v>
      </c>
      <c r="E97" s="103" t="s">
        <v>141</v>
      </c>
      <c r="F97" s="100">
        <v>0</v>
      </c>
      <c r="G97" s="100">
        <v>0</v>
      </c>
      <c r="H97" s="98" t="e">
        <f>#REF!</f>
        <v>#REF!</v>
      </c>
      <c r="I97" s="97">
        <f t="shared" si="32"/>
        <v>113.64020273977286</v>
      </c>
      <c r="J97" s="100">
        <v>16</v>
      </c>
      <c r="K97" s="100">
        <v>300</v>
      </c>
      <c r="L97" s="98"/>
      <c r="M97" s="97">
        <f t="shared" si="31"/>
        <v>19.232420302432153</v>
      </c>
      <c r="N97" s="97">
        <f t="shared" si="33"/>
        <v>132.87262304220502</v>
      </c>
      <c r="O97" s="97">
        <f t="shared" si="34"/>
        <v>10709.533417201725</v>
      </c>
      <c r="AG97" s="111" t="s">
        <v>205</v>
      </c>
      <c r="AH97" s="112" t="s">
        <v>154</v>
      </c>
      <c r="AI97" s="127">
        <v>-35</v>
      </c>
      <c r="AJ97" s="114">
        <v>3500</v>
      </c>
      <c r="AK97" s="97">
        <f t="shared" si="30"/>
        <v>42.265000000000001</v>
      </c>
    </row>
    <row r="98" spans="1:38">
      <c r="A98" s="100">
        <v>28</v>
      </c>
      <c r="B98" s="100">
        <v>40</v>
      </c>
      <c r="C98" s="100">
        <v>32</v>
      </c>
      <c r="D98" s="100">
        <v>18</v>
      </c>
      <c r="E98" s="103" t="s">
        <v>141</v>
      </c>
      <c r="F98" s="100">
        <v>25</v>
      </c>
      <c r="G98" s="100">
        <v>18</v>
      </c>
      <c r="H98" s="98" t="e">
        <f>#REF!</f>
        <v>#REF!</v>
      </c>
      <c r="I98" s="97">
        <f t="shared" si="32"/>
        <v>183.00067804481006</v>
      </c>
      <c r="J98" s="100">
        <v>16</v>
      </c>
      <c r="K98" s="100">
        <v>300</v>
      </c>
      <c r="L98" s="98"/>
      <c r="M98" s="97">
        <f t="shared" si="31"/>
        <v>19.232420302432153</v>
      </c>
      <c r="N98" s="97">
        <f t="shared" si="33"/>
        <v>202.23309834724222</v>
      </c>
      <c r="O98" s="97">
        <f t="shared" si="34"/>
        <v>3154.8363342169769</v>
      </c>
      <c r="AG98" s="111" t="s">
        <v>206</v>
      </c>
      <c r="AH98" s="112" t="s">
        <v>154</v>
      </c>
      <c r="AI98" s="127">
        <v>-32.5</v>
      </c>
      <c r="AJ98" s="114">
        <v>4000</v>
      </c>
      <c r="AK98" s="97">
        <f t="shared" si="30"/>
        <v>40.265000000000001</v>
      </c>
    </row>
    <row r="99" spans="1:38">
      <c r="A99" s="100">
        <v>29.2</v>
      </c>
      <c r="B99" s="100">
        <v>40</v>
      </c>
      <c r="C99" s="100">
        <v>25</v>
      </c>
      <c r="D99" s="100">
        <v>18</v>
      </c>
      <c r="E99" s="103" t="s">
        <v>141</v>
      </c>
      <c r="F99" s="100">
        <v>0</v>
      </c>
      <c r="G99" s="100">
        <v>0</v>
      </c>
      <c r="H99" s="98" t="e">
        <f>#REF!</f>
        <v>#REF!</v>
      </c>
      <c r="I99" s="97">
        <f t="shared" si="32"/>
        <v>69.36047530503717</v>
      </c>
      <c r="J99" s="100">
        <v>16</v>
      </c>
      <c r="K99" s="100">
        <v>300</v>
      </c>
      <c r="L99" s="98"/>
      <c r="M99" s="97">
        <f t="shared" si="31"/>
        <v>19.232420302432153</v>
      </c>
      <c r="N99" s="97">
        <f t="shared" si="33"/>
        <v>88.59289560746933</v>
      </c>
      <c r="O99" s="97">
        <f t="shared" si="34"/>
        <v>7831.6119717002894</v>
      </c>
      <c r="AG99" s="111" t="s">
        <v>207</v>
      </c>
      <c r="AH99" s="112" t="s">
        <v>154</v>
      </c>
      <c r="AI99" s="127">
        <v>-30.5</v>
      </c>
      <c r="AJ99" s="114">
        <v>4000</v>
      </c>
      <c r="AK99" s="97">
        <f t="shared" si="30"/>
        <v>38.265000000000001</v>
      </c>
    </row>
    <row r="100" spans="1:38">
      <c r="A100" s="100">
        <v>36</v>
      </c>
      <c r="B100" s="100">
        <v>40</v>
      </c>
      <c r="C100" s="100">
        <v>25</v>
      </c>
      <c r="D100" s="100">
        <v>18</v>
      </c>
      <c r="E100" s="103" t="s">
        <v>141</v>
      </c>
      <c r="F100" s="100">
        <v>16</v>
      </c>
      <c r="G100" s="100">
        <v>18</v>
      </c>
      <c r="H100" s="98" t="e">
        <f>#REF!</f>
        <v>#REF!</v>
      </c>
      <c r="I100" s="97">
        <f t="shared" si="32"/>
        <v>97.770525989980385</v>
      </c>
      <c r="J100" s="100">
        <v>16</v>
      </c>
      <c r="K100" s="100">
        <v>300</v>
      </c>
      <c r="L100" s="98"/>
      <c r="M100" s="97">
        <f t="shared" si="31"/>
        <v>19.232420302432153</v>
      </c>
      <c r="N100" s="97">
        <f t="shared" si="33"/>
        <v>117.00294629241253</v>
      </c>
      <c r="O100" s="97">
        <f t="shared" si="34"/>
        <v>1216.8306414410861</v>
      </c>
      <c r="AG100" s="111" t="s">
        <v>177</v>
      </c>
      <c r="AH100" s="112" t="s">
        <v>154</v>
      </c>
      <c r="AI100" s="127">
        <v>-26</v>
      </c>
      <c r="AJ100" s="114">
        <v>4000</v>
      </c>
      <c r="AK100" s="97">
        <f>AH100-AI100+AJ100/1000</f>
        <v>33.765000000000001</v>
      </c>
      <c r="AL100" s="104">
        <f>AVERAGE(AK88:AK100)</f>
        <v>41.764999999999993</v>
      </c>
    </row>
    <row r="101" spans="1:38">
      <c r="A101" s="100">
        <v>36.799999999999997</v>
      </c>
      <c r="B101" s="100">
        <v>40</v>
      </c>
      <c r="C101" s="100">
        <v>16</v>
      </c>
      <c r="D101" s="100">
        <v>18</v>
      </c>
      <c r="E101" s="103" t="s">
        <v>141</v>
      </c>
      <c r="F101" s="100">
        <v>0</v>
      </c>
      <c r="G101" s="100">
        <v>0</v>
      </c>
      <c r="H101" s="98" t="e">
        <f>MAX(#REF!)</f>
        <v>#REF!</v>
      </c>
      <c r="I101" s="97">
        <f>$C$11*((D101*PI()*((C101/1000)^2)/4)+(G101*PI()*((F101/1000)^2)/4))</f>
        <v>28.410050684943215</v>
      </c>
      <c r="J101" s="100">
        <v>16</v>
      </c>
      <c r="K101" s="100">
        <v>300</v>
      </c>
      <c r="L101" s="98"/>
      <c r="M101" s="97">
        <f t="shared" si="31"/>
        <v>19.232420302432153</v>
      </c>
      <c r="N101" s="97">
        <f>I101+M101</f>
        <v>47.642470987375368</v>
      </c>
      <c r="O101" s="97">
        <f>$Q$90*N101*($AL$100-A101)</f>
        <v>3075.0832898801409</v>
      </c>
    </row>
    <row r="102" spans="1:38" ht="15.75" thickBot="1">
      <c r="O102" s="99">
        <f>SUM(O91:O101)</f>
        <v>60926.387016093468</v>
      </c>
      <c r="P102" s="89" t="s">
        <v>148</v>
      </c>
      <c r="Q102" s="102">
        <f>O102/$I$8/Q90</f>
        <v>0.92086758388804801</v>
      </c>
      <c r="R102" t="s">
        <v>121</v>
      </c>
    </row>
    <row r="103" spans="1:38" ht="15.75" thickTop="1">
      <c r="P103" s="89" t="s">
        <v>148</v>
      </c>
      <c r="Q103" s="102" t="e">
        <f>(O102/Q90)/('ss_ IFIR Summary (03.07)'!O90/'ss_ IFIR Summary (03.07)'!Q85)</f>
        <v>#REF!</v>
      </c>
      <c r="R103" t="s">
        <v>224</v>
      </c>
    </row>
    <row r="104" spans="1:38">
      <c r="A104" t="s">
        <v>225</v>
      </c>
      <c r="D104" s="110">
        <f>T17+T31+Q45+Q60+Q75+Q90</f>
        <v>50</v>
      </c>
    </row>
    <row r="105" spans="1:38">
      <c r="A105" t="s">
        <v>226</v>
      </c>
      <c r="D105" s="131" t="e">
        <f>Q26+Q40+O55+O70+O85+O102</f>
        <v>#REF!</v>
      </c>
      <c r="E105" t="s">
        <v>111</v>
      </c>
    </row>
  </sheetData>
  <mergeCells count="55">
    <mergeCell ref="AG86:AK86"/>
    <mergeCell ref="A89:A90"/>
    <mergeCell ref="B89:B90"/>
    <mergeCell ref="C89:I89"/>
    <mergeCell ref="J89:M89"/>
    <mergeCell ref="N89:N90"/>
    <mergeCell ref="O89:O90"/>
    <mergeCell ref="AG70:AK70"/>
    <mergeCell ref="A74:A75"/>
    <mergeCell ref="B74:B75"/>
    <mergeCell ref="C74:I74"/>
    <mergeCell ref="J74:M74"/>
    <mergeCell ref="N74:N75"/>
    <mergeCell ref="O74:O75"/>
    <mergeCell ref="AG56:AK56"/>
    <mergeCell ref="A59:A60"/>
    <mergeCell ref="B59:B60"/>
    <mergeCell ref="C59:I59"/>
    <mergeCell ref="J59:M59"/>
    <mergeCell ref="N59:N60"/>
    <mergeCell ref="O59:O60"/>
    <mergeCell ref="AG43:AK43"/>
    <mergeCell ref="A44:A45"/>
    <mergeCell ref="B44:B45"/>
    <mergeCell ref="C44:I44"/>
    <mergeCell ref="J44:M44"/>
    <mergeCell ref="N44:N45"/>
    <mergeCell ref="O44:O45"/>
    <mergeCell ref="AF28:AJ28"/>
    <mergeCell ref="A30:A31"/>
    <mergeCell ref="B30:B31"/>
    <mergeCell ref="C30:I30"/>
    <mergeCell ref="J30:M30"/>
    <mergeCell ref="N30:N31"/>
    <mergeCell ref="O30:O31"/>
    <mergeCell ref="P30:Q30"/>
    <mergeCell ref="AF16:AJ16"/>
    <mergeCell ref="A18:A19"/>
    <mergeCell ref="B18:B19"/>
    <mergeCell ref="C18:I18"/>
    <mergeCell ref="J18:M18"/>
    <mergeCell ref="N18:N19"/>
    <mergeCell ref="O18:O19"/>
    <mergeCell ref="P16:Q16"/>
    <mergeCell ref="H4:H5"/>
    <mergeCell ref="I4:I5"/>
    <mergeCell ref="G10:I10"/>
    <mergeCell ref="J10:L10"/>
    <mergeCell ref="M10:O10"/>
    <mergeCell ref="G4:G5"/>
    <mergeCell ref="A4:A5"/>
    <mergeCell ref="B4:B5"/>
    <mergeCell ref="C4:C5"/>
    <mergeCell ref="D4:D5"/>
    <mergeCell ref="F4:F5"/>
  </mergeCells>
  <conditionalFormatting sqref="H20 L20 H32 L32 L22 H22:H25 H46:H51 L46:L54 H76:H84 L76:L84 H61:H69 L61:L69 H91:H101">
    <cfRule type="cellIs" dxfId="27" priority="27" operator="between">
      <formula>0</formula>
      <formula>1</formula>
    </cfRule>
    <cfRule type="cellIs" dxfId="26" priority="28" operator="greaterThan">
      <formula>1</formula>
    </cfRule>
  </conditionalFormatting>
  <conditionalFormatting sqref="H52:H54">
    <cfRule type="cellIs" dxfId="25" priority="25" operator="between">
      <formula>0</formula>
      <formula>1</formula>
    </cfRule>
    <cfRule type="cellIs" dxfId="24" priority="26" operator="greaterThan">
      <formula>1</formula>
    </cfRule>
  </conditionalFormatting>
  <conditionalFormatting sqref="H21">
    <cfRule type="cellIs" dxfId="23" priority="23" operator="between">
      <formula>0</formula>
      <formula>1</formula>
    </cfRule>
    <cfRule type="cellIs" dxfId="22" priority="24" operator="greaterThan">
      <formula>1</formula>
    </cfRule>
  </conditionalFormatting>
  <conditionalFormatting sqref="L91:L100">
    <cfRule type="cellIs" dxfId="21" priority="21" operator="between">
      <formula>0</formula>
      <formula>1</formula>
    </cfRule>
    <cfRule type="cellIs" dxfId="20" priority="22" operator="greaterThan">
      <formula>1</formula>
    </cfRule>
  </conditionalFormatting>
  <conditionalFormatting sqref="L101">
    <cfRule type="cellIs" dxfId="19" priority="19" operator="between">
      <formula>0</formula>
      <formula>1</formula>
    </cfRule>
    <cfRule type="cellIs" dxfId="18" priority="20" operator="greaterThan">
      <formula>1</formula>
    </cfRule>
  </conditionalFormatting>
  <conditionalFormatting sqref="L21">
    <cfRule type="cellIs" dxfId="17" priority="17" operator="between">
      <formula>0</formula>
      <formula>1</formula>
    </cfRule>
    <cfRule type="cellIs" dxfId="16" priority="18" operator="greaterThan">
      <formula>1</formula>
    </cfRule>
  </conditionalFormatting>
  <conditionalFormatting sqref="L23:L24">
    <cfRule type="cellIs" dxfId="15" priority="15" operator="between">
      <formula>0</formula>
      <formula>1</formula>
    </cfRule>
    <cfRule type="cellIs" dxfId="14" priority="16" operator="greaterThan">
      <formula>1</formula>
    </cfRule>
  </conditionalFormatting>
  <conditionalFormatting sqref="H39">
    <cfRule type="cellIs" dxfId="13" priority="3" operator="between">
      <formula>0</formula>
      <formula>1</formula>
    </cfRule>
    <cfRule type="cellIs" dxfId="12" priority="4" operator="greaterThan">
      <formula>1</formula>
    </cfRule>
  </conditionalFormatting>
  <conditionalFormatting sqref="L25">
    <cfRule type="cellIs" dxfId="11" priority="13" operator="between">
      <formula>0</formula>
      <formula>1</formula>
    </cfRule>
    <cfRule type="cellIs" dxfId="10" priority="14" operator="greaterThan">
      <formula>1</formula>
    </cfRule>
  </conditionalFormatting>
  <conditionalFormatting sqref="L33:L34">
    <cfRule type="cellIs" dxfId="9" priority="11" operator="between">
      <formula>0</formula>
      <formula>1</formula>
    </cfRule>
    <cfRule type="cellIs" dxfId="8" priority="12" operator="greaterThan">
      <formula>1</formula>
    </cfRule>
  </conditionalFormatting>
  <conditionalFormatting sqref="L35">
    <cfRule type="cellIs" dxfId="7" priority="9" operator="between">
      <formula>0</formula>
      <formula>1</formula>
    </cfRule>
    <cfRule type="cellIs" dxfId="6" priority="10" operator="greaterThan">
      <formula>1</formula>
    </cfRule>
  </conditionalFormatting>
  <conditionalFormatting sqref="L36:L39">
    <cfRule type="cellIs" dxfId="5" priority="7" operator="between">
      <formula>0</formula>
      <formula>1</formula>
    </cfRule>
    <cfRule type="cellIs" dxfId="4" priority="8" operator="greaterThan">
      <formula>1</formula>
    </cfRule>
  </conditionalFormatting>
  <conditionalFormatting sqref="H38">
    <cfRule type="cellIs" dxfId="3" priority="5" operator="between">
      <formula>0</formula>
      <formula>1</formula>
    </cfRule>
    <cfRule type="cellIs" dxfId="2" priority="6" operator="greaterThan">
      <formula>1</formula>
    </cfRule>
  </conditionalFormatting>
  <conditionalFormatting sqref="H33:H37">
    <cfRule type="cellIs" dxfId="1" priority="1" operator="between">
      <formula>0</formula>
      <formula>1</formula>
    </cfRule>
    <cfRule type="cellIs" dxfId="0" priority="2" operator="greaterThan">
      <formula>1</formula>
    </cfRule>
  </conditionalFormatting>
  <pageMargins left="0.7" right="0.7" top="0.75" bottom="0.75" header="0.3" footer="0.3"/>
  <pageSetup paperSize="9" scale="57" orientation="landscape" r:id="rId1"/>
  <rowBreaks count="1" manualBreakCount="1">
    <brk id="55" max="16383" man="1"/>
  </rowBreaks>
  <colBreaks count="1" manualBreakCount="1">
    <brk id="20" max="1048575" man="1"/>
  </col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0B010-5FED-40E5-819F-38AA9E056FFE}">
  <sheetPr>
    <tabColor theme="5" tint="0.39997558519241921"/>
    <pageSetUpPr fitToPage="1"/>
  </sheetPr>
  <dimension ref="A1:R116"/>
  <sheetViews>
    <sheetView showGridLines="0" tabSelected="1" view="pageBreakPreview" topLeftCell="B36" zoomScale="130" zoomScaleNormal="100" zoomScaleSheetLayoutView="130" workbookViewId="0">
      <selection activeCell="C57" sqref="C57"/>
    </sheetView>
  </sheetViews>
  <sheetFormatPr defaultColWidth="9.140625" defaultRowHeight="12.75"/>
  <cols>
    <col min="1" max="1" width="11" style="4" customWidth="1"/>
    <col min="2" max="3" width="12.5703125" style="4" customWidth="1"/>
    <col min="4" max="4" width="11" style="4" customWidth="1"/>
    <col min="5" max="5" width="8.42578125" style="4" customWidth="1"/>
    <col min="6" max="6" width="11.42578125" style="4" customWidth="1"/>
    <col min="7" max="7" width="1.85546875" style="4" customWidth="1"/>
    <col min="8" max="8" width="8.42578125" style="4" customWidth="1"/>
    <col min="9" max="9" width="11.42578125" style="4" customWidth="1"/>
    <col min="10" max="11" width="10.42578125" style="4" customWidth="1"/>
    <col min="12" max="12" width="10.5703125" style="4" customWidth="1"/>
    <col min="13" max="13" width="10" style="4" customWidth="1"/>
    <col min="14" max="14" width="11" style="4" bestFit="1" customWidth="1"/>
    <col min="15" max="15" width="12" style="4" customWidth="1"/>
    <col min="16" max="16" width="11.140625" style="4" customWidth="1"/>
    <col min="17" max="17" width="9.5703125" style="4" customWidth="1"/>
    <col min="18" max="18" width="10.42578125" style="4" customWidth="1"/>
    <col min="19" max="19" width="8.5703125" style="4" customWidth="1"/>
    <col min="20" max="20" width="11" style="4" customWidth="1"/>
    <col min="21" max="21" width="13.42578125" style="4" bestFit="1" customWidth="1"/>
    <col min="22" max="22" width="9.42578125" style="4" customWidth="1"/>
    <col min="23" max="23" width="7.5703125" style="4" customWidth="1"/>
    <col min="24" max="24" width="11.42578125" style="4" customWidth="1"/>
    <col min="25" max="25" width="9.42578125" style="4" customWidth="1"/>
    <col min="26" max="26" width="11.42578125" style="4" customWidth="1"/>
    <col min="27" max="27" width="13.42578125" style="4" bestFit="1" customWidth="1"/>
    <col min="28" max="28" width="5.5703125" style="4" bestFit="1" customWidth="1"/>
    <col min="29" max="29" width="19.5703125" style="4" bestFit="1" customWidth="1"/>
    <col min="30" max="30" width="1.42578125" style="4" customWidth="1"/>
    <col min="31" max="31" width="13.42578125" style="4" bestFit="1" customWidth="1"/>
    <col min="32" max="32" width="8.5703125" style="4" bestFit="1" customWidth="1"/>
    <col min="33" max="33" width="8.85546875" style="4" bestFit="1" customWidth="1"/>
    <col min="34" max="256" width="9.140625" style="4"/>
    <col min="257" max="257" width="11" style="4" customWidth="1"/>
    <col min="258" max="259" width="12.5703125" style="4" customWidth="1"/>
    <col min="260" max="260" width="11" style="4" customWidth="1"/>
    <col min="261" max="261" width="8.42578125" style="4" customWidth="1"/>
    <col min="262" max="262" width="11.42578125" style="4" customWidth="1"/>
    <col min="263" max="263" width="1.85546875" style="4" customWidth="1"/>
    <col min="264" max="264" width="8.42578125" style="4" customWidth="1"/>
    <col min="265" max="265" width="11.42578125" style="4" customWidth="1"/>
    <col min="266" max="267" width="10.42578125" style="4" customWidth="1"/>
    <col min="268" max="268" width="10.5703125" style="4" customWidth="1"/>
    <col min="269" max="269" width="10" style="4" customWidth="1"/>
    <col min="270" max="270" width="11" style="4" bestFit="1" customWidth="1"/>
    <col min="271" max="271" width="12" style="4" customWidth="1"/>
    <col min="272" max="272" width="11.140625" style="4" customWidth="1"/>
    <col min="273" max="273" width="9.5703125" style="4" customWidth="1"/>
    <col min="274" max="274" width="10.42578125" style="4" customWidth="1"/>
    <col min="275" max="275" width="8.5703125" style="4" customWidth="1"/>
    <col min="276" max="276" width="11" style="4" customWidth="1"/>
    <col min="277" max="277" width="13.42578125" style="4" bestFit="1" customWidth="1"/>
    <col min="278" max="278" width="9.42578125" style="4" customWidth="1"/>
    <col min="279" max="279" width="7.5703125" style="4" customWidth="1"/>
    <col min="280" max="280" width="11.42578125" style="4" customWidth="1"/>
    <col min="281" max="281" width="9.42578125" style="4" customWidth="1"/>
    <col min="282" max="282" width="11.42578125" style="4" customWidth="1"/>
    <col min="283" max="283" width="13.42578125" style="4" bestFit="1" customWidth="1"/>
    <col min="284" max="284" width="5.5703125" style="4" bestFit="1" customWidth="1"/>
    <col min="285" max="285" width="19.5703125" style="4" bestFit="1" customWidth="1"/>
    <col min="286" max="286" width="1.42578125" style="4" customWidth="1"/>
    <col min="287" max="287" width="13.42578125" style="4" bestFit="1" customWidth="1"/>
    <col min="288" max="288" width="8.5703125" style="4" bestFit="1" customWidth="1"/>
    <col min="289" max="289" width="8.85546875" style="4" bestFit="1" customWidth="1"/>
    <col min="290" max="512" width="9.140625" style="4"/>
    <col min="513" max="513" width="11" style="4" customWidth="1"/>
    <col min="514" max="515" width="12.5703125" style="4" customWidth="1"/>
    <col min="516" max="516" width="11" style="4" customWidth="1"/>
    <col min="517" max="517" width="8.42578125" style="4" customWidth="1"/>
    <col min="518" max="518" width="11.42578125" style="4" customWidth="1"/>
    <col min="519" max="519" width="1.85546875" style="4" customWidth="1"/>
    <col min="520" max="520" width="8.42578125" style="4" customWidth="1"/>
    <col min="521" max="521" width="11.42578125" style="4" customWidth="1"/>
    <col min="522" max="523" width="10.42578125" style="4" customWidth="1"/>
    <col min="524" max="524" width="10.5703125" style="4" customWidth="1"/>
    <col min="525" max="525" width="10" style="4" customWidth="1"/>
    <col min="526" max="526" width="11" style="4" bestFit="1" customWidth="1"/>
    <col min="527" max="527" width="12" style="4" customWidth="1"/>
    <col min="528" max="528" width="11.140625" style="4" customWidth="1"/>
    <col min="529" max="529" width="9.5703125" style="4" customWidth="1"/>
    <col min="530" max="530" width="10.42578125" style="4" customWidth="1"/>
    <col min="531" max="531" width="8.5703125" style="4" customWidth="1"/>
    <col min="532" max="532" width="11" style="4" customWidth="1"/>
    <col min="533" max="533" width="13.42578125" style="4" bestFit="1" customWidth="1"/>
    <col min="534" max="534" width="9.42578125" style="4" customWidth="1"/>
    <col min="535" max="535" width="7.5703125" style="4" customWidth="1"/>
    <col min="536" max="536" width="11.42578125" style="4" customWidth="1"/>
    <col min="537" max="537" width="9.42578125" style="4" customWidth="1"/>
    <col min="538" max="538" width="11.42578125" style="4" customWidth="1"/>
    <col min="539" max="539" width="13.42578125" style="4" bestFit="1" customWidth="1"/>
    <col min="540" max="540" width="5.5703125" style="4" bestFit="1" customWidth="1"/>
    <col min="541" max="541" width="19.5703125" style="4" bestFit="1" customWidth="1"/>
    <col min="542" max="542" width="1.42578125" style="4" customWidth="1"/>
    <col min="543" max="543" width="13.42578125" style="4" bestFit="1" customWidth="1"/>
    <col min="544" max="544" width="8.5703125" style="4" bestFit="1" customWidth="1"/>
    <col min="545" max="545" width="8.85546875" style="4" bestFit="1" customWidth="1"/>
    <col min="546" max="768" width="9.140625" style="4"/>
    <col min="769" max="769" width="11" style="4" customWidth="1"/>
    <col min="770" max="771" width="12.5703125" style="4" customWidth="1"/>
    <col min="772" max="772" width="11" style="4" customWidth="1"/>
    <col min="773" max="773" width="8.42578125" style="4" customWidth="1"/>
    <col min="774" max="774" width="11.42578125" style="4" customWidth="1"/>
    <col min="775" max="775" width="1.85546875" style="4" customWidth="1"/>
    <col min="776" max="776" width="8.42578125" style="4" customWidth="1"/>
    <col min="777" max="777" width="11.42578125" style="4" customWidth="1"/>
    <col min="778" max="779" width="10.42578125" style="4" customWidth="1"/>
    <col min="780" max="780" width="10.5703125" style="4" customWidth="1"/>
    <col min="781" max="781" width="10" style="4" customWidth="1"/>
    <col min="782" max="782" width="11" style="4" bestFit="1" customWidth="1"/>
    <col min="783" max="783" width="12" style="4" customWidth="1"/>
    <col min="784" max="784" width="11.140625" style="4" customWidth="1"/>
    <col min="785" max="785" width="9.5703125" style="4" customWidth="1"/>
    <col min="786" max="786" width="10.42578125" style="4" customWidth="1"/>
    <col min="787" max="787" width="8.5703125" style="4" customWidth="1"/>
    <col min="788" max="788" width="11" style="4" customWidth="1"/>
    <col min="789" max="789" width="13.42578125" style="4" bestFit="1" customWidth="1"/>
    <col min="790" max="790" width="9.42578125" style="4" customWidth="1"/>
    <col min="791" max="791" width="7.5703125" style="4" customWidth="1"/>
    <col min="792" max="792" width="11.42578125" style="4" customWidth="1"/>
    <col min="793" max="793" width="9.42578125" style="4" customWidth="1"/>
    <col min="794" max="794" width="11.42578125" style="4" customWidth="1"/>
    <col min="795" max="795" width="13.42578125" style="4" bestFit="1" customWidth="1"/>
    <col min="796" max="796" width="5.5703125" style="4" bestFit="1" customWidth="1"/>
    <col min="797" max="797" width="19.5703125" style="4" bestFit="1" customWidth="1"/>
    <col min="798" max="798" width="1.42578125" style="4" customWidth="1"/>
    <col min="799" max="799" width="13.42578125" style="4" bestFit="1" customWidth="1"/>
    <col min="800" max="800" width="8.5703125" style="4" bestFit="1" customWidth="1"/>
    <col min="801" max="801" width="8.85546875" style="4" bestFit="1" customWidth="1"/>
    <col min="802" max="1024" width="9.140625" style="4"/>
    <col min="1025" max="1025" width="11" style="4" customWidth="1"/>
    <col min="1026" max="1027" width="12.5703125" style="4" customWidth="1"/>
    <col min="1028" max="1028" width="11" style="4" customWidth="1"/>
    <col min="1029" max="1029" width="8.42578125" style="4" customWidth="1"/>
    <col min="1030" max="1030" width="11.42578125" style="4" customWidth="1"/>
    <col min="1031" max="1031" width="1.85546875" style="4" customWidth="1"/>
    <col min="1032" max="1032" width="8.42578125" style="4" customWidth="1"/>
    <col min="1033" max="1033" width="11.42578125" style="4" customWidth="1"/>
    <col min="1034" max="1035" width="10.42578125" style="4" customWidth="1"/>
    <col min="1036" max="1036" width="10.5703125" style="4" customWidth="1"/>
    <col min="1037" max="1037" width="10" style="4" customWidth="1"/>
    <col min="1038" max="1038" width="11" style="4" bestFit="1" customWidth="1"/>
    <col min="1039" max="1039" width="12" style="4" customWidth="1"/>
    <col min="1040" max="1040" width="11.140625" style="4" customWidth="1"/>
    <col min="1041" max="1041" width="9.5703125" style="4" customWidth="1"/>
    <col min="1042" max="1042" width="10.42578125" style="4" customWidth="1"/>
    <col min="1043" max="1043" width="8.5703125" style="4" customWidth="1"/>
    <col min="1044" max="1044" width="11" style="4" customWidth="1"/>
    <col min="1045" max="1045" width="13.42578125" style="4" bestFit="1" customWidth="1"/>
    <col min="1046" max="1046" width="9.42578125" style="4" customWidth="1"/>
    <col min="1047" max="1047" width="7.5703125" style="4" customWidth="1"/>
    <col min="1048" max="1048" width="11.42578125" style="4" customWidth="1"/>
    <col min="1049" max="1049" width="9.42578125" style="4" customWidth="1"/>
    <col min="1050" max="1050" width="11.42578125" style="4" customWidth="1"/>
    <col min="1051" max="1051" width="13.42578125" style="4" bestFit="1" customWidth="1"/>
    <col min="1052" max="1052" width="5.5703125" style="4" bestFit="1" customWidth="1"/>
    <col min="1053" max="1053" width="19.5703125" style="4" bestFit="1" customWidth="1"/>
    <col min="1054" max="1054" width="1.42578125" style="4" customWidth="1"/>
    <col min="1055" max="1055" width="13.42578125" style="4" bestFit="1" customWidth="1"/>
    <col min="1056" max="1056" width="8.5703125" style="4" bestFit="1" customWidth="1"/>
    <col min="1057" max="1057" width="8.85546875" style="4" bestFit="1" customWidth="1"/>
    <col min="1058" max="1280" width="9.140625" style="4"/>
    <col min="1281" max="1281" width="11" style="4" customWidth="1"/>
    <col min="1282" max="1283" width="12.5703125" style="4" customWidth="1"/>
    <col min="1284" max="1284" width="11" style="4" customWidth="1"/>
    <col min="1285" max="1285" width="8.42578125" style="4" customWidth="1"/>
    <col min="1286" max="1286" width="11.42578125" style="4" customWidth="1"/>
    <col min="1287" max="1287" width="1.85546875" style="4" customWidth="1"/>
    <col min="1288" max="1288" width="8.42578125" style="4" customWidth="1"/>
    <col min="1289" max="1289" width="11.42578125" style="4" customWidth="1"/>
    <col min="1290" max="1291" width="10.42578125" style="4" customWidth="1"/>
    <col min="1292" max="1292" width="10.5703125" style="4" customWidth="1"/>
    <col min="1293" max="1293" width="10" style="4" customWidth="1"/>
    <col min="1294" max="1294" width="11" style="4" bestFit="1" customWidth="1"/>
    <col min="1295" max="1295" width="12" style="4" customWidth="1"/>
    <col min="1296" max="1296" width="11.140625" style="4" customWidth="1"/>
    <col min="1297" max="1297" width="9.5703125" style="4" customWidth="1"/>
    <col min="1298" max="1298" width="10.42578125" style="4" customWidth="1"/>
    <col min="1299" max="1299" width="8.5703125" style="4" customWidth="1"/>
    <col min="1300" max="1300" width="11" style="4" customWidth="1"/>
    <col min="1301" max="1301" width="13.42578125" style="4" bestFit="1" customWidth="1"/>
    <col min="1302" max="1302" width="9.42578125" style="4" customWidth="1"/>
    <col min="1303" max="1303" width="7.5703125" style="4" customWidth="1"/>
    <col min="1304" max="1304" width="11.42578125" style="4" customWidth="1"/>
    <col min="1305" max="1305" width="9.42578125" style="4" customWidth="1"/>
    <col min="1306" max="1306" width="11.42578125" style="4" customWidth="1"/>
    <col min="1307" max="1307" width="13.42578125" style="4" bestFit="1" customWidth="1"/>
    <col min="1308" max="1308" width="5.5703125" style="4" bestFit="1" customWidth="1"/>
    <col min="1309" max="1309" width="19.5703125" style="4" bestFit="1" customWidth="1"/>
    <col min="1310" max="1310" width="1.42578125" style="4" customWidth="1"/>
    <col min="1311" max="1311" width="13.42578125" style="4" bestFit="1" customWidth="1"/>
    <col min="1312" max="1312" width="8.5703125" style="4" bestFit="1" customWidth="1"/>
    <col min="1313" max="1313" width="8.85546875" style="4" bestFit="1" customWidth="1"/>
    <col min="1314" max="1536" width="9.140625" style="4"/>
    <col min="1537" max="1537" width="11" style="4" customWidth="1"/>
    <col min="1538" max="1539" width="12.5703125" style="4" customWidth="1"/>
    <col min="1540" max="1540" width="11" style="4" customWidth="1"/>
    <col min="1541" max="1541" width="8.42578125" style="4" customWidth="1"/>
    <col min="1542" max="1542" width="11.42578125" style="4" customWidth="1"/>
    <col min="1543" max="1543" width="1.85546875" style="4" customWidth="1"/>
    <col min="1544" max="1544" width="8.42578125" style="4" customWidth="1"/>
    <col min="1545" max="1545" width="11.42578125" style="4" customWidth="1"/>
    <col min="1546" max="1547" width="10.42578125" style="4" customWidth="1"/>
    <col min="1548" max="1548" width="10.5703125" style="4" customWidth="1"/>
    <col min="1549" max="1549" width="10" style="4" customWidth="1"/>
    <col min="1550" max="1550" width="11" style="4" bestFit="1" customWidth="1"/>
    <col min="1551" max="1551" width="12" style="4" customWidth="1"/>
    <col min="1552" max="1552" width="11.140625" style="4" customWidth="1"/>
    <col min="1553" max="1553" width="9.5703125" style="4" customWidth="1"/>
    <col min="1554" max="1554" width="10.42578125" style="4" customWidth="1"/>
    <col min="1555" max="1555" width="8.5703125" style="4" customWidth="1"/>
    <col min="1556" max="1556" width="11" style="4" customWidth="1"/>
    <col min="1557" max="1557" width="13.42578125" style="4" bestFit="1" customWidth="1"/>
    <col min="1558" max="1558" width="9.42578125" style="4" customWidth="1"/>
    <col min="1559" max="1559" width="7.5703125" style="4" customWidth="1"/>
    <col min="1560" max="1560" width="11.42578125" style="4" customWidth="1"/>
    <col min="1561" max="1561" width="9.42578125" style="4" customWidth="1"/>
    <col min="1562" max="1562" width="11.42578125" style="4" customWidth="1"/>
    <col min="1563" max="1563" width="13.42578125" style="4" bestFit="1" customWidth="1"/>
    <col min="1564" max="1564" width="5.5703125" style="4" bestFit="1" customWidth="1"/>
    <col min="1565" max="1565" width="19.5703125" style="4" bestFit="1" customWidth="1"/>
    <col min="1566" max="1566" width="1.42578125" style="4" customWidth="1"/>
    <col min="1567" max="1567" width="13.42578125" style="4" bestFit="1" customWidth="1"/>
    <col min="1568" max="1568" width="8.5703125" style="4" bestFit="1" customWidth="1"/>
    <col min="1569" max="1569" width="8.85546875" style="4" bestFit="1" customWidth="1"/>
    <col min="1570" max="1792" width="9.140625" style="4"/>
    <col min="1793" max="1793" width="11" style="4" customWidth="1"/>
    <col min="1794" max="1795" width="12.5703125" style="4" customWidth="1"/>
    <col min="1796" max="1796" width="11" style="4" customWidth="1"/>
    <col min="1797" max="1797" width="8.42578125" style="4" customWidth="1"/>
    <col min="1798" max="1798" width="11.42578125" style="4" customWidth="1"/>
    <col min="1799" max="1799" width="1.85546875" style="4" customWidth="1"/>
    <col min="1800" max="1800" width="8.42578125" style="4" customWidth="1"/>
    <col min="1801" max="1801" width="11.42578125" style="4" customWidth="1"/>
    <col min="1802" max="1803" width="10.42578125" style="4" customWidth="1"/>
    <col min="1804" max="1804" width="10.5703125" style="4" customWidth="1"/>
    <col min="1805" max="1805" width="10" style="4" customWidth="1"/>
    <col min="1806" max="1806" width="11" style="4" bestFit="1" customWidth="1"/>
    <col min="1807" max="1807" width="12" style="4" customWidth="1"/>
    <col min="1808" max="1808" width="11.140625" style="4" customWidth="1"/>
    <col min="1809" max="1809" width="9.5703125" style="4" customWidth="1"/>
    <col min="1810" max="1810" width="10.42578125" style="4" customWidth="1"/>
    <col min="1811" max="1811" width="8.5703125" style="4" customWidth="1"/>
    <col min="1812" max="1812" width="11" style="4" customWidth="1"/>
    <col min="1813" max="1813" width="13.42578125" style="4" bestFit="1" customWidth="1"/>
    <col min="1814" max="1814" width="9.42578125" style="4" customWidth="1"/>
    <col min="1815" max="1815" width="7.5703125" style="4" customWidth="1"/>
    <col min="1816" max="1816" width="11.42578125" style="4" customWidth="1"/>
    <col min="1817" max="1817" width="9.42578125" style="4" customWidth="1"/>
    <col min="1818" max="1818" width="11.42578125" style="4" customWidth="1"/>
    <col min="1819" max="1819" width="13.42578125" style="4" bestFit="1" customWidth="1"/>
    <col min="1820" max="1820" width="5.5703125" style="4" bestFit="1" customWidth="1"/>
    <col min="1821" max="1821" width="19.5703125" style="4" bestFit="1" customWidth="1"/>
    <col min="1822" max="1822" width="1.42578125" style="4" customWidth="1"/>
    <col min="1823" max="1823" width="13.42578125" style="4" bestFit="1" customWidth="1"/>
    <col min="1824" max="1824" width="8.5703125" style="4" bestFit="1" customWidth="1"/>
    <col min="1825" max="1825" width="8.85546875" style="4" bestFit="1" customWidth="1"/>
    <col min="1826" max="2048" width="9.140625" style="4"/>
    <col min="2049" max="2049" width="11" style="4" customWidth="1"/>
    <col min="2050" max="2051" width="12.5703125" style="4" customWidth="1"/>
    <col min="2052" max="2052" width="11" style="4" customWidth="1"/>
    <col min="2053" max="2053" width="8.42578125" style="4" customWidth="1"/>
    <col min="2054" max="2054" width="11.42578125" style="4" customWidth="1"/>
    <col min="2055" max="2055" width="1.85546875" style="4" customWidth="1"/>
    <col min="2056" max="2056" width="8.42578125" style="4" customWidth="1"/>
    <col min="2057" max="2057" width="11.42578125" style="4" customWidth="1"/>
    <col min="2058" max="2059" width="10.42578125" style="4" customWidth="1"/>
    <col min="2060" max="2060" width="10.5703125" style="4" customWidth="1"/>
    <col min="2061" max="2061" width="10" style="4" customWidth="1"/>
    <col min="2062" max="2062" width="11" style="4" bestFit="1" customWidth="1"/>
    <col min="2063" max="2063" width="12" style="4" customWidth="1"/>
    <col min="2064" max="2064" width="11.140625" style="4" customWidth="1"/>
    <col min="2065" max="2065" width="9.5703125" style="4" customWidth="1"/>
    <col min="2066" max="2066" width="10.42578125" style="4" customWidth="1"/>
    <col min="2067" max="2067" width="8.5703125" style="4" customWidth="1"/>
    <col min="2068" max="2068" width="11" style="4" customWidth="1"/>
    <col min="2069" max="2069" width="13.42578125" style="4" bestFit="1" customWidth="1"/>
    <col min="2070" max="2070" width="9.42578125" style="4" customWidth="1"/>
    <col min="2071" max="2071" width="7.5703125" style="4" customWidth="1"/>
    <col min="2072" max="2072" width="11.42578125" style="4" customWidth="1"/>
    <col min="2073" max="2073" width="9.42578125" style="4" customWidth="1"/>
    <col min="2074" max="2074" width="11.42578125" style="4" customWidth="1"/>
    <col min="2075" max="2075" width="13.42578125" style="4" bestFit="1" customWidth="1"/>
    <col min="2076" max="2076" width="5.5703125" style="4" bestFit="1" customWidth="1"/>
    <col min="2077" max="2077" width="19.5703125" style="4" bestFit="1" customWidth="1"/>
    <col min="2078" max="2078" width="1.42578125" style="4" customWidth="1"/>
    <col min="2079" max="2079" width="13.42578125" style="4" bestFit="1" customWidth="1"/>
    <col min="2080" max="2080" width="8.5703125" style="4" bestFit="1" customWidth="1"/>
    <col min="2081" max="2081" width="8.85546875" style="4" bestFit="1" customWidth="1"/>
    <col min="2082" max="2304" width="9.140625" style="4"/>
    <col min="2305" max="2305" width="11" style="4" customWidth="1"/>
    <col min="2306" max="2307" width="12.5703125" style="4" customWidth="1"/>
    <col min="2308" max="2308" width="11" style="4" customWidth="1"/>
    <col min="2309" max="2309" width="8.42578125" style="4" customWidth="1"/>
    <col min="2310" max="2310" width="11.42578125" style="4" customWidth="1"/>
    <col min="2311" max="2311" width="1.85546875" style="4" customWidth="1"/>
    <col min="2312" max="2312" width="8.42578125" style="4" customWidth="1"/>
    <col min="2313" max="2313" width="11.42578125" style="4" customWidth="1"/>
    <col min="2314" max="2315" width="10.42578125" style="4" customWidth="1"/>
    <col min="2316" max="2316" width="10.5703125" style="4" customWidth="1"/>
    <col min="2317" max="2317" width="10" style="4" customWidth="1"/>
    <col min="2318" max="2318" width="11" style="4" bestFit="1" customWidth="1"/>
    <col min="2319" max="2319" width="12" style="4" customWidth="1"/>
    <col min="2320" max="2320" width="11.140625" style="4" customWidth="1"/>
    <col min="2321" max="2321" width="9.5703125" style="4" customWidth="1"/>
    <col min="2322" max="2322" width="10.42578125" style="4" customWidth="1"/>
    <col min="2323" max="2323" width="8.5703125" style="4" customWidth="1"/>
    <col min="2324" max="2324" width="11" style="4" customWidth="1"/>
    <col min="2325" max="2325" width="13.42578125" style="4" bestFit="1" customWidth="1"/>
    <col min="2326" max="2326" width="9.42578125" style="4" customWidth="1"/>
    <col min="2327" max="2327" width="7.5703125" style="4" customWidth="1"/>
    <col min="2328" max="2328" width="11.42578125" style="4" customWidth="1"/>
    <col min="2329" max="2329" width="9.42578125" style="4" customWidth="1"/>
    <col min="2330" max="2330" width="11.42578125" style="4" customWidth="1"/>
    <col min="2331" max="2331" width="13.42578125" style="4" bestFit="1" customWidth="1"/>
    <col min="2332" max="2332" width="5.5703125" style="4" bestFit="1" customWidth="1"/>
    <col min="2333" max="2333" width="19.5703125" style="4" bestFit="1" customWidth="1"/>
    <col min="2334" max="2334" width="1.42578125" style="4" customWidth="1"/>
    <col min="2335" max="2335" width="13.42578125" style="4" bestFit="1" customWidth="1"/>
    <col min="2336" max="2336" width="8.5703125" style="4" bestFit="1" customWidth="1"/>
    <col min="2337" max="2337" width="8.85546875" style="4" bestFit="1" customWidth="1"/>
    <col min="2338" max="2560" width="9.140625" style="4"/>
    <col min="2561" max="2561" width="11" style="4" customWidth="1"/>
    <col min="2562" max="2563" width="12.5703125" style="4" customWidth="1"/>
    <col min="2564" max="2564" width="11" style="4" customWidth="1"/>
    <col min="2565" max="2565" width="8.42578125" style="4" customWidth="1"/>
    <col min="2566" max="2566" width="11.42578125" style="4" customWidth="1"/>
    <col min="2567" max="2567" width="1.85546875" style="4" customWidth="1"/>
    <col min="2568" max="2568" width="8.42578125" style="4" customWidth="1"/>
    <col min="2569" max="2569" width="11.42578125" style="4" customWidth="1"/>
    <col min="2570" max="2571" width="10.42578125" style="4" customWidth="1"/>
    <col min="2572" max="2572" width="10.5703125" style="4" customWidth="1"/>
    <col min="2573" max="2573" width="10" style="4" customWidth="1"/>
    <col min="2574" max="2574" width="11" style="4" bestFit="1" customWidth="1"/>
    <col min="2575" max="2575" width="12" style="4" customWidth="1"/>
    <col min="2576" max="2576" width="11.140625" style="4" customWidth="1"/>
    <col min="2577" max="2577" width="9.5703125" style="4" customWidth="1"/>
    <col min="2578" max="2578" width="10.42578125" style="4" customWidth="1"/>
    <col min="2579" max="2579" width="8.5703125" style="4" customWidth="1"/>
    <col min="2580" max="2580" width="11" style="4" customWidth="1"/>
    <col min="2581" max="2581" width="13.42578125" style="4" bestFit="1" customWidth="1"/>
    <col min="2582" max="2582" width="9.42578125" style="4" customWidth="1"/>
    <col min="2583" max="2583" width="7.5703125" style="4" customWidth="1"/>
    <col min="2584" max="2584" width="11.42578125" style="4" customWidth="1"/>
    <col min="2585" max="2585" width="9.42578125" style="4" customWidth="1"/>
    <col min="2586" max="2586" width="11.42578125" style="4" customWidth="1"/>
    <col min="2587" max="2587" width="13.42578125" style="4" bestFit="1" customWidth="1"/>
    <col min="2588" max="2588" width="5.5703125" style="4" bestFit="1" customWidth="1"/>
    <col min="2589" max="2589" width="19.5703125" style="4" bestFit="1" customWidth="1"/>
    <col min="2590" max="2590" width="1.42578125" style="4" customWidth="1"/>
    <col min="2591" max="2591" width="13.42578125" style="4" bestFit="1" customWidth="1"/>
    <col min="2592" max="2592" width="8.5703125" style="4" bestFit="1" customWidth="1"/>
    <col min="2593" max="2593" width="8.85546875" style="4" bestFit="1" customWidth="1"/>
    <col min="2594" max="2816" width="9.140625" style="4"/>
    <col min="2817" max="2817" width="11" style="4" customWidth="1"/>
    <col min="2818" max="2819" width="12.5703125" style="4" customWidth="1"/>
    <col min="2820" max="2820" width="11" style="4" customWidth="1"/>
    <col min="2821" max="2821" width="8.42578125" style="4" customWidth="1"/>
    <col min="2822" max="2822" width="11.42578125" style="4" customWidth="1"/>
    <col min="2823" max="2823" width="1.85546875" style="4" customWidth="1"/>
    <col min="2824" max="2824" width="8.42578125" style="4" customWidth="1"/>
    <col min="2825" max="2825" width="11.42578125" style="4" customWidth="1"/>
    <col min="2826" max="2827" width="10.42578125" style="4" customWidth="1"/>
    <col min="2828" max="2828" width="10.5703125" style="4" customWidth="1"/>
    <col min="2829" max="2829" width="10" style="4" customWidth="1"/>
    <col min="2830" max="2830" width="11" style="4" bestFit="1" customWidth="1"/>
    <col min="2831" max="2831" width="12" style="4" customWidth="1"/>
    <col min="2832" max="2832" width="11.140625" style="4" customWidth="1"/>
    <col min="2833" max="2833" width="9.5703125" style="4" customWidth="1"/>
    <col min="2834" max="2834" width="10.42578125" style="4" customWidth="1"/>
    <col min="2835" max="2835" width="8.5703125" style="4" customWidth="1"/>
    <col min="2836" max="2836" width="11" style="4" customWidth="1"/>
    <col min="2837" max="2837" width="13.42578125" style="4" bestFit="1" customWidth="1"/>
    <col min="2838" max="2838" width="9.42578125" style="4" customWidth="1"/>
    <col min="2839" max="2839" width="7.5703125" style="4" customWidth="1"/>
    <col min="2840" max="2840" width="11.42578125" style="4" customWidth="1"/>
    <col min="2841" max="2841" width="9.42578125" style="4" customWidth="1"/>
    <col min="2842" max="2842" width="11.42578125" style="4" customWidth="1"/>
    <col min="2843" max="2843" width="13.42578125" style="4" bestFit="1" customWidth="1"/>
    <col min="2844" max="2844" width="5.5703125" style="4" bestFit="1" customWidth="1"/>
    <col min="2845" max="2845" width="19.5703125" style="4" bestFit="1" customWidth="1"/>
    <col min="2846" max="2846" width="1.42578125" style="4" customWidth="1"/>
    <col min="2847" max="2847" width="13.42578125" style="4" bestFit="1" customWidth="1"/>
    <col min="2848" max="2848" width="8.5703125" style="4" bestFit="1" customWidth="1"/>
    <col min="2849" max="2849" width="8.85546875" style="4" bestFit="1" customWidth="1"/>
    <col min="2850" max="3072" width="9.140625" style="4"/>
    <col min="3073" max="3073" width="11" style="4" customWidth="1"/>
    <col min="3074" max="3075" width="12.5703125" style="4" customWidth="1"/>
    <col min="3076" max="3076" width="11" style="4" customWidth="1"/>
    <col min="3077" max="3077" width="8.42578125" style="4" customWidth="1"/>
    <col min="3078" max="3078" width="11.42578125" style="4" customWidth="1"/>
    <col min="3079" max="3079" width="1.85546875" style="4" customWidth="1"/>
    <col min="3080" max="3080" width="8.42578125" style="4" customWidth="1"/>
    <col min="3081" max="3081" width="11.42578125" style="4" customWidth="1"/>
    <col min="3082" max="3083" width="10.42578125" style="4" customWidth="1"/>
    <col min="3084" max="3084" width="10.5703125" style="4" customWidth="1"/>
    <col min="3085" max="3085" width="10" style="4" customWidth="1"/>
    <col min="3086" max="3086" width="11" style="4" bestFit="1" customWidth="1"/>
    <col min="3087" max="3087" width="12" style="4" customWidth="1"/>
    <col min="3088" max="3088" width="11.140625" style="4" customWidth="1"/>
    <col min="3089" max="3089" width="9.5703125" style="4" customWidth="1"/>
    <col min="3090" max="3090" width="10.42578125" style="4" customWidth="1"/>
    <col min="3091" max="3091" width="8.5703125" style="4" customWidth="1"/>
    <col min="3092" max="3092" width="11" style="4" customWidth="1"/>
    <col min="3093" max="3093" width="13.42578125" style="4" bestFit="1" customWidth="1"/>
    <col min="3094" max="3094" width="9.42578125" style="4" customWidth="1"/>
    <col min="3095" max="3095" width="7.5703125" style="4" customWidth="1"/>
    <col min="3096" max="3096" width="11.42578125" style="4" customWidth="1"/>
    <col min="3097" max="3097" width="9.42578125" style="4" customWidth="1"/>
    <col min="3098" max="3098" width="11.42578125" style="4" customWidth="1"/>
    <col min="3099" max="3099" width="13.42578125" style="4" bestFit="1" customWidth="1"/>
    <col min="3100" max="3100" width="5.5703125" style="4" bestFit="1" customWidth="1"/>
    <col min="3101" max="3101" width="19.5703125" style="4" bestFit="1" customWidth="1"/>
    <col min="3102" max="3102" width="1.42578125" style="4" customWidth="1"/>
    <col min="3103" max="3103" width="13.42578125" style="4" bestFit="1" customWidth="1"/>
    <col min="3104" max="3104" width="8.5703125" style="4" bestFit="1" customWidth="1"/>
    <col min="3105" max="3105" width="8.85546875" style="4" bestFit="1" customWidth="1"/>
    <col min="3106" max="3328" width="9.140625" style="4"/>
    <col min="3329" max="3329" width="11" style="4" customWidth="1"/>
    <col min="3330" max="3331" width="12.5703125" style="4" customWidth="1"/>
    <col min="3332" max="3332" width="11" style="4" customWidth="1"/>
    <col min="3333" max="3333" width="8.42578125" style="4" customWidth="1"/>
    <col min="3334" max="3334" width="11.42578125" style="4" customWidth="1"/>
    <col min="3335" max="3335" width="1.85546875" style="4" customWidth="1"/>
    <col min="3336" max="3336" width="8.42578125" style="4" customWidth="1"/>
    <col min="3337" max="3337" width="11.42578125" style="4" customWidth="1"/>
    <col min="3338" max="3339" width="10.42578125" style="4" customWidth="1"/>
    <col min="3340" max="3340" width="10.5703125" style="4" customWidth="1"/>
    <col min="3341" max="3341" width="10" style="4" customWidth="1"/>
    <col min="3342" max="3342" width="11" style="4" bestFit="1" customWidth="1"/>
    <col min="3343" max="3343" width="12" style="4" customWidth="1"/>
    <col min="3344" max="3344" width="11.140625" style="4" customWidth="1"/>
    <col min="3345" max="3345" width="9.5703125" style="4" customWidth="1"/>
    <col min="3346" max="3346" width="10.42578125" style="4" customWidth="1"/>
    <col min="3347" max="3347" width="8.5703125" style="4" customWidth="1"/>
    <col min="3348" max="3348" width="11" style="4" customWidth="1"/>
    <col min="3349" max="3349" width="13.42578125" style="4" bestFit="1" customWidth="1"/>
    <col min="3350" max="3350" width="9.42578125" style="4" customWidth="1"/>
    <col min="3351" max="3351" width="7.5703125" style="4" customWidth="1"/>
    <col min="3352" max="3352" width="11.42578125" style="4" customWidth="1"/>
    <col min="3353" max="3353" width="9.42578125" style="4" customWidth="1"/>
    <col min="3354" max="3354" width="11.42578125" style="4" customWidth="1"/>
    <col min="3355" max="3355" width="13.42578125" style="4" bestFit="1" customWidth="1"/>
    <col min="3356" max="3356" width="5.5703125" style="4" bestFit="1" customWidth="1"/>
    <col min="3357" max="3357" width="19.5703125" style="4" bestFit="1" customWidth="1"/>
    <col min="3358" max="3358" width="1.42578125" style="4" customWidth="1"/>
    <col min="3359" max="3359" width="13.42578125" style="4" bestFit="1" customWidth="1"/>
    <col min="3360" max="3360" width="8.5703125" style="4" bestFit="1" customWidth="1"/>
    <col min="3361" max="3361" width="8.85546875" style="4" bestFit="1" customWidth="1"/>
    <col min="3362" max="3584" width="9.140625" style="4"/>
    <col min="3585" max="3585" width="11" style="4" customWidth="1"/>
    <col min="3586" max="3587" width="12.5703125" style="4" customWidth="1"/>
    <col min="3588" max="3588" width="11" style="4" customWidth="1"/>
    <col min="3589" max="3589" width="8.42578125" style="4" customWidth="1"/>
    <col min="3590" max="3590" width="11.42578125" style="4" customWidth="1"/>
    <col min="3591" max="3591" width="1.85546875" style="4" customWidth="1"/>
    <col min="3592" max="3592" width="8.42578125" style="4" customWidth="1"/>
    <col min="3593" max="3593" width="11.42578125" style="4" customWidth="1"/>
    <col min="3594" max="3595" width="10.42578125" style="4" customWidth="1"/>
    <col min="3596" max="3596" width="10.5703125" style="4" customWidth="1"/>
    <col min="3597" max="3597" width="10" style="4" customWidth="1"/>
    <col min="3598" max="3598" width="11" style="4" bestFit="1" customWidth="1"/>
    <col min="3599" max="3599" width="12" style="4" customWidth="1"/>
    <col min="3600" max="3600" width="11.140625" style="4" customWidth="1"/>
    <col min="3601" max="3601" width="9.5703125" style="4" customWidth="1"/>
    <col min="3602" max="3602" width="10.42578125" style="4" customWidth="1"/>
    <col min="3603" max="3603" width="8.5703125" style="4" customWidth="1"/>
    <col min="3604" max="3604" width="11" style="4" customWidth="1"/>
    <col min="3605" max="3605" width="13.42578125" style="4" bestFit="1" customWidth="1"/>
    <col min="3606" max="3606" width="9.42578125" style="4" customWidth="1"/>
    <col min="3607" max="3607" width="7.5703125" style="4" customWidth="1"/>
    <col min="3608" max="3608" width="11.42578125" style="4" customWidth="1"/>
    <col min="3609" max="3609" width="9.42578125" style="4" customWidth="1"/>
    <col min="3610" max="3610" width="11.42578125" style="4" customWidth="1"/>
    <col min="3611" max="3611" width="13.42578125" style="4" bestFit="1" customWidth="1"/>
    <col min="3612" max="3612" width="5.5703125" style="4" bestFit="1" customWidth="1"/>
    <col min="3613" max="3613" width="19.5703125" style="4" bestFit="1" customWidth="1"/>
    <col min="3614" max="3614" width="1.42578125" style="4" customWidth="1"/>
    <col min="3615" max="3615" width="13.42578125" style="4" bestFit="1" customWidth="1"/>
    <col min="3616" max="3616" width="8.5703125" style="4" bestFit="1" customWidth="1"/>
    <col min="3617" max="3617" width="8.85546875" style="4" bestFit="1" customWidth="1"/>
    <col min="3618" max="3840" width="9.140625" style="4"/>
    <col min="3841" max="3841" width="11" style="4" customWidth="1"/>
    <col min="3842" max="3843" width="12.5703125" style="4" customWidth="1"/>
    <col min="3844" max="3844" width="11" style="4" customWidth="1"/>
    <col min="3845" max="3845" width="8.42578125" style="4" customWidth="1"/>
    <col min="3846" max="3846" width="11.42578125" style="4" customWidth="1"/>
    <col min="3847" max="3847" width="1.85546875" style="4" customWidth="1"/>
    <col min="3848" max="3848" width="8.42578125" style="4" customWidth="1"/>
    <col min="3849" max="3849" width="11.42578125" style="4" customWidth="1"/>
    <col min="3850" max="3851" width="10.42578125" style="4" customWidth="1"/>
    <col min="3852" max="3852" width="10.5703125" style="4" customWidth="1"/>
    <col min="3853" max="3853" width="10" style="4" customWidth="1"/>
    <col min="3854" max="3854" width="11" style="4" bestFit="1" customWidth="1"/>
    <col min="3855" max="3855" width="12" style="4" customWidth="1"/>
    <col min="3856" max="3856" width="11.140625" style="4" customWidth="1"/>
    <col min="3857" max="3857" width="9.5703125" style="4" customWidth="1"/>
    <col min="3858" max="3858" width="10.42578125" style="4" customWidth="1"/>
    <col min="3859" max="3859" width="8.5703125" style="4" customWidth="1"/>
    <col min="3860" max="3860" width="11" style="4" customWidth="1"/>
    <col min="3861" max="3861" width="13.42578125" style="4" bestFit="1" customWidth="1"/>
    <col min="3862" max="3862" width="9.42578125" style="4" customWidth="1"/>
    <col min="3863" max="3863" width="7.5703125" style="4" customWidth="1"/>
    <col min="3864" max="3864" width="11.42578125" style="4" customWidth="1"/>
    <col min="3865" max="3865" width="9.42578125" style="4" customWidth="1"/>
    <col min="3866" max="3866" width="11.42578125" style="4" customWidth="1"/>
    <col min="3867" max="3867" width="13.42578125" style="4" bestFit="1" customWidth="1"/>
    <col min="3868" max="3868" width="5.5703125" style="4" bestFit="1" customWidth="1"/>
    <col min="3869" max="3869" width="19.5703125" style="4" bestFit="1" customWidth="1"/>
    <col min="3870" max="3870" width="1.42578125" style="4" customWidth="1"/>
    <col min="3871" max="3871" width="13.42578125" style="4" bestFit="1" customWidth="1"/>
    <col min="3872" max="3872" width="8.5703125" style="4" bestFit="1" customWidth="1"/>
    <col min="3873" max="3873" width="8.85546875" style="4" bestFit="1" customWidth="1"/>
    <col min="3874" max="4096" width="9.140625" style="4"/>
    <col min="4097" max="4097" width="11" style="4" customWidth="1"/>
    <col min="4098" max="4099" width="12.5703125" style="4" customWidth="1"/>
    <col min="4100" max="4100" width="11" style="4" customWidth="1"/>
    <col min="4101" max="4101" width="8.42578125" style="4" customWidth="1"/>
    <col min="4102" max="4102" width="11.42578125" style="4" customWidth="1"/>
    <col min="4103" max="4103" width="1.85546875" style="4" customWidth="1"/>
    <col min="4104" max="4104" width="8.42578125" style="4" customWidth="1"/>
    <col min="4105" max="4105" width="11.42578125" style="4" customWidth="1"/>
    <col min="4106" max="4107" width="10.42578125" style="4" customWidth="1"/>
    <col min="4108" max="4108" width="10.5703125" style="4" customWidth="1"/>
    <col min="4109" max="4109" width="10" style="4" customWidth="1"/>
    <col min="4110" max="4110" width="11" style="4" bestFit="1" customWidth="1"/>
    <col min="4111" max="4111" width="12" style="4" customWidth="1"/>
    <col min="4112" max="4112" width="11.140625" style="4" customWidth="1"/>
    <col min="4113" max="4113" width="9.5703125" style="4" customWidth="1"/>
    <col min="4114" max="4114" width="10.42578125" style="4" customWidth="1"/>
    <col min="4115" max="4115" width="8.5703125" style="4" customWidth="1"/>
    <col min="4116" max="4116" width="11" style="4" customWidth="1"/>
    <col min="4117" max="4117" width="13.42578125" style="4" bestFit="1" customWidth="1"/>
    <col min="4118" max="4118" width="9.42578125" style="4" customWidth="1"/>
    <col min="4119" max="4119" width="7.5703125" style="4" customWidth="1"/>
    <col min="4120" max="4120" width="11.42578125" style="4" customWidth="1"/>
    <col min="4121" max="4121" width="9.42578125" style="4" customWidth="1"/>
    <col min="4122" max="4122" width="11.42578125" style="4" customWidth="1"/>
    <col min="4123" max="4123" width="13.42578125" style="4" bestFit="1" customWidth="1"/>
    <col min="4124" max="4124" width="5.5703125" style="4" bestFit="1" customWidth="1"/>
    <col min="4125" max="4125" width="19.5703125" style="4" bestFit="1" customWidth="1"/>
    <col min="4126" max="4126" width="1.42578125" style="4" customWidth="1"/>
    <col min="4127" max="4127" width="13.42578125" style="4" bestFit="1" customWidth="1"/>
    <col min="4128" max="4128" width="8.5703125" style="4" bestFit="1" customWidth="1"/>
    <col min="4129" max="4129" width="8.85546875" style="4" bestFit="1" customWidth="1"/>
    <col min="4130" max="4352" width="9.140625" style="4"/>
    <col min="4353" max="4353" width="11" style="4" customWidth="1"/>
    <col min="4354" max="4355" width="12.5703125" style="4" customWidth="1"/>
    <col min="4356" max="4356" width="11" style="4" customWidth="1"/>
    <col min="4357" max="4357" width="8.42578125" style="4" customWidth="1"/>
    <col min="4358" max="4358" width="11.42578125" style="4" customWidth="1"/>
    <col min="4359" max="4359" width="1.85546875" style="4" customWidth="1"/>
    <col min="4360" max="4360" width="8.42578125" style="4" customWidth="1"/>
    <col min="4361" max="4361" width="11.42578125" style="4" customWidth="1"/>
    <col min="4362" max="4363" width="10.42578125" style="4" customWidth="1"/>
    <col min="4364" max="4364" width="10.5703125" style="4" customWidth="1"/>
    <col min="4365" max="4365" width="10" style="4" customWidth="1"/>
    <col min="4366" max="4366" width="11" style="4" bestFit="1" customWidth="1"/>
    <col min="4367" max="4367" width="12" style="4" customWidth="1"/>
    <col min="4368" max="4368" width="11.140625" style="4" customWidth="1"/>
    <col min="4369" max="4369" width="9.5703125" style="4" customWidth="1"/>
    <col min="4370" max="4370" width="10.42578125" style="4" customWidth="1"/>
    <col min="4371" max="4371" width="8.5703125" style="4" customWidth="1"/>
    <col min="4372" max="4372" width="11" style="4" customWidth="1"/>
    <col min="4373" max="4373" width="13.42578125" style="4" bestFit="1" customWidth="1"/>
    <col min="4374" max="4374" width="9.42578125" style="4" customWidth="1"/>
    <col min="4375" max="4375" width="7.5703125" style="4" customWidth="1"/>
    <col min="4376" max="4376" width="11.42578125" style="4" customWidth="1"/>
    <col min="4377" max="4377" width="9.42578125" style="4" customWidth="1"/>
    <col min="4378" max="4378" width="11.42578125" style="4" customWidth="1"/>
    <col min="4379" max="4379" width="13.42578125" style="4" bestFit="1" customWidth="1"/>
    <col min="4380" max="4380" width="5.5703125" style="4" bestFit="1" customWidth="1"/>
    <col min="4381" max="4381" width="19.5703125" style="4" bestFit="1" customWidth="1"/>
    <col min="4382" max="4382" width="1.42578125" style="4" customWidth="1"/>
    <col min="4383" max="4383" width="13.42578125" style="4" bestFit="1" customWidth="1"/>
    <col min="4384" max="4384" width="8.5703125" style="4" bestFit="1" customWidth="1"/>
    <col min="4385" max="4385" width="8.85546875" style="4" bestFit="1" customWidth="1"/>
    <col min="4386" max="4608" width="9.140625" style="4"/>
    <col min="4609" max="4609" width="11" style="4" customWidth="1"/>
    <col min="4610" max="4611" width="12.5703125" style="4" customWidth="1"/>
    <col min="4612" max="4612" width="11" style="4" customWidth="1"/>
    <col min="4613" max="4613" width="8.42578125" style="4" customWidth="1"/>
    <col min="4614" max="4614" width="11.42578125" style="4" customWidth="1"/>
    <col min="4615" max="4615" width="1.85546875" style="4" customWidth="1"/>
    <col min="4616" max="4616" width="8.42578125" style="4" customWidth="1"/>
    <col min="4617" max="4617" width="11.42578125" style="4" customWidth="1"/>
    <col min="4618" max="4619" width="10.42578125" style="4" customWidth="1"/>
    <col min="4620" max="4620" width="10.5703125" style="4" customWidth="1"/>
    <col min="4621" max="4621" width="10" style="4" customWidth="1"/>
    <col min="4622" max="4622" width="11" style="4" bestFit="1" customWidth="1"/>
    <col min="4623" max="4623" width="12" style="4" customWidth="1"/>
    <col min="4624" max="4624" width="11.140625" style="4" customWidth="1"/>
    <col min="4625" max="4625" width="9.5703125" style="4" customWidth="1"/>
    <col min="4626" max="4626" width="10.42578125" style="4" customWidth="1"/>
    <col min="4627" max="4627" width="8.5703125" style="4" customWidth="1"/>
    <col min="4628" max="4628" width="11" style="4" customWidth="1"/>
    <col min="4629" max="4629" width="13.42578125" style="4" bestFit="1" customWidth="1"/>
    <col min="4630" max="4630" width="9.42578125" style="4" customWidth="1"/>
    <col min="4631" max="4631" width="7.5703125" style="4" customWidth="1"/>
    <col min="4632" max="4632" width="11.42578125" style="4" customWidth="1"/>
    <col min="4633" max="4633" width="9.42578125" style="4" customWidth="1"/>
    <col min="4634" max="4634" width="11.42578125" style="4" customWidth="1"/>
    <col min="4635" max="4635" width="13.42578125" style="4" bestFit="1" customWidth="1"/>
    <col min="4636" max="4636" width="5.5703125" style="4" bestFit="1" customWidth="1"/>
    <col min="4637" max="4637" width="19.5703125" style="4" bestFit="1" customWidth="1"/>
    <col min="4638" max="4638" width="1.42578125" style="4" customWidth="1"/>
    <col min="4639" max="4639" width="13.42578125" style="4" bestFit="1" customWidth="1"/>
    <col min="4640" max="4640" width="8.5703125" style="4" bestFit="1" customWidth="1"/>
    <col min="4641" max="4641" width="8.85546875" style="4" bestFit="1" customWidth="1"/>
    <col min="4642" max="4864" width="9.140625" style="4"/>
    <col min="4865" max="4865" width="11" style="4" customWidth="1"/>
    <col min="4866" max="4867" width="12.5703125" style="4" customWidth="1"/>
    <col min="4868" max="4868" width="11" style="4" customWidth="1"/>
    <col min="4869" max="4869" width="8.42578125" style="4" customWidth="1"/>
    <col min="4870" max="4870" width="11.42578125" style="4" customWidth="1"/>
    <col min="4871" max="4871" width="1.85546875" style="4" customWidth="1"/>
    <col min="4872" max="4872" width="8.42578125" style="4" customWidth="1"/>
    <col min="4873" max="4873" width="11.42578125" style="4" customWidth="1"/>
    <col min="4874" max="4875" width="10.42578125" style="4" customWidth="1"/>
    <col min="4876" max="4876" width="10.5703125" style="4" customWidth="1"/>
    <col min="4877" max="4877" width="10" style="4" customWidth="1"/>
    <col min="4878" max="4878" width="11" style="4" bestFit="1" customWidth="1"/>
    <col min="4879" max="4879" width="12" style="4" customWidth="1"/>
    <col min="4880" max="4880" width="11.140625" style="4" customWidth="1"/>
    <col min="4881" max="4881" width="9.5703125" style="4" customWidth="1"/>
    <col min="4882" max="4882" width="10.42578125" style="4" customWidth="1"/>
    <col min="4883" max="4883" width="8.5703125" style="4" customWidth="1"/>
    <col min="4884" max="4884" width="11" style="4" customWidth="1"/>
    <col min="4885" max="4885" width="13.42578125" style="4" bestFit="1" customWidth="1"/>
    <col min="4886" max="4886" width="9.42578125" style="4" customWidth="1"/>
    <col min="4887" max="4887" width="7.5703125" style="4" customWidth="1"/>
    <col min="4888" max="4888" width="11.42578125" style="4" customWidth="1"/>
    <col min="4889" max="4889" width="9.42578125" style="4" customWidth="1"/>
    <col min="4890" max="4890" width="11.42578125" style="4" customWidth="1"/>
    <col min="4891" max="4891" width="13.42578125" style="4" bestFit="1" customWidth="1"/>
    <col min="4892" max="4892" width="5.5703125" style="4" bestFit="1" customWidth="1"/>
    <col min="4893" max="4893" width="19.5703125" style="4" bestFit="1" customWidth="1"/>
    <col min="4894" max="4894" width="1.42578125" style="4" customWidth="1"/>
    <col min="4895" max="4895" width="13.42578125" style="4" bestFit="1" customWidth="1"/>
    <col min="4896" max="4896" width="8.5703125" style="4" bestFit="1" customWidth="1"/>
    <col min="4897" max="4897" width="8.85546875" style="4" bestFit="1" customWidth="1"/>
    <col min="4898" max="5120" width="9.140625" style="4"/>
    <col min="5121" max="5121" width="11" style="4" customWidth="1"/>
    <col min="5122" max="5123" width="12.5703125" style="4" customWidth="1"/>
    <col min="5124" max="5124" width="11" style="4" customWidth="1"/>
    <col min="5125" max="5125" width="8.42578125" style="4" customWidth="1"/>
    <col min="5126" max="5126" width="11.42578125" style="4" customWidth="1"/>
    <col min="5127" max="5127" width="1.85546875" style="4" customWidth="1"/>
    <col min="5128" max="5128" width="8.42578125" style="4" customWidth="1"/>
    <col min="5129" max="5129" width="11.42578125" style="4" customWidth="1"/>
    <col min="5130" max="5131" width="10.42578125" style="4" customWidth="1"/>
    <col min="5132" max="5132" width="10.5703125" style="4" customWidth="1"/>
    <col min="5133" max="5133" width="10" style="4" customWidth="1"/>
    <col min="5134" max="5134" width="11" style="4" bestFit="1" customWidth="1"/>
    <col min="5135" max="5135" width="12" style="4" customWidth="1"/>
    <col min="5136" max="5136" width="11.140625" style="4" customWidth="1"/>
    <col min="5137" max="5137" width="9.5703125" style="4" customWidth="1"/>
    <col min="5138" max="5138" width="10.42578125" style="4" customWidth="1"/>
    <col min="5139" max="5139" width="8.5703125" style="4" customWidth="1"/>
    <col min="5140" max="5140" width="11" style="4" customWidth="1"/>
    <col min="5141" max="5141" width="13.42578125" style="4" bestFit="1" customWidth="1"/>
    <col min="5142" max="5142" width="9.42578125" style="4" customWidth="1"/>
    <col min="5143" max="5143" width="7.5703125" style="4" customWidth="1"/>
    <col min="5144" max="5144" width="11.42578125" style="4" customWidth="1"/>
    <col min="5145" max="5145" width="9.42578125" style="4" customWidth="1"/>
    <col min="5146" max="5146" width="11.42578125" style="4" customWidth="1"/>
    <col min="5147" max="5147" width="13.42578125" style="4" bestFit="1" customWidth="1"/>
    <col min="5148" max="5148" width="5.5703125" style="4" bestFit="1" customWidth="1"/>
    <col min="5149" max="5149" width="19.5703125" style="4" bestFit="1" customWidth="1"/>
    <col min="5150" max="5150" width="1.42578125" style="4" customWidth="1"/>
    <col min="5151" max="5151" width="13.42578125" style="4" bestFit="1" customWidth="1"/>
    <col min="5152" max="5152" width="8.5703125" style="4" bestFit="1" customWidth="1"/>
    <col min="5153" max="5153" width="8.85546875" style="4" bestFit="1" customWidth="1"/>
    <col min="5154" max="5376" width="9.140625" style="4"/>
    <col min="5377" max="5377" width="11" style="4" customWidth="1"/>
    <col min="5378" max="5379" width="12.5703125" style="4" customWidth="1"/>
    <col min="5380" max="5380" width="11" style="4" customWidth="1"/>
    <col min="5381" max="5381" width="8.42578125" style="4" customWidth="1"/>
    <col min="5382" max="5382" width="11.42578125" style="4" customWidth="1"/>
    <col min="5383" max="5383" width="1.85546875" style="4" customWidth="1"/>
    <col min="5384" max="5384" width="8.42578125" style="4" customWidth="1"/>
    <col min="5385" max="5385" width="11.42578125" style="4" customWidth="1"/>
    <col min="5386" max="5387" width="10.42578125" style="4" customWidth="1"/>
    <col min="5388" max="5388" width="10.5703125" style="4" customWidth="1"/>
    <col min="5389" max="5389" width="10" style="4" customWidth="1"/>
    <col min="5390" max="5390" width="11" style="4" bestFit="1" customWidth="1"/>
    <col min="5391" max="5391" width="12" style="4" customWidth="1"/>
    <col min="5392" max="5392" width="11.140625" style="4" customWidth="1"/>
    <col min="5393" max="5393" width="9.5703125" style="4" customWidth="1"/>
    <col min="5394" max="5394" width="10.42578125" style="4" customWidth="1"/>
    <col min="5395" max="5395" width="8.5703125" style="4" customWidth="1"/>
    <col min="5396" max="5396" width="11" style="4" customWidth="1"/>
    <col min="5397" max="5397" width="13.42578125" style="4" bestFit="1" customWidth="1"/>
    <col min="5398" max="5398" width="9.42578125" style="4" customWidth="1"/>
    <col min="5399" max="5399" width="7.5703125" style="4" customWidth="1"/>
    <col min="5400" max="5400" width="11.42578125" style="4" customWidth="1"/>
    <col min="5401" max="5401" width="9.42578125" style="4" customWidth="1"/>
    <col min="5402" max="5402" width="11.42578125" style="4" customWidth="1"/>
    <col min="5403" max="5403" width="13.42578125" style="4" bestFit="1" customWidth="1"/>
    <col min="5404" max="5404" width="5.5703125" style="4" bestFit="1" customWidth="1"/>
    <col min="5405" max="5405" width="19.5703125" style="4" bestFit="1" customWidth="1"/>
    <col min="5406" max="5406" width="1.42578125" style="4" customWidth="1"/>
    <col min="5407" max="5407" width="13.42578125" style="4" bestFit="1" customWidth="1"/>
    <col min="5408" max="5408" width="8.5703125" style="4" bestFit="1" customWidth="1"/>
    <col min="5409" max="5409" width="8.85546875" style="4" bestFit="1" customWidth="1"/>
    <col min="5410" max="5632" width="9.140625" style="4"/>
    <col min="5633" max="5633" width="11" style="4" customWidth="1"/>
    <col min="5634" max="5635" width="12.5703125" style="4" customWidth="1"/>
    <col min="5636" max="5636" width="11" style="4" customWidth="1"/>
    <col min="5637" max="5637" width="8.42578125" style="4" customWidth="1"/>
    <col min="5638" max="5638" width="11.42578125" style="4" customWidth="1"/>
    <col min="5639" max="5639" width="1.85546875" style="4" customWidth="1"/>
    <col min="5640" max="5640" width="8.42578125" style="4" customWidth="1"/>
    <col min="5641" max="5641" width="11.42578125" style="4" customWidth="1"/>
    <col min="5642" max="5643" width="10.42578125" style="4" customWidth="1"/>
    <col min="5644" max="5644" width="10.5703125" style="4" customWidth="1"/>
    <col min="5645" max="5645" width="10" style="4" customWidth="1"/>
    <col min="5646" max="5646" width="11" style="4" bestFit="1" customWidth="1"/>
    <col min="5647" max="5647" width="12" style="4" customWidth="1"/>
    <col min="5648" max="5648" width="11.140625" style="4" customWidth="1"/>
    <col min="5649" max="5649" width="9.5703125" style="4" customWidth="1"/>
    <col min="5650" max="5650" width="10.42578125" style="4" customWidth="1"/>
    <col min="5651" max="5651" width="8.5703125" style="4" customWidth="1"/>
    <col min="5652" max="5652" width="11" style="4" customWidth="1"/>
    <col min="5653" max="5653" width="13.42578125" style="4" bestFit="1" customWidth="1"/>
    <col min="5654" max="5654" width="9.42578125" style="4" customWidth="1"/>
    <col min="5655" max="5655" width="7.5703125" style="4" customWidth="1"/>
    <col min="5656" max="5656" width="11.42578125" style="4" customWidth="1"/>
    <col min="5657" max="5657" width="9.42578125" style="4" customWidth="1"/>
    <col min="5658" max="5658" width="11.42578125" style="4" customWidth="1"/>
    <col min="5659" max="5659" width="13.42578125" style="4" bestFit="1" customWidth="1"/>
    <col min="5660" max="5660" width="5.5703125" style="4" bestFit="1" customWidth="1"/>
    <col min="5661" max="5661" width="19.5703125" style="4" bestFit="1" customWidth="1"/>
    <col min="5662" max="5662" width="1.42578125" style="4" customWidth="1"/>
    <col min="5663" max="5663" width="13.42578125" style="4" bestFit="1" customWidth="1"/>
    <col min="5664" max="5664" width="8.5703125" style="4" bestFit="1" customWidth="1"/>
    <col min="5665" max="5665" width="8.85546875" style="4" bestFit="1" customWidth="1"/>
    <col min="5666" max="5888" width="9.140625" style="4"/>
    <col min="5889" max="5889" width="11" style="4" customWidth="1"/>
    <col min="5890" max="5891" width="12.5703125" style="4" customWidth="1"/>
    <col min="5892" max="5892" width="11" style="4" customWidth="1"/>
    <col min="5893" max="5893" width="8.42578125" style="4" customWidth="1"/>
    <col min="5894" max="5894" width="11.42578125" style="4" customWidth="1"/>
    <col min="5895" max="5895" width="1.85546875" style="4" customWidth="1"/>
    <col min="5896" max="5896" width="8.42578125" style="4" customWidth="1"/>
    <col min="5897" max="5897" width="11.42578125" style="4" customWidth="1"/>
    <col min="5898" max="5899" width="10.42578125" style="4" customWidth="1"/>
    <col min="5900" max="5900" width="10.5703125" style="4" customWidth="1"/>
    <col min="5901" max="5901" width="10" style="4" customWidth="1"/>
    <col min="5902" max="5902" width="11" style="4" bestFit="1" customWidth="1"/>
    <col min="5903" max="5903" width="12" style="4" customWidth="1"/>
    <col min="5904" max="5904" width="11.140625" style="4" customWidth="1"/>
    <col min="5905" max="5905" width="9.5703125" style="4" customWidth="1"/>
    <col min="5906" max="5906" width="10.42578125" style="4" customWidth="1"/>
    <col min="5907" max="5907" width="8.5703125" style="4" customWidth="1"/>
    <col min="5908" max="5908" width="11" style="4" customWidth="1"/>
    <col min="5909" max="5909" width="13.42578125" style="4" bestFit="1" customWidth="1"/>
    <col min="5910" max="5910" width="9.42578125" style="4" customWidth="1"/>
    <col min="5911" max="5911" width="7.5703125" style="4" customWidth="1"/>
    <col min="5912" max="5912" width="11.42578125" style="4" customWidth="1"/>
    <col min="5913" max="5913" width="9.42578125" style="4" customWidth="1"/>
    <col min="5914" max="5914" width="11.42578125" style="4" customWidth="1"/>
    <col min="5915" max="5915" width="13.42578125" style="4" bestFit="1" customWidth="1"/>
    <col min="5916" max="5916" width="5.5703125" style="4" bestFit="1" customWidth="1"/>
    <col min="5917" max="5917" width="19.5703125" style="4" bestFit="1" customWidth="1"/>
    <col min="5918" max="5918" width="1.42578125" style="4" customWidth="1"/>
    <col min="5919" max="5919" width="13.42578125" style="4" bestFit="1" customWidth="1"/>
    <col min="5920" max="5920" width="8.5703125" style="4" bestFit="1" customWidth="1"/>
    <col min="5921" max="5921" width="8.85546875" style="4" bestFit="1" customWidth="1"/>
    <col min="5922" max="6144" width="9.140625" style="4"/>
    <col min="6145" max="6145" width="11" style="4" customWidth="1"/>
    <col min="6146" max="6147" width="12.5703125" style="4" customWidth="1"/>
    <col min="6148" max="6148" width="11" style="4" customWidth="1"/>
    <col min="6149" max="6149" width="8.42578125" style="4" customWidth="1"/>
    <col min="6150" max="6150" width="11.42578125" style="4" customWidth="1"/>
    <col min="6151" max="6151" width="1.85546875" style="4" customWidth="1"/>
    <col min="6152" max="6152" width="8.42578125" style="4" customWidth="1"/>
    <col min="6153" max="6153" width="11.42578125" style="4" customWidth="1"/>
    <col min="6154" max="6155" width="10.42578125" style="4" customWidth="1"/>
    <col min="6156" max="6156" width="10.5703125" style="4" customWidth="1"/>
    <col min="6157" max="6157" width="10" style="4" customWidth="1"/>
    <col min="6158" max="6158" width="11" style="4" bestFit="1" customWidth="1"/>
    <col min="6159" max="6159" width="12" style="4" customWidth="1"/>
    <col min="6160" max="6160" width="11.140625" style="4" customWidth="1"/>
    <col min="6161" max="6161" width="9.5703125" style="4" customWidth="1"/>
    <col min="6162" max="6162" width="10.42578125" style="4" customWidth="1"/>
    <col min="6163" max="6163" width="8.5703125" style="4" customWidth="1"/>
    <col min="6164" max="6164" width="11" style="4" customWidth="1"/>
    <col min="6165" max="6165" width="13.42578125" style="4" bestFit="1" customWidth="1"/>
    <col min="6166" max="6166" width="9.42578125" style="4" customWidth="1"/>
    <col min="6167" max="6167" width="7.5703125" style="4" customWidth="1"/>
    <col min="6168" max="6168" width="11.42578125" style="4" customWidth="1"/>
    <col min="6169" max="6169" width="9.42578125" style="4" customWidth="1"/>
    <col min="6170" max="6170" width="11.42578125" style="4" customWidth="1"/>
    <col min="6171" max="6171" width="13.42578125" style="4" bestFit="1" customWidth="1"/>
    <col min="6172" max="6172" width="5.5703125" style="4" bestFit="1" customWidth="1"/>
    <col min="6173" max="6173" width="19.5703125" style="4" bestFit="1" customWidth="1"/>
    <col min="6174" max="6174" width="1.42578125" style="4" customWidth="1"/>
    <col min="6175" max="6175" width="13.42578125" style="4" bestFit="1" customWidth="1"/>
    <col min="6176" max="6176" width="8.5703125" style="4" bestFit="1" customWidth="1"/>
    <col min="6177" max="6177" width="8.85546875" style="4" bestFit="1" customWidth="1"/>
    <col min="6178" max="6400" width="9.140625" style="4"/>
    <col min="6401" max="6401" width="11" style="4" customWidth="1"/>
    <col min="6402" max="6403" width="12.5703125" style="4" customWidth="1"/>
    <col min="6404" max="6404" width="11" style="4" customWidth="1"/>
    <col min="6405" max="6405" width="8.42578125" style="4" customWidth="1"/>
    <col min="6406" max="6406" width="11.42578125" style="4" customWidth="1"/>
    <col min="6407" max="6407" width="1.85546875" style="4" customWidth="1"/>
    <col min="6408" max="6408" width="8.42578125" style="4" customWidth="1"/>
    <col min="6409" max="6409" width="11.42578125" style="4" customWidth="1"/>
    <col min="6410" max="6411" width="10.42578125" style="4" customWidth="1"/>
    <col min="6412" max="6412" width="10.5703125" style="4" customWidth="1"/>
    <col min="6413" max="6413" width="10" style="4" customWidth="1"/>
    <col min="6414" max="6414" width="11" style="4" bestFit="1" customWidth="1"/>
    <col min="6415" max="6415" width="12" style="4" customWidth="1"/>
    <col min="6416" max="6416" width="11.140625" style="4" customWidth="1"/>
    <col min="6417" max="6417" width="9.5703125" style="4" customWidth="1"/>
    <col min="6418" max="6418" width="10.42578125" style="4" customWidth="1"/>
    <col min="6419" max="6419" width="8.5703125" style="4" customWidth="1"/>
    <col min="6420" max="6420" width="11" style="4" customWidth="1"/>
    <col min="6421" max="6421" width="13.42578125" style="4" bestFit="1" customWidth="1"/>
    <col min="6422" max="6422" width="9.42578125" style="4" customWidth="1"/>
    <col min="6423" max="6423" width="7.5703125" style="4" customWidth="1"/>
    <col min="6424" max="6424" width="11.42578125" style="4" customWidth="1"/>
    <col min="6425" max="6425" width="9.42578125" style="4" customWidth="1"/>
    <col min="6426" max="6426" width="11.42578125" style="4" customWidth="1"/>
    <col min="6427" max="6427" width="13.42578125" style="4" bestFit="1" customWidth="1"/>
    <col min="6428" max="6428" width="5.5703125" style="4" bestFit="1" customWidth="1"/>
    <col min="6429" max="6429" width="19.5703125" style="4" bestFit="1" customWidth="1"/>
    <col min="6430" max="6430" width="1.42578125" style="4" customWidth="1"/>
    <col min="6431" max="6431" width="13.42578125" style="4" bestFit="1" customWidth="1"/>
    <col min="6432" max="6432" width="8.5703125" style="4" bestFit="1" customWidth="1"/>
    <col min="6433" max="6433" width="8.85546875" style="4" bestFit="1" customWidth="1"/>
    <col min="6434" max="6656" width="9.140625" style="4"/>
    <col min="6657" max="6657" width="11" style="4" customWidth="1"/>
    <col min="6658" max="6659" width="12.5703125" style="4" customWidth="1"/>
    <col min="6660" max="6660" width="11" style="4" customWidth="1"/>
    <col min="6661" max="6661" width="8.42578125" style="4" customWidth="1"/>
    <col min="6662" max="6662" width="11.42578125" style="4" customWidth="1"/>
    <col min="6663" max="6663" width="1.85546875" style="4" customWidth="1"/>
    <col min="6664" max="6664" width="8.42578125" style="4" customWidth="1"/>
    <col min="6665" max="6665" width="11.42578125" style="4" customWidth="1"/>
    <col min="6666" max="6667" width="10.42578125" style="4" customWidth="1"/>
    <col min="6668" max="6668" width="10.5703125" style="4" customWidth="1"/>
    <col min="6669" max="6669" width="10" style="4" customWidth="1"/>
    <col min="6670" max="6670" width="11" style="4" bestFit="1" customWidth="1"/>
    <col min="6671" max="6671" width="12" style="4" customWidth="1"/>
    <col min="6672" max="6672" width="11.140625" style="4" customWidth="1"/>
    <col min="6673" max="6673" width="9.5703125" style="4" customWidth="1"/>
    <col min="6674" max="6674" width="10.42578125" style="4" customWidth="1"/>
    <col min="6675" max="6675" width="8.5703125" style="4" customWidth="1"/>
    <col min="6676" max="6676" width="11" style="4" customWidth="1"/>
    <col min="6677" max="6677" width="13.42578125" style="4" bestFit="1" customWidth="1"/>
    <col min="6678" max="6678" width="9.42578125" style="4" customWidth="1"/>
    <col min="6679" max="6679" width="7.5703125" style="4" customWidth="1"/>
    <col min="6680" max="6680" width="11.42578125" style="4" customWidth="1"/>
    <col min="6681" max="6681" width="9.42578125" style="4" customWidth="1"/>
    <col min="6682" max="6682" width="11.42578125" style="4" customWidth="1"/>
    <col min="6683" max="6683" width="13.42578125" style="4" bestFit="1" customWidth="1"/>
    <col min="6684" max="6684" width="5.5703125" style="4" bestFit="1" customWidth="1"/>
    <col min="6685" max="6685" width="19.5703125" style="4" bestFit="1" customWidth="1"/>
    <col min="6686" max="6686" width="1.42578125" style="4" customWidth="1"/>
    <col min="6687" max="6687" width="13.42578125" style="4" bestFit="1" customWidth="1"/>
    <col min="6688" max="6688" width="8.5703125" style="4" bestFit="1" customWidth="1"/>
    <col min="6689" max="6689" width="8.85546875" style="4" bestFit="1" customWidth="1"/>
    <col min="6690" max="6912" width="9.140625" style="4"/>
    <col min="6913" max="6913" width="11" style="4" customWidth="1"/>
    <col min="6914" max="6915" width="12.5703125" style="4" customWidth="1"/>
    <col min="6916" max="6916" width="11" style="4" customWidth="1"/>
    <col min="6917" max="6917" width="8.42578125" style="4" customWidth="1"/>
    <col min="6918" max="6918" width="11.42578125" style="4" customWidth="1"/>
    <col min="6919" max="6919" width="1.85546875" style="4" customWidth="1"/>
    <col min="6920" max="6920" width="8.42578125" style="4" customWidth="1"/>
    <col min="6921" max="6921" width="11.42578125" style="4" customWidth="1"/>
    <col min="6922" max="6923" width="10.42578125" style="4" customWidth="1"/>
    <col min="6924" max="6924" width="10.5703125" style="4" customWidth="1"/>
    <col min="6925" max="6925" width="10" style="4" customWidth="1"/>
    <col min="6926" max="6926" width="11" style="4" bestFit="1" customWidth="1"/>
    <col min="6927" max="6927" width="12" style="4" customWidth="1"/>
    <col min="6928" max="6928" width="11.140625" style="4" customWidth="1"/>
    <col min="6929" max="6929" width="9.5703125" style="4" customWidth="1"/>
    <col min="6930" max="6930" width="10.42578125" style="4" customWidth="1"/>
    <col min="6931" max="6931" width="8.5703125" style="4" customWidth="1"/>
    <col min="6932" max="6932" width="11" style="4" customWidth="1"/>
    <col min="6933" max="6933" width="13.42578125" style="4" bestFit="1" customWidth="1"/>
    <col min="6934" max="6934" width="9.42578125" style="4" customWidth="1"/>
    <col min="6935" max="6935" width="7.5703125" style="4" customWidth="1"/>
    <col min="6936" max="6936" width="11.42578125" style="4" customWidth="1"/>
    <col min="6937" max="6937" width="9.42578125" style="4" customWidth="1"/>
    <col min="6938" max="6938" width="11.42578125" style="4" customWidth="1"/>
    <col min="6939" max="6939" width="13.42578125" style="4" bestFit="1" customWidth="1"/>
    <col min="6940" max="6940" width="5.5703125" style="4" bestFit="1" customWidth="1"/>
    <col min="6941" max="6941" width="19.5703125" style="4" bestFit="1" customWidth="1"/>
    <col min="6942" max="6942" width="1.42578125" style="4" customWidth="1"/>
    <col min="6943" max="6943" width="13.42578125" style="4" bestFit="1" customWidth="1"/>
    <col min="6944" max="6944" width="8.5703125" style="4" bestFit="1" customWidth="1"/>
    <col min="6945" max="6945" width="8.85546875" style="4" bestFit="1" customWidth="1"/>
    <col min="6946" max="7168" width="9.140625" style="4"/>
    <col min="7169" max="7169" width="11" style="4" customWidth="1"/>
    <col min="7170" max="7171" width="12.5703125" style="4" customWidth="1"/>
    <col min="7172" max="7172" width="11" style="4" customWidth="1"/>
    <col min="7173" max="7173" width="8.42578125" style="4" customWidth="1"/>
    <col min="7174" max="7174" width="11.42578125" style="4" customWidth="1"/>
    <col min="7175" max="7175" width="1.85546875" style="4" customWidth="1"/>
    <col min="7176" max="7176" width="8.42578125" style="4" customWidth="1"/>
    <col min="7177" max="7177" width="11.42578125" style="4" customWidth="1"/>
    <col min="7178" max="7179" width="10.42578125" style="4" customWidth="1"/>
    <col min="7180" max="7180" width="10.5703125" style="4" customWidth="1"/>
    <col min="7181" max="7181" width="10" style="4" customWidth="1"/>
    <col min="7182" max="7182" width="11" style="4" bestFit="1" customWidth="1"/>
    <col min="7183" max="7183" width="12" style="4" customWidth="1"/>
    <col min="7184" max="7184" width="11.140625" style="4" customWidth="1"/>
    <col min="7185" max="7185" width="9.5703125" style="4" customWidth="1"/>
    <col min="7186" max="7186" width="10.42578125" style="4" customWidth="1"/>
    <col min="7187" max="7187" width="8.5703125" style="4" customWidth="1"/>
    <col min="7188" max="7188" width="11" style="4" customWidth="1"/>
    <col min="7189" max="7189" width="13.42578125" style="4" bestFit="1" customWidth="1"/>
    <col min="7190" max="7190" width="9.42578125" style="4" customWidth="1"/>
    <col min="7191" max="7191" width="7.5703125" style="4" customWidth="1"/>
    <col min="7192" max="7192" width="11.42578125" style="4" customWidth="1"/>
    <col min="7193" max="7193" width="9.42578125" style="4" customWidth="1"/>
    <col min="7194" max="7194" width="11.42578125" style="4" customWidth="1"/>
    <col min="7195" max="7195" width="13.42578125" style="4" bestFit="1" customWidth="1"/>
    <col min="7196" max="7196" width="5.5703125" style="4" bestFit="1" customWidth="1"/>
    <col min="7197" max="7197" width="19.5703125" style="4" bestFit="1" customWidth="1"/>
    <col min="7198" max="7198" width="1.42578125" style="4" customWidth="1"/>
    <col min="7199" max="7199" width="13.42578125" style="4" bestFit="1" customWidth="1"/>
    <col min="7200" max="7200" width="8.5703125" style="4" bestFit="1" customWidth="1"/>
    <col min="7201" max="7201" width="8.85546875" style="4" bestFit="1" customWidth="1"/>
    <col min="7202" max="7424" width="9.140625" style="4"/>
    <col min="7425" max="7425" width="11" style="4" customWidth="1"/>
    <col min="7426" max="7427" width="12.5703125" style="4" customWidth="1"/>
    <col min="7428" max="7428" width="11" style="4" customWidth="1"/>
    <col min="7429" max="7429" width="8.42578125" style="4" customWidth="1"/>
    <col min="7430" max="7430" width="11.42578125" style="4" customWidth="1"/>
    <col min="7431" max="7431" width="1.85546875" style="4" customWidth="1"/>
    <col min="7432" max="7432" width="8.42578125" style="4" customWidth="1"/>
    <col min="7433" max="7433" width="11.42578125" style="4" customWidth="1"/>
    <col min="7434" max="7435" width="10.42578125" style="4" customWidth="1"/>
    <col min="7436" max="7436" width="10.5703125" style="4" customWidth="1"/>
    <col min="7437" max="7437" width="10" style="4" customWidth="1"/>
    <col min="7438" max="7438" width="11" style="4" bestFit="1" customWidth="1"/>
    <col min="7439" max="7439" width="12" style="4" customWidth="1"/>
    <col min="7440" max="7440" width="11.140625" style="4" customWidth="1"/>
    <col min="7441" max="7441" width="9.5703125" style="4" customWidth="1"/>
    <col min="7442" max="7442" width="10.42578125" style="4" customWidth="1"/>
    <col min="7443" max="7443" width="8.5703125" style="4" customWidth="1"/>
    <col min="7444" max="7444" width="11" style="4" customWidth="1"/>
    <col min="7445" max="7445" width="13.42578125" style="4" bestFit="1" customWidth="1"/>
    <col min="7446" max="7446" width="9.42578125" style="4" customWidth="1"/>
    <col min="7447" max="7447" width="7.5703125" style="4" customWidth="1"/>
    <col min="7448" max="7448" width="11.42578125" style="4" customWidth="1"/>
    <col min="7449" max="7449" width="9.42578125" style="4" customWidth="1"/>
    <col min="7450" max="7450" width="11.42578125" style="4" customWidth="1"/>
    <col min="7451" max="7451" width="13.42578125" style="4" bestFit="1" customWidth="1"/>
    <col min="7452" max="7452" width="5.5703125" style="4" bestFit="1" customWidth="1"/>
    <col min="7453" max="7453" width="19.5703125" style="4" bestFit="1" customWidth="1"/>
    <col min="7454" max="7454" width="1.42578125" style="4" customWidth="1"/>
    <col min="7455" max="7455" width="13.42578125" style="4" bestFit="1" customWidth="1"/>
    <col min="7456" max="7456" width="8.5703125" style="4" bestFit="1" customWidth="1"/>
    <col min="7457" max="7457" width="8.85546875" style="4" bestFit="1" customWidth="1"/>
    <col min="7458" max="7680" width="9.140625" style="4"/>
    <col min="7681" max="7681" width="11" style="4" customWidth="1"/>
    <col min="7682" max="7683" width="12.5703125" style="4" customWidth="1"/>
    <col min="7684" max="7684" width="11" style="4" customWidth="1"/>
    <col min="7685" max="7685" width="8.42578125" style="4" customWidth="1"/>
    <col min="7686" max="7686" width="11.42578125" style="4" customWidth="1"/>
    <col min="7687" max="7687" width="1.85546875" style="4" customWidth="1"/>
    <col min="7688" max="7688" width="8.42578125" style="4" customWidth="1"/>
    <col min="7689" max="7689" width="11.42578125" style="4" customWidth="1"/>
    <col min="7690" max="7691" width="10.42578125" style="4" customWidth="1"/>
    <col min="7692" max="7692" width="10.5703125" style="4" customWidth="1"/>
    <col min="7693" max="7693" width="10" style="4" customWidth="1"/>
    <col min="7694" max="7694" width="11" style="4" bestFit="1" customWidth="1"/>
    <col min="7695" max="7695" width="12" style="4" customWidth="1"/>
    <col min="7696" max="7696" width="11.140625" style="4" customWidth="1"/>
    <col min="7697" max="7697" width="9.5703125" style="4" customWidth="1"/>
    <col min="7698" max="7698" width="10.42578125" style="4" customWidth="1"/>
    <col min="7699" max="7699" width="8.5703125" style="4" customWidth="1"/>
    <col min="7700" max="7700" width="11" style="4" customWidth="1"/>
    <col min="7701" max="7701" width="13.42578125" style="4" bestFit="1" customWidth="1"/>
    <col min="7702" max="7702" width="9.42578125" style="4" customWidth="1"/>
    <col min="7703" max="7703" width="7.5703125" style="4" customWidth="1"/>
    <col min="7704" max="7704" width="11.42578125" style="4" customWidth="1"/>
    <col min="7705" max="7705" width="9.42578125" style="4" customWidth="1"/>
    <col min="7706" max="7706" width="11.42578125" style="4" customWidth="1"/>
    <col min="7707" max="7707" width="13.42578125" style="4" bestFit="1" customWidth="1"/>
    <col min="7708" max="7708" width="5.5703125" style="4" bestFit="1" customWidth="1"/>
    <col min="7709" max="7709" width="19.5703125" style="4" bestFit="1" customWidth="1"/>
    <col min="7710" max="7710" width="1.42578125" style="4" customWidth="1"/>
    <col min="7711" max="7711" width="13.42578125" style="4" bestFit="1" customWidth="1"/>
    <col min="7712" max="7712" width="8.5703125" style="4" bestFit="1" customWidth="1"/>
    <col min="7713" max="7713" width="8.85546875" style="4" bestFit="1" customWidth="1"/>
    <col min="7714" max="7936" width="9.140625" style="4"/>
    <col min="7937" max="7937" width="11" style="4" customWidth="1"/>
    <col min="7938" max="7939" width="12.5703125" style="4" customWidth="1"/>
    <col min="7940" max="7940" width="11" style="4" customWidth="1"/>
    <col min="7941" max="7941" width="8.42578125" style="4" customWidth="1"/>
    <col min="7942" max="7942" width="11.42578125" style="4" customWidth="1"/>
    <col min="7943" max="7943" width="1.85546875" style="4" customWidth="1"/>
    <col min="7944" max="7944" width="8.42578125" style="4" customWidth="1"/>
    <col min="7945" max="7945" width="11.42578125" style="4" customWidth="1"/>
    <col min="7946" max="7947" width="10.42578125" style="4" customWidth="1"/>
    <col min="7948" max="7948" width="10.5703125" style="4" customWidth="1"/>
    <col min="7949" max="7949" width="10" style="4" customWidth="1"/>
    <col min="7950" max="7950" width="11" style="4" bestFit="1" customWidth="1"/>
    <col min="7951" max="7951" width="12" style="4" customWidth="1"/>
    <col min="7952" max="7952" width="11.140625" style="4" customWidth="1"/>
    <col min="7953" max="7953" width="9.5703125" style="4" customWidth="1"/>
    <col min="7954" max="7954" width="10.42578125" style="4" customWidth="1"/>
    <col min="7955" max="7955" width="8.5703125" style="4" customWidth="1"/>
    <col min="7956" max="7956" width="11" style="4" customWidth="1"/>
    <col min="7957" max="7957" width="13.42578125" style="4" bestFit="1" customWidth="1"/>
    <col min="7958" max="7958" width="9.42578125" style="4" customWidth="1"/>
    <col min="7959" max="7959" width="7.5703125" style="4" customWidth="1"/>
    <col min="7960" max="7960" width="11.42578125" style="4" customWidth="1"/>
    <col min="7961" max="7961" width="9.42578125" style="4" customWidth="1"/>
    <col min="7962" max="7962" width="11.42578125" style="4" customWidth="1"/>
    <col min="7963" max="7963" width="13.42578125" style="4" bestFit="1" customWidth="1"/>
    <col min="7964" max="7964" width="5.5703125" style="4" bestFit="1" customWidth="1"/>
    <col min="7965" max="7965" width="19.5703125" style="4" bestFit="1" customWidth="1"/>
    <col min="7966" max="7966" width="1.42578125" style="4" customWidth="1"/>
    <col min="7967" max="7967" width="13.42578125" style="4" bestFit="1" customWidth="1"/>
    <col min="7968" max="7968" width="8.5703125" style="4" bestFit="1" customWidth="1"/>
    <col min="7969" max="7969" width="8.85546875" style="4" bestFit="1" customWidth="1"/>
    <col min="7970" max="8192" width="9.140625" style="4"/>
    <col min="8193" max="8193" width="11" style="4" customWidth="1"/>
    <col min="8194" max="8195" width="12.5703125" style="4" customWidth="1"/>
    <col min="8196" max="8196" width="11" style="4" customWidth="1"/>
    <col min="8197" max="8197" width="8.42578125" style="4" customWidth="1"/>
    <col min="8198" max="8198" width="11.42578125" style="4" customWidth="1"/>
    <col min="8199" max="8199" width="1.85546875" style="4" customWidth="1"/>
    <col min="8200" max="8200" width="8.42578125" style="4" customWidth="1"/>
    <col min="8201" max="8201" width="11.42578125" style="4" customWidth="1"/>
    <col min="8202" max="8203" width="10.42578125" style="4" customWidth="1"/>
    <col min="8204" max="8204" width="10.5703125" style="4" customWidth="1"/>
    <col min="8205" max="8205" width="10" style="4" customWidth="1"/>
    <col min="8206" max="8206" width="11" style="4" bestFit="1" customWidth="1"/>
    <col min="8207" max="8207" width="12" style="4" customWidth="1"/>
    <col min="8208" max="8208" width="11.140625" style="4" customWidth="1"/>
    <col min="8209" max="8209" width="9.5703125" style="4" customWidth="1"/>
    <col min="8210" max="8210" width="10.42578125" style="4" customWidth="1"/>
    <col min="8211" max="8211" width="8.5703125" style="4" customWidth="1"/>
    <col min="8212" max="8212" width="11" style="4" customWidth="1"/>
    <col min="8213" max="8213" width="13.42578125" style="4" bestFit="1" customWidth="1"/>
    <col min="8214" max="8214" width="9.42578125" style="4" customWidth="1"/>
    <col min="8215" max="8215" width="7.5703125" style="4" customWidth="1"/>
    <col min="8216" max="8216" width="11.42578125" style="4" customWidth="1"/>
    <col min="8217" max="8217" width="9.42578125" style="4" customWidth="1"/>
    <col min="8218" max="8218" width="11.42578125" style="4" customWidth="1"/>
    <col min="8219" max="8219" width="13.42578125" style="4" bestFit="1" customWidth="1"/>
    <col min="8220" max="8220" width="5.5703125" style="4" bestFit="1" customWidth="1"/>
    <col min="8221" max="8221" width="19.5703125" style="4" bestFit="1" customWidth="1"/>
    <col min="8222" max="8222" width="1.42578125" style="4" customWidth="1"/>
    <col min="8223" max="8223" width="13.42578125" style="4" bestFit="1" customWidth="1"/>
    <col min="8224" max="8224" width="8.5703125" style="4" bestFit="1" customWidth="1"/>
    <col min="8225" max="8225" width="8.85546875" style="4" bestFit="1" customWidth="1"/>
    <col min="8226" max="8448" width="9.140625" style="4"/>
    <col min="8449" max="8449" width="11" style="4" customWidth="1"/>
    <col min="8450" max="8451" width="12.5703125" style="4" customWidth="1"/>
    <col min="8452" max="8452" width="11" style="4" customWidth="1"/>
    <col min="8453" max="8453" width="8.42578125" style="4" customWidth="1"/>
    <col min="8454" max="8454" width="11.42578125" style="4" customWidth="1"/>
    <col min="8455" max="8455" width="1.85546875" style="4" customWidth="1"/>
    <col min="8456" max="8456" width="8.42578125" style="4" customWidth="1"/>
    <col min="8457" max="8457" width="11.42578125" style="4" customWidth="1"/>
    <col min="8458" max="8459" width="10.42578125" style="4" customWidth="1"/>
    <col min="8460" max="8460" width="10.5703125" style="4" customWidth="1"/>
    <col min="8461" max="8461" width="10" style="4" customWidth="1"/>
    <col min="8462" max="8462" width="11" style="4" bestFit="1" customWidth="1"/>
    <col min="8463" max="8463" width="12" style="4" customWidth="1"/>
    <col min="8464" max="8464" width="11.140625" style="4" customWidth="1"/>
    <col min="8465" max="8465" width="9.5703125" style="4" customWidth="1"/>
    <col min="8466" max="8466" width="10.42578125" style="4" customWidth="1"/>
    <col min="8467" max="8467" width="8.5703125" style="4" customWidth="1"/>
    <col min="8468" max="8468" width="11" style="4" customWidth="1"/>
    <col min="8469" max="8469" width="13.42578125" style="4" bestFit="1" customWidth="1"/>
    <col min="8470" max="8470" width="9.42578125" style="4" customWidth="1"/>
    <col min="8471" max="8471" width="7.5703125" style="4" customWidth="1"/>
    <col min="8472" max="8472" width="11.42578125" style="4" customWidth="1"/>
    <col min="8473" max="8473" width="9.42578125" style="4" customWidth="1"/>
    <col min="8474" max="8474" width="11.42578125" style="4" customWidth="1"/>
    <col min="8475" max="8475" width="13.42578125" style="4" bestFit="1" customWidth="1"/>
    <col min="8476" max="8476" width="5.5703125" style="4" bestFit="1" customWidth="1"/>
    <col min="8477" max="8477" width="19.5703125" style="4" bestFit="1" customWidth="1"/>
    <col min="8478" max="8478" width="1.42578125" style="4" customWidth="1"/>
    <col min="8479" max="8479" width="13.42578125" style="4" bestFit="1" customWidth="1"/>
    <col min="8480" max="8480" width="8.5703125" style="4" bestFit="1" customWidth="1"/>
    <col min="8481" max="8481" width="8.85546875" style="4" bestFit="1" customWidth="1"/>
    <col min="8482" max="8704" width="9.140625" style="4"/>
    <col min="8705" max="8705" width="11" style="4" customWidth="1"/>
    <col min="8706" max="8707" width="12.5703125" style="4" customWidth="1"/>
    <col min="8708" max="8708" width="11" style="4" customWidth="1"/>
    <col min="8709" max="8709" width="8.42578125" style="4" customWidth="1"/>
    <col min="8710" max="8710" width="11.42578125" style="4" customWidth="1"/>
    <col min="8711" max="8711" width="1.85546875" style="4" customWidth="1"/>
    <col min="8712" max="8712" width="8.42578125" style="4" customWidth="1"/>
    <col min="8713" max="8713" width="11.42578125" style="4" customWidth="1"/>
    <col min="8714" max="8715" width="10.42578125" style="4" customWidth="1"/>
    <col min="8716" max="8716" width="10.5703125" style="4" customWidth="1"/>
    <col min="8717" max="8717" width="10" style="4" customWidth="1"/>
    <col min="8718" max="8718" width="11" style="4" bestFit="1" customWidth="1"/>
    <col min="8719" max="8719" width="12" style="4" customWidth="1"/>
    <col min="8720" max="8720" width="11.140625" style="4" customWidth="1"/>
    <col min="8721" max="8721" width="9.5703125" style="4" customWidth="1"/>
    <col min="8722" max="8722" width="10.42578125" style="4" customWidth="1"/>
    <col min="8723" max="8723" width="8.5703125" style="4" customWidth="1"/>
    <col min="8724" max="8724" width="11" style="4" customWidth="1"/>
    <col min="8725" max="8725" width="13.42578125" style="4" bestFit="1" customWidth="1"/>
    <col min="8726" max="8726" width="9.42578125" style="4" customWidth="1"/>
    <col min="8727" max="8727" width="7.5703125" style="4" customWidth="1"/>
    <col min="8728" max="8728" width="11.42578125" style="4" customWidth="1"/>
    <col min="8729" max="8729" width="9.42578125" style="4" customWidth="1"/>
    <col min="8730" max="8730" width="11.42578125" style="4" customWidth="1"/>
    <col min="8731" max="8731" width="13.42578125" style="4" bestFit="1" customWidth="1"/>
    <col min="8732" max="8732" width="5.5703125" style="4" bestFit="1" customWidth="1"/>
    <col min="8733" max="8733" width="19.5703125" style="4" bestFit="1" customWidth="1"/>
    <col min="8734" max="8734" width="1.42578125" style="4" customWidth="1"/>
    <col min="8735" max="8735" width="13.42578125" style="4" bestFit="1" customWidth="1"/>
    <col min="8736" max="8736" width="8.5703125" style="4" bestFit="1" customWidth="1"/>
    <col min="8737" max="8737" width="8.85546875" style="4" bestFit="1" customWidth="1"/>
    <col min="8738" max="8960" width="9.140625" style="4"/>
    <col min="8961" max="8961" width="11" style="4" customWidth="1"/>
    <col min="8962" max="8963" width="12.5703125" style="4" customWidth="1"/>
    <col min="8964" max="8964" width="11" style="4" customWidth="1"/>
    <col min="8965" max="8965" width="8.42578125" style="4" customWidth="1"/>
    <col min="8966" max="8966" width="11.42578125" style="4" customWidth="1"/>
    <col min="8967" max="8967" width="1.85546875" style="4" customWidth="1"/>
    <col min="8968" max="8968" width="8.42578125" style="4" customWidth="1"/>
    <col min="8969" max="8969" width="11.42578125" style="4" customWidth="1"/>
    <col min="8970" max="8971" width="10.42578125" style="4" customWidth="1"/>
    <col min="8972" max="8972" width="10.5703125" style="4" customWidth="1"/>
    <col min="8973" max="8973" width="10" style="4" customWidth="1"/>
    <col min="8974" max="8974" width="11" style="4" bestFit="1" customWidth="1"/>
    <col min="8975" max="8975" width="12" style="4" customWidth="1"/>
    <col min="8976" max="8976" width="11.140625" style="4" customWidth="1"/>
    <col min="8977" max="8977" width="9.5703125" style="4" customWidth="1"/>
    <col min="8978" max="8978" width="10.42578125" style="4" customWidth="1"/>
    <col min="8979" max="8979" width="8.5703125" style="4" customWidth="1"/>
    <col min="8980" max="8980" width="11" style="4" customWidth="1"/>
    <col min="8981" max="8981" width="13.42578125" style="4" bestFit="1" customWidth="1"/>
    <col min="8982" max="8982" width="9.42578125" style="4" customWidth="1"/>
    <col min="8983" max="8983" width="7.5703125" style="4" customWidth="1"/>
    <col min="8984" max="8984" width="11.42578125" style="4" customWidth="1"/>
    <col min="8985" max="8985" width="9.42578125" style="4" customWidth="1"/>
    <col min="8986" max="8986" width="11.42578125" style="4" customWidth="1"/>
    <col min="8987" max="8987" width="13.42578125" style="4" bestFit="1" customWidth="1"/>
    <col min="8988" max="8988" width="5.5703125" style="4" bestFit="1" customWidth="1"/>
    <col min="8989" max="8989" width="19.5703125" style="4" bestFit="1" customWidth="1"/>
    <col min="8990" max="8990" width="1.42578125" style="4" customWidth="1"/>
    <col min="8991" max="8991" width="13.42578125" style="4" bestFit="1" customWidth="1"/>
    <col min="8992" max="8992" width="8.5703125" style="4" bestFit="1" customWidth="1"/>
    <col min="8993" max="8993" width="8.85546875" style="4" bestFit="1" customWidth="1"/>
    <col min="8994" max="9216" width="9.140625" style="4"/>
    <col min="9217" max="9217" width="11" style="4" customWidth="1"/>
    <col min="9218" max="9219" width="12.5703125" style="4" customWidth="1"/>
    <col min="9220" max="9220" width="11" style="4" customWidth="1"/>
    <col min="9221" max="9221" width="8.42578125" style="4" customWidth="1"/>
    <col min="9222" max="9222" width="11.42578125" style="4" customWidth="1"/>
    <col min="9223" max="9223" width="1.85546875" style="4" customWidth="1"/>
    <col min="9224" max="9224" width="8.42578125" style="4" customWidth="1"/>
    <col min="9225" max="9225" width="11.42578125" style="4" customWidth="1"/>
    <col min="9226" max="9227" width="10.42578125" style="4" customWidth="1"/>
    <col min="9228" max="9228" width="10.5703125" style="4" customWidth="1"/>
    <col min="9229" max="9229" width="10" style="4" customWidth="1"/>
    <col min="9230" max="9230" width="11" style="4" bestFit="1" customWidth="1"/>
    <col min="9231" max="9231" width="12" style="4" customWidth="1"/>
    <col min="9232" max="9232" width="11.140625" style="4" customWidth="1"/>
    <col min="9233" max="9233" width="9.5703125" style="4" customWidth="1"/>
    <col min="9234" max="9234" width="10.42578125" style="4" customWidth="1"/>
    <col min="9235" max="9235" width="8.5703125" style="4" customWidth="1"/>
    <col min="9236" max="9236" width="11" style="4" customWidth="1"/>
    <col min="9237" max="9237" width="13.42578125" style="4" bestFit="1" customWidth="1"/>
    <col min="9238" max="9238" width="9.42578125" style="4" customWidth="1"/>
    <col min="9239" max="9239" width="7.5703125" style="4" customWidth="1"/>
    <col min="9240" max="9240" width="11.42578125" style="4" customWidth="1"/>
    <col min="9241" max="9241" width="9.42578125" style="4" customWidth="1"/>
    <col min="9242" max="9242" width="11.42578125" style="4" customWidth="1"/>
    <col min="9243" max="9243" width="13.42578125" style="4" bestFit="1" customWidth="1"/>
    <col min="9244" max="9244" width="5.5703125" style="4" bestFit="1" customWidth="1"/>
    <col min="9245" max="9245" width="19.5703125" style="4" bestFit="1" customWidth="1"/>
    <col min="9246" max="9246" width="1.42578125" style="4" customWidth="1"/>
    <col min="9247" max="9247" width="13.42578125" style="4" bestFit="1" customWidth="1"/>
    <col min="9248" max="9248" width="8.5703125" style="4" bestFit="1" customWidth="1"/>
    <col min="9249" max="9249" width="8.85546875" style="4" bestFit="1" customWidth="1"/>
    <col min="9250" max="9472" width="9.140625" style="4"/>
    <col min="9473" max="9473" width="11" style="4" customWidth="1"/>
    <col min="9474" max="9475" width="12.5703125" style="4" customWidth="1"/>
    <col min="9476" max="9476" width="11" style="4" customWidth="1"/>
    <col min="9477" max="9477" width="8.42578125" style="4" customWidth="1"/>
    <col min="9478" max="9478" width="11.42578125" style="4" customWidth="1"/>
    <col min="9479" max="9479" width="1.85546875" style="4" customWidth="1"/>
    <col min="9480" max="9480" width="8.42578125" style="4" customWidth="1"/>
    <col min="9481" max="9481" width="11.42578125" style="4" customWidth="1"/>
    <col min="9482" max="9483" width="10.42578125" style="4" customWidth="1"/>
    <col min="9484" max="9484" width="10.5703125" style="4" customWidth="1"/>
    <col min="9485" max="9485" width="10" style="4" customWidth="1"/>
    <col min="9486" max="9486" width="11" style="4" bestFit="1" customWidth="1"/>
    <col min="9487" max="9487" width="12" style="4" customWidth="1"/>
    <col min="9488" max="9488" width="11.140625" style="4" customWidth="1"/>
    <col min="9489" max="9489" width="9.5703125" style="4" customWidth="1"/>
    <col min="9490" max="9490" width="10.42578125" style="4" customWidth="1"/>
    <col min="9491" max="9491" width="8.5703125" style="4" customWidth="1"/>
    <col min="9492" max="9492" width="11" style="4" customWidth="1"/>
    <col min="9493" max="9493" width="13.42578125" style="4" bestFit="1" customWidth="1"/>
    <col min="9494" max="9494" width="9.42578125" style="4" customWidth="1"/>
    <col min="9495" max="9495" width="7.5703125" style="4" customWidth="1"/>
    <col min="9496" max="9496" width="11.42578125" style="4" customWidth="1"/>
    <col min="9497" max="9497" width="9.42578125" style="4" customWidth="1"/>
    <col min="9498" max="9498" width="11.42578125" style="4" customWidth="1"/>
    <col min="9499" max="9499" width="13.42578125" style="4" bestFit="1" customWidth="1"/>
    <col min="9500" max="9500" width="5.5703125" style="4" bestFit="1" customWidth="1"/>
    <col min="9501" max="9501" width="19.5703125" style="4" bestFit="1" customWidth="1"/>
    <col min="9502" max="9502" width="1.42578125" style="4" customWidth="1"/>
    <col min="9503" max="9503" width="13.42578125" style="4" bestFit="1" customWidth="1"/>
    <col min="9504" max="9504" width="8.5703125" style="4" bestFit="1" customWidth="1"/>
    <col min="9505" max="9505" width="8.85546875" style="4" bestFit="1" customWidth="1"/>
    <col min="9506" max="9728" width="9.140625" style="4"/>
    <col min="9729" max="9729" width="11" style="4" customWidth="1"/>
    <col min="9730" max="9731" width="12.5703125" style="4" customWidth="1"/>
    <col min="9732" max="9732" width="11" style="4" customWidth="1"/>
    <col min="9733" max="9733" width="8.42578125" style="4" customWidth="1"/>
    <col min="9734" max="9734" width="11.42578125" style="4" customWidth="1"/>
    <col min="9735" max="9735" width="1.85546875" style="4" customWidth="1"/>
    <col min="9736" max="9736" width="8.42578125" style="4" customWidth="1"/>
    <col min="9737" max="9737" width="11.42578125" style="4" customWidth="1"/>
    <col min="9738" max="9739" width="10.42578125" style="4" customWidth="1"/>
    <col min="9740" max="9740" width="10.5703125" style="4" customWidth="1"/>
    <col min="9741" max="9741" width="10" style="4" customWidth="1"/>
    <col min="9742" max="9742" width="11" style="4" bestFit="1" customWidth="1"/>
    <col min="9743" max="9743" width="12" style="4" customWidth="1"/>
    <col min="9744" max="9744" width="11.140625" style="4" customWidth="1"/>
    <col min="9745" max="9745" width="9.5703125" style="4" customWidth="1"/>
    <col min="9746" max="9746" width="10.42578125" style="4" customWidth="1"/>
    <col min="9747" max="9747" width="8.5703125" style="4" customWidth="1"/>
    <col min="9748" max="9748" width="11" style="4" customWidth="1"/>
    <col min="9749" max="9749" width="13.42578125" style="4" bestFit="1" customWidth="1"/>
    <col min="9750" max="9750" width="9.42578125" style="4" customWidth="1"/>
    <col min="9751" max="9751" width="7.5703125" style="4" customWidth="1"/>
    <col min="9752" max="9752" width="11.42578125" style="4" customWidth="1"/>
    <col min="9753" max="9753" width="9.42578125" style="4" customWidth="1"/>
    <col min="9754" max="9754" width="11.42578125" style="4" customWidth="1"/>
    <col min="9755" max="9755" width="13.42578125" style="4" bestFit="1" customWidth="1"/>
    <col min="9756" max="9756" width="5.5703125" style="4" bestFit="1" customWidth="1"/>
    <col min="9757" max="9757" width="19.5703125" style="4" bestFit="1" customWidth="1"/>
    <col min="9758" max="9758" width="1.42578125" style="4" customWidth="1"/>
    <col min="9759" max="9759" width="13.42578125" style="4" bestFit="1" customWidth="1"/>
    <col min="9760" max="9760" width="8.5703125" style="4" bestFit="1" customWidth="1"/>
    <col min="9761" max="9761" width="8.85546875" style="4" bestFit="1" customWidth="1"/>
    <col min="9762" max="9984" width="9.140625" style="4"/>
    <col min="9985" max="9985" width="11" style="4" customWidth="1"/>
    <col min="9986" max="9987" width="12.5703125" style="4" customWidth="1"/>
    <col min="9988" max="9988" width="11" style="4" customWidth="1"/>
    <col min="9989" max="9989" width="8.42578125" style="4" customWidth="1"/>
    <col min="9990" max="9990" width="11.42578125" style="4" customWidth="1"/>
    <col min="9991" max="9991" width="1.85546875" style="4" customWidth="1"/>
    <col min="9992" max="9992" width="8.42578125" style="4" customWidth="1"/>
    <col min="9993" max="9993" width="11.42578125" style="4" customWidth="1"/>
    <col min="9994" max="9995" width="10.42578125" style="4" customWidth="1"/>
    <col min="9996" max="9996" width="10.5703125" style="4" customWidth="1"/>
    <col min="9997" max="9997" width="10" style="4" customWidth="1"/>
    <col min="9998" max="9998" width="11" style="4" bestFit="1" customWidth="1"/>
    <col min="9999" max="9999" width="12" style="4" customWidth="1"/>
    <col min="10000" max="10000" width="11.140625" style="4" customWidth="1"/>
    <col min="10001" max="10001" width="9.5703125" style="4" customWidth="1"/>
    <col min="10002" max="10002" width="10.42578125" style="4" customWidth="1"/>
    <col min="10003" max="10003" width="8.5703125" style="4" customWidth="1"/>
    <col min="10004" max="10004" width="11" style="4" customWidth="1"/>
    <col min="10005" max="10005" width="13.42578125" style="4" bestFit="1" customWidth="1"/>
    <col min="10006" max="10006" width="9.42578125" style="4" customWidth="1"/>
    <col min="10007" max="10007" width="7.5703125" style="4" customWidth="1"/>
    <col min="10008" max="10008" width="11.42578125" style="4" customWidth="1"/>
    <col min="10009" max="10009" width="9.42578125" style="4" customWidth="1"/>
    <col min="10010" max="10010" width="11.42578125" style="4" customWidth="1"/>
    <col min="10011" max="10011" width="13.42578125" style="4" bestFit="1" customWidth="1"/>
    <col min="10012" max="10012" width="5.5703125" style="4" bestFit="1" customWidth="1"/>
    <col min="10013" max="10013" width="19.5703125" style="4" bestFit="1" customWidth="1"/>
    <col min="10014" max="10014" width="1.42578125" style="4" customWidth="1"/>
    <col min="10015" max="10015" width="13.42578125" style="4" bestFit="1" customWidth="1"/>
    <col min="10016" max="10016" width="8.5703125" style="4" bestFit="1" customWidth="1"/>
    <col min="10017" max="10017" width="8.85546875" style="4" bestFit="1" customWidth="1"/>
    <col min="10018" max="10240" width="9.140625" style="4"/>
    <col min="10241" max="10241" width="11" style="4" customWidth="1"/>
    <col min="10242" max="10243" width="12.5703125" style="4" customWidth="1"/>
    <col min="10244" max="10244" width="11" style="4" customWidth="1"/>
    <col min="10245" max="10245" width="8.42578125" style="4" customWidth="1"/>
    <col min="10246" max="10246" width="11.42578125" style="4" customWidth="1"/>
    <col min="10247" max="10247" width="1.85546875" style="4" customWidth="1"/>
    <col min="10248" max="10248" width="8.42578125" style="4" customWidth="1"/>
    <col min="10249" max="10249" width="11.42578125" style="4" customWidth="1"/>
    <col min="10250" max="10251" width="10.42578125" style="4" customWidth="1"/>
    <col min="10252" max="10252" width="10.5703125" style="4" customWidth="1"/>
    <col min="10253" max="10253" width="10" style="4" customWidth="1"/>
    <col min="10254" max="10254" width="11" style="4" bestFit="1" customWidth="1"/>
    <col min="10255" max="10255" width="12" style="4" customWidth="1"/>
    <col min="10256" max="10256" width="11.140625" style="4" customWidth="1"/>
    <col min="10257" max="10257" width="9.5703125" style="4" customWidth="1"/>
    <col min="10258" max="10258" width="10.42578125" style="4" customWidth="1"/>
    <col min="10259" max="10259" width="8.5703125" style="4" customWidth="1"/>
    <col min="10260" max="10260" width="11" style="4" customWidth="1"/>
    <col min="10261" max="10261" width="13.42578125" style="4" bestFit="1" customWidth="1"/>
    <col min="10262" max="10262" width="9.42578125" style="4" customWidth="1"/>
    <col min="10263" max="10263" width="7.5703125" style="4" customWidth="1"/>
    <col min="10264" max="10264" width="11.42578125" style="4" customWidth="1"/>
    <col min="10265" max="10265" width="9.42578125" style="4" customWidth="1"/>
    <col min="10266" max="10266" width="11.42578125" style="4" customWidth="1"/>
    <col min="10267" max="10267" width="13.42578125" style="4" bestFit="1" customWidth="1"/>
    <col min="10268" max="10268" width="5.5703125" style="4" bestFit="1" customWidth="1"/>
    <col min="10269" max="10269" width="19.5703125" style="4" bestFit="1" customWidth="1"/>
    <col min="10270" max="10270" width="1.42578125" style="4" customWidth="1"/>
    <col min="10271" max="10271" width="13.42578125" style="4" bestFit="1" customWidth="1"/>
    <col min="10272" max="10272" width="8.5703125" style="4" bestFit="1" customWidth="1"/>
    <col min="10273" max="10273" width="8.85546875" style="4" bestFit="1" customWidth="1"/>
    <col min="10274" max="10496" width="9.140625" style="4"/>
    <col min="10497" max="10497" width="11" style="4" customWidth="1"/>
    <col min="10498" max="10499" width="12.5703125" style="4" customWidth="1"/>
    <col min="10500" max="10500" width="11" style="4" customWidth="1"/>
    <col min="10501" max="10501" width="8.42578125" style="4" customWidth="1"/>
    <col min="10502" max="10502" width="11.42578125" style="4" customWidth="1"/>
    <col min="10503" max="10503" width="1.85546875" style="4" customWidth="1"/>
    <col min="10504" max="10504" width="8.42578125" style="4" customWidth="1"/>
    <col min="10505" max="10505" width="11.42578125" style="4" customWidth="1"/>
    <col min="10506" max="10507" width="10.42578125" style="4" customWidth="1"/>
    <col min="10508" max="10508" width="10.5703125" style="4" customWidth="1"/>
    <col min="10509" max="10509" width="10" style="4" customWidth="1"/>
    <col min="10510" max="10510" width="11" style="4" bestFit="1" customWidth="1"/>
    <col min="10511" max="10511" width="12" style="4" customWidth="1"/>
    <col min="10512" max="10512" width="11.140625" style="4" customWidth="1"/>
    <col min="10513" max="10513" width="9.5703125" style="4" customWidth="1"/>
    <col min="10514" max="10514" width="10.42578125" style="4" customWidth="1"/>
    <col min="10515" max="10515" width="8.5703125" style="4" customWidth="1"/>
    <col min="10516" max="10516" width="11" style="4" customWidth="1"/>
    <col min="10517" max="10517" width="13.42578125" style="4" bestFit="1" customWidth="1"/>
    <col min="10518" max="10518" width="9.42578125" style="4" customWidth="1"/>
    <col min="10519" max="10519" width="7.5703125" style="4" customWidth="1"/>
    <col min="10520" max="10520" width="11.42578125" style="4" customWidth="1"/>
    <col min="10521" max="10521" width="9.42578125" style="4" customWidth="1"/>
    <col min="10522" max="10522" width="11.42578125" style="4" customWidth="1"/>
    <col min="10523" max="10523" width="13.42578125" style="4" bestFit="1" customWidth="1"/>
    <col min="10524" max="10524" width="5.5703125" style="4" bestFit="1" customWidth="1"/>
    <col min="10525" max="10525" width="19.5703125" style="4" bestFit="1" customWidth="1"/>
    <col min="10526" max="10526" width="1.42578125" style="4" customWidth="1"/>
    <col min="10527" max="10527" width="13.42578125" style="4" bestFit="1" customWidth="1"/>
    <col min="10528" max="10528" width="8.5703125" style="4" bestFit="1" customWidth="1"/>
    <col min="10529" max="10529" width="8.85546875" style="4" bestFit="1" customWidth="1"/>
    <col min="10530" max="10752" width="9.140625" style="4"/>
    <col min="10753" max="10753" width="11" style="4" customWidth="1"/>
    <col min="10754" max="10755" width="12.5703125" style="4" customWidth="1"/>
    <col min="10756" max="10756" width="11" style="4" customWidth="1"/>
    <col min="10757" max="10757" width="8.42578125" style="4" customWidth="1"/>
    <col min="10758" max="10758" width="11.42578125" style="4" customWidth="1"/>
    <col min="10759" max="10759" width="1.85546875" style="4" customWidth="1"/>
    <col min="10760" max="10760" width="8.42578125" style="4" customWidth="1"/>
    <col min="10761" max="10761" width="11.42578125" style="4" customWidth="1"/>
    <col min="10762" max="10763" width="10.42578125" style="4" customWidth="1"/>
    <col min="10764" max="10764" width="10.5703125" style="4" customWidth="1"/>
    <col min="10765" max="10765" width="10" style="4" customWidth="1"/>
    <col min="10766" max="10766" width="11" style="4" bestFit="1" customWidth="1"/>
    <col min="10767" max="10767" width="12" style="4" customWidth="1"/>
    <col min="10768" max="10768" width="11.140625" style="4" customWidth="1"/>
    <col min="10769" max="10769" width="9.5703125" style="4" customWidth="1"/>
    <col min="10770" max="10770" width="10.42578125" style="4" customWidth="1"/>
    <col min="10771" max="10771" width="8.5703125" style="4" customWidth="1"/>
    <col min="10772" max="10772" width="11" style="4" customWidth="1"/>
    <col min="10773" max="10773" width="13.42578125" style="4" bestFit="1" customWidth="1"/>
    <col min="10774" max="10774" width="9.42578125" style="4" customWidth="1"/>
    <col min="10775" max="10775" width="7.5703125" style="4" customWidth="1"/>
    <col min="10776" max="10776" width="11.42578125" style="4" customWidth="1"/>
    <col min="10777" max="10777" width="9.42578125" style="4" customWidth="1"/>
    <col min="10778" max="10778" width="11.42578125" style="4" customWidth="1"/>
    <col min="10779" max="10779" width="13.42578125" style="4" bestFit="1" customWidth="1"/>
    <col min="10780" max="10780" width="5.5703125" style="4" bestFit="1" customWidth="1"/>
    <col min="10781" max="10781" width="19.5703125" style="4" bestFit="1" customWidth="1"/>
    <col min="10782" max="10782" width="1.42578125" style="4" customWidth="1"/>
    <col min="10783" max="10783" width="13.42578125" style="4" bestFit="1" customWidth="1"/>
    <col min="10784" max="10784" width="8.5703125" style="4" bestFit="1" customWidth="1"/>
    <col min="10785" max="10785" width="8.85546875" style="4" bestFit="1" customWidth="1"/>
    <col min="10786" max="11008" width="9.140625" style="4"/>
    <col min="11009" max="11009" width="11" style="4" customWidth="1"/>
    <col min="11010" max="11011" width="12.5703125" style="4" customWidth="1"/>
    <col min="11012" max="11012" width="11" style="4" customWidth="1"/>
    <col min="11013" max="11013" width="8.42578125" style="4" customWidth="1"/>
    <col min="11014" max="11014" width="11.42578125" style="4" customWidth="1"/>
    <col min="11015" max="11015" width="1.85546875" style="4" customWidth="1"/>
    <col min="11016" max="11016" width="8.42578125" style="4" customWidth="1"/>
    <col min="11017" max="11017" width="11.42578125" style="4" customWidth="1"/>
    <col min="11018" max="11019" width="10.42578125" style="4" customWidth="1"/>
    <col min="11020" max="11020" width="10.5703125" style="4" customWidth="1"/>
    <col min="11021" max="11021" width="10" style="4" customWidth="1"/>
    <col min="11022" max="11022" width="11" style="4" bestFit="1" customWidth="1"/>
    <col min="11023" max="11023" width="12" style="4" customWidth="1"/>
    <col min="11024" max="11024" width="11.140625" style="4" customWidth="1"/>
    <col min="11025" max="11025" width="9.5703125" style="4" customWidth="1"/>
    <col min="11026" max="11026" width="10.42578125" style="4" customWidth="1"/>
    <col min="11027" max="11027" width="8.5703125" style="4" customWidth="1"/>
    <col min="11028" max="11028" width="11" style="4" customWidth="1"/>
    <col min="11029" max="11029" width="13.42578125" style="4" bestFit="1" customWidth="1"/>
    <col min="11030" max="11030" width="9.42578125" style="4" customWidth="1"/>
    <col min="11031" max="11031" width="7.5703125" style="4" customWidth="1"/>
    <col min="11032" max="11032" width="11.42578125" style="4" customWidth="1"/>
    <col min="11033" max="11033" width="9.42578125" style="4" customWidth="1"/>
    <col min="11034" max="11034" width="11.42578125" style="4" customWidth="1"/>
    <col min="11035" max="11035" width="13.42578125" style="4" bestFit="1" customWidth="1"/>
    <col min="11036" max="11036" width="5.5703125" style="4" bestFit="1" customWidth="1"/>
    <col min="11037" max="11037" width="19.5703125" style="4" bestFit="1" customWidth="1"/>
    <col min="11038" max="11038" width="1.42578125" style="4" customWidth="1"/>
    <col min="11039" max="11039" width="13.42578125" style="4" bestFit="1" customWidth="1"/>
    <col min="11040" max="11040" width="8.5703125" style="4" bestFit="1" customWidth="1"/>
    <col min="11041" max="11041" width="8.85546875" style="4" bestFit="1" customWidth="1"/>
    <col min="11042" max="11264" width="9.140625" style="4"/>
    <col min="11265" max="11265" width="11" style="4" customWidth="1"/>
    <col min="11266" max="11267" width="12.5703125" style="4" customWidth="1"/>
    <col min="11268" max="11268" width="11" style="4" customWidth="1"/>
    <col min="11269" max="11269" width="8.42578125" style="4" customWidth="1"/>
    <col min="11270" max="11270" width="11.42578125" style="4" customWidth="1"/>
    <col min="11271" max="11271" width="1.85546875" style="4" customWidth="1"/>
    <col min="11272" max="11272" width="8.42578125" style="4" customWidth="1"/>
    <col min="11273" max="11273" width="11.42578125" style="4" customWidth="1"/>
    <col min="11274" max="11275" width="10.42578125" style="4" customWidth="1"/>
    <col min="11276" max="11276" width="10.5703125" style="4" customWidth="1"/>
    <col min="11277" max="11277" width="10" style="4" customWidth="1"/>
    <col min="11278" max="11278" width="11" style="4" bestFit="1" customWidth="1"/>
    <col min="11279" max="11279" width="12" style="4" customWidth="1"/>
    <col min="11280" max="11280" width="11.140625" style="4" customWidth="1"/>
    <col min="11281" max="11281" width="9.5703125" style="4" customWidth="1"/>
    <col min="11282" max="11282" width="10.42578125" style="4" customWidth="1"/>
    <col min="11283" max="11283" width="8.5703125" style="4" customWidth="1"/>
    <col min="11284" max="11284" width="11" style="4" customWidth="1"/>
    <col min="11285" max="11285" width="13.42578125" style="4" bestFit="1" customWidth="1"/>
    <col min="11286" max="11286" width="9.42578125" style="4" customWidth="1"/>
    <col min="11287" max="11287" width="7.5703125" style="4" customWidth="1"/>
    <col min="11288" max="11288" width="11.42578125" style="4" customWidth="1"/>
    <col min="11289" max="11289" width="9.42578125" style="4" customWidth="1"/>
    <col min="11290" max="11290" width="11.42578125" style="4" customWidth="1"/>
    <col min="11291" max="11291" width="13.42578125" style="4" bestFit="1" customWidth="1"/>
    <col min="11292" max="11292" width="5.5703125" style="4" bestFit="1" customWidth="1"/>
    <col min="11293" max="11293" width="19.5703125" style="4" bestFit="1" customWidth="1"/>
    <col min="11294" max="11294" width="1.42578125" style="4" customWidth="1"/>
    <col min="11295" max="11295" width="13.42578125" style="4" bestFit="1" customWidth="1"/>
    <col min="11296" max="11296" width="8.5703125" style="4" bestFit="1" customWidth="1"/>
    <col min="11297" max="11297" width="8.85546875" style="4" bestFit="1" customWidth="1"/>
    <col min="11298" max="11520" width="9.140625" style="4"/>
    <col min="11521" max="11521" width="11" style="4" customWidth="1"/>
    <col min="11522" max="11523" width="12.5703125" style="4" customWidth="1"/>
    <col min="11524" max="11524" width="11" style="4" customWidth="1"/>
    <col min="11525" max="11525" width="8.42578125" style="4" customWidth="1"/>
    <col min="11526" max="11526" width="11.42578125" style="4" customWidth="1"/>
    <col min="11527" max="11527" width="1.85546875" style="4" customWidth="1"/>
    <col min="11528" max="11528" width="8.42578125" style="4" customWidth="1"/>
    <col min="11529" max="11529" width="11.42578125" style="4" customWidth="1"/>
    <col min="11530" max="11531" width="10.42578125" style="4" customWidth="1"/>
    <col min="11532" max="11532" width="10.5703125" style="4" customWidth="1"/>
    <col min="11533" max="11533" width="10" style="4" customWidth="1"/>
    <col min="11534" max="11534" width="11" style="4" bestFit="1" customWidth="1"/>
    <col min="11535" max="11535" width="12" style="4" customWidth="1"/>
    <col min="11536" max="11536" width="11.140625" style="4" customWidth="1"/>
    <col min="11537" max="11537" width="9.5703125" style="4" customWidth="1"/>
    <col min="11538" max="11538" width="10.42578125" style="4" customWidth="1"/>
    <col min="11539" max="11539" width="8.5703125" style="4" customWidth="1"/>
    <col min="11540" max="11540" width="11" style="4" customWidth="1"/>
    <col min="11541" max="11541" width="13.42578125" style="4" bestFit="1" customWidth="1"/>
    <col min="11542" max="11542" width="9.42578125" style="4" customWidth="1"/>
    <col min="11543" max="11543" width="7.5703125" style="4" customWidth="1"/>
    <col min="11544" max="11544" width="11.42578125" style="4" customWidth="1"/>
    <col min="11545" max="11545" width="9.42578125" style="4" customWidth="1"/>
    <col min="11546" max="11546" width="11.42578125" style="4" customWidth="1"/>
    <col min="11547" max="11547" width="13.42578125" style="4" bestFit="1" customWidth="1"/>
    <col min="11548" max="11548" width="5.5703125" style="4" bestFit="1" customWidth="1"/>
    <col min="11549" max="11549" width="19.5703125" style="4" bestFit="1" customWidth="1"/>
    <col min="11550" max="11550" width="1.42578125" style="4" customWidth="1"/>
    <col min="11551" max="11551" width="13.42578125" style="4" bestFit="1" customWidth="1"/>
    <col min="11552" max="11552" width="8.5703125" style="4" bestFit="1" customWidth="1"/>
    <col min="11553" max="11553" width="8.85546875" style="4" bestFit="1" customWidth="1"/>
    <col min="11554" max="11776" width="9.140625" style="4"/>
    <col min="11777" max="11777" width="11" style="4" customWidth="1"/>
    <col min="11778" max="11779" width="12.5703125" style="4" customWidth="1"/>
    <col min="11780" max="11780" width="11" style="4" customWidth="1"/>
    <col min="11781" max="11781" width="8.42578125" style="4" customWidth="1"/>
    <col min="11782" max="11782" width="11.42578125" style="4" customWidth="1"/>
    <col min="11783" max="11783" width="1.85546875" style="4" customWidth="1"/>
    <col min="11784" max="11784" width="8.42578125" style="4" customWidth="1"/>
    <col min="11785" max="11785" width="11.42578125" style="4" customWidth="1"/>
    <col min="11786" max="11787" width="10.42578125" style="4" customWidth="1"/>
    <col min="11788" max="11788" width="10.5703125" style="4" customWidth="1"/>
    <col min="11789" max="11789" width="10" style="4" customWidth="1"/>
    <col min="11790" max="11790" width="11" style="4" bestFit="1" customWidth="1"/>
    <col min="11791" max="11791" width="12" style="4" customWidth="1"/>
    <col min="11792" max="11792" width="11.140625" style="4" customWidth="1"/>
    <col min="11793" max="11793" width="9.5703125" style="4" customWidth="1"/>
    <col min="11794" max="11794" width="10.42578125" style="4" customWidth="1"/>
    <col min="11795" max="11795" width="8.5703125" style="4" customWidth="1"/>
    <col min="11796" max="11796" width="11" style="4" customWidth="1"/>
    <col min="11797" max="11797" width="13.42578125" style="4" bestFit="1" customWidth="1"/>
    <col min="11798" max="11798" width="9.42578125" style="4" customWidth="1"/>
    <col min="11799" max="11799" width="7.5703125" style="4" customWidth="1"/>
    <col min="11800" max="11800" width="11.42578125" style="4" customWidth="1"/>
    <col min="11801" max="11801" width="9.42578125" style="4" customWidth="1"/>
    <col min="11802" max="11802" width="11.42578125" style="4" customWidth="1"/>
    <col min="11803" max="11803" width="13.42578125" style="4" bestFit="1" customWidth="1"/>
    <col min="11804" max="11804" width="5.5703125" style="4" bestFit="1" customWidth="1"/>
    <col min="11805" max="11805" width="19.5703125" style="4" bestFit="1" customWidth="1"/>
    <col min="11806" max="11806" width="1.42578125" style="4" customWidth="1"/>
    <col min="11807" max="11807" width="13.42578125" style="4" bestFit="1" customWidth="1"/>
    <col min="11808" max="11808" width="8.5703125" style="4" bestFit="1" customWidth="1"/>
    <col min="11809" max="11809" width="8.85546875" style="4" bestFit="1" customWidth="1"/>
    <col min="11810" max="12032" width="9.140625" style="4"/>
    <col min="12033" max="12033" width="11" style="4" customWidth="1"/>
    <col min="12034" max="12035" width="12.5703125" style="4" customWidth="1"/>
    <col min="12036" max="12036" width="11" style="4" customWidth="1"/>
    <col min="12037" max="12037" width="8.42578125" style="4" customWidth="1"/>
    <col min="12038" max="12038" width="11.42578125" style="4" customWidth="1"/>
    <col min="12039" max="12039" width="1.85546875" style="4" customWidth="1"/>
    <col min="12040" max="12040" width="8.42578125" style="4" customWidth="1"/>
    <col min="12041" max="12041" width="11.42578125" style="4" customWidth="1"/>
    <col min="12042" max="12043" width="10.42578125" style="4" customWidth="1"/>
    <col min="12044" max="12044" width="10.5703125" style="4" customWidth="1"/>
    <col min="12045" max="12045" width="10" style="4" customWidth="1"/>
    <col min="12046" max="12046" width="11" style="4" bestFit="1" customWidth="1"/>
    <col min="12047" max="12047" width="12" style="4" customWidth="1"/>
    <col min="12048" max="12048" width="11.140625" style="4" customWidth="1"/>
    <col min="12049" max="12049" width="9.5703125" style="4" customWidth="1"/>
    <col min="12050" max="12050" width="10.42578125" style="4" customWidth="1"/>
    <col min="12051" max="12051" width="8.5703125" style="4" customWidth="1"/>
    <col min="12052" max="12052" width="11" style="4" customWidth="1"/>
    <col min="12053" max="12053" width="13.42578125" style="4" bestFit="1" customWidth="1"/>
    <col min="12054" max="12054" width="9.42578125" style="4" customWidth="1"/>
    <col min="12055" max="12055" width="7.5703125" style="4" customWidth="1"/>
    <col min="12056" max="12056" width="11.42578125" style="4" customWidth="1"/>
    <col min="12057" max="12057" width="9.42578125" style="4" customWidth="1"/>
    <col min="12058" max="12058" width="11.42578125" style="4" customWidth="1"/>
    <col min="12059" max="12059" width="13.42578125" style="4" bestFit="1" customWidth="1"/>
    <col min="12060" max="12060" width="5.5703125" style="4" bestFit="1" customWidth="1"/>
    <col min="12061" max="12061" width="19.5703125" style="4" bestFit="1" customWidth="1"/>
    <col min="12062" max="12062" width="1.42578125" style="4" customWidth="1"/>
    <col min="12063" max="12063" width="13.42578125" style="4" bestFit="1" customWidth="1"/>
    <col min="12064" max="12064" width="8.5703125" style="4" bestFit="1" customWidth="1"/>
    <col min="12065" max="12065" width="8.85546875" style="4" bestFit="1" customWidth="1"/>
    <col min="12066" max="12288" width="9.140625" style="4"/>
    <col min="12289" max="12289" width="11" style="4" customWidth="1"/>
    <col min="12290" max="12291" width="12.5703125" style="4" customWidth="1"/>
    <col min="12292" max="12292" width="11" style="4" customWidth="1"/>
    <col min="12293" max="12293" width="8.42578125" style="4" customWidth="1"/>
    <col min="12294" max="12294" width="11.42578125" style="4" customWidth="1"/>
    <col min="12295" max="12295" width="1.85546875" style="4" customWidth="1"/>
    <col min="12296" max="12296" width="8.42578125" style="4" customWidth="1"/>
    <col min="12297" max="12297" width="11.42578125" style="4" customWidth="1"/>
    <col min="12298" max="12299" width="10.42578125" style="4" customWidth="1"/>
    <col min="12300" max="12300" width="10.5703125" style="4" customWidth="1"/>
    <col min="12301" max="12301" width="10" style="4" customWidth="1"/>
    <col min="12302" max="12302" width="11" style="4" bestFit="1" customWidth="1"/>
    <col min="12303" max="12303" width="12" style="4" customWidth="1"/>
    <col min="12304" max="12304" width="11.140625" style="4" customWidth="1"/>
    <col min="12305" max="12305" width="9.5703125" style="4" customWidth="1"/>
    <col min="12306" max="12306" width="10.42578125" style="4" customWidth="1"/>
    <col min="12307" max="12307" width="8.5703125" style="4" customWidth="1"/>
    <col min="12308" max="12308" width="11" style="4" customWidth="1"/>
    <col min="12309" max="12309" width="13.42578125" style="4" bestFit="1" customWidth="1"/>
    <col min="12310" max="12310" width="9.42578125" style="4" customWidth="1"/>
    <col min="12311" max="12311" width="7.5703125" style="4" customWidth="1"/>
    <col min="12312" max="12312" width="11.42578125" style="4" customWidth="1"/>
    <col min="12313" max="12313" width="9.42578125" style="4" customWidth="1"/>
    <col min="12314" max="12314" width="11.42578125" style="4" customWidth="1"/>
    <col min="12315" max="12315" width="13.42578125" style="4" bestFit="1" customWidth="1"/>
    <col min="12316" max="12316" width="5.5703125" style="4" bestFit="1" customWidth="1"/>
    <col min="12317" max="12317" width="19.5703125" style="4" bestFit="1" customWidth="1"/>
    <col min="12318" max="12318" width="1.42578125" style="4" customWidth="1"/>
    <col min="12319" max="12319" width="13.42578125" style="4" bestFit="1" customWidth="1"/>
    <col min="12320" max="12320" width="8.5703125" style="4" bestFit="1" customWidth="1"/>
    <col min="12321" max="12321" width="8.85546875" style="4" bestFit="1" customWidth="1"/>
    <col min="12322" max="12544" width="9.140625" style="4"/>
    <col min="12545" max="12545" width="11" style="4" customWidth="1"/>
    <col min="12546" max="12547" width="12.5703125" style="4" customWidth="1"/>
    <col min="12548" max="12548" width="11" style="4" customWidth="1"/>
    <col min="12549" max="12549" width="8.42578125" style="4" customWidth="1"/>
    <col min="12550" max="12550" width="11.42578125" style="4" customWidth="1"/>
    <col min="12551" max="12551" width="1.85546875" style="4" customWidth="1"/>
    <col min="12552" max="12552" width="8.42578125" style="4" customWidth="1"/>
    <col min="12553" max="12553" width="11.42578125" style="4" customWidth="1"/>
    <col min="12554" max="12555" width="10.42578125" style="4" customWidth="1"/>
    <col min="12556" max="12556" width="10.5703125" style="4" customWidth="1"/>
    <col min="12557" max="12557" width="10" style="4" customWidth="1"/>
    <col min="12558" max="12558" width="11" style="4" bestFit="1" customWidth="1"/>
    <col min="12559" max="12559" width="12" style="4" customWidth="1"/>
    <col min="12560" max="12560" width="11.140625" style="4" customWidth="1"/>
    <col min="12561" max="12561" width="9.5703125" style="4" customWidth="1"/>
    <col min="12562" max="12562" width="10.42578125" style="4" customWidth="1"/>
    <col min="12563" max="12563" width="8.5703125" style="4" customWidth="1"/>
    <col min="12564" max="12564" width="11" style="4" customWidth="1"/>
    <col min="12565" max="12565" width="13.42578125" style="4" bestFit="1" customWidth="1"/>
    <col min="12566" max="12566" width="9.42578125" style="4" customWidth="1"/>
    <col min="12567" max="12567" width="7.5703125" style="4" customWidth="1"/>
    <col min="12568" max="12568" width="11.42578125" style="4" customWidth="1"/>
    <col min="12569" max="12569" width="9.42578125" style="4" customWidth="1"/>
    <col min="12570" max="12570" width="11.42578125" style="4" customWidth="1"/>
    <col min="12571" max="12571" width="13.42578125" style="4" bestFit="1" customWidth="1"/>
    <col min="12572" max="12572" width="5.5703125" style="4" bestFit="1" customWidth="1"/>
    <col min="12573" max="12573" width="19.5703125" style="4" bestFit="1" customWidth="1"/>
    <col min="12574" max="12574" width="1.42578125" style="4" customWidth="1"/>
    <col min="12575" max="12575" width="13.42578125" style="4" bestFit="1" customWidth="1"/>
    <col min="12576" max="12576" width="8.5703125" style="4" bestFit="1" customWidth="1"/>
    <col min="12577" max="12577" width="8.85546875" style="4" bestFit="1" customWidth="1"/>
    <col min="12578" max="12800" width="9.140625" style="4"/>
    <col min="12801" max="12801" width="11" style="4" customWidth="1"/>
    <col min="12802" max="12803" width="12.5703125" style="4" customWidth="1"/>
    <col min="12804" max="12804" width="11" style="4" customWidth="1"/>
    <col min="12805" max="12805" width="8.42578125" style="4" customWidth="1"/>
    <col min="12806" max="12806" width="11.42578125" style="4" customWidth="1"/>
    <col min="12807" max="12807" width="1.85546875" style="4" customWidth="1"/>
    <col min="12808" max="12808" width="8.42578125" style="4" customWidth="1"/>
    <col min="12809" max="12809" width="11.42578125" style="4" customWidth="1"/>
    <col min="12810" max="12811" width="10.42578125" style="4" customWidth="1"/>
    <col min="12812" max="12812" width="10.5703125" style="4" customWidth="1"/>
    <col min="12813" max="12813" width="10" style="4" customWidth="1"/>
    <col min="12814" max="12814" width="11" style="4" bestFit="1" customWidth="1"/>
    <col min="12815" max="12815" width="12" style="4" customWidth="1"/>
    <col min="12816" max="12816" width="11.140625" style="4" customWidth="1"/>
    <col min="12817" max="12817" width="9.5703125" style="4" customWidth="1"/>
    <col min="12818" max="12818" width="10.42578125" style="4" customWidth="1"/>
    <col min="12819" max="12819" width="8.5703125" style="4" customWidth="1"/>
    <col min="12820" max="12820" width="11" style="4" customWidth="1"/>
    <col min="12821" max="12821" width="13.42578125" style="4" bestFit="1" customWidth="1"/>
    <col min="12822" max="12822" width="9.42578125" style="4" customWidth="1"/>
    <col min="12823" max="12823" width="7.5703125" style="4" customWidth="1"/>
    <col min="12824" max="12824" width="11.42578125" style="4" customWidth="1"/>
    <col min="12825" max="12825" width="9.42578125" style="4" customWidth="1"/>
    <col min="12826" max="12826" width="11.42578125" style="4" customWidth="1"/>
    <col min="12827" max="12827" width="13.42578125" style="4" bestFit="1" customWidth="1"/>
    <col min="12828" max="12828" width="5.5703125" style="4" bestFit="1" customWidth="1"/>
    <col min="12829" max="12829" width="19.5703125" style="4" bestFit="1" customWidth="1"/>
    <col min="12830" max="12830" width="1.42578125" style="4" customWidth="1"/>
    <col min="12831" max="12831" width="13.42578125" style="4" bestFit="1" customWidth="1"/>
    <col min="12832" max="12832" width="8.5703125" style="4" bestFit="1" customWidth="1"/>
    <col min="12833" max="12833" width="8.85546875" style="4" bestFit="1" customWidth="1"/>
    <col min="12834" max="13056" width="9.140625" style="4"/>
    <col min="13057" max="13057" width="11" style="4" customWidth="1"/>
    <col min="13058" max="13059" width="12.5703125" style="4" customWidth="1"/>
    <col min="13060" max="13060" width="11" style="4" customWidth="1"/>
    <col min="13061" max="13061" width="8.42578125" style="4" customWidth="1"/>
    <col min="13062" max="13062" width="11.42578125" style="4" customWidth="1"/>
    <col min="13063" max="13063" width="1.85546875" style="4" customWidth="1"/>
    <col min="13064" max="13064" width="8.42578125" style="4" customWidth="1"/>
    <col min="13065" max="13065" width="11.42578125" style="4" customWidth="1"/>
    <col min="13066" max="13067" width="10.42578125" style="4" customWidth="1"/>
    <col min="13068" max="13068" width="10.5703125" style="4" customWidth="1"/>
    <col min="13069" max="13069" width="10" style="4" customWidth="1"/>
    <col min="13070" max="13070" width="11" style="4" bestFit="1" customWidth="1"/>
    <col min="13071" max="13071" width="12" style="4" customWidth="1"/>
    <col min="13072" max="13072" width="11.140625" style="4" customWidth="1"/>
    <col min="13073" max="13073" width="9.5703125" style="4" customWidth="1"/>
    <col min="13074" max="13074" width="10.42578125" style="4" customWidth="1"/>
    <col min="13075" max="13075" width="8.5703125" style="4" customWidth="1"/>
    <col min="13076" max="13076" width="11" style="4" customWidth="1"/>
    <col min="13077" max="13077" width="13.42578125" style="4" bestFit="1" customWidth="1"/>
    <col min="13078" max="13078" width="9.42578125" style="4" customWidth="1"/>
    <col min="13079" max="13079" width="7.5703125" style="4" customWidth="1"/>
    <col min="13080" max="13080" width="11.42578125" style="4" customWidth="1"/>
    <col min="13081" max="13081" width="9.42578125" style="4" customWidth="1"/>
    <col min="13082" max="13082" width="11.42578125" style="4" customWidth="1"/>
    <col min="13083" max="13083" width="13.42578125" style="4" bestFit="1" customWidth="1"/>
    <col min="13084" max="13084" width="5.5703125" style="4" bestFit="1" customWidth="1"/>
    <col min="13085" max="13085" width="19.5703125" style="4" bestFit="1" customWidth="1"/>
    <col min="13086" max="13086" width="1.42578125" style="4" customWidth="1"/>
    <col min="13087" max="13087" width="13.42578125" style="4" bestFit="1" customWidth="1"/>
    <col min="13088" max="13088" width="8.5703125" style="4" bestFit="1" customWidth="1"/>
    <col min="13089" max="13089" width="8.85546875" style="4" bestFit="1" customWidth="1"/>
    <col min="13090" max="13312" width="9.140625" style="4"/>
    <col min="13313" max="13313" width="11" style="4" customWidth="1"/>
    <col min="13314" max="13315" width="12.5703125" style="4" customWidth="1"/>
    <col min="13316" max="13316" width="11" style="4" customWidth="1"/>
    <col min="13317" max="13317" width="8.42578125" style="4" customWidth="1"/>
    <col min="13318" max="13318" width="11.42578125" style="4" customWidth="1"/>
    <col min="13319" max="13319" width="1.85546875" style="4" customWidth="1"/>
    <col min="13320" max="13320" width="8.42578125" style="4" customWidth="1"/>
    <col min="13321" max="13321" width="11.42578125" style="4" customWidth="1"/>
    <col min="13322" max="13323" width="10.42578125" style="4" customWidth="1"/>
    <col min="13324" max="13324" width="10.5703125" style="4" customWidth="1"/>
    <col min="13325" max="13325" width="10" style="4" customWidth="1"/>
    <col min="13326" max="13326" width="11" style="4" bestFit="1" customWidth="1"/>
    <col min="13327" max="13327" width="12" style="4" customWidth="1"/>
    <col min="13328" max="13328" width="11.140625" style="4" customWidth="1"/>
    <col min="13329" max="13329" width="9.5703125" style="4" customWidth="1"/>
    <col min="13330" max="13330" width="10.42578125" style="4" customWidth="1"/>
    <col min="13331" max="13331" width="8.5703125" style="4" customWidth="1"/>
    <col min="13332" max="13332" width="11" style="4" customWidth="1"/>
    <col min="13333" max="13333" width="13.42578125" style="4" bestFit="1" customWidth="1"/>
    <col min="13334" max="13334" width="9.42578125" style="4" customWidth="1"/>
    <col min="13335" max="13335" width="7.5703125" style="4" customWidth="1"/>
    <col min="13336" max="13336" width="11.42578125" style="4" customWidth="1"/>
    <col min="13337" max="13337" width="9.42578125" style="4" customWidth="1"/>
    <col min="13338" max="13338" width="11.42578125" style="4" customWidth="1"/>
    <col min="13339" max="13339" width="13.42578125" style="4" bestFit="1" customWidth="1"/>
    <col min="13340" max="13340" width="5.5703125" style="4" bestFit="1" customWidth="1"/>
    <col min="13341" max="13341" width="19.5703125" style="4" bestFit="1" customWidth="1"/>
    <col min="13342" max="13342" width="1.42578125" style="4" customWidth="1"/>
    <col min="13343" max="13343" width="13.42578125" style="4" bestFit="1" customWidth="1"/>
    <col min="13344" max="13344" width="8.5703125" style="4" bestFit="1" customWidth="1"/>
    <col min="13345" max="13345" width="8.85546875" style="4" bestFit="1" customWidth="1"/>
    <col min="13346" max="13568" width="9.140625" style="4"/>
    <col min="13569" max="13569" width="11" style="4" customWidth="1"/>
    <col min="13570" max="13571" width="12.5703125" style="4" customWidth="1"/>
    <col min="13572" max="13572" width="11" style="4" customWidth="1"/>
    <col min="13573" max="13573" width="8.42578125" style="4" customWidth="1"/>
    <col min="13574" max="13574" width="11.42578125" style="4" customWidth="1"/>
    <col min="13575" max="13575" width="1.85546875" style="4" customWidth="1"/>
    <col min="13576" max="13576" width="8.42578125" style="4" customWidth="1"/>
    <col min="13577" max="13577" width="11.42578125" style="4" customWidth="1"/>
    <col min="13578" max="13579" width="10.42578125" style="4" customWidth="1"/>
    <col min="13580" max="13580" width="10.5703125" style="4" customWidth="1"/>
    <col min="13581" max="13581" width="10" style="4" customWidth="1"/>
    <col min="13582" max="13582" width="11" style="4" bestFit="1" customWidth="1"/>
    <col min="13583" max="13583" width="12" style="4" customWidth="1"/>
    <col min="13584" max="13584" width="11.140625" style="4" customWidth="1"/>
    <col min="13585" max="13585" width="9.5703125" style="4" customWidth="1"/>
    <col min="13586" max="13586" width="10.42578125" style="4" customWidth="1"/>
    <col min="13587" max="13587" width="8.5703125" style="4" customWidth="1"/>
    <col min="13588" max="13588" width="11" style="4" customWidth="1"/>
    <col min="13589" max="13589" width="13.42578125" style="4" bestFit="1" customWidth="1"/>
    <col min="13590" max="13590" width="9.42578125" style="4" customWidth="1"/>
    <col min="13591" max="13591" width="7.5703125" style="4" customWidth="1"/>
    <col min="13592" max="13592" width="11.42578125" style="4" customWidth="1"/>
    <col min="13593" max="13593" width="9.42578125" style="4" customWidth="1"/>
    <col min="13594" max="13594" width="11.42578125" style="4" customWidth="1"/>
    <col min="13595" max="13595" width="13.42578125" style="4" bestFit="1" customWidth="1"/>
    <col min="13596" max="13596" width="5.5703125" style="4" bestFit="1" customWidth="1"/>
    <col min="13597" max="13597" width="19.5703125" style="4" bestFit="1" customWidth="1"/>
    <col min="13598" max="13598" width="1.42578125" style="4" customWidth="1"/>
    <col min="13599" max="13599" width="13.42578125" style="4" bestFit="1" customWidth="1"/>
    <col min="13600" max="13600" width="8.5703125" style="4" bestFit="1" customWidth="1"/>
    <col min="13601" max="13601" width="8.85546875" style="4" bestFit="1" customWidth="1"/>
    <col min="13602" max="13824" width="9.140625" style="4"/>
    <col min="13825" max="13825" width="11" style="4" customWidth="1"/>
    <col min="13826" max="13827" width="12.5703125" style="4" customWidth="1"/>
    <col min="13828" max="13828" width="11" style="4" customWidth="1"/>
    <col min="13829" max="13829" width="8.42578125" style="4" customWidth="1"/>
    <col min="13830" max="13830" width="11.42578125" style="4" customWidth="1"/>
    <col min="13831" max="13831" width="1.85546875" style="4" customWidth="1"/>
    <col min="13832" max="13832" width="8.42578125" style="4" customWidth="1"/>
    <col min="13833" max="13833" width="11.42578125" style="4" customWidth="1"/>
    <col min="13834" max="13835" width="10.42578125" style="4" customWidth="1"/>
    <col min="13836" max="13836" width="10.5703125" style="4" customWidth="1"/>
    <col min="13837" max="13837" width="10" style="4" customWidth="1"/>
    <col min="13838" max="13838" width="11" style="4" bestFit="1" customWidth="1"/>
    <col min="13839" max="13839" width="12" style="4" customWidth="1"/>
    <col min="13840" max="13840" width="11.140625" style="4" customWidth="1"/>
    <col min="13841" max="13841" width="9.5703125" style="4" customWidth="1"/>
    <col min="13842" max="13842" width="10.42578125" style="4" customWidth="1"/>
    <col min="13843" max="13843" width="8.5703125" style="4" customWidth="1"/>
    <col min="13844" max="13844" width="11" style="4" customWidth="1"/>
    <col min="13845" max="13845" width="13.42578125" style="4" bestFit="1" customWidth="1"/>
    <col min="13846" max="13846" width="9.42578125" style="4" customWidth="1"/>
    <col min="13847" max="13847" width="7.5703125" style="4" customWidth="1"/>
    <col min="13848" max="13848" width="11.42578125" style="4" customWidth="1"/>
    <col min="13849" max="13849" width="9.42578125" style="4" customWidth="1"/>
    <col min="13850" max="13850" width="11.42578125" style="4" customWidth="1"/>
    <col min="13851" max="13851" width="13.42578125" style="4" bestFit="1" customWidth="1"/>
    <col min="13852" max="13852" width="5.5703125" style="4" bestFit="1" customWidth="1"/>
    <col min="13853" max="13853" width="19.5703125" style="4" bestFit="1" customWidth="1"/>
    <col min="13854" max="13854" width="1.42578125" style="4" customWidth="1"/>
    <col min="13855" max="13855" width="13.42578125" style="4" bestFit="1" customWidth="1"/>
    <col min="13856" max="13856" width="8.5703125" style="4" bestFit="1" customWidth="1"/>
    <col min="13857" max="13857" width="8.85546875" style="4" bestFit="1" customWidth="1"/>
    <col min="13858" max="14080" width="9.140625" style="4"/>
    <col min="14081" max="14081" width="11" style="4" customWidth="1"/>
    <col min="14082" max="14083" width="12.5703125" style="4" customWidth="1"/>
    <col min="14084" max="14084" width="11" style="4" customWidth="1"/>
    <col min="14085" max="14085" width="8.42578125" style="4" customWidth="1"/>
    <col min="14086" max="14086" width="11.42578125" style="4" customWidth="1"/>
    <col min="14087" max="14087" width="1.85546875" style="4" customWidth="1"/>
    <col min="14088" max="14088" width="8.42578125" style="4" customWidth="1"/>
    <col min="14089" max="14089" width="11.42578125" style="4" customWidth="1"/>
    <col min="14090" max="14091" width="10.42578125" style="4" customWidth="1"/>
    <col min="14092" max="14092" width="10.5703125" style="4" customWidth="1"/>
    <col min="14093" max="14093" width="10" style="4" customWidth="1"/>
    <col min="14094" max="14094" width="11" style="4" bestFit="1" customWidth="1"/>
    <col min="14095" max="14095" width="12" style="4" customWidth="1"/>
    <col min="14096" max="14096" width="11.140625" style="4" customWidth="1"/>
    <col min="14097" max="14097" width="9.5703125" style="4" customWidth="1"/>
    <col min="14098" max="14098" width="10.42578125" style="4" customWidth="1"/>
    <col min="14099" max="14099" width="8.5703125" style="4" customWidth="1"/>
    <col min="14100" max="14100" width="11" style="4" customWidth="1"/>
    <col min="14101" max="14101" width="13.42578125" style="4" bestFit="1" customWidth="1"/>
    <col min="14102" max="14102" width="9.42578125" style="4" customWidth="1"/>
    <col min="14103" max="14103" width="7.5703125" style="4" customWidth="1"/>
    <col min="14104" max="14104" width="11.42578125" style="4" customWidth="1"/>
    <col min="14105" max="14105" width="9.42578125" style="4" customWidth="1"/>
    <col min="14106" max="14106" width="11.42578125" style="4" customWidth="1"/>
    <col min="14107" max="14107" width="13.42578125" style="4" bestFit="1" customWidth="1"/>
    <col min="14108" max="14108" width="5.5703125" style="4" bestFit="1" customWidth="1"/>
    <col min="14109" max="14109" width="19.5703125" style="4" bestFit="1" customWidth="1"/>
    <col min="14110" max="14110" width="1.42578125" style="4" customWidth="1"/>
    <col min="14111" max="14111" width="13.42578125" style="4" bestFit="1" customWidth="1"/>
    <col min="14112" max="14112" width="8.5703125" style="4" bestFit="1" customWidth="1"/>
    <col min="14113" max="14113" width="8.85546875" style="4" bestFit="1" customWidth="1"/>
    <col min="14114" max="14336" width="9.140625" style="4"/>
    <col min="14337" max="14337" width="11" style="4" customWidth="1"/>
    <col min="14338" max="14339" width="12.5703125" style="4" customWidth="1"/>
    <col min="14340" max="14340" width="11" style="4" customWidth="1"/>
    <col min="14341" max="14341" width="8.42578125" style="4" customWidth="1"/>
    <col min="14342" max="14342" width="11.42578125" style="4" customWidth="1"/>
    <col min="14343" max="14343" width="1.85546875" style="4" customWidth="1"/>
    <col min="14344" max="14344" width="8.42578125" style="4" customWidth="1"/>
    <col min="14345" max="14345" width="11.42578125" style="4" customWidth="1"/>
    <col min="14346" max="14347" width="10.42578125" style="4" customWidth="1"/>
    <col min="14348" max="14348" width="10.5703125" style="4" customWidth="1"/>
    <col min="14349" max="14349" width="10" style="4" customWidth="1"/>
    <col min="14350" max="14350" width="11" style="4" bestFit="1" customWidth="1"/>
    <col min="14351" max="14351" width="12" style="4" customWidth="1"/>
    <col min="14352" max="14352" width="11.140625" style="4" customWidth="1"/>
    <col min="14353" max="14353" width="9.5703125" style="4" customWidth="1"/>
    <col min="14354" max="14354" width="10.42578125" style="4" customWidth="1"/>
    <col min="14355" max="14355" width="8.5703125" style="4" customWidth="1"/>
    <col min="14356" max="14356" width="11" style="4" customWidth="1"/>
    <col min="14357" max="14357" width="13.42578125" style="4" bestFit="1" customWidth="1"/>
    <col min="14358" max="14358" width="9.42578125" style="4" customWidth="1"/>
    <col min="14359" max="14359" width="7.5703125" style="4" customWidth="1"/>
    <col min="14360" max="14360" width="11.42578125" style="4" customWidth="1"/>
    <col min="14361" max="14361" width="9.42578125" style="4" customWidth="1"/>
    <col min="14362" max="14362" width="11.42578125" style="4" customWidth="1"/>
    <col min="14363" max="14363" width="13.42578125" style="4" bestFit="1" customWidth="1"/>
    <col min="14364" max="14364" width="5.5703125" style="4" bestFit="1" customWidth="1"/>
    <col min="14365" max="14365" width="19.5703125" style="4" bestFit="1" customWidth="1"/>
    <col min="14366" max="14366" width="1.42578125" style="4" customWidth="1"/>
    <col min="14367" max="14367" width="13.42578125" style="4" bestFit="1" customWidth="1"/>
    <col min="14368" max="14368" width="8.5703125" style="4" bestFit="1" customWidth="1"/>
    <col min="14369" max="14369" width="8.85546875" style="4" bestFit="1" customWidth="1"/>
    <col min="14370" max="14592" width="9.140625" style="4"/>
    <col min="14593" max="14593" width="11" style="4" customWidth="1"/>
    <col min="14594" max="14595" width="12.5703125" style="4" customWidth="1"/>
    <col min="14596" max="14596" width="11" style="4" customWidth="1"/>
    <col min="14597" max="14597" width="8.42578125" style="4" customWidth="1"/>
    <col min="14598" max="14598" width="11.42578125" style="4" customWidth="1"/>
    <col min="14599" max="14599" width="1.85546875" style="4" customWidth="1"/>
    <col min="14600" max="14600" width="8.42578125" style="4" customWidth="1"/>
    <col min="14601" max="14601" width="11.42578125" style="4" customWidth="1"/>
    <col min="14602" max="14603" width="10.42578125" style="4" customWidth="1"/>
    <col min="14604" max="14604" width="10.5703125" style="4" customWidth="1"/>
    <col min="14605" max="14605" width="10" style="4" customWidth="1"/>
    <col min="14606" max="14606" width="11" style="4" bestFit="1" customWidth="1"/>
    <col min="14607" max="14607" width="12" style="4" customWidth="1"/>
    <col min="14608" max="14608" width="11.140625" style="4" customWidth="1"/>
    <col min="14609" max="14609" width="9.5703125" style="4" customWidth="1"/>
    <col min="14610" max="14610" width="10.42578125" style="4" customWidth="1"/>
    <col min="14611" max="14611" width="8.5703125" style="4" customWidth="1"/>
    <col min="14612" max="14612" width="11" style="4" customWidth="1"/>
    <col min="14613" max="14613" width="13.42578125" style="4" bestFit="1" customWidth="1"/>
    <col min="14614" max="14614" width="9.42578125" style="4" customWidth="1"/>
    <col min="14615" max="14615" width="7.5703125" style="4" customWidth="1"/>
    <col min="14616" max="14616" width="11.42578125" style="4" customWidth="1"/>
    <col min="14617" max="14617" width="9.42578125" style="4" customWidth="1"/>
    <col min="14618" max="14618" width="11.42578125" style="4" customWidth="1"/>
    <col min="14619" max="14619" width="13.42578125" style="4" bestFit="1" customWidth="1"/>
    <col min="14620" max="14620" width="5.5703125" style="4" bestFit="1" customWidth="1"/>
    <col min="14621" max="14621" width="19.5703125" style="4" bestFit="1" customWidth="1"/>
    <col min="14622" max="14622" width="1.42578125" style="4" customWidth="1"/>
    <col min="14623" max="14623" width="13.42578125" style="4" bestFit="1" customWidth="1"/>
    <col min="14624" max="14624" width="8.5703125" style="4" bestFit="1" customWidth="1"/>
    <col min="14625" max="14625" width="8.85546875" style="4" bestFit="1" customWidth="1"/>
    <col min="14626" max="14848" width="9.140625" style="4"/>
    <col min="14849" max="14849" width="11" style="4" customWidth="1"/>
    <col min="14850" max="14851" width="12.5703125" style="4" customWidth="1"/>
    <col min="14852" max="14852" width="11" style="4" customWidth="1"/>
    <col min="14853" max="14853" width="8.42578125" style="4" customWidth="1"/>
    <col min="14854" max="14854" width="11.42578125" style="4" customWidth="1"/>
    <col min="14855" max="14855" width="1.85546875" style="4" customWidth="1"/>
    <col min="14856" max="14856" width="8.42578125" style="4" customWidth="1"/>
    <col min="14857" max="14857" width="11.42578125" style="4" customWidth="1"/>
    <col min="14858" max="14859" width="10.42578125" style="4" customWidth="1"/>
    <col min="14860" max="14860" width="10.5703125" style="4" customWidth="1"/>
    <col min="14861" max="14861" width="10" style="4" customWidth="1"/>
    <col min="14862" max="14862" width="11" style="4" bestFit="1" customWidth="1"/>
    <col min="14863" max="14863" width="12" style="4" customWidth="1"/>
    <col min="14864" max="14864" width="11.140625" style="4" customWidth="1"/>
    <col min="14865" max="14865" width="9.5703125" style="4" customWidth="1"/>
    <col min="14866" max="14866" width="10.42578125" style="4" customWidth="1"/>
    <col min="14867" max="14867" width="8.5703125" style="4" customWidth="1"/>
    <col min="14868" max="14868" width="11" style="4" customWidth="1"/>
    <col min="14869" max="14869" width="13.42578125" style="4" bestFit="1" customWidth="1"/>
    <col min="14870" max="14870" width="9.42578125" style="4" customWidth="1"/>
    <col min="14871" max="14871" width="7.5703125" style="4" customWidth="1"/>
    <col min="14872" max="14872" width="11.42578125" style="4" customWidth="1"/>
    <col min="14873" max="14873" width="9.42578125" style="4" customWidth="1"/>
    <col min="14874" max="14874" width="11.42578125" style="4" customWidth="1"/>
    <col min="14875" max="14875" width="13.42578125" style="4" bestFit="1" customWidth="1"/>
    <col min="14876" max="14876" width="5.5703125" style="4" bestFit="1" customWidth="1"/>
    <col min="14877" max="14877" width="19.5703125" style="4" bestFit="1" customWidth="1"/>
    <col min="14878" max="14878" width="1.42578125" style="4" customWidth="1"/>
    <col min="14879" max="14879" width="13.42578125" style="4" bestFit="1" customWidth="1"/>
    <col min="14880" max="14880" width="8.5703125" style="4" bestFit="1" customWidth="1"/>
    <col min="14881" max="14881" width="8.85546875" style="4" bestFit="1" customWidth="1"/>
    <col min="14882" max="15104" width="9.140625" style="4"/>
    <col min="15105" max="15105" width="11" style="4" customWidth="1"/>
    <col min="15106" max="15107" width="12.5703125" style="4" customWidth="1"/>
    <col min="15108" max="15108" width="11" style="4" customWidth="1"/>
    <col min="15109" max="15109" width="8.42578125" style="4" customWidth="1"/>
    <col min="15110" max="15110" width="11.42578125" style="4" customWidth="1"/>
    <col min="15111" max="15111" width="1.85546875" style="4" customWidth="1"/>
    <col min="15112" max="15112" width="8.42578125" style="4" customWidth="1"/>
    <col min="15113" max="15113" width="11.42578125" style="4" customWidth="1"/>
    <col min="15114" max="15115" width="10.42578125" style="4" customWidth="1"/>
    <col min="15116" max="15116" width="10.5703125" style="4" customWidth="1"/>
    <col min="15117" max="15117" width="10" style="4" customWidth="1"/>
    <col min="15118" max="15118" width="11" style="4" bestFit="1" customWidth="1"/>
    <col min="15119" max="15119" width="12" style="4" customWidth="1"/>
    <col min="15120" max="15120" width="11.140625" style="4" customWidth="1"/>
    <col min="15121" max="15121" width="9.5703125" style="4" customWidth="1"/>
    <col min="15122" max="15122" width="10.42578125" style="4" customWidth="1"/>
    <col min="15123" max="15123" width="8.5703125" style="4" customWidth="1"/>
    <col min="15124" max="15124" width="11" style="4" customWidth="1"/>
    <col min="15125" max="15125" width="13.42578125" style="4" bestFit="1" customWidth="1"/>
    <col min="15126" max="15126" width="9.42578125" style="4" customWidth="1"/>
    <col min="15127" max="15127" width="7.5703125" style="4" customWidth="1"/>
    <col min="15128" max="15128" width="11.42578125" style="4" customWidth="1"/>
    <col min="15129" max="15129" width="9.42578125" style="4" customWidth="1"/>
    <col min="15130" max="15130" width="11.42578125" style="4" customWidth="1"/>
    <col min="15131" max="15131" width="13.42578125" style="4" bestFit="1" customWidth="1"/>
    <col min="15132" max="15132" width="5.5703125" style="4" bestFit="1" customWidth="1"/>
    <col min="15133" max="15133" width="19.5703125" style="4" bestFit="1" customWidth="1"/>
    <col min="15134" max="15134" width="1.42578125" style="4" customWidth="1"/>
    <col min="15135" max="15135" width="13.42578125" style="4" bestFit="1" customWidth="1"/>
    <col min="15136" max="15136" width="8.5703125" style="4" bestFit="1" customWidth="1"/>
    <col min="15137" max="15137" width="8.85546875" style="4" bestFit="1" customWidth="1"/>
    <col min="15138" max="15360" width="9.140625" style="4"/>
    <col min="15361" max="15361" width="11" style="4" customWidth="1"/>
    <col min="15362" max="15363" width="12.5703125" style="4" customWidth="1"/>
    <col min="15364" max="15364" width="11" style="4" customWidth="1"/>
    <col min="15365" max="15365" width="8.42578125" style="4" customWidth="1"/>
    <col min="15366" max="15366" width="11.42578125" style="4" customWidth="1"/>
    <col min="15367" max="15367" width="1.85546875" style="4" customWidth="1"/>
    <col min="15368" max="15368" width="8.42578125" style="4" customWidth="1"/>
    <col min="15369" max="15369" width="11.42578125" style="4" customWidth="1"/>
    <col min="15370" max="15371" width="10.42578125" style="4" customWidth="1"/>
    <col min="15372" max="15372" width="10.5703125" style="4" customWidth="1"/>
    <col min="15373" max="15373" width="10" style="4" customWidth="1"/>
    <col min="15374" max="15374" width="11" style="4" bestFit="1" customWidth="1"/>
    <col min="15375" max="15375" width="12" style="4" customWidth="1"/>
    <col min="15376" max="15376" width="11.140625" style="4" customWidth="1"/>
    <col min="15377" max="15377" width="9.5703125" style="4" customWidth="1"/>
    <col min="15378" max="15378" width="10.42578125" style="4" customWidth="1"/>
    <col min="15379" max="15379" width="8.5703125" style="4" customWidth="1"/>
    <col min="15380" max="15380" width="11" style="4" customWidth="1"/>
    <col min="15381" max="15381" width="13.42578125" style="4" bestFit="1" customWidth="1"/>
    <col min="15382" max="15382" width="9.42578125" style="4" customWidth="1"/>
    <col min="15383" max="15383" width="7.5703125" style="4" customWidth="1"/>
    <col min="15384" max="15384" width="11.42578125" style="4" customWidth="1"/>
    <col min="15385" max="15385" width="9.42578125" style="4" customWidth="1"/>
    <col min="15386" max="15386" width="11.42578125" style="4" customWidth="1"/>
    <col min="15387" max="15387" width="13.42578125" style="4" bestFit="1" customWidth="1"/>
    <col min="15388" max="15388" width="5.5703125" style="4" bestFit="1" customWidth="1"/>
    <col min="15389" max="15389" width="19.5703125" style="4" bestFit="1" customWidth="1"/>
    <col min="15390" max="15390" width="1.42578125" style="4" customWidth="1"/>
    <col min="15391" max="15391" width="13.42578125" style="4" bestFit="1" customWidth="1"/>
    <col min="15392" max="15392" width="8.5703125" style="4" bestFit="1" customWidth="1"/>
    <col min="15393" max="15393" width="8.85546875" style="4" bestFit="1" customWidth="1"/>
    <col min="15394" max="15616" width="9.140625" style="4"/>
    <col min="15617" max="15617" width="11" style="4" customWidth="1"/>
    <col min="15618" max="15619" width="12.5703125" style="4" customWidth="1"/>
    <col min="15620" max="15620" width="11" style="4" customWidth="1"/>
    <col min="15621" max="15621" width="8.42578125" style="4" customWidth="1"/>
    <col min="15622" max="15622" width="11.42578125" style="4" customWidth="1"/>
    <col min="15623" max="15623" width="1.85546875" style="4" customWidth="1"/>
    <col min="15624" max="15624" width="8.42578125" style="4" customWidth="1"/>
    <col min="15625" max="15625" width="11.42578125" style="4" customWidth="1"/>
    <col min="15626" max="15627" width="10.42578125" style="4" customWidth="1"/>
    <col min="15628" max="15628" width="10.5703125" style="4" customWidth="1"/>
    <col min="15629" max="15629" width="10" style="4" customWidth="1"/>
    <col min="15630" max="15630" width="11" style="4" bestFit="1" customWidth="1"/>
    <col min="15631" max="15631" width="12" style="4" customWidth="1"/>
    <col min="15632" max="15632" width="11.140625" style="4" customWidth="1"/>
    <col min="15633" max="15633" width="9.5703125" style="4" customWidth="1"/>
    <col min="15634" max="15634" width="10.42578125" style="4" customWidth="1"/>
    <col min="15635" max="15635" width="8.5703125" style="4" customWidth="1"/>
    <col min="15636" max="15636" width="11" style="4" customWidth="1"/>
    <col min="15637" max="15637" width="13.42578125" style="4" bestFit="1" customWidth="1"/>
    <col min="15638" max="15638" width="9.42578125" style="4" customWidth="1"/>
    <col min="15639" max="15639" width="7.5703125" style="4" customWidth="1"/>
    <col min="15640" max="15640" width="11.42578125" style="4" customWidth="1"/>
    <col min="15641" max="15641" width="9.42578125" style="4" customWidth="1"/>
    <col min="15642" max="15642" width="11.42578125" style="4" customWidth="1"/>
    <col min="15643" max="15643" width="13.42578125" style="4" bestFit="1" customWidth="1"/>
    <col min="15644" max="15644" width="5.5703125" style="4" bestFit="1" customWidth="1"/>
    <col min="15645" max="15645" width="19.5703125" style="4" bestFit="1" customWidth="1"/>
    <col min="15646" max="15646" width="1.42578125" style="4" customWidth="1"/>
    <col min="15647" max="15647" width="13.42578125" style="4" bestFit="1" customWidth="1"/>
    <col min="15648" max="15648" width="8.5703125" style="4" bestFit="1" customWidth="1"/>
    <col min="15649" max="15649" width="8.85546875" style="4" bestFit="1" customWidth="1"/>
    <col min="15650" max="15872" width="9.140625" style="4"/>
    <col min="15873" max="15873" width="11" style="4" customWidth="1"/>
    <col min="15874" max="15875" width="12.5703125" style="4" customWidth="1"/>
    <col min="15876" max="15876" width="11" style="4" customWidth="1"/>
    <col min="15877" max="15877" width="8.42578125" style="4" customWidth="1"/>
    <col min="15878" max="15878" width="11.42578125" style="4" customWidth="1"/>
    <col min="15879" max="15879" width="1.85546875" style="4" customWidth="1"/>
    <col min="15880" max="15880" width="8.42578125" style="4" customWidth="1"/>
    <col min="15881" max="15881" width="11.42578125" style="4" customWidth="1"/>
    <col min="15882" max="15883" width="10.42578125" style="4" customWidth="1"/>
    <col min="15884" max="15884" width="10.5703125" style="4" customWidth="1"/>
    <col min="15885" max="15885" width="10" style="4" customWidth="1"/>
    <col min="15886" max="15886" width="11" style="4" bestFit="1" customWidth="1"/>
    <col min="15887" max="15887" width="12" style="4" customWidth="1"/>
    <col min="15888" max="15888" width="11.140625" style="4" customWidth="1"/>
    <col min="15889" max="15889" width="9.5703125" style="4" customWidth="1"/>
    <col min="15890" max="15890" width="10.42578125" style="4" customWidth="1"/>
    <col min="15891" max="15891" width="8.5703125" style="4" customWidth="1"/>
    <col min="15892" max="15892" width="11" style="4" customWidth="1"/>
    <col min="15893" max="15893" width="13.42578125" style="4" bestFit="1" customWidth="1"/>
    <col min="15894" max="15894" width="9.42578125" style="4" customWidth="1"/>
    <col min="15895" max="15895" width="7.5703125" style="4" customWidth="1"/>
    <col min="15896" max="15896" width="11.42578125" style="4" customWidth="1"/>
    <col min="15897" max="15897" width="9.42578125" style="4" customWidth="1"/>
    <col min="15898" max="15898" width="11.42578125" style="4" customWidth="1"/>
    <col min="15899" max="15899" width="13.42578125" style="4" bestFit="1" customWidth="1"/>
    <col min="15900" max="15900" width="5.5703125" style="4" bestFit="1" customWidth="1"/>
    <col min="15901" max="15901" width="19.5703125" style="4" bestFit="1" customWidth="1"/>
    <col min="15902" max="15902" width="1.42578125" style="4" customWidth="1"/>
    <col min="15903" max="15903" width="13.42578125" style="4" bestFit="1" customWidth="1"/>
    <col min="15904" max="15904" width="8.5703125" style="4" bestFit="1" customWidth="1"/>
    <col min="15905" max="15905" width="8.85546875" style="4" bestFit="1" customWidth="1"/>
    <col min="15906" max="16128" width="9.140625" style="4"/>
    <col min="16129" max="16129" width="11" style="4" customWidth="1"/>
    <col min="16130" max="16131" width="12.5703125" style="4" customWidth="1"/>
    <col min="16132" max="16132" width="11" style="4" customWidth="1"/>
    <col min="16133" max="16133" width="8.42578125" style="4" customWidth="1"/>
    <col min="16134" max="16134" width="11.42578125" style="4" customWidth="1"/>
    <col min="16135" max="16135" width="1.85546875" style="4" customWidth="1"/>
    <col min="16136" max="16136" width="8.42578125" style="4" customWidth="1"/>
    <col min="16137" max="16137" width="11.42578125" style="4" customWidth="1"/>
    <col min="16138" max="16139" width="10.42578125" style="4" customWidth="1"/>
    <col min="16140" max="16140" width="10.5703125" style="4" customWidth="1"/>
    <col min="16141" max="16141" width="10" style="4" customWidth="1"/>
    <col min="16142" max="16142" width="11" style="4" bestFit="1" customWidth="1"/>
    <col min="16143" max="16143" width="12" style="4" customWidth="1"/>
    <col min="16144" max="16144" width="11.140625" style="4" customWidth="1"/>
    <col min="16145" max="16145" width="9.5703125" style="4" customWidth="1"/>
    <col min="16146" max="16146" width="10.42578125" style="4" customWidth="1"/>
    <col min="16147" max="16147" width="8.5703125" style="4" customWidth="1"/>
    <col min="16148" max="16148" width="11" style="4" customWidth="1"/>
    <col min="16149" max="16149" width="13.42578125" style="4" bestFit="1" customWidth="1"/>
    <col min="16150" max="16150" width="9.42578125" style="4" customWidth="1"/>
    <col min="16151" max="16151" width="7.5703125" style="4" customWidth="1"/>
    <col min="16152" max="16152" width="11.42578125" style="4" customWidth="1"/>
    <col min="16153" max="16153" width="9.42578125" style="4" customWidth="1"/>
    <col min="16154" max="16154" width="11.42578125" style="4" customWidth="1"/>
    <col min="16155" max="16155" width="13.42578125" style="4" bestFit="1" customWidth="1"/>
    <col min="16156" max="16156" width="5.5703125" style="4" bestFit="1" customWidth="1"/>
    <col min="16157" max="16157" width="19.5703125" style="4" bestFit="1" customWidth="1"/>
    <col min="16158" max="16158" width="1.42578125" style="4" customWidth="1"/>
    <col min="16159" max="16159" width="13.42578125" style="4" bestFit="1" customWidth="1"/>
    <col min="16160" max="16160" width="8.5703125" style="4" bestFit="1" customWidth="1"/>
    <col min="16161" max="16161" width="8.85546875" style="4" bestFit="1" customWidth="1"/>
    <col min="16162" max="16384" width="9.140625" style="4"/>
  </cols>
  <sheetData>
    <row r="1" spans="1:14" ht="4.5" customHeight="1">
      <c r="A1"/>
      <c r="B1"/>
      <c r="C1"/>
      <c r="D1"/>
      <c r="E1"/>
      <c r="F1"/>
      <c r="G1"/>
      <c r="H1"/>
      <c r="I1"/>
      <c r="J1"/>
      <c r="K1"/>
      <c r="L1"/>
      <c r="M1"/>
    </row>
    <row r="2" spans="1:14" ht="27" customHeight="1">
      <c r="A2"/>
      <c r="B2"/>
      <c r="C2"/>
      <c r="D2"/>
      <c r="E2"/>
      <c r="F2"/>
      <c r="G2"/>
      <c r="H2"/>
      <c r="I2"/>
      <c r="J2"/>
      <c r="K2"/>
      <c r="L2"/>
      <c r="M2"/>
    </row>
    <row r="3" spans="1:14" ht="4.5" customHeight="1">
      <c r="A3"/>
      <c r="B3"/>
      <c r="C3"/>
      <c r="D3"/>
      <c r="E3"/>
      <c r="F3"/>
      <c r="G3"/>
      <c r="H3"/>
      <c r="I3"/>
      <c r="J3"/>
      <c r="K3"/>
      <c r="L3"/>
      <c r="M3"/>
    </row>
    <row r="4" spans="1:14" ht="15">
      <c r="A4"/>
      <c r="B4"/>
      <c r="C4"/>
      <c r="D4"/>
      <c r="E4"/>
      <c r="F4"/>
      <c r="G4"/>
      <c r="H4"/>
      <c r="I4"/>
      <c r="J4"/>
      <c r="K4"/>
      <c r="L4"/>
      <c r="M4"/>
    </row>
    <row r="5" spans="1:14" ht="4.5" customHeight="1">
      <c r="A5"/>
      <c r="B5"/>
      <c r="C5"/>
      <c r="D5"/>
      <c r="E5"/>
      <c r="F5"/>
      <c r="G5"/>
      <c r="H5"/>
      <c r="I5"/>
      <c r="J5"/>
      <c r="K5"/>
      <c r="L5"/>
      <c r="M5"/>
    </row>
    <row r="6" spans="1:14" ht="15">
      <c r="A6"/>
      <c r="B6"/>
      <c r="C6"/>
      <c r="D6"/>
      <c r="E6"/>
      <c r="F6"/>
      <c r="G6"/>
      <c r="H6"/>
      <c r="I6"/>
      <c r="J6"/>
      <c r="K6"/>
      <c r="L6"/>
      <c r="M6"/>
    </row>
    <row r="7" spans="1:14" ht="4.5" customHeight="1">
      <c r="A7"/>
      <c r="B7"/>
      <c r="C7"/>
      <c r="D7"/>
      <c r="E7"/>
      <c r="F7"/>
      <c r="G7"/>
      <c r="H7"/>
      <c r="I7"/>
      <c r="J7"/>
      <c r="K7"/>
      <c r="L7"/>
      <c r="M7"/>
    </row>
    <row r="8" spans="1:14" s="6" customFormat="1" ht="27.75" customHeight="1">
      <c r="A8"/>
      <c r="B8"/>
      <c r="C8"/>
      <c r="D8"/>
      <c r="E8"/>
      <c r="F8"/>
      <c r="G8"/>
      <c r="H8"/>
      <c r="I8"/>
      <c r="J8"/>
      <c r="K8"/>
      <c r="L8"/>
      <c r="M8"/>
    </row>
    <row r="9" spans="1:14" ht="18.75">
      <c r="A9" s="1"/>
      <c r="B9"/>
      <c r="C9"/>
      <c r="D9"/>
      <c r="E9"/>
      <c r="F9"/>
      <c r="G9"/>
      <c r="H9"/>
      <c r="I9"/>
      <c r="J9"/>
      <c r="K9"/>
      <c r="L9"/>
      <c r="M9"/>
    </row>
    <row r="10" spans="1:14" ht="15">
      <c r="A10" s="2" t="str">
        <f ca="1">MID(CELL("filename",A1),FIND("]",CELL("filename",A1))+1,256)</f>
        <v>Worst case</v>
      </c>
      <c r="B10"/>
      <c r="C10" s="135">
        <f>C46</f>
        <v>0</v>
      </c>
      <c r="D10" s="135" t="s">
        <v>4</v>
      </c>
      <c r="E10"/>
      <c r="F10"/>
      <c r="G10"/>
      <c r="H10"/>
      <c r="I10"/>
      <c r="J10"/>
      <c r="K10"/>
      <c r="L10"/>
      <c r="M10"/>
    </row>
    <row r="11" spans="1:14" ht="13.5" thickBot="1">
      <c r="H11" s="85"/>
    </row>
    <row r="12" spans="1:14">
      <c r="A12" s="7" t="s">
        <v>5</v>
      </c>
      <c r="B12" s="8" t="s">
        <v>6</v>
      </c>
      <c r="C12" s="9" t="s">
        <v>7</v>
      </c>
      <c r="D12" s="10" t="s">
        <v>8</v>
      </c>
      <c r="N12" s="11"/>
    </row>
    <row r="13" spans="1:14" ht="13.5" thickBot="1">
      <c r="A13" s="12" t="s">
        <v>9</v>
      </c>
      <c r="B13" s="13" t="s">
        <v>10</v>
      </c>
      <c r="C13" s="14" t="s">
        <v>11</v>
      </c>
      <c r="D13" s="15" t="s">
        <v>12</v>
      </c>
    </row>
    <row r="14" spans="1:14">
      <c r="A14" s="16"/>
      <c r="B14" s="16"/>
    </row>
    <row r="15" spans="1:14" ht="30" customHeight="1">
      <c r="A15" s="143" t="s">
        <v>13</v>
      </c>
      <c r="B15" s="143"/>
      <c r="C15" s="143"/>
      <c r="D15" s="143"/>
      <c r="E15" s="143"/>
      <c r="F15" s="143"/>
      <c r="H15" s="17" t="s">
        <v>14</v>
      </c>
      <c r="I15" s="18"/>
      <c r="J15" s="18"/>
      <c r="K15" s="18"/>
      <c r="L15" s="19"/>
    </row>
    <row r="16" spans="1:14" ht="45" customHeight="1">
      <c r="A16" s="143" t="s">
        <v>15</v>
      </c>
      <c r="B16" s="143"/>
      <c r="C16" s="143"/>
      <c r="D16" s="143"/>
      <c r="E16" s="143"/>
      <c r="F16" s="143"/>
      <c r="H16" s="20"/>
      <c r="L16" s="21"/>
    </row>
    <row r="17" spans="1:18">
      <c r="A17" s="16"/>
      <c r="B17" s="16"/>
      <c r="H17" s="20"/>
      <c r="L17" s="21"/>
    </row>
    <row r="18" spans="1:18" s="28" customFormat="1">
      <c r="A18" s="22" t="s">
        <v>16</v>
      </c>
      <c r="B18" s="23"/>
      <c r="C18" s="24"/>
      <c r="D18" s="24"/>
      <c r="E18" s="24"/>
      <c r="F18" s="25" t="s">
        <v>17</v>
      </c>
      <c r="G18" s="26"/>
      <c r="H18" s="27"/>
      <c r="L18" s="29"/>
      <c r="N18" s="4"/>
      <c r="O18" s="4"/>
      <c r="P18" s="4"/>
      <c r="Q18" s="4"/>
      <c r="R18" s="4"/>
    </row>
    <row r="19" spans="1:18" s="28" customFormat="1">
      <c r="A19" s="30" t="s">
        <v>18</v>
      </c>
      <c r="B19" s="31"/>
      <c r="C19" s="32"/>
      <c r="D19" s="33"/>
      <c r="E19" s="33"/>
      <c r="F19" s="29"/>
      <c r="H19" s="27"/>
      <c r="L19" s="29"/>
      <c r="N19" s="4"/>
      <c r="O19" s="4"/>
      <c r="P19" s="4"/>
      <c r="Q19" s="4"/>
      <c r="R19" s="4"/>
    </row>
    <row r="20" spans="1:18" s="28" customFormat="1">
      <c r="A20" s="34"/>
      <c r="B20" s="35" t="s">
        <v>19</v>
      </c>
      <c r="C20" s="36">
        <v>1130</v>
      </c>
      <c r="D20" s="37" t="s">
        <v>20</v>
      </c>
      <c r="E20" s="38">
        <f>C20/1000</f>
        <v>1.1299999999999999</v>
      </c>
      <c r="F20" s="39" t="s">
        <v>4</v>
      </c>
      <c r="G20" s="26"/>
      <c r="H20" s="27"/>
      <c r="L20" s="29"/>
      <c r="P20" s="4"/>
      <c r="Q20" s="4"/>
      <c r="R20" s="4"/>
    </row>
    <row r="21" spans="1:18" s="28" customFormat="1">
      <c r="A21" s="34"/>
      <c r="B21" s="35" t="s">
        <v>21</v>
      </c>
      <c r="C21" s="40">
        <v>115</v>
      </c>
      <c r="D21" s="37" t="s">
        <v>20</v>
      </c>
      <c r="E21" s="38">
        <f>C21/1000</f>
        <v>0.115</v>
      </c>
      <c r="F21" s="39" t="s">
        <v>4</v>
      </c>
      <c r="G21" s="26"/>
      <c r="H21" s="27"/>
      <c r="L21" s="29"/>
      <c r="P21" s="4"/>
      <c r="Q21" s="4"/>
      <c r="R21" s="4"/>
    </row>
    <row r="22" spans="1:18" s="28" customFormat="1" ht="15.75">
      <c r="A22" s="34"/>
      <c r="B22" s="35" t="s">
        <v>22</v>
      </c>
      <c r="C22" s="41">
        <f>(PI()*C20^2/4)</f>
        <v>1002874.9148422017</v>
      </c>
      <c r="D22" s="37" t="s">
        <v>23</v>
      </c>
      <c r="E22" s="38">
        <f>PI()*E20^2/4</f>
        <v>1.0028749148422014</v>
      </c>
      <c r="F22" s="39" t="s">
        <v>24</v>
      </c>
      <c r="G22" s="26"/>
      <c r="H22" s="27"/>
      <c r="L22" s="29"/>
      <c r="P22" s="4"/>
      <c r="Q22" s="4"/>
      <c r="R22" s="4"/>
    </row>
    <row r="23" spans="1:18" s="28" customFormat="1" ht="15.75">
      <c r="A23" s="34"/>
      <c r="B23" s="35" t="s">
        <v>25</v>
      </c>
      <c r="C23" s="42">
        <f>C20-2*C21-2*C48-C40</f>
        <v>820</v>
      </c>
      <c r="D23" s="37" t="s">
        <v>20</v>
      </c>
      <c r="E23" s="38">
        <f>E20-2*E21-2*E48-E40</f>
        <v>0.81999999999999984</v>
      </c>
      <c r="F23" s="39" t="s">
        <v>4</v>
      </c>
      <c r="G23" s="26"/>
      <c r="H23" s="27"/>
      <c r="L23" s="29"/>
      <c r="P23" s="4"/>
      <c r="Q23" s="4"/>
      <c r="R23" s="4"/>
    </row>
    <row r="24" spans="1:18" s="28" customFormat="1" ht="15.75">
      <c r="A24" s="34"/>
      <c r="B24" s="35" t="s">
        <v>26</v>
      </c>
      <c r="C24" s="42">
        <f>C20-2*C21-C48</f>
        <v>880</v>
      </c>
      <c r="D24" s="37" t="s">
        <v>20</v>
      </c>
      <c r="E24" s="38">
        <f>E20-2*E21-E48</f>
        <v>0.87999999999999989</v>
      </c>
      <c r="F24" s="39" t="s">
        <v>4</v>
      </c>
      <c r="G24" s="26"/>
      <c r="H24" s="27"/>
      <c r="L24" s="29"/>
      <c r="P24" s="4"/>
      <c r="Q24" s="4"/>
      <c r="R24" s="4"/>
    </row>
    <row r="25" spans="1:18" s="28" customFormat="1">
      <c r="A25" s="27"/>
      <c r="F25" s="29"/>
      <c r="G25" s="26"/>
      <c r="H25" s="27"/>
      <c r="L25" s="29"/>
      <c r="O25" s="4"/>
      <c r="P25" s="4"/>
      <c r="Q25" s="4"/>
      <c r="R25" s="4"/>
    </row>
    <row r="26" spans="1:18" s="28" customFormat="1" ht="15.75">
      <c r="A26" s="34"/>
      <c r="B26" s="35" t="s">
        <v>27</v>
      </c>
      <c r="C26" s="40">
        <v>40</v>
      </c>
      <c r="D26" s="37" t="s">
        <v>28</v>
      </c>
      <c r="F26" s="29"/>
      <c r="G26" s="26"/>
      <c r="H26" s="27"/>
      <c r="L26" s="29"/>
      <c r="O26" s="4"/>
      <c r="P26" s="4"/>
      <c r="Q26" s="4"/>
      <c r="R26" s="4"/>
    </row>
    <row r="27" spans="1:18" s="28" customFormat="1" ht="15.75">
      <c r="A27" s="34"/>
      <c r="B27" s="35" t="s">
        <v>29</v>
      </c>
      <c r="C27" s="43">
        <v>1.65</v>
      </c>
      <c r="D27" s="44" t="str">
        <f>IF(C27&gt;1.5,"…allowing for cast against ground","")</f>
        <v>…allowing for cast against ground</v>
      </c>
      <c r="E27" s="33"/>
      <c r="F27" s="45" t="s">
        <v>30</v>
      </c>
      <c r="G27" s="26"/>
      <c r="H27" s="27"/>
      <c r="L27" s="29"/>
      <c r="O27" s="4"/>
      <c r="P27" s="4"/>
      <c r="Q27" s="4"/>
      <c r="R27" s="4"/>
    </row>
    <row r="28" spans="1:18" s="28" customFormat="1" ht="15.75">
      <c r="A28" s="34"/>
      <c r="B28" s="35" t="s">
        <v>31</v>
      </c>
      <c r="C28" s="46">
        <f>1.75+MAX(0,0.55*(C26-50)/40)</f>
        <v>1.75</v>
      </c>
      <c r="D28" s="37" t="s">
        <v>32</v>
      </c>
      <c r="F28" s="45" t="s">
        <v>33</v>
      </c>
      <c r="G28" s="26"/>
      <c r="H28" s="27"/>
      <c r="L28" s="29"/>
      <c r="O28" s="4"/>
      <c r="P28" s="4"/>
      <c r="Q28" s="4"/>
      <c r="R28" s="4"/>
    </row>
    <row r="29" spans="1:18" s="28" customFormat="1" ht="15.75">
      <c r="A29" s="34"/>
      <c r="B29" s="35" t="s">
        <v>34</v>
      </c>
      <c r="C29" s="46">
        <f>(0.85*C26/C27)/C28</f>
        <v>11.774891774891774</v>
      </c>
      <c r="D29" s="37" t="s">
        <v>35</v>
      </c>
      <c r="F29" s="45" t="s">
        <v>36</v>
      </c>
      <c r="G29" s="26"/>
      <c r="H29" s="47"/>
      <c r="I29" s="48"/>
      <c r="J29" s="48"/>
      <c r="K29" s="48"/>
      <c r="L29" s="49"/>
    </row>
    <row r="30" spans="1:18" s="28" customFormat="1" ht="13.5">
      <c r="A30" s="34"/>
      <c r="B30" s="35" t="s">
        <v>37</v>
      </c>
      <c r="C30" s="43">
        <v>1</v>
      </c>
      <c r="D30" s="37"/>
      <c r="F30" s="45" t="s">
        <v>38</v>
      </c>
      <c r="G30" s="26"/>
    </row>
    <row r="31" spans="1:18" s="28" customFormat="1" ht="13.5">
      <c r="A31" s="34"/>
      <c r="B31" s="50" t="s">
        <v>39</v>
      </c>
      <c r="C31" s="46">
        <f>C30*C26/C27</f>
        <v>24.242424242424242</v>
      </c>
      <c r="D31" s="37" t="s">
        <v>28</v>
      </c>
      <c r="F31" s="45" t="s">
        <v>38</v>
      </c>
      <c r="G31" s="26"/>
      <c r="H31" s="22" t="s">
        <v>40</v>
      </c>
      <c r="I31" s="24"/>
      <c r="J31" s="24"/>
      <c r="K31" s="24"/>
      <c r="L31" s="25" t="s">
        <v>17</v>
      </c>
    </row>
    <row r="32" spans="1:18" s="28" customFormat="1" ht="13.5">
      <c r="A32" s="34"/>
      <c r="B32" s="35" t="s">
        <v>41</v>
      </c>
      <c r="C32" s="46">
        <f>0.6*(1-C26/250)*C31</f>
        <v>12.218181818181819</v>
      </c>
      <c r="D32" s="37" t="s">
        <v>28</v>
      </c>
      <c r="F32" s="45" t="s">
        <v>42</v>
      </c>
      <c r="G32" s="26"/>
      <c r="H32" s="30" t="s">
        <v>43</v>
      </c>
      <c r="L32" s="29"/>
    </row>
    <row r="33" spans="1:14" s="28" customFormat="1" ht="15.75">
      <c r="A33" s="34"/>
      <c r="F33" s="29"/>
      <c r="G33" s="26"/>
      <c r="H33" s="27"/>
      <c r="I33" s="35" t="s">
        <v>44</v>
      </c>
      <c r="J33" s="52">
        <f>MIN(1,2.5*(1-C56)+18*E43*(C56-0.6))</f>
        <v>0.28899588847991242</v>
      </c>
      <c r="L33" s="29"/>
    </row>
    <row r="34" spans="1:14" s="28" customFormat="1" ht="15.75">
      <c r="A34" s="34"/>
      <c r="B34" s="35" t="s">
        <v>45</v>
      </c>
      <c r="C34" s="53">
        <v>500</v>
      </c>
      <c r="D34" s="37" t="s">
        <v>28</v>
      </c>
      <c r="F34" s="45" t="s">
        <v>46</v>
      </c>
      <c r="G34" s="26"/>
      <c r="H34" s="27"/>
      <c r="I34" s="35" t="s">
        <v>47</v>
      </c>
      <c r="J34" s="52">
        <f>MIN(1,2.5*(1-C56)+MIN(2.25,1.5+37.5*E43)*(C56-0.6))</f>
        <v>0.90925000000000011</v>
      </c>
      <c r="L34" s="29"/>
      <c r="N34" s="51"/>
    </row>
    <row r="35" spans="1:14" s="28" customFormat="1" ht="15.75">
      <c r="A35" s="34"/>
      <c r="B35" s="35" t="s">
        <v>48</v>
      </c>
      <c r="C35" s="53">
        <v>200</v>
      </c>
      <c r="D35" s="37" t="s">
        <v>35</v>
      </c>
      <c r="E35" s="33"/>
      <c r="F35" s="45" t="s">
        <v>49</v>
      </c>
      <c r="G35" s="26"/>
      <c r="H35" s="27"/>
      <c r="I35" s="35" t="s">
        <v>50</v>
      </c>
      <c r="J35" s="52">
        <f>MIN(1,2.5*(1-C56)+MIN(2,100*E43)*(C56-0.6))</f>
        <v>0.81850000000000001</v>
      </c>
      <c r="L35" s="29"/>
    </row>
    <row r="36" spans="1:14" s="28" customFormat="1" ht="15.75" customHeight="1">
      <c r="A36" s="34"/>
      <c r="B36" s="35" t="s">
        <v>51</v>
      </c>
      <c r="C36" s="53">
        <v>1.1499999999999999</v>
      </c>
      <c r="F36" s="45" t="s">
        <v>30</v>
      </c>
      <c r="G36" s="26"/>
      <c r="H36" s="27"/>
      <c r="L36" s="29"/>
    </row>
    <row r="37" spans="1:14" s="28" customFormat="1" ht="15.75">
      <c r="A37" s="34"/>
      <c r="B37" s="35" t="s">
        <v>52</v>
      </c>
      <c r="C37" s="54">
        <f>C34/C36</f>
        <v>434.78260869565219</v>
      </c>
      <c r="D37" s="37" t="s">
        <v>28</v>
      </c>
      <c r="F37" s="45" t="s">
        <v>53</v>
      </c>
      <c r="G37" s="26"/>
      <c r="H37" s="30" t="s">
        <v>54</v>
      </c>
      <c r="L37" s="29"/>
    </row>
    <row r="38" spans="1:14" s="28" customFormat="1" ht="15.75">
      <c r="A38" s="27"/>
      <c r="F38" s="29"/>
      <c r="G38" s="26"/>
      <c r="H38" s="27"/>
      <c r="I38" s="35" t="s">
        <v>55</v>
      </c>
      <c r="J38" s="52">
        <f>MIN(0.65,0.4+(E23/E20)/(1.3-LOG(E43*C35/C29)))*E24</f>
        <v>0.57199999999999995</v>
      </c>
      <c r="K38" s="37" t="s">
        <v>4</v>
      </c>
      <c r="L38" s="29"/>
    </row>
    <row r="39" spans="1:14" s="28" customFormat="1" ht="15.75">
      <c r="A39" s="30" t="s">
        <v>56</v>
      </c>
      <c r="B39" s="31"/>
      <c r="D39" s="37"/>
      <c r="E39" s="33"/>
      <c r="F39" s="45"/>
      <c r="G39" s="26"/>
      <c r="H39" s="27"/>
      <c r="I39" s="35" t="s">
        <v>57</v>
      </c>
      <c r="J39" s="52">
        <f>MAX(0.4,(1.3+0.2*LOG(C35*E43/C29))*(E23/E20-0.3)+0.6*(1-E23/E20))*E22</f>
        <v>0.69511958413012942</v>
      </c>
      <c r="K39" s="37" t="s">
        <v>58</v>
      </c>
      <c r="L39" s="29"/>
      <c r="M39" s="140"/>
    </row>
    <row r="40" spans="1:14" s="28" customFormat="1" ht="15.75" customHeight="1">
      <c r="A40" s="27"/>
      <c r="B40" s="35" t="s">
        <v>59</v>
      </c>
      <c r="C40" s="136">
        <v>40</v>
      </c>
      <c r="D40" s="37" t="s">
        <v>20</v>
      </c>
      <c r="E40" s="38">
        <f>C40/1000</f>
        <v>0.04</v>
      </c>
      <c r="F40" s="39" t="s">
        <v>4</v>
      </c>
      <c r="G40" s="26"/>
      <c r="H40" s="27"/>
      <c r="I40" s="35" t="s">
        <v>60</v>
      </c>
      <c r="J40" s="52">
        <f>0.9*(1-(1-E23/E20)^(2.5+0.6*LOG(E43*C35/C29)))</f>
        <v>0.8555081949489387</v>
      </c>
      <c r="L40" s="29"/>
    </row>
    <row r="41" spans="1:14" s="28" customFormat="1" ht="15.75">
      <c r="A41" s="27"/>
      <c r="B41" s="35" t="s">
        <v>61</v>
      </c>
      <c r="C41" s="40">
        <v>24</v>
      </c>
      <c r="D41" s="37"/>
      <c r="E41" s="58"/>
      <c r="F41" s="39"/>
      <c r="G41" s="26"/>
      <c r="H41" s="27"/>
      <c r="L41" s="29"/>
    </row>
    <row r="42" spans="1:14" s="28" customFormat="1" ht="15.75">
      <c r="A42" s="27"/>
      <c r="B42" s="35" t="s">
        <v>62</v>
      </c>
      <c r="C42" s="42">
        <f>PI()*C40^2/4*C41</f>
        <v>30159.289474462013</v>
      </c>
      <c r="D42" s="37" t="s">
        <v>63</v>
      </c>
      <c r="E42" s="38">
        <f>PI()*E40^2/4*C41</f>
        <v>3.0159289474462014E-2</v>
      </c>
      <c r="F42" s="39" t="s">
        <v>64</v>
      </c>
      <c r="G42" s="26"/>
      <c r="H42" s="30" t="s">
        <v>65</v>
      </c>
      <c r="L42" s="29"/>
    </row>
    <row r="43" spans="1:14" s="28" customFormat="1" ht="15.75">
      <c r="A43" s="55"/>
      <c r="B43" s="35" t="s">
        <v>66</v>
      </c>
      <c r="C43" s="56">
        <f>E43*100</f>
        <v>3.0072832641553773</v>
      </c>
      <c r="D43" s="37" t="s">
        <v>67</v>
      </c>
      <c r="E43" s="38">
        <f>(E42)/(E22)</f>
        <v>3.0072832641553773E-2</v>
      </c>
      <c r="F43" s="39"/>
      <c r="G43" s="26"/>
      <c r="H43" s="92" t="s">
        <v>68</v>
      </c>
      <c r="L43" s="29"/>
    </row>
    <row r="44" spans="1:14" s="28" customFormat="1" ht="15.75">
      <c r="A44" s="27"/>
      <c r="E44" s="58"/>
      <c r="F44" s="39"/>
      <c r="G44" s="26"/>
      <c r="H44" s="27"/>
      <c r="I44" s="35" t="s">
        <v>69</v>
      </c>
      <c r="J44" s="57">
        <f>2*E50*J38*C37*IF(E47=1,J35*(1-E49/(J40*PI()*E24))/SQRT(1+(E49/(PI()*E24))^2),J34)*1000</f>
        <v>1420.7948389549297</v>
      </c>
      <c r="K44" s="37" t="s">
        <v>70</v>
      </c>
      <c r="L44" s="45" t="s">
        <v>71</v>
      </c>
    </row>
    <row r="45" spans="1:14" s="28" customFormat="1" ht="16.5" thickBot="1">
      <c r="A45" s="30" t="s">
        <v>72</v>
      </c>
      <c r="B45" s="31"/>
      <c r="D45" s="59"/>
      <c r="E45" s="58"/>
      <c r="F45" s="39"/>
      <c r="G45" s="26"/>
      <c r="H45" s="27"/>
      <c r="I45" s="35" t="s">
        <v>73</v>
      </c>
      <c r="J45" s="57">
        <f>C59*J33*J39*C32/2*1000</f>
        <v>1135.873058047373</v>
      </c>
      <c r="K45" s="37" t="s">
        <v>70</v>
      </c>
      <c r="L45" s="45" t="s">
        <v>74</v>
      </c>
    </row>
    <row r="46" spans="1:14" s="28" customFormat="1" ht="15.75">
      <c r="A46" s="59"/>
      <c r="B46" s="35" t="s">
        <v>75</v>
      </c>
      <c r="C46" s="61">
        <v>0</v>
      </c>
      <c r="D46" s="59" t="s">
        <v>76</v>
      </c>
      <c r="E46" s="58"/>
      <c r="F46" s="39"/>
      <c r="G46" s="26"/>
      <c r="H46" s="27"/>
      <c r="I46" s="35" t="s">
        <v>77</v>
      </c>
      <c r="J46" s="60">
        <f>IF(J45&lt;J44,1,IF(J44&lt;0,1,MIN(IF(C57&lt;0,1.25,2.5),SQRT(2*J45/J44-1))))</f>
        <v>1</v>
      </c>
      <c r="L46" s="29"/>
    </row>
    <row r="47" spans="1:14" s="28" customFormat="1" ht="15.75">
      <c r="A47" s="27"/>
      <c r="B47" s="35" t="s">
        <v>78</v>
      </c>
      <c r="C47" s="126" t="s">
        <v>228</v>
      </c>
      <c r="E47" s="62">
        <f>IF(C47="Spiral",1,0)</f>
        <v>0</v>
      </c>
      <c r="F47" s="39"/>
      <c r="G47" s="26"/>
      <c r="H47" s="27"/>
      <c r="I47" s="35" t="s">
        <v>79</v>
      </c>
      <c r="J47" s="90">
        <f>MIN(2*J45/(J46+1/J46),2*E50*J38*C37*J46*IF(E47=1,J35*(1-E49/(J40*PI()*E24*J46))/SQRT(1+(E49/(PI()*E24))^2),J34)*1000)</f>
        <v>1135.873058047373</v>
      </c>
      <c r="K47" s="37" t="s">
        <v>70</v>
      </c>
      <c r="L47" s="29"/>
    </row>
    <row r="48" spans="1:14" s="28" customFormat="1" ht="15.75" customHeight="1">
      <c r="A48" s="27"/>
      <c r="B48" s="35" t="s">
        <v>80</v>
      </c>
      <c r="C48" s="63">
        <v>20</v>
      </c>
      <c r="D48" s="37" t="s">
        <v>20</v>
      </c>
      <c r="E48" s="38">
        <f>C48/1000</f>
        <v>0.02</v>
      </c>
      <c r="F48" s="39" t="s">
        <v>4</v>
      </c>
      <c r="G48" s="26"/>
      <c r="H48" s="27"/>
      <c r="I48" s="35" t="s">
        <v>81</v>
      </c>
      <c r="J48" s="91">
        <f>C55/J47</f>
        <v>0.96111092015571808</v>
      </c>
      <c r="K48" s="66" t="str">
        <f>IF(J48&gt;1,"FAIL","Pass")</f>
        <v>Pass</v>
      </c>
      <c r="L48" s="29"/>
    </row>
    <row r="49" spans="1:13" s="28" customFormat="1" ht="13.5" thickBot="1">
      <c r="A49" s="27"/>
      <c r="B49" s="35" t="str">
        <f>IF(E47=1,"Spiral pitch, p =", "Link spacing, s =")</f>
        <v>Link spacing, s =</v>
      </c>
      <c r="C49" s="64">
        <v>100</v>
      </c>
      <c r="D49" s="37" t="s">
        <v>20</v>
      </c>
      <c r="E49" s="38">
        <f>C49/1000</f>
        <v>0.1</v>
      </c>
      <c r="F49" s="39" t="s">
        <v>4</v>
      </c>
      <c r="G49" s="26"/>
      <c r="H49" s="27"/>
      <c r="I49" s="28" t="s">
        <v>82</v>
      </c>
      <c r="J49" s="28">
        <f>J47*0.75</f>
        <v>851.90479353552973</v>
      </c>
      <c r="K49" s="28" t="s">
        <v>70</v>
      </c>
      <c r="L49" s="29"/>
    </row>
    <row r="50" spans="1:13" s="28" customFormat="1" ht="15.75">
      <c r="A50" s="27"/>
      <c r="B50" s="35" t="str">
        <f>IF(E47=1,"Asw / p =","Asw / s =")</f>
        <v>Asw / s =</v>
      </c>
      <c r="C50" s="42">
        <f>(C48^2*PI()/4)/E49</f>
        <v>3141.5926535897929</v>
      </c>
      <c r="D50" s="37" t="s">
        <v>83</v>
      </c>
      <c r="E50" s="67">
        <f>(E48^2*PI()/4)/E49</f>
        <v>3.1415926535897929E-3</v>
      </c>
      <c r="F50" s="39" t="s">
        <v>84</v>
      </c>
      <c r="G50" s="26"/>
      <c r="H50" s="92" t="s">
        <v>85</v>
      </c>
      <c r="L50" s="29"/>
    </row>
    <row r="51" spans="1:13" s="28" customFormat="1" ht="15.75">
      <c r="A51" s="27"/>
      <c r="E51" s="38"/>
      <c r="F51" s="68" t="str">
        <f>IF(E47=1,IF(C49&gt;0.4*C24*J46,"Spiral pitch, P exceeds limit of 0.4Dw.cotθ = "&amp;ROUND(0.4*C24*J46,0)&amp;"mm. Result not valid",""),"")</f>
        <v/>
      </c>
      <c r="G51" s="26"/>
      <c r="H51" s="27"/>
      <c r="I51" s="35" t="s">
        <v>69</v>
      </c>
      <c r="J51" s="57">
        <f>2*E50*J38*C37*IF(E47=1,J35*(1-E49/(J40*PI()*E24))/SQRT(1+(E49/(PI()*E24))^2),J34)*1000</f>
        <v>1420.7948389549297</v>
      </c>
      <c r="K51" s="37" t="s">
        <v>70</v>
      </c>
      <c r="L51" s="45" t="s">
        <v>71</v>
      </c>
    </row>
    <row r="52" spans="1:13" s="28" customFormat="1" ht="15.75">
      <c r="A52" s="27"/>
      <c r="F52" s="68" t="str">
        <f>IF(C26&gt;50,"fck &gt; 50. Check the max allowable link spacing using the UK NA cl 9.5.3(3)",IF(C49&gt;MIN(20*C40,C20,400),"Link spacing or pitch exceeds limit set by EN1992-1-1 cl 9.5.3(3) = "&amp;ROUND(MIN(20*C40,C20,400),0)&amp;"mm","Link spacing satisfies limit set by EN1992-1-1 cl 9.5.3(3)"))</f>
        <v>Link spacing satisfies limit set by EN1992-1-1 cl 9.5.3(3)</v>
      </c>
      <c r="G52" s="26"/>
      <c r="H52" s="27"/>
      <c r="I52" s="35" t="s">
        <v>73</v>
      </c>
      <c r="J52" s="57">
        <f>C63*J33*J39*C32/2*1000</f>
        <v>1227.2351238181684</v>
      </c>
      <c r="K52" s="37" t="s">
        <v>70</v>
      </c>
      <c r="L52" s="45" t="s">
        <v>74</v>
      </c>
    </row>
    <row r="53" spans="1:13" s="28" customFormat="1" ht="15">
      <c r="A53" s="27"/>
      <c r="F53" s="69" t="str">
        <f>IF(C26&gt;50,"",IF(C49&gt;0.6*MIN(20*C40,C20,400),"Link spacing or pitch exceeds limit set by EN1992-1-1 cl 9.5.3(4) = "&amp;ROUND(0.6*MIN(20*C40,C20,400),0)&amp;"mm",""))</f>
        <v/>
      </c>
      <c r="H53" s="27"/>
      <c r="I53" s="35" t="s">
        <v>77</v>
      </c>
      <c r="J53" s="60">
        <f>IF(J52&lt;J51,1,IF(J51&lt;0,1,MIN(IF(C61&lt;0,1.25,2.5),SQRT(2*J52/J51-1))))</f>
        <v>1</v>
      </c>
      <c r="L53" s="29"/>
    </row>
    <row r="54" spans="1:13" s="28" customFormat="1" ht="15.75">
      <c r="A54" s="30" t="s">
        <v>86</v>
      </c>
      <c r="D54" s="37"/>
      <c r="E54" s="38"/>
      <c r="F54" s="39"/>
      <c r="H54" s="27"/>
      <c r="I54" s="35" t="s">
        <v>79</v>
      </c>
      <c r="J54" s="90">
        <f>MIN(2*J52/(J53+1/J53),2*E50*J38*C37*J53*IF(E47=1,J35*(1-E49/(J40*PI()*E24*J53))/SQRT(1+(E49/(PI()*E24))^2),J34)*1000)</f>
        <v>1227.2351238181684</v>
      </c>
      <c r="K54" s="37" t="s">
        <v>70</v>
      </c>
      <c r="L54" s="29"/>
    </row>
    <row r="55" spans="1:13" s="28" customFormat="1" ht="15.75">
      <c r="A55" s="27"/>
      <c r="B55" s="35" t="s">
        <v>87</v>
      </c>
      <c r="C55" s="95">
        <v>1091.7</v>
      </c>
      <c r="D55" s="37" t="s">
        <v>70</v>
      </c>
      <c r="E55" s="38">
        <f>C55/1000</f>
        <v>1.0917000000000001</v>
      </c>
      <c r="F55" s="39" t="s">
        <v>88</v>
      </c>
      <c r="G55" s="26"/>
      <c r="H55" s="27"/>
      <c r="I55" s="35" t="s">
        <v>81</v>
      </c>
      <c r="J55" s="91">
        <f>C55/J54</f>
        <v>0.88956058933801363</v>
      </c>
      <c r="K55" s="66" t="str">
        <f>IF(J55&gt;1,"FAIL","Pass")</f>
        <v>Pass</v>
      </c>
      <c r="L55" s="29"/>
    </row>
    <row r="56" spans="1:13" s="28" customFormat="1" ht="15.75">
      <c r="A56" s="27"/>
      <c r="B56" s="35" t="s">
        <v>89</v>
      </c>
      <c r="C56" s="94">
        <v>0.96299999999999997</v>
      </c>
      <c r="D56" s="37"/>
      <c r="F56" s="71"/>
      <c r="G56" s="26"/>
      <c r="H56" s="47"/>
      <c r="I56" s="48"/>
      <c r="J56" s="48"/>
      <c r="K56" s="48"/>
      <c r="L56" s="49"/>
    </row>
    <row r="57" spans="1:13" s="28" customFormat="1" ht="15.75">
      <c r="A57" s="92" t="s">
        <v>68</v>
      </c>
      <c r="B57" s="35" t="s">
        <v>90</v>
      </c>
      <c r="C57" s="40">
        <v>-2680</v>
      </c>
      <c r="D57" s="37" t="s">
        <v>91</v>
      </c>
      <c r="E57" s="72"/>
      <c r="F57" s="45"/>
      <c r="G57" s="26"/>
    </row>
    <row r="58" spans="1:13" s="28" customFormat="1" ht="13.5">
      <c r="A58" s="34"/>
      <c r="B58" s="35" t="s">
        <v>92</v>
      </c>
      <c r="C58" s="73">
        <f>E58/((E22-E42)+(E42*C35/C29))</f>
        <v>-1.8047380775650317</v>
      </c>
      <c r="D58" s="37" t="s">
        <v>28</v>
      </c>
      <c r="E58" s="38">
        <f>C57/1000</f>
        <v>-2.68</v>
      </c>
      <c r="F58" s="39" t="s">
        <v>88</v>
      </c>
      <c r="G58" s="26"/>
      <c r="H58" s="22" t="s">
        <v>93</v>
      </c>
      <c r="I58" s="24"/>
      <c r="J58" s="24"/>
      <c r="K58" s="24"/>
      <c r="L58" s="25" t="s">
        <v>17</v>
      </c>
      <c r="M58" s="4"/>
    </row>
    <row r="59" spans="1:13" s="28" customFormat="1" ht="13.5">
      <c r="A59" s="34"/>
      <c r="B59" s="35" t="s">
        <v>94</v>
      </c>
      <c r="C59" s="46">
        <f>IF(C58&lt;0.5*C31,MIN((1+C58/C31),1.25),IF(C58&lt;C31,2.5*(1-C58/C31),"Error: N.Ed too large!"))</f>
        <v>0.92555455430044242</v>
      </c>
      <c r="D59" s="37"/>
      <c r="F59" s="45" t="s">
        <v>42</v>
      </c>
      <c r="G59" s="26"/>
      <c r="H59" s="30" t="s">
        <v>95</v>
      </c>
      <c r="L59" s="45" t="s">
        <v>96</v>
      </c>
      <c r="M59" s="4"/>
    </row>
    <row r="60" spans="1:13" s="28" customFormat="1" ht="15.75">
      <c r="A60" s="34"/>
      <c r="B60" s="35"/>
      <c r="C60" s="73"/>
      <c r="D60" s="37"/>
      <c r="E60" s="38"/>
      <c r="F60" s="39"/>
      <c r="G60" s="26"/>
      <c r="H60" s="27"/>
      <c r="I60" s="35" t="s">
        <v>97</v>
      </c>
      <c r="J60" s="60">
        <f>0.08*SQRT(C26)/C34</f>
        <v>1.0119288512538814E-3</v>
      </c>
      <c r="L60" s="70" t="s">
        <v>98</v>
      </c>
      <c r="M60" s="4"/>
    </row>
    <row r="61" spans="1:13" s="28" customFormat="1" ht="16.5" thickBot="1">
      <c r="A61" s="92" t="s">
        <v>85</v>
      </c>
      <c r="B61" s="35" t="s">
        <v>90</v>
      </c>
      <c r="C61" s="40">
        <v>0</v>
      </c>
      <c r="D61" s="37" t="s">
        <v>91</v>
      </c>
      <c r="E61" s="72"/>
      <c r="F61" s="45"/>
      <c r="G61" s="26"/>
      <c r="H61" s="27"/>
      <c r="I61" s="35" t="s">
        <v>99</v>
      </c>
      <c r="J61" s="60">
        <f>MIN((IF(J46=1,J44,J47/J46)/(C37*1000))/(J39*J33),(IF(J53=1,J51,J54/J53)/(C37*1000))/(J39*J33))</f>
        <v>1.6267020664205174E-2</v>
      </c>
      <c r="L61" s="70" t="s">
        <v>100</v>
      </c>
      <c r="M61" s="4"/>
    </row>
    <row r="62" spans="1:13" s="28" customFormat="1" ht="16.5" thickBot="1">
      <c r="A62" s="27"/>
      <c r="B62" s="35" t="s">
        <v>92</v>
      </c>
      <c r="C62" s="73">
        <f>E62/((E22-E42)+(E42*C35/C29))</f>
        <v>0</v>
      </c>
      <c r="D62" s="37" t="s">
        <v>28</v>
      </c>
      <c r="E62" s="38">
        <f>C61/1000</f>
        <v>0</v>
      </c>
      <c r="F62" s="39" t="s">
        <v>88</v>
      </c>
      <c r="G62" s="26"/>
      <c r="H62" s="27"/>
      <c r="I62" s="35" t="s">
        <v>101</v>
      </c>
      <c r="J62" s="65">
        <f>J61/J60</f>
        <v>16.07526126372294</v>
      </c>
      <c r="K62" s="66" t="str">
        <f>IF(J62&lt;1,"FAIL","Pass")</f>
        <v>Pass</v>
      </c>
      <c r="L62" s="29"/>
      <c r="M62" s="4"/>
    </row>
    <row r="63" spans="1:13" s="28" customFormat="1" ht="13.5">
      <c r="A63" s="93"/>
      <c r="B63" s="35" t="s">
        <v>94</v>
      </c>
      <c r="C63" s="46">
        <f>IF(C62&lt;0.5*C31,MIN((1+C62/C31),1.25),IF(C62&lt;C31,2.5*(1-C62/C31),"Error: N.Ed too large!"))</f>
        <v>1</v>
      </c>
      <c r="D63" s="37"/>
      <c r="F63" s="45" t="s">
        <v>42</v>
      </c>
      <c r="H63" s="27"/>
      <c r="L63" s="29"/>
      <c r="M63" s="4"/>
    </row>
    <row r="64" spans="1:13" s="28" customFormat="1">
      <c r="A64" s="47"/>
      <c r="B64" s="48"/>
      <c r="C64" s="48"/>
      <c r="D64" s="48"/>
      <c r="E64" s="48"/>
      <c r="F64" s="49"/>
      <c r="G64" s="26"/>
      <c r="H64" s="74"/>
      <c r="I64" s="48"/>
      <c r="J64" s="75"/>
      <c r="K64" s="75"/>
      <c r="L64" s="76"/>
      <c r="M64" s="4"/>
    </row>
    <row r="65" spans="1:14" s="28" customFormat="1">
      <c r="A65" s="4"/>
      <c r="C65" s="4"/>
      <c r="E65" s="4"/>
      <c r="G65" s="4"/>
      <c r="I65" s="4"/>
      <c r="J65" s="4"/>
      <c r="K65" s="4"/>
      <c r="L65" s="4"/>
      <c r="M65" s="4"/>
      <c r="N65" s="4"/>
    </row>
    <row r="66" spans="1:14" s="28" customFormat="1">
      <c r="A66" s="4"/>
      <c r="B66" s="4"/>
      <c r="C66" s="4"/>
      <c r="D66" s="4"/>
      <c r="E66" s="4"/>
      <c r="F66" s="4"/>
      <c r="G66" s="4"/>
      <c r="H66" s="4"/>
      <c r="I66" s="4"/>
      <c r="J66" s="4"/>
      <c r="K66" s="4"/>
      <c r="L66" s="4"/>
      <c r="M66" s="4"/>
      <c r="N66" s="4"/>
    </row>
    <row r="67" spans="1:14">
      <c r="B67" s="4" t="s">
        <v>102</v>
      </c>
      <c r="D67" s="4">
        <f>0.5*C55*(IF(J48&gt;J55,J46,J53))</f>
        <v>545.85</v>
      </c>
      <c r="E67" s="4" t="s">
        <v>70</v>
      </c>
    </row>
    <row r="68" spans="1:14" ht="12" customHeight="1"/>
    <row r="69" spans="1:14">
      <c r="A69" s="27"/>
      <c r="B69" s="28"/>
      <c r="C69" s="28"/>
      <c r="D69" s="28"/>
      <c r="E69" s="33"/>
      <c r="F69" s="28"/>
      <c r="H69" s="28"/>
    </row>
    <row r="70" spans="1:14">
      <c r="G70" s="28"/>
      <c r="H70" s="28"/>
    </row>
    <row r="71" spans="1:14">
      <c r="E71" s="77"/>
      <c r="G71" s="28"/>
      <c r="H71" s="28"/>
    </row>
    <row r="72" spans="1:14">
      <c r="G72" s="28"/>
      <c r="H72" s="28"/>
    </row>
    <row r="73" spans="1:14" ht="15">
      <c r="A73" s="78"/>
      <c r="B73" s="78"/>
      <c r="C73" s="28"/>
      <c r="D73" s="28"/>
      <c r="G73" s="28"/>
      <c r="H73" s="28"/>
    </row>
    <row r="74" spans="1:14">
      <c r="E74" s="28"/>
      <c r="G74" s="28"/>
      <c r="H74" s="28"/>
    </row>
    <row r="75" spans="1:14">
      <c r="E75" s="142"/>
      <c r="G75" s="28"/>
      <c r="H75" s="28"/>
    </row>
    <row r="76" spans="1:14">
      <c r="E76" s="142"/>
      <c r="G76" s="28"/>
      <c r="H76" s="28"/>
    </row>
    <row r="77" spans="1:14" ht="15.75" customHeight="1">
      <c r="E77" s="142"/>
      <c r="G77" s="28"/>
      <c r="H77" s="28"/>
    </row>
    <row r="78" spans="1:14">
      <c r="E78" s="142"/>
      <c r="G78" s="28"/>
      <c r="H78" s="28"/>
    </row>
    <row r="79" spans="1:14" ht="15.75" customHeight="1">
      <c r="E79" s="142"/>
      <c r="G79" s="28"/>
      <c r="H79" s="28"/>
    </row>
    <row r="80" spans="1:14">
      <c r="E80" s="142"/>
      <c r="G80" s="28"/>
      <c r="H80" s="28"/>
    </row>
    <row r="81" spans="1:13">
      <c r="E81" s="142"/>
      <c r="G81" s="28"/>
      <c r="H81" s="28"/>
    </row>
    <row r="82" spans="1:13">
      <c r="E82" s="142"/>
      <c r="G82" s="28"/>
      <c r="H82" s="28"/>
    </row>
    <row r="83" spans="1:13">
      <c r="E83" s="142"/>
      <c r="G83" s="28"/>
      <c r="H83" s="28"/>
      <c r="I83" s="28"/>
      <c r="J83" s="28"/>
      <c r="K83" s="79"/>
      <c r="L83" s="28"/>
    </row>
    <row r="84" spans="1:13">
      <c r="A84" s="80"/>
      <c r="B84" s="80"/>
      <c r="C84" s="28"/>
      <c r="D84" s="28"/>
      <c r="E84" s="142"/>
      <c r="G84" s="28"/>
      <c r="H84" s="28"/>
      <c r="I84" s="28"/>
      <c r="J84" s="28"/>
      <c r="K84" s="28"/>
      <c r="L84" s="81"/>
    </row>
    <row r="85" spans="1:13">
      <c r="A85" s="82"/>
      <c r="B85" s="82"/>
      <c r="C85" s="83"/>
      <c r="D85" s="28"/>
      <c r="E85" s="28"/>
      <c r="G85" s="28"/>
      <c r="H85" s="28"/>
      <c r="L85" s="28"/>
      <c r="M85" s="28"/>
    </row>
    <row r="86" spans="1:13" ht="15">
      <c r="A86" s="84"/>
      <c r="B86" s="84"/>
      <c r="C86" s="83"/>
      <c r="D86" s="28"/>
      <c r="E86" s="28"/>
      <c r="G86" s="28"/>
      <c r="H86" s="28"/>
      <c r="M86" s="28"/>
    </row>
    <row r="87" spans="1:13">
      <c r="A87" s="82"/>
      <c r="B87" s="82"/>
      <c r="C87" s="83"/>
      <c r="D87" s="28"/>
      <c r="E87" s="28"/>
      <c r="G87" s="28"/>
      <c r="H87" s="28"/>
      <c r="I87" s="28"/>
      <c r="J87" s="28"/>
      <c r="K87" s="28"/>
      <c r="M87" s="28"/>
    </row>
    <row r="88" spans="1:13">
      <c r="E88" s="28"/>
      <c r="G88" s="28"/>
      <c r="H88" s="28"/>
      <c r="L88" s="28"/>
      <c r="M88" s="28"/>
    </row>
    <row r="89" spans="1:13">
      <c r="E89" s="28"/>
      <c r="G89" s="28"/>
      <c r="H89" s="28"/>
      <c r="M89" s="28"/>
    </row>
    <row r="90" spans="1:13">
      <c r="E90" s="28"/>
      <c r="G90" s="28"/>
      <c r="H90" s="28"/>
      <c r="L90" s="28"/>
      <c r="M90" s="28"/>
    </row>
    <row r="91" spans="1:13">
      <c r="E91" s="28"/>
      <c r="G91" s="28"/>
      <c r="H91" s="28"/>
      <c r="K91" s="28"/>
      <c r="L91" s="28"/>
    </row>
    <row r="92" spans="1:13">
      <c r="E92" s="28"/>
      <c r="G92" s="28"/>
      <c r="H92" s="28"/>
      <c r="K92" s="28"/>
      <c r="M92" s="28"/>
    </row>
    <row r="93" spans="1:13">
      <c r="E93" s="28"/>
      <c r="G93" s="28"/>
      <c r="H93" s="28"/>
      <c r="M93" s="28"/>
    </row>
    <row r="94" spans="1:13">
      <c r="E94" s="28"/>
      <c r="G94" s="28"/>
    </row>
    <row r="95" spans="1:13">
      <c r="E95" s="28"/>
    </row>
    <row r="96" spans="1:13">
      <c r="E96" s="28"/>
      <c r="K96" s="28"/>
    </row>
    <row r="97" spans="1:13">
      <c r="E97" s="28"/>
      <c r="H97" s="28"/>
      <c r="K97" s="28"/>
    </row>
    <row r="98" spans="1:13">
      <c r="E98" s="28"/>
      <c r="G98" s="28"/>
      <c r="H98" s="28"/>
      <c r="K98" s="28"/>
    </row>
    <row r="99" spans="1:13">
      <c r="E99" s="28"/>
      <c r="G99" s="28"/>
      <c r="H99" s="28"/>
      <c r="M99" s="28"/>
    </row>
    <row r="100" spans="1:13">
      <c r="E100" s="28"/>
      <c r="G100" s="28"/>
      <c r="K100" s="28"/>
      <c r="M100" s="28"/>
    </row>
    <row r="101" spans="1:13">
      <c r="A101" s="85"/>
      <c r="B101" s="85"/>
      <c r="C101" s="86"/>
      <c r="E101" s="28"/>
      <c r="K101" s="28"/>
      <c r="M101" s="28"/>
    </row>
    <row r="102" spans="1:13">
      <c r="D102" s="83"/>
      <c r="M102" s="28"/>
    </row>
    <row r="103" spans="1:13">
      <c r="I103" s="87"/>
    </row>
    <row r="104" spans="1:13">
      <c r="M104" s="28"/>
    </row>
    <row r="111" spans="1:13">
      <c r="A111" s="85"/>
      <c r="B111" s="85"/>
    </row>
    <row r="115" spans="7:8">
      <c r="H115" s="88"/>
    </row>
    <row r="116" spans="7:8">
      <c r="G116" s="88" t="s">
        <v>103</v>
      </c>
    </row>
  </sheetData>
  <dataConsolidate link="1"/>
  <mergeCells count="6">
    <mergeCell ref="E83:E84"/>
    <mergeCell ref="A15:F15"/>
    <mergeCell ref="A16:F16"/>
    <mergeCell ref="E75:E77"/>
    <mergeCell ref="E78:E80"/>
    <mergeCell ref="E81:E82"/>
  </mergeCells>
  <conditionalFormatting sqref="H6 J6 B6 B8 B4 H4 H2">
    <cfRule type="cellIs" dxfId="199" priority="14" stopIfTrue="1" operator="equal">
      <formula>0</formula>
    </cfRule>
  </conditionalFormatting>
  <conditionalFormatting sqref="B6">
    <cfRule type="cellIs" dxfId="198" priority="13" stopIfTrue="1" operator="equal">
      <formula>0</formula>
    </cfRule>
  </conditionalFormatting>
  <conditionalFormatting sqref="H6 J6 H4">
    <cfRule type="cellIs" dxfId="197" priority="12" stopIfTrue="1" operator="equal">
      <formula>0</formula>
    </cfRule>
  </conditionalFormatting>
  <conditionalFormatting sqref="J48">
    <cfRule type="cellIs" dxfId="196" priority="10" stopIfTrue="1" operator="greaterThan">
      <formula>1</formula>
    </cfRule>
    <cfRule type="cellIs" dxfId="195" priority="11" stopIfTrue="1" operator="lessThanOrEqual">
      <formula>1</formula>
    </cfRule>
  </conditionalFormatting>
  <conditionalFormatting sqref="J62">
    <cfRule type="cellIs" dxfId="194" priority="8" stopIfTrue="1" operator="lessThan">
      <formula>1</formula>
    </cfRule>
    <cfRule type="cellIs" dxfId="193" priority="9" stopIfTrue="1" operator="greaterThanOrEqual">
      <formula>1</formula>
    </cfRule>
  </conditionalFormatting>
  <conditionalFormatting sqref="K48 K62">
    <cfRule type="cellIs" dxfId="192" priority="6" stopIfTrue="1" operator="equal">
      <formula>"FAIL"</formula>
    </cfRule>
    <cfRule type="cellIs" dxfId="191" priority="7" stopIfTrue="1" operator="equal">
      <formula>"Pass"</formula>
    </cfRule>
  </conditionalFormatting>
  <conditionalFormatting sqref="F52">
    <cfRule type="cellIs" dxfId="190" priority="5" stopIfTrue="1" operator="equal">
      <formula>"Link spacing satisfies limit set by EN1992-1-1 cl 9.5.3(3)"</formula>
    </cfRule>
  </conditionalFormatting>
  <conditionalFormatting sqref="K55">
    <cfRule type="cellIs" dxfId="189" priority="3" stopIfTrue="1" operator="equal">
      <formula>"FAIL"</formula>
    </cfRule>
    <cfRule type="cellIs" dxfId="188" priority="4" stopIfTrue="1" operator="equal">
      <formula>"Pass"</formula>
    </cfRule>
  </conditionalFormatting>
  <conditionalFormatting sqref="J55">
    <cfRule type="cellIs" dxfId="187" priority="1" stopIfTrue="1" operator="greaterThan">
      <formula>1</formula>
    </cfRule>
    <cfRule type="cellIs" dxfId="186" priority="2" stopIfTrue="1" operator="lessThanOrEqual">
      <formula>1</formula>
    </cfRule>
  </conditionalFormatting>
  <dataValidations count="10">
    <dataValidation allowBlank="1" showInputMessage="1" showErrorMessage="1" promptTitle="v1" prompt="To UK NA, v1 = v.(1 - cos.alpha):_x000a__x000a_For discreet links, alpha = 90deg --&gt; v1 = v_x000a__x000a_For helical links, we assume alpha &gt; 90deg (unfavourable condition for Vrd,s). It is therefore conservative to take v1 = v" sqref="C32 IY32 SU32 ACQ32 AMM32 AWI32 BGE32 BQA32 BZW32 CJS32 CTO32 DDK32 DNG32 DXC32 EGY32 EQU32 FAQ32 FKM32 FUI32 GEE32 GOA32 GXW32 HHS32 HRO32 IBK32 ILG32 IVC32 JEY32 JOU32 JYQ32 KIM32 KSI32 LCE32 LMA32 LVW32 MFS32 MPO32 MZK32 NJG32 NTC32 OCY32 OMU32 OWQ32 PGM32 PQI32 QAE32 QKA32 QTW32 RDS32 RNO32 RXK32 SHG32 SRC32 TAY32 TKU32 TUQ32 UEM32 UOI32 UYE32 VIA32 VRW32 WBS32 WLO32 WVK32 C65573 IY65573 SU65573 ACQ65573 AMM65573 AWI65573 BGE65573 BQA65573 BZW65573 CJS65573 CTO65573 DDK65573 DNG65573 DXC65573 EGY65573 EQU65573 FAQ65573 FKM65573 FUI65573 GEE65573 GOA65573 GXW65573 HHS65573 HRO65573 IBK65573 ILG65573 IVC65573 JEY65573 JOU65573 JYQ65573 KIM65573 KSI65573 LCE65573 LMA65573 LVW65573 MFS65573 MPO65573 MZK65573 NJG65573 NTC65573 OCY65573 OMU65573 OWQ65573 PGM65573 PQI65573 QAE65573 QKA65573 QTW65573 RDS65573 RNO65573 RXK65573 SHG65573 SRC65573 TAY65573 TKU65573 TUQ65573 UEM65573 UOI65573 UYE65573 VIA65573 VRW65573 WBS65573 WLO65573 WVK65573 C131109 IY131109 SU131109 ACQ131109 AMM131109 AWI131109 BGE131109 BQA131109 BZW131109 CJS131109 CTO131109 DDK131109 DNG131109 DXC131109 EGY131109 EQU131109 FAQ131109 FKM131109 FUI131109 GEE131109 GOA131109 GXW131109 HHS131109 HRO131109 IBK131109 ILG131109 IVC131109 JEY131109 JOU131109 JYQ131109 KIM131109 KSI131109 LCE131109 LMA131109 LVW131109 MFS131109 MPO131109 MZK131109 NJG131109 NTC131109 OCY131109 OMU131109 OWQ131109 PGM131109 PQI131109 QAE131109 QKA131109 QTW131109 RDS131109 RNO131109 RXK131109 SHG131109 SRC131109 TAY131109 TKU131109 TUQ131109 UEM131109 UOI131109 UYE131109 VIA131109 VRW131109 WBS131109 WLO131109 WVK131109 C196645 IY196645 SU196645 ACQ196645 AMM196645 AWI196645 BGE196645 BQA196645 BZW196645 CJS196645 CTO196645 DDK196645 DNG196645 DXC196645 EGY196645 EQU196645 FAQ196645 FKM196645 FUI196645 GEE196645 GOA196645 GXW196645 HHS196645 HRO196645 IBK196645 ILG196645 IVC196645 JEY196645 JOU196645 JYQ196645 KIM196645 KSI196645 LCE196645 LMA196645 LVW196645 MFS196645 MPO196645 MZK196645 NJG196645 NTC196645 OCY196645 OMU196645 OWQ196645 PGM196645 PQI196645 QAE196645 QKA196645 QTW196645 RDS196645 RNO196645 RXK196645 SHG196645 SRC196645 TAY196645 TKU196645 TUQ196645 UEM196645 UOI196645 UYE196645 VIA196645 VRW196645 WBS196645 WLO196645 WVK196645 C262181 IY262181 SU262181 ACQ262181 AMM262181 AWI262181 BGE262181 BQA262181 BZW262181 CJS262181 CTO262181 DDK262181 DNG262181 DXC262181 EGY262181 EQU262181 FAQ262181 FKM262181 FUI262181 GEE262181 GOA262181 GXW262181 HHS262181 HRO262181 IBK262181 ILG262181 IVC262181 JEY262181 JOU262181 JYQ262181 KIM262181 KSI262181 LCE262181 LMA262181 LVW262181 MFS262181 MPO262181 MZK262181 NJG262181 NTC262181 OCY262181 OMU262181 OWQ262181 PGM262181 PQI262181 QAE262181 QKA262181 QTW262181 RDS262181 RNO262181 RXK262181 SHG262181 SRC262181 TAY262181 TKU262181 TUQ262181 UEM262181 UOI262181 UYE262181 VIA262181 VRW262181 WBS262181 WLO262181 WVK262181 C327717 IY327717 SU327717 ACQ327717 AMM327717 AWI327717 BGE327717 BQA327717 BZW327717 CJS327717 CTO327717 DDK327717 DNG327717 DXC327717 EGY327717 EQU327717 FAQ327717 FKM327717 FUI327717 GEE327717 GOA327717 GXW327717 HHS327717 HRO327717 IBK327717 ILG327717 IVC327717 JEY327717 JOU327717 JYQ327717 KIM327717 KSI327717 LCE327717 LMA327717 LVW327717 MFS327717 MPO327717 MZK327717 NJG327717 NTC327717 OCY327717 OMU327717 OWQ327717 PGM327717 PQI327717 QAE327717 QKA327717 QTW327717 RDS327717 RNO327717 RXK327717 SHG327717 SRC327717 TAY327717 TKU327717 TUQ327717 UEM327717 UOI327717 UYE327717 VIA327717 VRW327717 WBS327717 WLO327717 WVK327717 C393253 IY393253 SU393253 ACQ393253 AMM393253 AWI393253 BGE393253 BQA393253 BZW393253 CJS393253 CTO393253 DDK393253 DNG393253 DXC393253 EGY393253 EQU393253 FAQ393253 FKM393253 FUI393253 GEE393253 GOA393253 GXW393253 HHS393253 HRO393253 IBK393253 ILG393253 IVC393253 JEY393253 JOU393253 JYQ393253 KIM393253 KSI393253 LCE393253 LMA393253 LVW393253 MFS393253 MPO393253 MZK393253 NJG393253 NTC393253 OCY393253 OMU393253 OWQ393253 PGM393253 PQI393253 QAE393253 QKA393253 QTW393253 RDS393253 RNO393253 RXK393253 SHG393253 SRC393253 TAY393253 TKU393253 TUQ393253 UEM393253 UOI393253 UYE393253 VIA393253 VRW393253 WBS393253 WLO393253 WVK393253 C458789 IY458789 SU458789 ACQ458789 AMM458789 AWI458789 BGE458789 BQA458789 BZW458789 CJS458789 CTO458789 DDK458789 DNG458789 DXC458789 EGY458789 EQU458789 FAQ458789 FKM458789 FUI458789 GEE458789 GOA458789 GXW458789 HHS458789 HRO458789 IBK458789 ILG458789 IVC458789 JEY458789 JOU458789 JYQ458789 KIM458789 KSI458789 LCE458789 LMA458789 LVW458789 MFS458789 MPO458789 MZK458789 NJG458789 NTC458789 OCY458789 OMU458789 OWQ458789 PGM458789 PQI458789 QAE458789 QKA458789 QTW458789 RDS458789 RNO458789 RXK458789 SHG458789 SRC458789 TAY458789 TKU458789 TUQ458789 UEM458789 UOI458789 UYE458789 VIA458789 VRW458789 WBS458789 WLO458789 WVK458789 C524325 IY524325 SU524325 ACQ524325 AMM524325 AWI524325 BGE524325 BQA524325 BZW524325 CJS524325 CTO524325 DDK524325 DNG524325 DXC524325 EGY524325 EQU524325 FAQ524325 FKM524325 FUI524325 GEE524325 GOA524325 GXW524325 HHS524325 HRO524325 IBK524325 ILG524325 IVC524325 JEY524325 JOU524325 JYQ524325 KIM524325 KSI524325 LCE524325 LMA524325 LVW524325 MFS524325 MPO524325 MZK524325 NJG524325 NTC524325 OCY524325 OMU524325 OWQ524325 PGM524325 PQI524325 QAE524325 QKA524325 QTW524325 RDS524325 RNO524325 RXK524325 SHG524325 SRC524325 TAY524325 TKU524325 TUQ524325 UEM524325 UOI524325 UYE524325 VIA524325 VRW524325 WBS524325 WLO524325 WVK524325 C589861 IY589861 SU589861 ACQ589861 AMM589861 AWI589861 BGE589861 BQA589861 BZW589861 CJS589861 CTO589861 DDK589861 DNG589861 DXC589861 EGY589861 EQU589861 FAQ589861 FKM589861 FUI589861 GEE589861 GOA589861 GXW589861 HHS589861 HRO589861 IBK589861 ILG589861 IVC589861 JEY589861 JOU589861 JYQ589861 KIM589861 KSI589861 LCE589861 LMA589861 LVW589861 MFS589861 MPO589861 MZK589861 NJG589861 NTC589861 OCY589861 OMU589861 OWQ589861 PGM589861 PQI589861 QAE589861 QKA589861 QTW589861 RDS589861 RNO589861 RXK589861 SHG589861 SRC589861 TAY589861 TKU589861 TUQ589861 UEM589861 UOI589861 UYE589861 VIA589861 VRW589861 WBS589861 WLO589861 WVK589861 C655397 IY655397 SU655397 ACQ655397 AMM655397 AWI655397 BGE655397 BQA655397 BZW655397 CJS655397 CTO655397 DDK655397 DNG655397 DXC655397 EGY655397 EQU655397 FAQ655397 FKM655397 FUI655397 GEE655397 GOA655397 GXW655397 HHS655397 HRO655397 IBK655397 ILG655397 IVC655397 JEY655397 JOU655397 JYQ655397 KIM655397 KSI655397 LCE655397 LMA655397 LVW655397 MFS655397 MPO655397 MZK655397 NJG655397 NTC655397 OCY655397 OMU655397 OWQ655397 PGM655397 PQI655397 QAE655397 QKA655397 QTW655397 RDS655397 RNO655397 RXK655397 SHG655397 SRC655397 TAY655397 TKU655397 TUQ655397 UEM655397 UOI655397 UYE655397 VIA655397 VRW655397 WBS655397 WLO655397 WVK655397 C720933 IY720933 SU720933 ACQ720933 AMM720933 AWI720933 BGE720933 BQA720933 BZW720933 CJS720933 CTO720933 DDK720933 DNG720933 DXC720933 EGY720933 EQU720933 FAQ720933 FKM720933 FUI720933 GEE720933 GOA720933 GXW720933 HHS720933 HRO720933 IBK720933 ILG720933 IVC720933 JEY720933 JOU720933 JYQ720933 KIM720933 KSI720933 LCE720933 LMA720933 LVW720933 MFS720933 MPO720933 MZK720933 NJG720933 NTC720933 OCY720933 OMU720933 OWQ720933 PGM720933 PQI720933 QAE720933 QKA720933 QTW720933 RDS720933 RNO720933 RXK720933 SHG720933 SRC720933 TAY720933 TKU720933 TUQ720933 UEM720933 UOI720933 UYE720933 VIA720933 VRW720933 WBS720933 WLO720933 WVK720933 C786469 IY786469 SU786469 ACQ786469 AMM786469 AWI786469 BGE786469 BQA786469 BZW786469 CJS786469 CTO786469 DDK786469 DNG786469 DXC786469 EGY786469 EQU786469 FAQ786469 FKM786469 FUI786469 GEE786469 GOA786469 GXW786469 HHS786469 HRO786469 IBK786469 ILG786469 IVC786469 JEY786469 JOU786469 JYQ786469 KIM786469 KSI786469 LCE786469 LMA786469 LVW786469 MFS786469 MPO786469 MZK786469 NJG786469 NTC786469 OCY786469 OMU786469 OWQ786469 PGM786469 PQI786469 QAE786469 QKA786469 QTW786469 RDS786469 RNO786469 RXK786469 SHG786469 SRC786469 TAY786469 TKU786469 TUQ786469 UEM786469 UOI786469 UYE786469 VIA786469 VRW786469 WBS786469 WLO786469 WVK786469 C852005 IY852005 SU852005 ACQ852005 AMM852005 AWI852005 BGE852005 BQA852005 BZW852005 CJS852005 CTO852005 DDK852005 DNG852005 DXC852005 EGY852005 EQU852005 FAQ852005 FKM852005 FUI852005 GEE852005 GOA852005 GXW852005 HHS852005 HRO852005 IBK852005 ILG852005 IVC852005 JEY852005 JOU852005 JYQ852005 KIM852005 KSI852005 LCE852005 LMA852005 LVW852005 MFS852005 MPO852005 MZK852005 NJG852005 NTC852005 OCY852005 OMU852005 OWQ852005 PGM852005 PQI852005 QAE852005 QKA852005 QTW852005 RDS852005 RNO852005 RXK852005 SHG852005 SRC852005 TAY852005 TKU852005 TUQ852005 UEM852005 UOI852005 UYE852005 VIA852005 VRW852005 WBS852005 WLO852005 WVK852005 C917541 IY917541 SU917541 ACQ917541 AMM917541 AWI917541 BGE917541 BQA917541 BZW917541 CJS917541 CTO917541 DDK917541 DNG917541 DXC917541 EGY917541 EQU917541 FAQ917541 FKM917541 FUI917541 GEE917541 GOA917541 GXW917541 HHS917541 HRO917541 IBK917541 ILG917541 IVC917541 JEY917541 JOU917541 JYQ917541 KIM917541 KSI917541 LCE917541 LMA917541 LVW917541 MFS917541 MPO917541 MZK917541 NJG917541 NTC917541 OCY917541 OMU917541 OWQ917541 PGM917541 PQI917541 QAE917541 QKA917541 QTW917541 RDS917541 RNO917541 RXK917541 SHG917541 SRC917541 TAY917541 TKU917541 TUQ917541 UEM917541 UOI917541 UYE917541 VIA917541 VRW917541 WBS917541 WLO917541 WVK917541 C983077 IY983077 SU983077 ACQ983077 AMM983077 AWI983077 BGE983077 BQA983077 BZW983077 CJS983077 CTO983077 DDK983077 DNG983077 DXC983077 EGY983077 EQU983077 FAQ983077 FKM983077 FUI983077 GEE983077 GOA983077 GXW983077 HHS983077 HRO983077 IBK983077 ILG983077 IVC983077 JEY983077 JOU983077 JYQ983077 KIM983077 KSI983077 LCE983077 LMA983077 LVW983077 MFS983077 MPO983077 MZK983077 NJG983077 NTC983077 OCY983077 OMU983077 OWQ983077 PGM983077 PQI983077 QAE983077 QKA983077 QTW983077 RDS983077 RNO983077 RXK983077 SHG983077 SRC983077 TAY983077 TKU983077 TUQ983077 UEM983077 UOI983077 UYE983077 VIA983077 VRW983077 WBS983077 WLO983077 WVK983077" xr:uid="{EF52F5D5-4925-471E-9285-9EC18746DA50}"/>
    <dataValidation allowBlank="1" showInputMessage="1" showErrorMessage="1" promptTitle="Vrd,max" prompt="This is the maximum Vrd,max (applicable when cot.theta = 1.0)._x000a_It gives an upper bound on Vrd." sqref="J52 JF45:JF46 TB45:TB46 ACX45:ACX46 AMT45:AMT46 AWP45:AWP46 BGL45:BGL46 BQH45:BQH46 CAD45:CAD46 CJZ45:CJZ46 CTV45:CTV46 DDR45:DDR46 DNN45:DNN46 DXJ45:DXJ46 EHF45:EHF46 ERB45:ERB46 FAX45:FAX46 FKT45:FKT46 FUP45:FUP46 GEL45:GEL46 GOH45:GOH46 GYD45:GYD46 HHZ45:HHZ46 HRV45:HRV46 IBR45:IBR46 ILN45:ILN46 IVJ45:IVJ46 JFF45:JFF46 JPB45:JPB46 JYX45:JYX46 KIT45:KIT46 KSP45:KSP46 LCL45:LCL46 LMH45:LMH46 LWD45:LWD46 MFZ45:MFZ46 MPV45:MPV46 MZR45:MZR46 NJN45:NJN46 NTJ45:NTJ46 ODF45:ODF46 ONB45:ONB46 OWX45:OWX46 PGT45:PGT46 PQP45:PQP46 QAL45:QAL46 QKH45:QKH46 QUD45:QUD46 RDZ45:RDZ46 RNV45:RNV46 RXR45:RXR46 SHN45:SHN46 SRJ45:SRJ46 TBF45:TBF46 TLB45:TLB46 TUX45:TUX46 UET45:UET46 UOP45:UOP46 UYL45:UYL46 VIH45:VIH46 VSD45:VSD46 WBZ45:WBZ46 WLV45:WLV46 WVR45:WVR46 J65586 JF65586 TB65586 ACX65586 AMT65586 AWP65586 BGL65586 BQH65586 CAD65586 CJZ65586 CTV65586 DDR65586 DNN65586 DXJ65586 EHF65586 ERB65586 FAX65586 FKT65586 FUP65586 GEL65586 GOH65586 GYD65586 HHZ65586 HRV65586 IBR65586 ILN65586 IVJ65586 JFF65586 JPB65586 JYX65586 KIT65586 KSP65586 LCL65586 LMH65586 LWD65586 MFZ65586 MPV65586 MZR65586 NJN65586 NTJ65586 ODF65586 ONB65586 OWX65586 PGT65586 PQP65586 QAL65586 QKH65586 QUD65586 RDZ65586 RNV65586 RXR65586 SHN65586 SRJ65586 TBF65586 TLB65586 TUX65586 UET65586 UOP65586 UYL65586 VIH65586 VSD65586 WBZ65586 WLV65586 WVR65586 J131122 JF131122 TB131122 ACX131122 AMT131122 AWP131122 BGL131122 BQH131122 CAD131122 CJZ131122 CTV131122 DDR131122 DNN131122 DXJ131122 EHF131122 ERB131122 FAX131122 FKT131122 FUP131122 GEL131122 GOH131122 GYD131122 HHZ131122 HRV131122 IBR131122 ILN131122 IVJ131122 JFF131122 JPB131122 JYX131122 KIT131122 KSP131122 LCL131122 LMH131122 LWD131122 MFZ131122 MPV131122 MZR131122 NJN131122 NTJ131122 ODF131122 ONB131122 OWX131122 PGT131122 PQP131122 QAL131122 QKH131122 QUD131122 RDZ131122 RNV131122 RXR131122 SHN131122 SRJ131122 TBF131122 TLB131122 TUX131122 UET131122 UOP131122 UYL131122 VIH131122 VSD131122 WBZ131122 WLV131122 WVR131122 J196658 JF196658 TB196658 ACX196658 AMT196658 AWP196658 BGL196658 BQH196658 CAD196658 CJZ196658 CTV196658 DDR196658 DNN196658 DXJ196658 EHF196658 ERB196658 FAX196658 FKT196658 FUP196658 GEL196658 GOH196658 GYD196658 HHZ196658 HRV196658 IBR196658 ILN196658 IVJ196658 JFF196658 JPB196658 JYX196658 KIT196658 KSP196658 LCL196658 LMH196658 LWD196658 MFZ196658 MPV196658 MZR196658 NJN196658 NTJ196658 ODF196658 ONB196658 OWX196658 PGT196658 PQP196658 QAL196658 QKH196658 QUD196658 RDZ196658 RNV196658 RXR196658 SHN196658 SRJ196658 TBF196658 TLB196658 TUX196658 UET196658 UOP196658 UYL196658 VIH196658 VSD196658 WBZ196658 WLV196658 WVR196658 J262194 JF262194 TB262194 ACX262194 AMT262194 AWP262194 BGL262194 BQH262194 CAD262194 CJZ262194 CTV262194 DDR262194 DNN262194 DXJ262194 EHF262194 ERB262194 FAX262194 FKT262194 FUP262194 GEL262194 GOH262194 GYD262194 HHZ262194 HRV262194 IBR262194 ILN262194 IVJ262194 JFF262194 JPB262194 JYX262194 KIT262194 KSP262194 LCL262194 LMH262194 LWD262194 MFZ262194 MPV262194 MZR262194 NJN262194 NTJ262194 ODF262194 ONB262194 OWX262194 PGT262194 PQP262194 QAL262194 QKH262194 QUD262194 RDZ262194 RNV262194 RXR262194 SHN262194 SRJ262194 TBF262194 TLB262194 TUX262194 UET262194 UOP262194 UYL262194 VIH262194 VSD262194 WBZ262194 WLV262194 WVR262194 J327730 JF327730 TB327730 ACX327730 AMT327730 AWP327730 BGL327730 BQH327730 CAD327730 CJZ327730 CTV327730 DDR327730 DNN327730 DXJ327730 EHF327730 ERB327730 FAX327730 FKT327730 FUP327730 GEL327730 GOH327730 GYD327730 HHZ327730 HRV327730 IBR327730 ILN327730 IVJ327730 JFF327730 JPB327730 JYX327730 KIT327730 KSP327730 LCL327730 LMH327730 LWD327730 MFZ327730 MPV327730 MZR327730 NJN327730 NTJ327730 ODF327730 ONB327730 OWX327730 PGT327730 PQP327730 QAL327730 QKH327730 QUD327730 RDZ327730 RNV327730 RXR327730 SHN327730 SRJ327730 TBF327730 TLB327730 TUX327730 UET327730 UOP327730 UYL327730 VIH327730 VSD327730 WBZ327730 WLV327730 WVR327730 J393266 JF393266 TB393266 ACX393266 AMT393266 AWP393266 BGL393266 BQH393266 CAD393266 CJZ393266 CTV393266 DDR393266 DNN393266 DXJ393266 EHF393266 ERB393266 FAX393266 FKT393266 FUP393266 GEL393266 GOH393266 GYD393266 HHZ393266 HRV393266 IBR393266 ILN393266 IVJ393266 JFF393266 JPB393266 JYX393266 KIT393266 KSP393266 LCL393266 LMH393266 LWD393266 MFZ393266 MPV393266 MZR393266 NJN393266 NTJ393266 ODF393266 ONB393266 OWX393266 PGT393266 PQP393266 QAL393266 QKH393266 QUD393266 RDZ393266 RNV393266 RXR393266 SHN393266 SRJ393266 TBF393266 TLB393266 TUX393266 UET393266 UOP393266 UYL393266 VIH393266 VSD393266 WBZ393266 WLV393266 WVR393266 J458802 JF458802 TB458802 ACX458802 AMT458802 AWP458802 BGL458802 BQH458802 CAD458802 CJZ458802 CTV458802 DDR458802 DNN458802 DXJ458802 EHF458802 ERB458802 FAX458802 FKT458802 FUP458802 GEL458802 GOH458802 GYD458802 HHZ458802 HRV458802 IBR458802 ILN458802 IVJ458802 JFF458802 JPB458802 JYX458802 KIT458802 KSP458802 LCL458802 LMH458802 LWD458802 MFZ458802 MPV458802 MZR458802 NJN458802 NTJ458802 ODF458802 ONB458802 OWX458802 PGT458802 PQP458802 QAL458802 QKH458802 QUD458802 RDZ458802 RNV458802 RXR458802 SHN458802 SRJ458802 TBF458802 TLB458802 TUX458802 UET458802 UOP458802 UYL458802 VIH458802 VSD458802 WBZ458802 WLV458802 WVR458802 J524338 JF524338 TB524338 ACX524338 AMT524338 AWP524338 BGL524338 BQH524338 CAD524338 CJZ524338 CTV524338 DDR524338 DNN524338 DXJ524338 EHF524338 ERB524338 FAX524338 FKT524338 FUP524338 GEL524338 GOH524338 GYD524338 HHZ524338 HRV524338 IBR524338 ILN524338 IVJ524338 JFF524338 JPB524338 JYX524338 KIT524338 KSP524338 LCL524338 LMH524338 LWD524338 MFZ524338 MPV524338 MZR524338 NJN524338 NTJ524338 ODF524338 ONB524338 OWX524338 PGT524338 PQP524338 QAL524338 QKH524338 QUD524338 RDZ524338 RNV524338 RXR524338 SHN524338 SRJ524338 TBF524338 TLB524338 TUX524338 UET524338 UOP524338 UYL524338 VIH524338 VSD524338 WBZ524338 WLV524338 WVR524338 J589874 JF589874 TB589874 ACX589874 AMT589874 AWP589874 BGL589874 BQH589874 CAD589874 CJZ589874 CTV589874 DDR589874 DNN589874 DXJ589874 EHF589874 ERB589874 FAX589874 FKT589874 FUP589874 GEL589874 GOH589874 GYD589874 HHZ589874 HRV589874 IBR589874 ILN589874 IVJ589874 JFF589874 JPB589874 JYX589874 KIT589874 KSP589874 LCL589874 LMH589874 LWD589874 MFZ589874 MPV589874 MZR589874 NJN589874 NTJ589874 ODF589874 ONB589874 OWX589874 PGT589874 PQP589874 QAL589874 QKH589874 QUD589874 RDZ589874 RNV589874 RXR589874 SHN589874 SRJ589874 TBF589874 TLB589874 TUX589874 UET589874 UOP589874 UYL589874 VIH589874 VSD589874 WBZ589874 WLV589874 WVR589874 J655410 JF655410 TB655410 ACX655410 AMT655410 AWP655410 BGL655410 BQH655410 CAD655410 CJZ655410 CTV655410 DDR655410 DNN655410 DXJ655410 EHF655410 ERB655410 FAX655410 FKT655410 FUP655410 GEL655410 GOH655410 GYD655410 HHZ655410 HRV655410 IBR655410 ILN655410 IVJ655410 JFF655410 JPB655410 JYX655410 KIT655410 KSP655410 LCL655410 LMH655410 LWD655410 MFZ655410 MPV655410 MZR655410 NJN655410 NTJ655410 ODF655410 ONB655410 OWX655410 PGT655410 PQP655410 QAL655410 QKH655410 QUD655410 RDZ655410 RNV655410 RXR655410 SHN655410 SRJ655410 TBF655410 TLB655410 TUX655410 UET655410 UOP655410 UYL655410 VIH655410 VSD655410 WBZ655410 WLV655410 WVR655410 J720946 JF720946 TB720946 ACX720946 AMT720946 AWP720946 BGL720946 BQH720946 CAD720946 CJZ720946 CTV720946 DDR720946 DNN720946 DXJ720946 EHF720946 ERB720946 FAX720946 FKT720946 FUP720946 GEL720946 GOH720946 GYD720946 HHZ720946 HRV720946 IBR720946 ILN720946 IVJ720946 JFF720946 JPB720946 JYX720946 KIT720946 KSP720946 LCL720946 LMH720946 LWD720946 MFZ720946 MPV720946 MZR720946 NJN720946 NTJ720946 ODF720946 ONB720946 OWX720946 PGT720946 PQP720946 QAL720946 QKH720946 QUD720946 RDZ720946 RNV720946 RXR720946 SHN720946 SRJ720946 TBF720946 TLB720946 TUX720946 UET720946 UOP720946 UYL720946 VIH720946 VSD720946 WBZ720946 WLV720946 WVR720946 J786482 JF786482 TB786482 ACX786482 AMT786482 AWP786482 BGL786482 BQH786482 CAD786482 CJZ786482 CTV786482 DDR786482 DNN786482 DXJ786482 EHF786482 ERB786482 FAX786482 FKT786482 FUP786482 GEL786482 GOH786482 GYD786482 HHZ786482 HRV786482 IBR786482 ILN786482 IVJ786482 JFF786482 JPB786482 JYX786482 KIT786482 KSP786482 LCL786482 LMH786482 LWD786482 MFZ786482 MPV786482 MZR786482 NJN786482 NTJ786482 ODF786482 ONB786482 OWX786482 PGT786482 PQP786482 QAL786482 QKH786482 QUD786482 RDZ786482 RNV786482 RXR786482 SHN786482 SRJ786482 TBF786482 TLB786482 TUX786482 UET786482 UOP786482 UYL786482 VIH786482 VSD786482 WBZ786482 WLV786482 WVR786482 J852018 JF852018 TB852018 ACX852018 AMT852018 AWP852018 BGL852018 BQH852018 CAD852018 CJZ852018 CTV852018 DDR852018 DNN852018 DXJ852018 EHF852018 ERB852018 FAX852018 FKT852018 FUP852018 GEL852018 GOH852018 GYD852018 HHZ852018 HRV852018 IBR852018 ILN852018 IVJ852018 JFF852018 JPB852018 JYX852018 KIT852018 KSP852018 LCL852018 LMH852018 LWD852018 MFZ852018 MPV852018 MZR852018 NJN852018 NTJ852018 ODF852018 ONB852018 OWX852018 PGT852018 PQP852018 QAL852018 QKH852018 QUD852018 RDZ852018 RNV852018 RXR852018 SHN852018 SRJ852018 TBF852018 TLB852018 TUX852018 UET852018 UOP852018 UYL852018 VIH852018 VSD852018 WBZ852018 WLV852018 WVR852018 J917554 JF917554 TB917554 ACX917554 AMT917554 AWP917554 BGL917554 BQH917554 CAD917554 CJZ917554 CTV917554 DDR917554 DNN917554 DXJ917554 EHF917554 ERB917554 FAX917554 FKT917554 FUP917554 GEL917554 GOH917554 GYD917554 HHZ917554 HRV917554 IBR917554 ILN917554 IVJ917554 JFF917554 JPB917554 JYX917554 KIT917554 KSP917554 LCL917554 LMH917554 LWD917554 MFZ917554 MPV917554 MZR917554 NJN917554 NTJ917554 ODF917554 ONB917554 OWX917554 PGT917554 PQP917554 QAL917554 QKH917554 QUD917554 RDZ917554 RNV917554 RXR917554 SHN917554 SRJ917554 TBF917554 TLB917554 TUX917554 UET917554 UOP917554 UYL917554 VIH917554 VSD917554 WBZ917554 WLV917554 WVR917554 J983090 JF983090 TB983090 ACX983090 AMT983090 AWP983090 BGL983090 BQH983090 CAD983090 CJZ983090 CTV983090 DDR983090 DNN983090 DXJ983090 EHF983090 ERB983090 FAX983090 FKT983090 FUP983090 GEL983090 GOH983090 GYD983090 HHZ983090 HRV983090 IBR983090 ILN983090 IVJ983090 JFF983090 JPB983090 JYX983090 KIT983090 KSP983090 LCL983090 LMH983090 LWD983090 MFZ983090 MPV983090 MZR983090 NJN983090 NTJ983090 ODF983090 ONB983090 OWX983090 PGT983090 PQP983090 QAL983090 QKH983090 QUD983090 RDZ983090 RNV983090 RXR983090 SHN983090 SRJ983090 TBF983090 TLB983090 TUX983090 UET983090 UOP983090 UYL983090 VIH983090 VSD983090 WBZ983090 WLV983090 WVR983090 J45" xr:uid="{04D89DE3-38F0-4C29-B89F-ACF48CE724F5}"/>
    <dataValidation allowBlank="1" showInputMessage="1" showErrorMessage="1" promptTitle="Vrd,s" prompt="This is the minimum Vrd,s (applicable when cot.theta = 1.0)._x000a_It gives a lower bound on Vrd." sqref="J44 JF44 TB44 ACX44 AMT44 AWP44 BGL44 BQH44 CAD44 CJZ44 CTV44 DDR44 DNN44 DXJ44 EHF44 ERB44 FAX44 FKT44 FUP44 GEL44 GOH44 GYD44 HHZ44 HRV44 IBR44 ILN44 IVJ44 JFF44 JPB44 JYX44 KIT44 KSP44 LCL44 LMH44 LWD44 MFZ44 MPV44 MZR44 NJN44 NTJ44 ODF44 ONB44 OWX44 PGT44 PQP44 QAL44 QKH44 QUD44 RDZ44 RNV44 RXR44 SHN44 SRJ44 TBF44 TLB44 TUX44 UET44 UOP44 UYL44 VIH44 VSD44 WBZ44 WLV44 WVR44 J65585 JF65585 TB65585 ACX65585 AMT65585 AWP65585 BGL65585 BQH65585 CAD65585 CJZ65585 CTV65585 DDR65585 DNN65585 DXJ65585 EHF65585 ERB65585 FAX65585 FKT65585 FUP65585 GEL65585 GOH65585 GYD65585 HHZ65585 HRV65585 IBR65585 ILN65585 IVJ65585 JFF65585 JPB65585 JYX65585 KIT65585 KSP65585 LCL65585 LMH65585 LWD65585 MFZ65585 MPV65585 MZR65585 NJN65585 NTJ65585 ODF65585 ONB65585 OWX65585 PGT65585 PQP65585 QAL65585 QKH65585 QUD65585 RDZ65585 RNV65585 RXR65585 SHN65585 SRJ65585 TBF65585 TLB65585 TUX65585 UET65585 UOP65585 UYL65585 VIH65585 VSD65585 WBZ65585 WLV65585 WVR65585 J131121 JF131121 TB131121 ACX131121 AMT131121 AWP131121 BGL131121 BQH131121 CAD131121 CJZ131121 CTV131121 DDR131121 DNN131121 DXJ131121 EHF131121 ERB131121 FAX131121 FKT131121 FUP131121 GEL131121 GOH131121 GYD131121 HHZ131121 HRV131121 IBR131121 ILN131121 IVJ131121 JFF131121 JPB131121 JYX131121 KIT131121 KSP131121 LCL131121 LMH131121 LWD131121 MFZ131121 MPV131121 MZR131121 NJN131121 NTJ131121 ODF131121 ONB131121 OWX131121 PGT131121 PQP131121 QAL131121 QKH131121 QUD131121 RDZ131121 RNV131121 RXR131121 SHN131121 SRJ131121 TBF131121 TLB131121 TUX131121 UET131121 UOP131121 UYL131121 VIH131121 VSD131121 WBZ131121 WLV131121 WVR131121 J196657 JF196657 TB196657 ACX196657 AMT196657 AWP196657 BGL196657 BQH196657 CAD196657 CJZ196657 CTV196657 DDR196657 DNN196657 DXJ196657 EHF196657 ERB196657 FAX196657 FKT196657 FUP196657 GEL196657 GOH196657 GYD196657 HHZ196657 HRV196657 IBR196657 ILN196657 IVJ196657 JFF196657 JPB196657 JYX196657 KIT196657 KSP196657 LCL196657 LMH196657 LWD196657 MFZ196657 MPV196657 MZR196657 NJN196657 NTJ196657 ODF196657 ONB196657 OWX196657 PGT196657 PQP196657 QAL196657 QKH196657 QUD196657 RDZ196657 RNV196657 RXR196657 SHN196657 SRJ196657 TBF196657 TLB196657 TUX196657 UET196657 UOP196657 UYL196657 VIH196657 VSD196657 WBZ196657 WLV196657 WVR196657 J262193 JF262193 TB262193 ACX262193 AMT262193 AWP262193 BGL262193 BQH262193 CAD262193 CJZ262193 CTV262193 DDR262193 DNN262193 DXJ262193 EHF262193 ERB262193 FAX262193 FKT262193 FUP262193 GEL262193 GOH262193 GYD262193 HHZ262193 HRV262193 IBR262193 ILN262193 IVJ262193 JFF262193 JPB262193 JYX262193 KIT262193 KSP262193 LCL262193 LMH262193 LWD262193 MFZ262193 MPV262193 MZR262193 NJN262193 NTJ262193 ODF262193 ONB262193 OWX262193 PGT262193 PQP262193 QAL262193 QKH262193 QUD262193 RDZ262193 RNV262193 RXR262193 SHN262193 SRJ262193 TBF262193 TLB262193 TUX262193 UET262193 UOP262193 UYL262193 VIH262193 VSD262193 WBZ262193 WLV262193 WVR262193 J327729 JF327729 TB327729 ACX327729 AMT327729 AWP327729 BGL327729 BQH327729 CAD327729 CJZ327729 CTV327729 DDR327729 DNN327729 DXJ327729 EHF327729 ERB327729 FAX327729 FKT327729 FUP327729 GEL327729 GOH327729 GYD327729 HHZ327729 HRV327729 IBR327729 ILN327729 IVJ327729 JFF327729 JPB327729 JYX327729 KIT327729 KSP327729 LCL327729 LMH327729 LWD327729 MFZ327729 MPV327729 MZR327729 NJN327729 NTJ327729 ODF327729 ONB327729 OWX327729 PGT327729 PQP327729 QAL327729 QKH327729 QUD327729 RDZ327729 RNV327729 RXR327729 SHN327729 SRJ327729 TBF327729 TLB327729 TUX327729 UET327729 UOP327729 UYL327729 VIH327729 VSD327729 WBZ327729 WLV327729 WVR327729 J393265 JF393265 TB393265 ACX393265 AMT393265 AWP393265 BGL393265 BQH393265 CAD393265 CJZ393265 CTV393265 DDR393265 DNN393265 DXJ393265 EHF393265 ERB393265 FAX393265 FKT393265 FUP393265 GEL393265 GOH393265 GYD393265 HHZ393265 HRV393265 IBR393265 ILN393265 IVJ393265 JFF393265 JPB393265 JYX393265 KIT393265 KSP393265 LCL393265 LMH393265 LWD393265 MFZ393265 MPV393265 MZR393265 NJN393265 NTJ393265 ODF393265 ONB393265 OWX393265 PGT393265 PQP393265 QAL393265 QKH393265 QUD393265 RDZ393265 RNV393265 RXR393265 SHN393265 SRJ393265 TBF393265 TLB393265 TUX393265 UET393265 UOP393265 UYL393265 VIH393265 VSD393265 WBZ393265 WLV393265 WVR393265 J458801 JF458801 TB458801 ACX458801 AMT458801 AWP458801 BGL458801 BQH458801 CAD458801 CJZ458801 CTV458801 DDR458801 DNN458801 DXJ458801 EHF458801 ERB458801 FAX458801 FKT458801 FUP458801 GEL458801 GOH458801 GYD458801 HHZ458801 HRV458801 IBR458801 ILN458801 IVJ458801 JFF458801 JPB458801 JYX458801 KIT458801 KSP458801 LCL458801 LMH458801 LWD458801 MFZ458801 MPV458801 MZR458801 NJN458801 NTJ458801 ODF458801 ONB458801 OWX458801 PGT458801 PQP458801 QAL458801 QKH458801 QUD458801 RDZ458801 RNV458801 RXR458801 SHN458801 SRJ458801 TBF458801 TLB458801 TUX458801 UET458801 UOP458801 UYL458801 VIH458801 VSD458801 WBZ458801 WLV458801 WVR458801 J524337 JF524337 TB524337 ACX524337 AMT524337 AWP524337 BGL524337 BQH524337 CAD524337 CJZ524337 CTV524337 DDR524337 DNN524337 DXJ524337 EHF524337 ERB524337 FAX524337 FKT524337 FUP524337 GEL524337 GOH524337 GYD524337 HHZ524337 HRV524337 IBR524337 ILN524337 IVJ524337 JFF524337 JPB524337 JYX524337 KIT524337 KSP524337 LCL524337 LMH524337 LWD524337 MFZ524337 MPV524337 MZR524337 NJN524337 NTJ524337 ODF524337 ONB524337 OWX524337 PGT524337 PQP524337 QAL524337 QKH524337 QUD524337 RDZ524337 RNV524337 RXR524337 SHN524337 SRJ524337 TBF524337 TLB524337 TUX524337 UET524337 UOP524337 UYL524337 VIH524337 VSD524337 WBZ524337 WLV524337 WVR524337 J589873 JF589873 TB589873 ACX589873 AMT589873 AWP589873 BGL589873 BQH589873 CAD589873 CJZ589873 CTV589873 DDR589873 DNN589873 DXJ589873 EHF589873 ERB589873 FAX589873 FKT589873 FUP589873 GEL589873 GOH589873 GYD589873 HHZ589873 HRV589873 IBR589873 ILN589873 IVJ589873 JFF589873 JPB589873 JYX589873 KIT589873 KSP589873 LCL589873 LMH589873 LWD589873 MFZ589873 MPV589873 MZR589873 NJN589873 NTJ589873 ODF589873 ONB589873 OWX589873 PGT589873 PQP589873 QAL589873 QKH589873 QUD589873 RDZ589873 RNV589873 RXR589873 SHN589873 SRJ589873 TBF589873 TLB589873 TUX589873 UET589873 UOP589873 UYL589873 VIH589873 VSD589873 WBZ589873 WLV589873 WVR589873 J655409 JF655409 TB655409 ACX655409 AMT655409 AWP655409 BGL655409 BQH655409 CAD655409 CJZ655409 CTV655409 DDR655409 DNN655409 DXJ655409 EHF655409 ERB655409 FAX655409 FKT655409 FUP655409 GEL655409 GOH655409 GYD655409 HHZ655409 HRV655409 IBR655409 ILN655409 IVJ655409 JFF655409 JPB655409 JYX655409 KIT655409 KSP655409 LCL655409 LMH655409 LWD655409 MFZ655409 MPV655409 MZR655409 NJN655409 NTJ655409 ODF655409 ONB655409 OWX655409 PGT655409 PQP655409 QAL655409 QKH655409 QUD655409 RDZ655409 RNV655409 RXR655409 SHN655409 SRJ655409 TBF655409 TLB655409 TUX655409 UET655409 UOP655409 UYL655409 VIH655409 VSD655409 WBZ655409 WLV655409 WVR655409 J720945 JF720945 TB720945 ACX720945 AMT720945 AWP720945 BGL720945 BQH720945 CAD720945 CJZ720945 CTV720945 DDR720945 DNN720945 DXJ720945 EHF720945 ERB720945 FAX720945 FKT720945 FUP720945 GEL720945 GOH720945 GYD720945 HHZ720945 HRV720945 IBR720945 ILN720945 IVJ720945 JFF720945 JPB720945 JYX720945 KIT720945 KSP720945 LCL720945 LMH720945 LWD720945 MFZ720945 MPV720945 MZR720945 NJN720945 NTJ720945 ODF720945 ONB720945 OWX720945 PGT720945 PQP720945 QAL720945 QKH720945 QUD720945 RDZ720945 RNV720945 RXR720945 SHN720945 SRJ720945 TBF720945 TLB720945 TUX720945 UET720945 UOP720945 UYL720945 VIH720945 VSD720945 WBZ720945 WLV720945 WVR720945 J786481 JF786481 TB786481 ACX786481 AMT786481 AWP786481 BGL786481 BQH786481 CAD786481 CJZ786481 CTV786481 DDR786481 DNN786481 DXJ786481 EHF786481 ERB786481 FAX786481 FKT786481 FUP786481 GEL786481 GOH786481 GYD786481 HHZ786481 HRV786481 IBR786481 ILN786481 IVJ786481 JFF786481 JPB786481 JYX786481 KIT786481 KSP786481 LCL786481 LMH786481 LWD786481 MFZ786481 MPV786481 MZR786481 NJN786481 NTJ786481 ODF786481 ONB786481 OWX786481 PGT786481 PQP786481 QAL786481 QKH786481 QUD786481 RDZ786481 RNV786481 RXR786481 SHN786481 SRJ786481 TBF786481 TLB786481 TUX786481 UET786481 UOP786481 UYL786481 VIH786481 VSD786481 WBZ786481 WLV786481 WVR786481 J852017 JF852017 TB852017 ACX852017 AMT852017 AWP852017 BGL852017 BQH852017 CAD852017 CJZ852017 CTV852017 DDR852017 DNN852017 DXJ852017 EHF852017 ERB852017 FAX852017 FKT852017 FUP852017 GEL852017 GOH852017 GYD852017 HHZ852017 HRV852017 IBR852017 ILN852017 IVJ852017 JFF852017 JPB852017 JYX852017 KIT852017 KSP852017 LCL852017 LMH852017 LWD852017 MFZ852017 MPV852017 MZR852017 NJN852017 NTJ852017 ODF852017 ONB852017 OWX852017 PGT852017 PQP852017 QAL852017 QKH852017 QUD852017 RDZ852017 RNV852017 RXR852017 SHN852017 SRJ852017 TBF852017 TLB852017 TUX852017 UET852017 UOP852017 UYL852017 VIH852017 VSD852017 WBZ852017 WLV852017 WVR852017 J917553 JF917553 TB917553 ACX917553 AMT917553 AWP917553 BGL917553 BQH917553 CAD917553 CJZ917553 CTV917553 DDR917553 DNN917553 DXJ917553 EHF917553 ERB917553 FAX917553 FKT917553 FUP917553 GEL917553 GOH917553 GYD917553 HHZ917553 HRV917553 IBR917553 ILN917553 IVJ917553 JFF917553 JPB917553 JYX917553 KIT917553 KSP917553 LCL917553 LMH917553 LWD917553 MFZ917553 MPV917553 MZR917553 NJN917553 NTJ917553 ODF917553 ONB917553 OWX917553 PGT917553 PQP917553 QAL917553 QKH917553 QUD917553 RDZ917553 RNV917553 RXR917553 SHN917553 SRJ917553 TBF917553 TLB917553 TUX917553 UET917553 UOP917553 UYL917553 VIH917553 VSD917553 WBZ917553 WLV917553 WVR917553 J983089 JF983089 TB983089 ACX983089 AMT983089 AWP983089 BGL983089 BQH983089 CAD983089 CJZ983089 CTV983089 DDR983089 DNN983089 DXJ983089 EHF983089 ERB983089 FAX983089 FKT983089 FUP983089 GEL983089 GOH983089 GYD983089 HHZ983089 HRV983089 IBR983089 ILN983089 IVJ983089 JFF983089 JPB983089 JYX983089 KIT983089 KSP983089 LCL983089 LMH983089 LWD983089 MFZ983089 MPV983089 MZR983089 NJN983089 NTJ983089 ODF983089 ONB983089 OWX983089 PGT983089 PQP983089 QAL983089 QKH983089 QUD983089 RDZ983089 RNV983089 RXR983089 SHN983089 SRJ983089 TBF983089 TLB983089 TUX983089 UET983089 UOP983089 UYL983089 VIH983089 VSD983089 WBZ983089 WLV983089 WVR983089 J51" xr:uid="{559C506B-7B65-42FC-952E-02F37D33916F}"/>
    <dataValidation allowBlank="1" showInputMessage="1" showErrorMessage="1" promptTitle="Alpha.cw" prompt="Calculated based on the state of axial stress caused by Ned, the applied design action, as entered in cell C54 below." sqref="C59 IY33 SU33 ACQ33 AMM33 AWI33 BGE33 BQA33 BZW33 CJS33 CTO33 DDK33 DNG33 DXC33 EGY33 EQU33 FAQ33 FKM33 FUI33 GEE33 GOA33 GXW33 HHS33 HRO33 IBK33 ILG33 IVC33 JEY33 JOU33 JYQ33 KIM33 KSI33 LCE33 LMA33 LVW33 MFS33 MPO33 MZK33 NJG33 NTC33 OCY33 OMU33 OWQ33 PGM33 PQI33 QAE33 QKA33 QTW33 RDS33 RNO33 RXK33 SHG33 SRC33 TAY33 TKU33 TUQ33 UEM33 UOI33 UYE33 VIA33 VRW33 WBS33 WLO33 WVK33 C65574 IY65574 SU65574 ACQ65574 AMM65574 AWI65574 BGE65574 BQA65574 BZW65574 CJS65574 CTO65574 DDK65574 DNG65574 DXC65574 EGY65574 EQU65574 FAQ65574 FKM65574 FUI65574 GEE65574 GOA65574 GXW65574 HHS65574 HRO65574 IBK65574 ILG65574 IVC65574 JEY65574 JOU65574 JYQ65574 KIM65574 KSI65574 LCE65574 LMA65574 LVW65574 MFS65574 MPO65574 MZK65574 NJG65574 NTC65574 OCY65574 OMU65574 OWQ65574 PGM65574 PQI65574 QAE65574 QKA65574 QTW65574 RDS65574 RNO65574 RXK65574 SHG65574 SRC65574 TAY65574 TKU65574 TUQ65574 UEM65574 UOI65574 UYE65574 VIA65574 VRW65574 WBS65574 WLO65574 WVK65574 C131110 IY131110 SU131110 ACQ131110 AMM131110 AWI131110 BGE131110 BQA131110 BZW131110 CJS131110 CTO131110 DDK131110 DNG131110 DXC131110 EGY131110 EQU131110 FAQ131110 FKM131110 FUI131110 GEE131110 GOA131110 GXW131110 HHS131110 HRO131110 IBK131110 ILG131110 IVC131110 JEY131110 JOU131110 JYQ131110 KIM131110 KSI131110 LCE131110 LMA131110 LVW131110 MFS131110 MPO131110 MZK131110 NJG131110 NTC131110 OCY131110 OMU131110 OWQ131110 PGM131110 PQI131110 QAE131110 QKA131110 QTW131110 RDS131110 RNO131110 RXK131110 SHG131110 SRC131110 TAY131110 TKU131110 TUQ131110 UEM131110 UOI131110 UYE131110 VIA131110 VRW131110 WBS131110 WLO131110 WVK131110 C196646 IY196646 SU196646 ACQ196646 AMM196646 AWI196646 BGE196646 BQA196646 BZW196646 CJS196646 CTO196646 DDK196646 DNG196646 DXC196646 EGY196646 EQU196646 FAQ196646 FKM196646 FUI196646 GEE196646 GOA196646 GXW196646 HHS196646 HRO196646 IBK196646 ILG196646 IVC196646 JEY196646 JOU196646 JYQ196646 KIM196646 KSI196646 LCE196646 LMA196646 LVW196646 MFS196646 MPO196646 MZK196646 NJG196646 NTC196646 OCY196646 OMU196646 OWQ196646 PGM196646 PQI196646 QAE196646 QKA196646 QTW196646 RDS196646 RNO196646 RXK196646 SHG196646 SRC196646 TAY196646 TKU196646 TUQ196646 UEM196646 UOI196646 UYE196646 VIA196646 VRW196646 WBS196646 WLO196646 WVK196646 C262182 IY262182 SU262182 ACQ262182 AMM262182 AWI262182 BGE262182 BQA262182 BZW262182 CJS262182 CTO262182 DDK262182 DNG262182 DXC262182 EGY262182 EQU262182 FAQ262182 FKM262182 FUI262182 GEE262182 GOA262182 GXW262182 HHS262182 HRO262182 IBK262182 ILG262182 IVC262182 JEY262182 JOU262182 JYQ262182 KIM262182 KSI262182 LCE262182 LMA262182 LVW262182 MFS262182 MPO262182 MZK262182 NJG262182 NTC262182 OCY262182 OMU262182 OWQ262182 PGM262182 PQI262182 QAE262182 QKA262182 QTW262182 RDS262182 RNO262182 RXK262182 SHG262182 SRC262182 TAY262182 TKU262182 TUQ262182 UEM262182 UOI262182 UYE262182 VIA262182 VRW262182 WBS262182 WLO262182 WVK262182 C327718 IY327718 SU327718 ACQ327718 AMM327718 AWI327718 BGE327718 BQA327718 BZW327718 CJS327718 CTO327718 DDK327718 DNG327718 DXC327718 EGY327718 EQU327718 FAQ327718 FKM327718 FUI327718 GEE327718 GOA327718 GXW327718 HHS327718 HRO327718 IBK327718 ILG327718 IVC327718 JEY327718 JOU327718 JYQ327718 KIM327718 KSI327718 LCE327718 LMA327718 LVW327718 MFS327718 MPO327718 MZK327718 NJG327718 NTC327718 OCY327718 OMU327718 OWQ327718 PGM327718 PQI327718 QAE327718 QKA327718 QTW327718 RDS327718 RNO327718 RXK327718 SHG327718 SRC327718 TAY327718 TKU327718 TUQ327718 UEM327718 UOI327718 UYE327718 VIA327718 VRW327718 WBS327718 WLO327718 WVK327718 C393254 IY393254 SU393254 ACQ393254 AMM393254 AWI393254 BGE393254 BQA393254 BZW393254 CJS393254 CTO393254 DDK393254 DNG393254 DXC393254 EGY393254 EQU393254 FAQ393254 FKM393254 FUI393254 GEE393254 GOA393254 GXW393254 HHS393254 HRO393254 IBK393254 ILG393254 IVC393254 JEY393254 JOU393254 JYQ393254 KIM393254 KSI393254 LCE393254 LMA393254 LVW393254 MFS393254 MPO393254 MZK393254 NJG393254 NTC393254 OCY393254 OMU393254 OWQ393254 PGM393254 PQI393254 QAE393254 QKA393254 QTW393254 RDS393254 RNO393254 RXK393254 SHG393254 SRC393254 TAY393254 TKU393254 TUQ393254 UEM393254 UOI393254 UYE393254 VIA393254 VRW393254 WBS393254 WLO393254 WVK393254 C458790 IY458790 SU458790 ACQ458790 AMM458790 AWI458790 BGE458790 BQA458790 BZW458790 CJS458790 CTO458790 DDK458790 DNG458790 DXC458790 EGY458790 EQU458790 FAQ458790 FKM458790 FUI458790 GEE458790 GOA458790 GXW458790 HHS458790 HRO458790 IBK458790 ILG458790 IVC458790 JEY458790 JOU458790 JYQ458790 KIM458790 KSI458790 LCE458790 LMA458790 LVW458790 MFS458790 MPO458790 MZK458790 NJG458790 NTC458790 OCY458790 OMU458790 OWQ458790 PGM458790 PQI458790 QAE458790 QKA458790 QTW458790 RDS458790 RNO458790 RXK458790 SHG458790 SRC458790 TAY458790 TKU458790 TUQ458790 UEM458790 UOI458790 UYE458790 VIA458790 VRW458790 WBS458790 WLO458790 WVK458790 C524326 IY524326 SU524326 ACQ524326 AMM524326 AWI524326 BGE524326 BQA524326 BZW524326 CJS524326 CTO524326 DDK524326 DNG524326 DXC524326 EGY524326 EQU524326 FAQ524326 FKM524326 FUI524326 GEE524326 GOA524326 GXW524326 HHS524326 HRO524326 IBK524326 ILG524326 IVC524326 JEY524326 JOU524326 JYQ524326 KIM524326 KSI524326 LCE524326 LMA524326 LVW524326 MFS524326 MPO524326 MZK524326 NJG524326 NTC524326 OCY524326 OMU524326 OWQ524326 PGM524326 PQI524326 QAE524326 QKA524326 QTW524326 RDS524326 RNO524326 RXK524326 SHG524326 SRC524326 TAY524326 TKU524326 TUQ524326 UEM524326 UOI524326 UYE524326 VIA524326 VRW524326 WBS524326 WLO524326 WVK524326 C589862 IY589862 SU589862 ACQ589862 AMM589862 AWI589862 BGE589862 BQA589862 BZW589862 CJS589862 CTO589862 DDK589862 DNG589862 DXC589862 EGY589862 EQU589862 FAQ589862 FKM589862 FUI589862 GEE589862 GOA589862 GXW589862 HHS589862 HRO589862 IBK589862 ILG589862 IVC589862 JEY589862 JOU589862 JYQ589862 KIM589862 KSI589862 LCE589862 LMA589862 LVW589862 MFS589862 MPO589862 MZK589862 NJG589862 NTC589862 OCY589862 OMU589862 OWQ589862 PGM589862 PQI589862 QAE589862 QKA589862 QTW589862 RDS589862 RNO589862 RXK589862 SHG589862 SRC589862 TAY589862 TKU589862 TUQ589862 UEM589862 UOI589862 UYE589862 VIA589862 VRW589862 WBS589862 WLO589862 WVK589862 C655398 IY655398 SU655398 ACQ655398 AMM655398 AWI655398 BGE655398 BQA655398 BZW655398 CJS655398 CTO655398 DDK655398 DNG655398 DXC655398 EGY655398 EQU655398 FAQ655398 FKM655398 FUI655398 GEE655398 GOA655398 GXW655398 HHS655398 HRO655398 IBK655398 ILG655398 IVC655398 JEY655398 JOU655398 JYQ655398 KIM655398 KSI655398 LCE655398 LMA655398 LVW655398 MFS655398 MPO655398 MZK655398 NJG655398 NTC655398 OCY655398 OMU655398 OWQ655398 PGM655398 PQI655398 QAE655398 QKA655398 QTW655398 RDS655398 RNO655398 RXK655398 SHG655398 SRC655398 TAY655398 TKU655398 TUQ655398 UEM655398 UOI655398 UYE655398 VIA655398 VRW655398 WBS655398 WLO655398 WVK655398 C720934 IY720934 SU720934 ACQ720934 AMM720934 AWI720934 BGE720934 BQA720934 BZW720934 CJS720934 CTO720934 DDK720934 DNG720934 DXC720934 EGY720934 EQU720934 FAQ720934 FKM720934 FUI720934 GEE720934 GOA720934 GXW720934 HHS720934 HRO720934 IBK720934 ILG720934 IVC720934 JEY720934 JOU720934 JYQ720934 KIM720934 KSI720934 LCE720934 LMA720934 LVW720934 MFS720934 MPO720934 MZK720934 NJG720934 NTC720934 OCY720934 OMU720934 OWQ720934 PGM720934 PQI720934 QAE720934 QKA720934 QTW720934 RDS720934 RNO720934 RXK720934 SHG720934 SRC720934 TAY720934 TKU720934 TUQ720934 UEM720934 UOI720934 UYE720934 VIA720934 VRW720934 WBS720934 WLO720934 WVK720934 C786470 IY786470 SU786470 ACQ786470 AMM786470 AWI786470 BGE786470 BQA786470 BZW786470 CJS786470 CTO786470 DDK786470 DNG786470 DXC786470 EGY786470 EQU786470 FAQ786470 FKM786470 FUI786470 GEE786470 GOA786470 GXW786470 HHS786470 HRO786470 IBK786470 ILG786470 IVC786470 JEY786470 JOU786470 JYQ786470 KIM786470 KSI786470 LCE786470 LMA786470 LVW786470 MFS786470 MPO786470 MZK786470 NJG786470 NTC786470 OCY786470 OMU786470 OWQ786470 PGM786470 PQI786470 QAE786470 QKA786470 QTW786470 RDS786470 RNO786470 RXK786470 SHG786470 SRC786470 TAY786470 TKU786470 TUQ786470 UEM786470 UOI786470 UYE786470 VIA786470 VRW786470 WBS786470 WLO786470 WVK786470 C852006 IY852006 SU852006 ACQ852006 AMM852006 AWI852006 BGE852006 BQA852006 BZW852006 CJS852006 CTO852006 DDK852006 DNG852006 DXC852006 EGY852006 EQU852006 FAQ852006 FKM852006 FUI852006 GEE852006 GOA852006 GXW852006 HHS852006 HRO852006 IBK852006 ILG852006 IVC852006 JEY852006 JOU852006 JYQ852006 KIM852006 KSI852006 LCE852006 LMA852006 LVW852006 MFS852006 MPO852006 MZK852006 NJG852006 NTC852006 OCY852006 OMU852006 OWQ852006 PGM852006 PQI852006 QAE852006 QKA852006 QTW852006 RDS852006 RNO852006 RXK852006 SHG852006 SRC852006 TAY852006 TKU852006 TUQ852006 UEM852006 UOI852006 UYE852006 VIA852006 VRW852006 WBS852006 WLO852006 WVK852006 C917542 IY917542 SU917542 ACQ917542 AMM917542 AWI917542 BGE917542 BQA917542 BZW917542 CJS917542 CTO917542 DDK917542 DNG917542 DXC917542 EGY917542 EQU917542 FAQ917542 FKM917542 FUI917542 GEE917542 GOA917542 GXW917542 HHS917542 HRO917542 IBK917542 ILG917542 IVC917542 JEY917542 JOU917542 JYQ917542 KIM917542 KSI917542 LCE917542 LMA917542 LVW917542 MFS917542 MPO917542 MZK917542 NJG917542 NTC917542 OCY917542 OMU917542 OWQ917542 PGM917542 PQI917542 QAE917542 QKA917542 QTW917542 RDS917542 RNO917542 RXK917542 SHG917542 SRC917542 TAY917542 TKU917542 TUQ917542 UEM917542 UOI917542 UYE917542 VIA917542 VRW917542 WBS917542 WLO917542 WVK917542 C983078 IY983078 SU983078 ACQ983078 AMM983078 AWI983078 BGE983078 BQA983078 BZW983078 CJS983078 CTO983078 DDK983078 DNG983078 DXC983078 EGY983078 EQU983078 FAQ983078 FKM983078 FUI983078 GEE983078 GOA983078 GXW983078 HHS983078 HRO983078 IBK983078 ILG983078 IVC983078 JEY983078 JOU983078 JYQ983078 KIM983078 KSI983078 LCE983078 LMA983078 LVW983078 MFS983078 MPO983078 MZK983078 NJG983078 NTC983078 OCY983078 OMU983078 OWQ983078 PGM983078 PQI983078 QAE983078 QKA983078 QTW983078 RDS983078 RNO983078 RXK983078 SHG983078 SRC983078 TAY983078 TKU983078 TUQ983078 UEM983078 UOI983078 UYE983078 VIA983078 VRW983078 WBS983078 WLO983078 WVK983078 C63" xr:uid="{2F41AD2F-BD4D-4391-B1E8-0BDB44929C86}"/>
    <dataValidation allowBlank="1" showInputMessage="1" showErrorMessage="1" promptTitle="Alpha.cc" prompt="fcd for normal stresses with alpha.cc = 0.85 in accordance with the UK NA to 3.1.6(1)" sqref="C29 IY29 SU29 ACQ29 AMM29 AWI29 BGE29 BQA29 BZW29 CJS29 CTO29 DDK29 DNG29 DXC29 EGY29 EQU29 FAQ29 FKM29 FUI29 GEE29 GOA29 GXW29 HHS29 HRO29 IBK29 ILG29 IVC29 JEY29 JOU29 JYQ29 KIM29 KSI29 LCE29 LMA29 LVW29 MFS29 MPO29 MZK29 NJG29 NTC29 OCY29 OMU29 OWQ29 PGM29 PQI29 QAE29 QKA29 QTW29 RDS29 RNO29 RXK29 SHG29 SRC29 TAY29 TKU29 TUQ29 UEM29 UOI29 UYE29 VIA29 VRW29 WBS29 WLO29 WVK29 C65570 IY65570 SU65570 ACQ65570 AMM65570 AWI65570 BGE65570 BQA65570 BZW65570 CJS65570 CTO65570 DDK65570 DNG65570 DXC65570 EGY65570 EQU65570 FAQ65570 FKM65570 FUI65570 GEE65570 GOA65570 GXW65570 HHS65570 HRO65570 IBK65570 ILG65570 IVC65570 JEY65570 JOU65570 JYQ65570 KIM65570 KSI65570 LCE65570 LMA65570 LVW65570 MFS65570 MPO65570 MZK65570 NJG65570 NTC65570 OCY65570 OMU65570 OWQ65570 PGM65570 PQI65570 QAE65570 QKA65570 QTW65570 RDS65570 RNO65570 RXK65570 SHG65570 SRC65570 TAY65570 TKU65570 TUQ65570 UEM65570 UOI65570 UYE65570 VIA65570 VRW65570 WBS65570 WLO65570 WVK65570 C131106 IY131106 SU131106 ACQ131106 AMM131106 AWI131106 BGE131106 BQA131106 BZW131106 CJS131106 CTO131106 DDK131106 DNG131106 DXC131106 EGY131106 EQU131106 FAQ131106 FKM131106 FUI131106 GEE131106 GOA131106 GXW131106 HHS131106 HRO131106 IBK131106 ILG131106 IVC131106 JEY131106 JOU131106 JYQ131106 KIM131106 KSI131106 LCE131106 LMA131106 LVW131106 MFS131106 MPO131106 MZK131106 NJG131106 NTC131106 OCY131106 OMU131106 OWQ131106 PGM131106 PQI131106 QAE131106 QKA131106 QTW131106 RDS131106 RNO131106 RXK131106 SHG131106 SRC131106 TAY131106 TKU131106 TUQ131106 UEM131106 UOI131106 UYE131106 VIA131106 VRW131106 WBS131106 WLO131106 WVK131106 C196642 IY196642 SU196642 ACQ196642 AMM196642 AWI196642 BGE196642 BQA196642 BZW196642 CJS196642 CTO196642 DDK196642 DNG196642 DXC196642 EGY196642 EQU196642 FAQ196642 FKM196642 FUI196642 GEE196642 GOA196642 GXW196642 HHS196642 HRO196642 IBK196642 ILG196642 IVC196642 JEY196642 JOU196642 JYQ196642 KIM196642 KSI196642 LCE196642 LMA196642 LVW196642 MFS196642 MPO196642 MZK196642 NJG196642 NTC196642 OCY196642 OMU196642 OWQ196642 PGM196642 PQI196642 QAE196642 QKA196642 QTW196642 RDS196642 RNO196642 RXK196642 SHG196642 SRC196642 TAY196642 TKU196642 TUQ196642 UEM196642 UOI196642 UYE196642 VIA196642 VRW196642 WBS196642 WLO196642 WVK196642 C262178 IY262178 SU262178 ACQ262178 AMM262178 AWI262178 BGE262178 BQA262178 BZW262178 CJS262178 CTO262178 DDK262178 DNG262178 DXC262178 EGY262178 EQU262178 FAQ262178 FKM262178 FUI262178 GEE262178 GOA262178 GXW262178 HHS262178 HRO262178 IBK262178 ILG262178 IVC262178 JEY262178 JOU262178 JYQ262178 KIM262178 KSI262178 LCE262178 LMA262178 LVW262178 MFS262178 MPO262178 MZK262178 NJG262178 NTC262178 OCY262178 OMU262178 OWQ262178 PGM262178 PQI262178 QAE262178 QKA262178 QTW262178 RDS262178 RNO262178 RXK262178 SHG262178 SRC262178 TAY262178 TKU262178 TUQ262178 UEM262178 UOI262178 UYE262178 VIA262178 VRW262178 WBS262178 WLO262178 WVK262178 C327714 IY327714 SU327714 ACQ327714 AMM327714 AWI327714 BGE327714 BQA327714 BZW327714 CJS327714 CTO327714 DDK327714 DNG327714 DXC327714 EGY327714 EQU327714 FAQ327714 FKM327714 FUI327714 GEE327714 GOA327714 GXW327714 HHS327714 HRO327714 IBK327714 ILG327714 IVC327714 JEY327714 JOU327714 JYQ327714 KIM327714 KSI327714 LCE327714 LMA327714 LVW327714 MFS327714 MPO327714 MZK327714 NJG327714 NTC327714 OCY327714 OMU327714 OWQ327714 PGM327714 PQI327714 QAE327714 QKA327714 QTW327714 RDS327714 RNO327714 RXK327714 SHG327714 SRC327714 TAY327714 TKU327714 TUQ327714 UEM327714 UOI327714 UYE327714 VIA327714 VRW327714 WBS327714 WLO327714 WVK327714 C393250 IY393250 SU393250 ACQ393250 AMM393250 AWI393250 BGE393250 BQA393250 BZW393250 CJS393250 CTO393250 DDK393250 DNG393250 DXC393250 EGY393250 EQU393250 FAQ393250 FKM393250 FUI393250 GEE393250 GOA393250 GXW393250 HHS393250 HRO393250 IBK393250 ILG393250 IVC393250 JEY393250 JOU393250 JYQ393250 KIM393250 KSI393250 LCE393250 LMA393250 LVW393250 MFS393250 MPO393250 MZK393250 NJG393250 NTC393250 OCY393250 OMU393250 OWQ393250 PGM393250 PQI393250 QAE393250 QKA393250 QTW393250 RDS393250 RNO393250 RXK393250 SHG393250 SRC393250 TAY393250 TKU393250 TUQ393250 UEM393250 UOI393250 UYE393250 VIA393250 VRW393250 WBS393250 WLO393250 WVK393250 C458786 IY458786 SU458786 ACQ458786 AMM458786 AWI458786 BGE458786 BQA458786 BZW458786 CJS458786 CTO458786 DDK458786 DNG458786 DXC458786 EGY458786 EQU458786 FAQ458786 FKM458786 FUI458786 GEE458786 GOA458786 GXW458786 HHS458786 HRO458786 IBK458786 ILG458786 IVC458786 JEY458786 JOU458786 JYQ458786 KIM458786 KSI458786 LCE458786 LMA458786 LVW458786 MFS458786 MPO458786 MZK458786 NJG458786 NTC458786 OCY458786 OMU458786 OWQ458786 PGM458786 PQI458786 QAE458786 QKA458786 QTW458786 RDS458786 RNO458786 RXK458786 SHG458786 SRC458786 TAY458786 TKU458786 TUQ458786 UEM458786 UOI458786 UYE458786 VIA458786 VRW458786 WBS458786 WLO458786 WVK458786 C524322 IY524322 SU524322 ACQ524322 AMM524322 AWI524322 BGE524322 BQA524322 BZW524322 CJS524322 CTO524322 DDK524322 DNG524322 DXC524322 EGY524322 EQU524322 FAQ524322 FKM524322 FUI524322 GEE524322 GOA524322 GXW524322 HHS524322 HRO524322 IBK524322 ILG524322 IVC524322 JEY524322 JOU524322 JYQ524322 KIM524322 KSI524322 LCE524322 LMA524322 LVW524322 MFS524322 MPO524322 MZK524322 NJG524322 NTC524322 OCY524322 OMU524322 OWQ524322 PGM524322 PQI524322 QAE524322 QKA524322 QTW524322 RDS524322 RNO524322 RXK524322 SHG524322 SRC524322 TAY524322 TKU524322 TUQ524322 UEM524322 UOI524322 UYE524322 VIA524322 VRW524322 WBS524322 WLO524322 WVK524322 C589858 IY589858 SU589858 ACQ589858 AMM589858 AWI589858 BGE589858 BQA589858 BZW589858 CJS589858 CTO589858 DDK589858 DNG589858 DXC589858 EGY589858 EQU589858 FAQ589858 FKM589858 FUI589858 GEE589858 GOA589858 GXW589858 HHS589858 HRO589858 IBK589858 ILG589858 IVC589858 JEY589858 JOU589858 JYQ589858 KIM589858 KSI589858 LCE589858 LMA589858 LVW589858 MFS589858 MPO589858 MZK589858 NJG589858 NTC589858 OCY589858 OMU589858 OWQ589858 PGM589858 PQI589858 QAE589858 QKA589858 QTW589858 RDS589858 RNO589858 RXK589858 SHG589858 SRC589858 TAY589858 TKU589858 TUQ589858 UEM589858 UOI589858 UYE589858 VIA589858 VRW589858 WBS589858 WLO589858 WVK589858 C655394 IY655394 SU655394 ACQ655394 AMM655394 AWI655394 BGE655394 BQA655394 BZW655394 CJS655394 CTO655394 DDK655394 DNG655394 DXC655394 EGY655394 EQU655394 FAQ655394 FKM655394 FUI655394 GEE655394 GOA655394 GXW655394 HHS655394 HRO655394 IBK655394 ILG655394 IVC655394 JEY655394 JOU655394 JYQ655394 KIM655394 KSI655394 LCE655394 LMA655394 LVW655394 MFS655394 MPO655394 MZK655394 NJG655394 NTC655394 OCY655394 OMU655394 OWQ655394 PGM655394 PQI655394 QAE655394 QKA655394 QTW655394 RDS655394 RNO655394 RXK655394 SHG655394 SRC655394 TAY655394 TKU655394 TUQ655394 UEM655394 UOI655394 UYE655394 VIA655394 VRW655394 WBS655394 WLO655394 WVK655394 C720930 IY720930 SU720930 ACQ720930 AMM720930 AWI720930 BGE720930 BQA720930 BZW720930 CJS720930 CTO720930 DDK720930 DNG720930 DXC720930 EGY720930 EQU720930 FAQ720930 FKM720930 FUI720930 GEE720930 GOA720930 GXW720930 HHS720930 HRO720930 IBK720930 ILG720930 IVC720930 JEY720930 JOU720930 JYQ720930 KIM720930 KSI720930 LCE720930 LMA720930 LVW720930 MFS720930 MPO720930 MZK720930 NJG720930 NTC720930 OCY720930 OMU720930 OWQ720930 PGM720930 PQI720930 QAE720930 QKA720930 QTW720930 RDS720930 RNO720930 RXK720930 SHG720930 SRC720930 TAY720930 TKU720930 TUQ720930 UEM720930 UOI720930 UYE720930 VIA720930 VRW720930 WBS720930 WLO720930 WVK720930 C786466 IY786466 SU786466 ACQ786466 AMM786466 AWI786466 BGE786466 BQA786466 BZW786466 CJS786466 CTO786466 DDK786466 DNG786466 DXC786466 EGY786466 EQU786466 FAQ786466 FKM786466 FUI786466 GEE786466 GOA786466 GXW786466 HHS786466 HRO786466 IBK786466 ILG786466 IVC786466 JEY786466 JOU786466 JYQ786466 KIM786466 KSI786466 LCE786466 LMA786466 LVW786466 MFS786466 MPO786466 MZK786466 NJG786466 NTC786466 OCY786466 OMU786466 OWQ786466 PGM786466 PQI786466 QAE786466 QKA786466 QTW786466 RDS786466 RNO786466 RXK786466 SHG786466 SRC786466 TAY786466 TKU786466 TUQ786466 UEM786466 UOI786466 UYE786466 VIA786466 VRW786466 WBS786466 WLO786466 WVK786466 C852002 IY852002 SU852002 ACQ852002 AMM852002 AWI852002 BGE852002 BQA852002 BZW852002 CJS852002 CTO852002 DDK852002 DNG852002 DXC852002 EGY852002 EQU852002 FAQ852002 FKM852002 FUI852002 GEE852002 GOA852002 GXW852002 HHS852002 HRO852002 IBK852002 ILG852002 IVC852002 JEY852002 JOU852002 JYQ852002 KIM852002 KSI852002 LCE852002 LMA852002 LVW852002 MFS852002 MPO852002 MZK852002 NJG852002 NTC852002 OCY852002 OMU852002 OWQ852002 PGM852002 PQI852002 QAE852002 QKA852002 QTW852002 RDS852002 RNO852002 RXK852002 SHG852002 SRC852002 TAY852002 TKU852002 TUQ852002 UEM852002 UOI852002 UYE852002 VIA852002 VRW852002 WBS852002 WLO852002 WVK852002 C917538 IY917538 SU917538 ACQ917538 AMM917538 AWI917538 BGE917538 BQA917538 BZW917538 CJS917538 CTO917538 DDK917538 DNG917538 DXC917538 EGY917538 EQU917538 FAQ917538 FKM917538 FUI917538 GEE917538 GOA917538 GXW917538 HHS917538 HRO917538 IBK917538 ILG917538 IVC917538 JEY917538 JOU917538 JYQ917538 KIM917538 KSI917538 LCE917538 LMA917538 LVW917538 MFS917538 MPO917538 MZK917538 NJG917538 NTC917538 OCY917538 OMU917538 OWQ917538 PGM917538 PQI917538 QAE917538 QKA917538 QTW917538 RDS917538 RNO917538 RXK917538 SHG917538 SRC917538 TAY917538 TKU917538 TUQ917538 UEM917538 UOI917538 UYE917538 VIA917538 VRW917538 WBS917538 WLO917538 WVK917538 C983074 IY983074 SU983074 ACQ983074 AMM983074 AWI983074 BGE983074 BQA983074 BZW983074 CJS983074 CTO983074 DDK983074 DNG983074 DXC983074 EGY983074 EQU983074 FAQ983074 FKM983074 FUI983074 GEE983074 GOA983074 GXW983074 HHS983074 HRO983074 IBK983074 ILG983074 IVC983074 JEY983074 JOU983074 JYQ983074 KIM983074 KSI983074 LCE983074 LMA983074 LVW983074 MFS983074 MPO983074 MZK983074 NJG983074 NTC983074 OCY983074 OMU983074 OWQ983074 PGM983074 PQI983074 QAE983074 QKA983074 QTW983074 RDS983074 RNO983074 RXK983074 SHG983074 SRC983074 TAY983074 TKU983074 TUQ983074 UEM983074 UOI983074 UYE983074 VIA983074 VRW983074 WBS983074 WLO983074 WVK983074" xr:uid="{6020F356-86EE-4C51-A66C-92757BE2ABA5}"/>
    <dataValidation type="list" allowBlank="1" showInputMessage="1" showErrorMessage="1" sqref="C47 IY48 SU48 ACQ48 AMM48 AWI48 BGE48 BQA48 BZW48 CJS48 CTO48 DDK48 DNG48 DXC48 EGY48 EQU48 FAQ48 FKM48 FUI48 GEE48 GOA48 GXW48 HHS48 HRO48 IBK48 ILG48 IVC48 JEY48 JOU48 JYQ48 KIM48 KSI48 LCE48 LMA48 LVW48 MFS48 MPO48 MZK48 NJG48 NTC48 OCY48 OMU48 OWQ48 PGM48 PQI48 QAE48 QKA48 QTW48 RDS48 RNO48 RXK48 SHG48 SRC48 TAY48 TKU48 TUQ48 UEM48 UOI48 UYE48 VIA48 VRW48 WBS48 WLO48 WVK48 C65588 IY65588 SU65588 ACQ65588 AMM65588 AWI65588 BGE65588 BQA65588 BZW65588 CJS65588 CTO65588 DDK65588 DNG65588 DXC65588 EGY65588 EQU65588 FAQ65588 FKM65588 FUI65588 GEE65588 GOA65588 GXW65588 HHS65588 HRO65588 IBK65588 ILG65588 IVC65588 JEY65588 JOU65588 JYQ65588 KIM65588 KSI65588 LCE65588 LMA65588 LVW65588 MFS65588 MPO65588 MZK65588 NJG65588 NTC65588 OCY65588 OMU65588 OWQ65588 PGM65588 PQI65588 QAE65588 QKA65588 QTW65588 RDS65588 RNO65588 RXK65588 SHG65588 SRC65588 TAY65588 TKU65588 TUQ65588 UEM65588 UOI65588 UYE65588 VIA65588 VRW65588 WBS65588 WLO65588 WVK65588 C131124 IY131124 SU131124 ACQ131124 AMM131124 AWI131124 BGE131124 BQA131124 BZW131124 CJS131124 CTO131124 DDK131124 DNG131124 DXC131124 EGY131124 EQU131124 FAQ131124 FKM131124 FUI131124 GEE131124 GOA131124 GXW131124 HHS131124 HRO131124 IBK131124 ILG131124 IVC131124 JEY131124 JOU131124 JYQ131124 KIM131124 KSI131124 LCE131124 LMA131124 LVW131124 MFS131124 MPO131124 MZK131124 NJG131124 NTC131124 OCY131124 OMU131124 OWQ131124 PGM131124 PQI131124 QAE131124 QKA131124 QTW131124 RDS131124 RNO131124 RXK131124 SHG131124 SRC131124 TAY131124 TKU131124 TUQ131124 UEM131124 UOI131124 UYE131124 VIA131124 VRW131124 WBS131124 WLO131124 WVK131124 C196660 IY196660 SU196660 ACQ196660 AMM196660 AWI196660 BGE196660 BQA196660 BZW196660 CJS196660 CTO196660 DDK196660 DNG196660 DXC196660 EGY196660 EQU196660 FAQ196660 FKM196660 FUI196660 GEE196660 GOA196660 GXW196660 HHS196660 HRO196660 IBK196660 ILG196660 IVC196660 JEY196660 JOU196660 JYQ196660 KIM196660 KSI196660 LCE196660 LMA196660 LVW196660 MFS196660 MPO196660 MZK196660 NJG196660 NTC196660 OCY196660 OMU196660 OWQ196660 PGM196660 PQI196660 QAE196660 QKA196660 QTW196660 RDS196660 RNO196660 RXK196660 SHG196660 SRC196660 TAY196660 TKU196660 TUQ196660 UEM196660 UOI196660 UYE196660 VIA196660 VRW196660 WBS196660 WLO196660 WVK196660 C262196 IY262196 SU262196 ACQ262196 AMM262196 AWI262196 BGE262196 BQA262196 BZW262196 CJS262196 CTO262196 DDK262196 DNG262196 DXC262196 EGY262196 EQU262196 FAQ262196 FKM262196 FUI262196 GEE262196 GOA262196 GXW262196 HHS262196 HRO262196 IBK262196 ILG262196 IVC262196 JEY262196 JOU262196 JYQ262196 KIM262196 KSI262196 LCE262196 LMA262196 LVW262196 MFS262196 MPO262196 MZK262196 NJG262196 NTC262196 OCY262196 OMU262196 OWQ262196 PGM262196 PQI262196 QAE262196 QKA262196 QTW262196 RDS262196 RNO262196 RXK262196 SHG262196 SRC262196 TAY262196 TKU262196 TUQ262196 UEM262196 UOI262196 UYE262196 VIA262196 VRW262196 WBS262196 WLO262196 WVK262196 C327732 IY327732 SU327732 ACQ327732 AMM327732 AWI327732 BGE327732 BQA327732 BZW327732 CJS327732 CTO327732 DDK327732 DNG327732 DXC327732 EGY327732 EQU327732 FAQ327732 FKM327732 FUI327732 GEE327732 GOA327732 GXW327732 HHS327732 HRO327732 IBK327732 ILG327732 IVC327732 JEY327732 JOU327732 JYQ327732 KIM327732 KSI327732 LCE327732 LMA327732 LVW327732 MFS327732 MPO327732 MZK327732 NJG327732 NTC327732 OCY327732 OMU327732 OWQ327732 PGM327732 PQI327732 QAE327732 QKA327732 QTW327732 RDS327732 RNO327732 RXK327732 SHG327732 SRC327732 TAY327732 TKU327732 TUQ327732 UEM327732 UOI327732 UYE327732 VIA327732 VRW327732 WBS327732 WLO327732 WVK327732 C393268 IY393268 SU393268 ACQ393268 AMM393268 AWI393268 BGE393268 BQA393268 BZW393268 CJS393268 CTO393268 DDK393268 DNG393268 DXC393268 EGY393268 EQU393268 FAQ393268 FKM393268 FUI393268 GEE393268 GOA393268 GXW393268 HHS393268 HRO393268 IBK393268 ILG393268 IVC393268 JEY393268 JOU393268 JYQ393268 KIM393268 KSI393268 LCE393268 LMA393268 LVW393268 MFS393268 MPO393268 MZK393268 NJG393268 NTC393268 OCY393268 OMU393268 OWQ393268 PGM393268 PQI393268 QAE393268 QKA393268 QTW393268 RDS393268 RNO393268 RXK393268 SHG393268 SRC393268 TAY393268 TKU393268 TUQ393268 UEM393268 UOI393268 UYE393268 VIA393268 VRW393268 WBS393268 WLO393268 WVK393268 C458804 IY458804 SU458804 ACQ458804 AMM458804 AWI458804 BGE458804 BQA458804 BZW458804 CJS458804 CTO458804 DDK458804 DNG458804 DXC458804 EGY458804 EQU458804 FAQ458804 FKM458804 FUI458804 GEE458804 GOA458804 GXW458804 HHS458804 HRO458804 IBK458804 ILG458804 IVC458804 JEY458804 JOU458804 JYQ458804 KIM458804 KSI458804 LCE458804 LMA458804 LVW458804 MFS458804 MPO458804 MZK458804 NJG458804 NTC458804 OCY458804 OMU458804 OWQ458804 PGM458804 PQI458804 QAE458804 QKA458804 QTW458804 RDS458804 RNO458804 RXK458804 SHG458804 SRC458804 TAY458804 TKU458804 TUQ458804 UEM458804 UOI458804 UYE458804 VIA458804 VRW458804 WBS458804 WLO458804 WVK458804 C524340 IY524340 SU524340 ACQ524340 AMM524340 AWI524340 BGE524340 BQA524340 BZW524340 CJS524340 CTO524340 DDK524340 DNG524340 DXC524340 EGY524340 EQU524340 FAQ524340 FKM524340 FUI524340 GEE524340 GOA524340 GXW524340 HHS524340 HRO524340 IBK524340 ILG524340 IVC524340 JEY524340 JOU524340 JYQ524340 KIM524340 KSI524340 LCE524340 LMA524340 LVW524340 MFS524340 MPO524340 MZK524340 NJG524340 NTC524340 OCY524340 OMU524340 OWQ524340 PGM524340 PQI524340 QAE524340 QKA524340 QTW524340 RDS524340 RNO524340 RXK524340 SHG524340 SRC524340 TAY524340 TKU524340 TUQ524340 UEM524340 UOI524340 UYE524340 VIA524340 VRW524340 WBS524340 WLO524340 WVK524340 C589876 IY589876 SU589876 ACQ589876 AMM589876 AWI589876 BGE589876 BQA589876 BZW589876 CJS589876 CTO589876 DDK589876 DNG589876 DXC589876 EGY589876 EQU589876 FAQ589876 FKM589876 FUI589876 GEE589876 GOA589876 GXW589876 HHS589876 HRO589876 IBK589876 ILG589876 IVC589876 JEY589876 JOU589876 JYQ589876 KIM589876 KSI589876 LCE589876 LMA589876 LVW589876 MFS589876 MPO589876 MZK589876 NJG589876 NTC589876 OCY589876 OMU589876 OWQ589876 PGM589876 PQI589876 QAE589876 QKA589876 QTW589876 RDS589876 RNO589876 RXK589876 SHG589876 SRC589876 TAY589876 TKU589876 TUQ589876 UEM589876 UOI589876 UYE589876 VIA589876 VRW589876 WBS589876 WLO589876 WVK589876 C655412 IY655412 SU655412 ACQ655412 AMM655412 AWI655412 BGE655412 BQA655412 BZW655412 CJS655412 CTO655412 DDK655412 DNG655412 DXC655412 EGY655412 EQU655412 FAQ655412 FKM655412 FUI655412 GEE655412 GOA655412 GXW655412 HHS655412 HRO655412 IBK655412 ILG655412 IVC655412 JEY655412 JOU655412 JYQ655412 KIM655412 KSI655412 LCE655412 LMA655412 LVW655412 MFS655412 MPO655412 MZK655412 NJG655412 NTC655412 OCY655412 OMU655412 OWQ655412 PGM655412 PQI655412 QAE655412 QKA655412 QTW655412 RDS655412 RNO655412 RXK655412 SHG655412 SRC655412 TAY655412 TKU655412 TUQ655412 UEM655412 UOI655412 UYE655412 VIA655412 VRW655412 WBS655412 WLO655412 WVK655412 C720948 IY720948 SU720948 ACQ720948 AMM720948 AWI720948 BGE720948 BQA720948 BZW720948 CJS720948 CTO720948 DDK720948 DNG720948 DXC720948 EGY720948 EQU720948 FAQ720948 FKM720948 FUI720948 GEE720948 GOA720948 GXW720948 HHS720948 HRO720948 IBK720948 ILG720948 IVC720948 JEY720948 JOU720948 JYQ720948 KIM720948 KSI720948 LCE720948 LMA720948 LVW720948 MFS720948 MPO720948 MZK720948 NJG720948 NTC720948 OCY720948 OMU720948 OWQ720948 PGM720948 PQI720948 QAE720948 QKA720948 QTW720948 RDS720948 RNO720948 RXK720948 SHG720948 SRC720948 TAY720948 TKU720948 TUQ720948 UEM720948 UOI720948 UYE720948 VIA720948 VRW720948 WBS720948 WLO720948 WVK720948 C786484 IY786484 SU786484 ACQ786484 AMM786484 AWI786484 BGE786484 BQA786484 BZW786484 CJS786484 CTO786484 DDK786484 DNG786484 DXC786484 EGY786484 EQU786484 FAQ786484 FKM786484 FUI786484 GEE786484 GOA786484 GXW786484 HHS786484 HRO786484 IBK786484 ILG786484 IVC786484 JEY786484 JOU786484 JYQ786484 KIM786484 KSI786484 LCE786484 LMA786484 LVW786484 MFS786484 MPO786484 MZK786484 NJG786484 NTC786484 OCY786484 OMU786484 OWQ786484 PGM786484 PQI786484 QAE786484 QKA786484 QTW786484 RDS786484 RNO786484 RXK786484 SHG786484 SRC786484 TAY786484 TKU786484 TUQ786484 UEM786484 UOI786484 UYE786484 VIA786484 VRW786484 WBS786484 WLO786484 WVK786484 C852020 IY852020 SU852020 ACQ852020 AMM852020 AWI852020 BGE852020 BQA852020 BZW852020 CJS852020 CTO852020 DDK852020 DNG852020 DXC852020 EGY852020 EQU852020 FAQ852020 FKM852020 FUI852020 GEE852020 GOA852020 GXW852020 HHS852020 HRO852020 IBK852020 ILG852020 IVC852020 JEY852020 JOU852020 JYQ852020 KIM852020 KSI852020 LCE852020 LMA852020 LVW852020 MFS852020 MPO852020 MZK852020 NJG852020 NTC852020 OCY852020 OMU852020 OWQ852020 PGM852020 PQI852020 QAE852020 QKA852020 QTW852020 RDS852020 RNO852020 RXK852020 SHG852020 SRC852020 TAY852020 TKU852020 TUQ852020 UEM852020 UOI852020 UYE852020 VIA852020 VRW852020 WBS852020 WLO852020 WVK852020 C917556 IY917556 SU917556 ACQ917556 AMM917556 AWI917556 BGE917556 BQA917556 BZW917556 CJS917556 CTO917556 DDK917556 DNG917556 DXC917556 EGY917556 EQU917556 FAQ917556 FKM917556 FUI917556 GEE917556 GOA917556 GXW917556 HHS917556 HRO917556 IBK917556 ILG917556 IVC917556 JEY917556 JOU917556 JYQ917556 KIM917556 KSI917556 LCE917556 LMA917556 LVW917556 MFS917556 MPO917556 MZK917556 NJG917556 NTC917556 OCY917556 OMU917556 OWQ917556 PGM917556 PQI917556 QAE917556 QKA917556 QTW917556 RDS917556 RNO917556 RXK917556 SHG917556 SRC917556 TAY917556 TKU917556 TUQ917556 UEM917556 UOI917556 UYE917556 VIA917556 VRW917556 WBS917556 WLO917556 WVK917556 C983092 IY983092 SU983092 ACQ983092 AMM983092 AWI983092 BGE983092 BQA983092 BZW983092 CJS983092 CTO983092 DDK983092 DNG983092 DXC983092 EGY983092 EQU983092 FAQ983092 FKM983092 FUI983092 GEE983092 GOA983092 GXW983092 HHS983092 HRO983092 IBK983092 ILG983092 IVC983092 JEY983092 JOU983092 JYQ983092 KIM983092 KSI983092 LCE983092 LMA983092 LVW983092 MFS983092 MPO983092 MZK983092 NJG983092 NTC983092 OCY983092 OMU983092 OWQ983092 PGM983092 PQI983092 QAE983092 QKA983092 QTW983092 RDS983092 RNO983092 RXK983092 SHG983092 SRC983092 TAY983092 TKU983092 TUQ983092 UEM983092 UOI983092 UYE983092 VIA983092 VRW983092 WBS983092 WLO983092 WVK983092" xr:uid="{15A6B41B-0DFF-4151-BD38-ECB4AE2C750E}">
      <formula1>Type</formula1>
    </dataValidation>
    <dataValidation type="list" errorStyle="warning" allowBlank="1" showInputMessage="1" showErrorMessage="1" errorTitle="Non-standard size" error="Non-standard size._x000a_Note, units are in metres" sqref="WVK983086 IY41 SU41 ACQ41 AMM41 AWI41 BGE41 BQA41 BZW41 CJS41 CTO41 DDK41 DNG41 DXC41 EGY41 EQU41 FAQ41 FKM41 FUI41 GEE41 GOA41 GXW41 HHS41 HRO41 IBK41 ILG41 IVC41 JEY41 JOU41 JYQ41 KIM41 KSI41 LCE41 LMA41 LVW41 MFS41 MPO41 MZK41 NJG41 NTC41 OCY41 OMU41 OWQ41 PGM41 PQI41 QAE41 QKA41 QTW41 RDS41 RNO41 RXK41 SHG41 SRC41 TAY41 TKU41 TUQ41 UEM41 UOI41 UYE41 VIA41 VRW41 WBS41 WLO41 WVK41 C65582 IY65582 SU65582 ACQ65582 AMM65582 AWI65582 BGE65582 BQA65582 BZW65582 CJS65582 CTO65582 DDK65582 DNG65582 DXC65582 EGY65582 EQU65582 FAQ65582 FKM65582 FUI65582 GEE65582 GOA65582 GXW65582 HHS65582 HRO65582 IBK65582 ILG65582 IVC65582 JEY65582 JOU65582 JYQ65582 KIM65582 KSI65582 LCE65582 LMA65582 LVW65582 MFS65582 MPO65582 MZK65582 NJG65582 NTC65582 OCY65582 OMU65582 OWQ65582 PGM65582 PQI65582 QAE65582 QKA65582 QTW65582 RDS65582 RNO65582 RXK65582 SHG65582 SRC65582 TAY65582 TKU65582 TUQ65582 UEM65582 UOI65582 UYE65582 VIA65582 VRW65582 WBS65582 WLO65582 WVK65582 C131118 IY131118 SU131118 ACQ131118 AMM131118 AWI131118 BGE131118 BQA131118 BZW131118 CJS131118 CTO131118 DDK131118 DNG131118 DXC131118 EGY131118 EQU131118 FAQ131118 FKM131118 FUI131118 GEE131118 GOA131118 GXW131118 HHS131118 HRO131118 IBK131118 ILG131118 IVC131118 JEY131118 JOU131118 JYQ131118 KIM131118 KSI131118 LCE131118 LMA131118 LVW131118 MFS131118 MPO131118 MZK131118 NJG131118 NTC131118 OCY131118 OMU131118 OWQ131118 PGM131118 PQI131118 QAE131118 QKA131118 QTW131118 RDS131118 RNO131118 RXK131118 SHG131118 SRC131118 TAY131118 TKU131118 TUQ131118 UEM131118 UOI131118 UYE131118 VIA131118 VRW131118 WBS131118 WLO131118 WVK131118 C196654 IY196654 SU196654 ACQ196654 AMM196654 AWI196654 BGE196654 BQA196654 BZW196654 CJS196654 CTO196654 DDK196654 DNG196654 DXC196654 EGY196654 EQU196654 FAQ196654 FKM196654 FUI196654 GEE196654 GOA196654 GXW196654 HHS196654 HRO196654 IBK196654 ILG196654 IVC196654 JEY196654 JOU196654 JYQ196654 KIM196654 KSI196654 LCE196654 LMA196654 LVW196654 MFS196654 MPO196654 MZK196654 NJG196654 NTC196654 OCY196654 OMU196654 OWQ196654 PGM196654 PQI196654 QAE196654 QKA196654 QTW196654 RDS196654 RNO196654 RXK196654 SHG196654 SRC196654 TAY196654 TKU196654 TUQ196654 UEM196654 UOI196654 UYE196654 VIA196654 VRW196654 WBS196654 WLO196654 WVK196654 C262190 IY262190 SU262190 ACQ262190 AMM262190 AWI262190 BGE262190 BQA262190 BZW262190 CJS262190 CTO262190 DDK262190 DNG262190 DXC262190 EGY262190 EQU262190 FAQ262190 FKM262190 FUI262190 GEE262190 GOA262190 GXW262190 HHS262190 HRO262190 IBK262190 ILG262190 IVC262190 JEY262190 JOU262190 JYQ262190 KIM262190 KSI262190 LCE262190 LMA262190 LVW262190 MFS262190 MPO262190 MZK262190 NJG262190 NTC262190 OCY262190 OMU262190 OWQ262190 PGM262190 PQI262190 QAE262190 QKA262190 QTW262190 RDS262190 RNO262190 RXK262190 SHG262190 SRC262190 TAY262190 TKU262190 TUQ262190 UEM262190 UOI262190 UYE262190 VIA262190 VRW262190 WBS262190 WLO262190 WVK262190 C327726 IY327726 SU327726 ACQ327726 AMM327726 AWI327726 BGE327726 BQA327726 BZW327726 CJS327726 CTO327726 DDK327726 DNG327726 DXC327726 EGY327726 EQU327726 FAQ327726 FKM327726 FUI327726 GEE327726 GOA327726 GXW327726 HHS327726 HRO327726 IBK327726 ILG327726 IVC327726 JEY327726 JOU327726 JYQ327726 KIM327726 KSI327726 LCE327726 LMA327726 LVW327726 MFS327726 MPO327726 MZK327726 NJG327726 NTC327726 OCY327726 OMU327726 OWQ327726 PGM327726 PQI327726 QAE327726 QKA327726 QTW327726 RDS327726 RNO327726 RXK327726 SHG327726 SRC327726 TAY327726 TKU327726 TUQ327726 UEM327726 UOI327726 UYE327726 VIA327726 VRW327726 WBS327726 WLO327726 WVK327726 C393262 IY393262 SU393262 ACQ393262 AMM393262 AWI393262 BGE393262 BQA393262 BZW393262 CJS393262 CTO393262 DDK393262 DNG393262 DXC393262 EGY393262 EQU393262 FAQ393262 FKM393262 FUI393262 GEE393262 GOA393262 GXW393262 HHS393262 HRO393262 IBK393262 ILG393262 IVC393262 JEY393262 JOU393262 JYQ393262 KIM393262 KSI393262 LCE393262 LMA393262 LVW393262 MFS393262 MPO393262 MZK393262 NJG393262 NTC393262 OCY393262 OMU393262 OWQ393262 PGM393262 PQI393262 QAE393262 QKA393262 QTW393262 RDS393262 RNO393262 RXK393262 SHG393262 SRC393262 TAY393262 TKU393262 TUQ393262 UEM393262 UOI393262 UYE393262 VIA393262 VRW393262 WBS393262 WLO393262 WVK393262 C458798 IY458798 SU458798 ACQ458798 AMM458798 AWI458798 BGE458798 BQA458798 BZW458798 CJS458798 CTO458798 DDK458798 DNG458798 DXC458798 EGY458798 EQU458798 FAQ458798 FKM458798 FUI458798 GEE458798 GOA458798 GXW458798 HHS458798 HRO458798 IBK458798 ILG458798 IVC458798 JEY458798 JOU458798 JYQ458798 KIM458798 KSI458798 LCE458798 LMA458798 LVW458798 MFS458798 MPO458798 MZK458798 NJG458798 NTC458798 OCY458798 OMU458798 OWQ458798 PGM458798 PQI458798 QAE458798 QKA458798 QTW458798 RDS458798 RNO458798 RXK458798 SHG458798 SRC458798 TAY458798 TKU458798 TUQ458798 UEM458798 UOI458798 UYE458798 VIA458798 VRW458798 WBS458798 WLO458798 WVK458798 C524334 IY524334 SU524334 ACQ524334 AMM524334 AWI524334 BGE524334 BQA524334 BZW524334 CJS524334 CTO524334 DDK524334 DNG524334 DXC524334 EGY524334 EQU524334 FAQ524334 FKM524334 FUI524334 GEE524334 GOA524334 GXW524334 HHS524334 HRO524334 IBK524334 ILG524334 IVC524334 JEY524334 JOU524334 JYQ524334 KIM524334 KSI524334 LCE524334 LMA524334 LVW524334 MFS524334 MPO524334 MZK524334 NJG524334 NTC524334 OCY524334 OMU524334 OWQ524334 PGM524334 PQI524334 QAE524334 QKA524334 QTW524334 RDS524334 RNO524334 RXK524334 SHG524334 SRC524334 TAY524334 TKU524334 TUQ524334 UEM524334 UOI524334 UYE524334 VIA524334 VRW524334 WBS524334 WLO524334 WVK524334 C589870 IY589870 SU589870 ACQ589870 AMM589870 AWI589870 BGE589870 BQA589870 BZW589870 CJS589870 CTO589870 DDK589870 DNG589870 DXC589870 EGY589870 EQU589870 FAQ589870 FKM589870 FUI589870 GEE589870 GOA589870 GXW589870 HHS589870 HRO589870 IBK589870 ILG589870 IVC589870 JEY589870 JOU589870 JYQ589870 KIM589870 KSI589870 LCE589870 LMA589870 LVW589870 MFS589870 MPO589870 MZK589870 NJG589870 NTC589870 OCY589870 OMU589870 OWQ589870 PGM589870 PQI589870 QAE589870 QKA589870 QTW589870 RDS589870 RNO589870 RXK589870 SHG589870 SRC589870 TAY589870 TKU589870 TUQ589870 UEM589870 UOI589870 UYE589870 VIA589870 VRW589870 WBS589870 WLO589870 WVK589870 C655406 IY655406 SU655406 ACQ655406 AMM655406 AWI655406 BGE655406 BQA655406 BZW655406 CJS655406 CTO655406 DDK655406 DNG655406 DXC655406 EGY655406 EQU655406 FAQ655406 FKM655406 FUI655406 GEE655406 GOA655406 GXW655406 HHS655406 HRO655406 IBK655406 ILG655406 IVC655406 JEY655406 JOU655406 JYQ655406 KIM655406 KSI655406 LCE655406 LMA655406 LVW655406 MFS655406 MPO655406 MZK655406 NJG655406 NTC655406 OCY655406 OMU655406 OWQ655406 PGM655406 PQI655406 QAE655406 QKA655406 QTW655406 RDS655406 RNO655406 RXK655406 SHG655406 SRC655406 TAY655406 TKU655406 TUQ655406 UEM655406 UOI655406 UYE655406 VIA655406 VRW655406 WBS655406 WLO655406 WVK655406 C720942 IY720942 SU720942 ACQ720942 AMM720942 AWI720942 BGE720942 BQA720942 BZW720942 CJS720942 CTO720942 DDK720942 DNG720942 DXC720942 EGY720942 EQU720942 FAQ720942 FKM720942 FUI720942 GEE720942 GOA720942 GXW720942 HHS720942 HRO720942 IBK720942 ILG720942 IVC720942 JEY720942 JOU720942 JYQ720942 KIM720942 KSI720942 LCE720942 LMA720942 LVW720942 MFS720942 MPO720942 MZK720942 NJG720942 NTC720942 OCY720942 OMU720942 OWQ720942 PGM720942 PQI720942 QAE720942 QKA720942 QTW720942 RDS720942 RNO720942 RXK720942 SHG720942 SRC720942 TAY720942 TKU720942 TUQ720942 UEM720942 UOI720942 UYE720942 VIA720942 VRW720942 WBS720942 WLO720942 WVK720942 C786478 IY786478 SU786478 ACQ786478 AMM786478 AWI786478 BGE786478 BQA786478 BZW786478 CJS786478 CTO786478 DDK786478 DNG786478 DXC786478 EGY786478 EQU786478 FAQ786478 FKM786478 FUI786478 GEE786478 GOA786478 GXW786478 HHS786478 HRO786478 IBK786478 ILG786478 IVC786478 JEY786478 JOU786478 JYQ786478 KIM786478 KSI786478 LCE786478 LMA786478 LVW786478 MFS786478 MPO786478 MZK786478 NJG786478 NTC786478 OCY786478 OMU786478 OWQ786478 PGM786478 PQI786478 QAE786478 QKA786478 QTW786478 RDS786478 RNO786478 RXK786478 SHG786478 SRC786478 TAY786478 TKU786478 TUQ786478 UEM786478 UOI786478 UYE786478 VIA786478 VRW786478 WBS786478 WLO786478 WVK786478 C852014 IY852014 SU852014 ACQ852014 AMM852014 AWI852014 BGE852014 BQA852014 BZW852014 CJS852014 CTO852014 DDK852014 DNG852014 DXC852014 EGY852014 EQU852014 FAQ852014 FKM852014 FUI852014 GEE852014 GOA852014 GXW852014 HHS852014 HRO852014 IBK852014 ILG852014 IVC852014 JEY852014 JOU852014 JYQ852014 KIM852014 KSI852014 LCE852014 LMA852014 LVW852014 MFS852014 MPO852014 MZK852014 NJG852014 NTC852014 OCY852014 OMU852014 OWQ852014 PGM852014 PQI852014 QAE852014 QKA852014 QTW852014 RDS852014 RNO852014 RXK852014 SHG852014 SRC852014 TAY852014 TKU852014 TUQ852014 UEM852014 UOI852014 UYE852014 VIA852014 VRW852014 WBS852014 WLO852014 WVK852014 C917550 IY917550 SU917550 ACQ917550 AMM917550 AWI917550 BGE917550 BQA917550 BZW917550 CJS917550 CTO917550 DDK917550 DNG917550 DXC917550 EGY917550 EQU917550 FAQ917550 FKM917550 FUI917550 GEE917550 GOA917550 GXW917550 HHS917550 HRO917550 IBK917550 ILG917550 IVC917550 JEY917550 JOU917550 JYQ917550 KIM917550 KSI917550 LCE917550 LMA917550 LVW917550 MFS917550 MPO917550 MZK917550 NJG917550 NTC917550 OCY917550 OMU917550 OWQ917550 PGM917550 PQI917550 QAE917550 QKA917550 QTW917550 RDS917550 RNO917550 RXK917550 SHG917550 SRC917550 TAY917550 TKU917550 TUQ917550 UEM917550 UOI917550 UYE917550 VIA917550 VRW917550 WBS917550 WLO917550 WVK917550 C983086 IY983086 SU983086 ACQ983086 AMM983086 AWI983086 BGE983086 BQA983086 BZW983086 CJS983086 CTO983086 DDK983086 DNG983086 DXC983086 EGY983086 EQU983086 FAQ983086 FKM983086 FUI983086 GEE983086 GOA983086 GXW983086 HHS983086 HRO983086 IBK983086 ILG983086 IVC983086 JEY983086 JOU983086 JYQ983086 KIM983086 KSI983086 LCE983086 LMA983086 LVW983086 MFS983086 MPO983086 MZK983086 NJG983086 NTC983086 OCY983086 OMU983086 OWQ983086 PGM983086 PQI983086 QAE983086 QKA983086 QTW983086 RDS983086 RNO983086 RXK983086 SHG983086 SRC983086 TAY983086 TKU983086 TUQ983086 UEM983086 UOI983086 UYE983086 VIA983086 VRW983086 WBS983086 WLO983086 C40" xr:uid="{5421BDF1-CD8F-4019-B604-3F3DFA9322E7}">
      <formula1>Bar</formula1>
    </dataValidation>
    <dataValidation type="list" errorStyle="warning" allowBlank="1" showInputMessage="1" showErrorMessage="1" errorTitle="Non-standard size" error="Non-standard size_x000a_Note, units are in metres" sqref="C48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89 IY65589 SU65589 ACQ65589 AMM65589 AWI65589 BGE65589 BQA65589 BZW65589 CJS65589 CTO65589 DDK65589 DNG65589 DXC65589 EGY65589 EQU65589 FAQ65589 FKM65589 FUI65589 GEE65589 GOA65589 GXW65589 HHS65589 HRO65589 IBK65589 ILG65589 IVC65589 JEY65589 JOU65589 JYQ65589 KIM65589 KSI65589 LCE65589 LMA65589 LVW65589 MFS65589 MPO65589 MZK65589 NJG65589 NTC65589 OCY65589 OMU65589 OWQ65589 PGM65589 PQI65589 QAE65589 QKA65589 QTW65589 RDS65589 RNO65589 RXK65589 SHG65589 SRC65589 TAY65589 TKU65589 TUQ65589 UEM65589 UOI65589 UYE65589 VIA65589 VRW65589 WBS65589 WLO65589 WVK65589 C131125 IY131125 SU131125 ACQ131125 AMM131125 AWI131125 BGE131125 BQA131125 BZW131125 CJS131125 CTO131125 DDK131125 DNG131125 DXC131125 EGY131125 EQU131125 FAQ131125 FKM131125 FUI131125 GEE131125 GOA131125 GXW131125 HHS131125 HRO131125 IBK131125 ILG131125 IVC131125 JEY131125 JOU131125 JYQ131125 KIM131125 KSI131125 LCE131125 LMA131125 LVW131125 MFS131125 MPO131125 MZK131125 NJG131125 NTC131125 OCY131125 OMU131125 OWQ131125 PGM131125 PQI131125 QAE131125 QKA131125 QTW131125 RDS131125 RNO131125 RXK131125 SHG131125 SRC131125 TAY131125 TKU131125 TUQ131125 UEM131125 UOI131125 UYE131125 VIA131125 VRW131125 WBS131125 WLO131125 WVK131125 C196661 IY196661 SU196661 ACQ196661 AMM196661 AWI196661 BGE196661 BQA196661 BZW196661 CJS196661 CTO196661 DDK196661 DNG196661 DXC196661 EGY196661 EQU196661 FAQ196661 FKM196661 FUI196661 GEE196661 GOA196661 GXW196661 HHS196661 HRO196661 IBK196661 ILG196661 IVC196661 JEY196661 JOU196661 JYQ196661 KIM196661 KSI196661 LCE196661 LMA196661 LVW196661 MFS196661 MPO196661 MZK196661 NJG196661 NTC196661 OCY196661 OMU196661 OWQ196661 PGM196661 PQI196661 QAE196661 QKA196661 QTW196661 RDS196661 RNO196661 RXK196661 SHG196661 SRC196661 TAY196661 TKU196661 TUQ196661 UEM196661 UOI196661 UYE196661 VIA196661 VRW196661 WBS196661 WLO196661 WVK196661 C262197 IY262197 SU262197 ACQ262197 AMM262197 AWI262197 BGE262197 BQA262197 BZW262197 CJS262197 CTO262197 DDK262197 DNG262197 DXC262197 EGY262197 EQU262197 FAQ262197 FKM262197 FUI262197 GEE262197 GOA262197 GXW262197 HHS262197 HRO262197 IBK262197 ILG262197 IVC262197 JEY262197 JOU262197 JYQ262197 KIM262197 KSI262197 LCE262197 LMA262197 LVW262197 MFS262197 MPO262197 MZK262197 NJG262197 NTC262197 OCY262197 OMU262197 OWQ262197 PGM262197 PQI262197 QAE262197 QKA262197 QTW262197 RDS262197 RNO262197 RXK262197 SHG262197 SRC262197 TAY262197 TKU262197 TUQ262197 UEM262197 UOI262197 UYE262197 VIA262197 VRW262197 WBS262197 WLO262197 WVK262197 C327733 IY327733 SU327733 ACQ327733 AMM327733 AWI327733 BGE327733 BQA327733 BZW327733 CJS327733 CTO327733 DDK327733 DNG327733 DXC327733 EGY327733 EQU327733 FAQ327733 FKM327733 FUI327733 GEE327733 GOA327733 GXW327733 HHS327733 HRO327733 IBK327733 ILG327733 IVC327733 JEY327733 JOU327733 JYQ327733 KIM327733 KSI327733 LCE327733 LMA327733 LVW327733 MFS327733 MPO327733 MZK327733 NJG327733 NTC327733 OCY327733 OMU327733 OWQ327733 PGM327733 PQI327733 QAE327733 QKA327733 QTW327733 RDS327733 RNO327733 RXK327733 SHG327733 SRC327733 TAY327733 TKU327733 TUQ327733 UEM327733 UOI327733 UYE327733 VIA327733 VRW327733 WBS327733 WLO327733 WVK327733 C393269 IY393269 SU393269 ACQ393269 AMM393269 AWI393269 BGE393269 BQA393269 BZW393269 CJS393269 CTO393269 DDK393269 DNG393269 DXC393269 EGY393269 EQU393269 FAQ393269 FKM393269 FUI393269 GEE393269 GOA393269 GXW393269 HHS393269 HRO393269 IBK393269 ILG393269 IVC393269 JEY393269 JOU393269 JYQ393269 KIM393269 KSI393269 LCE393269 LMA393269 LVW393269 MFS393269 MPO393269 MZK393269 NJG393269 NTC393269 OCY393269 OMU393269 OWQ393269 PGM393269 PQI393269 QAE393269 QKA393269 QTW393269 RDS393269 RNO393269 RXK393269 SHG393269 SRC393269 TAY393269 TKU393269 TUQ393269 UEM393269 UOI393269 UYE393269 VIA393269 VRW393269 WBS393269 WLO393269 WVK393269 C458805 IY458805 SU458805 ACQ458805 AMM458805 AWI458805 BGE458805 BQA458805 BZW458805 CJS458805 CTO458805 DDK458805 DNG458805 DXC458805 EGY458805 EQU458805 FAQ458805 FKM458805 FUI458805 GEE458805 GOA458805 GXW458805 HHS458805 HRO458805 IBK458805 ILG458805 IVC458805 JEY458805 JOU458805 JYQ458805 KIM458805 KSI458805 LCE458805 LMA458805 LVW458805 MFS458805 MPO458805 MZK458805 NJG458805 NTC458805 OCY458805 OMU458805 OWQ458805 PGM458805 PQI458805 QAE458805 QKA458805 QTW458805 RDS458805 RNO458805 RXK458805 SHG458805 SRC458805 TAY458805 TKU458805 TUQ458805 UEM458805 UOI458805 UYE458805 VIA458805 VRW458805 WBS458805 WLO458805 WVK458805 C524341 IY524341 SU524341 ACQ524341 AMM524341 AWI524341 BGE524341 BQA524341 BZW524341 CJS524341 CTO524341 DDK524341 DNG524341 DXC524341 EGY524341 EQU524341 FAQ524341 FKM524341 FUI524341 GEE524341 GOA524341 GXW524341 HHS524341 HRO524341 IBK524341 ILG524341 IVC524341 JEY524341 JOU524341 JYQ524341 KIM524341 KSI524341 LCE524341 LMA524341 LVW524341 MFS524341 MPO524341 MZK524341 NJG524341 NTC524341 OCY524341 OMU524341 OWQ524341 PGM524341 PQI524341 QAE524341 QKA524341 QTW524341 RDS524341 RNO524341 RXK524341 SHG524341 SRC524341 TAY524341 TKU524341 TUQ524341 UEM524341 UOI524341 UYE524341 VIA524341 VRW524341 WBS524341 WLO524341 WVK524341 C589877 IY589877 SU589877 ACQ589877 AMM589877 AWI589877 BGE589877 BQA589877 BZW589877 CJS589877 CTO589877 DDK589877 DNG589877 DXC589877 EGY589877 EQU589877 FAQ589877 FKM589877 FUI589877 GEE589877 GOA589877 GXW589877 HHS589877 HRO589877 IBK589877 ILG589877 IVC589877 JEY589877 JOU589877 JYQ589877 KIM589877 KSI589877 LCE589877 LMA589877 LVW589877 MFS589877 MPO589877 MZK589877 NJG589877 NTC589877 OCY589877 OMU589877 OWQ589877 PGM589877 PQI589877 QAE589877 QKA589877 QTW589877 RDS589877 RNO589877 RXK589877 SHG589877 SRC589877 TAY589877 TKU589877 TUQ589877 UEM589877 UOI589877 UYE589877 VIA589877 VRW589877 WBS589877 WLO589877 WVK589877 C655413 IY655413 SU655413 ACQ655413 AMM655413 AWI655413 BGE655413 BQA655413 BZW655413 CJS655413 CTO655413 DDK655413 DNG655413 DXC655413 EGY655413 EQU655413 FAQ655413 FKM655413 FUI655413 GEE655413 GOA655413 GXW655413 HHS655413 HRO655413 IBK655413 ILG655413 IVC655413 JEY655413 JOU655413 JYQ655413 KIM655413 KSI655413 LCE655413 LMA655413 LVW655413 MFS655413 MPO655413 MZK655413 NJG655413 NTC655413 OCY655413 OMU655413 OWQ655413 PGM655413 PQI655413 QAE655413 QKA655413 QTW655413 RDS655413 RNO655413 RXK655413 SHG655413 SRC655413 TAY655413 TKU655413 TUQ655413 UEM655413 UOI655413 UYE655413 VIA655413 VRW655413 WBS655413 WLO655413 WVK655413 C720949 IY720949 SU720949 ACQ720949 AMM720949 AWI720949 BGE720949 BQA720949 BZW720949 CJS720949 CTO720949 DDK720949 DNG720949 DXC720949 EGY720949 EQU720949 FAQ720949 FKM720949 FUI720949 GEE720949 GOA720949 GXW720949 HHS720949 HRO720949 IBK720949 ILG720949 IVC720949 JEY720949 JOU720949 JYQ720949 KIM720949 KSI720949 LCE720949 LMA720949 LVW720949 MFS720949 MPO720949 MZK720949 NJG720949 NTC720949 OCY720949 OMU720949 OWQ720949 PGM720949 PQI720949 QAE720949 QKA720949 QTW720949 RDS720949 RNO720949 RXK720949 SHG720949 SRC720949 TAY720949 TKU720949 TUQ720949 UEM720949 UOI720949 UYE720949 VIA720949 VRW720949 WBS720949 WLO720949 WVK720949 C786485 IY786485 SU786485 ACQ786485 AMM786485 AWI786485 BGE786485 BQA786485 BZW786485 CJS786485 CTO786485 DDK786485 DNG786485 DXC786485 EGY786485 EQU786485 FAQ786485 FKM786485 FUI786485 GEE786485 GOA786485 GXW786485 HHS786485 HRO786485 IBK786485 ILG786485 IVC786485 JEY786485 JOU786485 JYQ786485 KIM786485 KSI786485 LCE786485 LMA786485 LVW786485 MFS786485 MPO786485 MZK786485 NJG786485 NTC786485 OCY786485 OMU786485 OWQ786485 PGM786485 PQI786485 QAE786485 QKA786485 QTW786485 RDS786485 RNO786485 RXK786485 SHG786485 SRC786485 TAY786485 TKU786485 TUQ786485 UEM786485 UOI786485 UYE786485 VIA786485 VRW786485 WBS786485 WLO786485 WVK786485 C852021 IY852021 SU852021 ACQ852021 AMM852021 AWI852021 BGE852021 BQA852021 BZW852021 CJS852021 CTO852021 DDK852021 DNG852021 DXC852021 EGY852021 EQU852021 FAQ852021 FKM852021 FUI852021 GEE852021 GOA852021 GXW852021 HHS852021 HRO852021 IBK852021 ILG852021 IVC852021 JEY852021 JOU852021 JYQ852021 KIM852021 KSI852021 LCE852021 LMA852021 LVW852021 MFS852021 MPO852021 MZK852021 NJG852021 NTC852021 OCY852021 OMU852021 OWQ852021 PGM852021 PQI852021 QAE852021 QKA852021 QTW852021 RDS852021 RNO852021 RXK852021 SHG852021 SRC852021 TAY852021 TKU852021 TUQ852021 UEM852021 UOI852021 UYE852021 VIA852021 VRW852021 WBS852021 WLO852021 WVK852021 C917557 IY917557 SU917557 ACQ917557 AMM917557 AWI917557 BGE917557 BQA917557 BZW917557 CJS917557 CTO917557 DDK917557 DNG917557 DXC917557 EGY917557 EQU917557 FAQ917557 FKM917557 FUI917557 GEE917557 GOA917557 GXW917557 HHS917557 HRO917557 IBK917557 ILG917557 IVC917557 JEY917557 JOU917557 JYQ917557 KIM917557 KSI917557 LCE917557 LMA917557 LVW917557 MFS917557 MPO917557 MZK917557 NJG917557 NTC917557 OCY917557 OMU917557 OWQ917557 PGM917557 PQI917557 QAE917557 QKA917557 QTW917557 RDS917557 RNO917557 RXK917557 SHG917557 SRC917557 TAY917557 TKU917557 TUQ917557 UEM917557 UOI917557 UYE917557 VIA917557 VRW917557 WBS917557 WLO917557 WVK917557 C983093 IY983093 SU983093 ACQ983093 AMM983093 AWI983093 BGE983093 BQA983093 BZW983093 CJS983093 CTO983093 DDK983093 DNG983093 DXC983093 EGY983093 EQU983093 FAQ983093 FKM983093 FUI983093 GEE983093 GOA983093 GXW983093 HHS983093 HRO983093 IBK983093 ILG983093 IVC983093 JEY983093 JOU983093 JYQ983093 KIM983093 KSI983093 LCE983093 LMA983093 LVW983093 MFS983093 MPO983093 MZK983093 NJG983093 NTC983093 OCY983093 OMU983093 OWQ983093 PGM983093 PQI983093 QAE983093 QKA983093 QTW983093 RDS983093 RNO983093 RXK983093 SHG983093 SRC983093 TAY983093 TKU983093 TUQ983093 UEM983093 UOI983093 UYE983093 VIA983093 VRW983093 WBS983093 WLO983093 WVK983093" xr:uid="{C344FCD7-86D3-4D32-BBEF-4CBA3C3B902A}">
      <formula1>Link</formula1>
    </dataValidation>
    <dataValidation type="list" allowBlank="1" showInputMessage="1" showErrorMessage="1" prompt="1.50 generally._x000a_1.65 typical if cast against ground." sqref="C27 IY27 SU27 ACQ27 AMM27 AWI27 BGE27 BQA27 BZW27 CJS27 CTO27 DDK27 DNG27 DXC27 EGY27 EQU27 FAQ27 FKM27 FUI27 GEE27 GOA27 GXW27 HHS27 HRO27 IBK27 ILG27 IVC27 JEY27 JOU27 JYQ27 KIM27 KSI27 LCE27 LMA27 LVW27 MFS27 MPO27 MZK27 NJG27 NTC27 OCY27 OMU27 OWQ27 PGM27 PQI27 QAE27 QKA27 QTW27 RDS27 RNO27 RXK27 SHG27 SRC27 TAY27 TKU27 TUQ27 UEM27 UOI27 UYE27 VIA27 VRW27 WBS27 WLO27 WVK27 C65568 IY65568 SU65568 ACQ65568 AMM65568 AWI65568 BGE65568 BQA65568 BZW65568 CJS65568 CTO65568 DDK65568 DNG65568 DXC65568 EGY65568 EQU65568 FAQ65568 FKM65568 FUI65568 GEE65568 GOA65568 GXW65568 HHS65568 HRO65568 IBK65568 ILG65568 IVC65568 JEY65568 JOU65568 JYQ65568 KIM65568 KSI65568 LCE65568 LMA65568 LVW65568 MFS65568 MPO65568 MZK65568 NJG65568 NTC65568 OCY65568 OMU65568 OWQ65568 PGM65568 PQI65568 QAE65568 QKA65568 QTW65568 RDS65568 RNO65568 RXK65568 SHG65568 SRC65568 TAY65568 TKU65568 TUQ65568 UEM65568 UOI65568 UYE65568 VIA65568 VRW65568 WBS65568 WLO65568 WVK65568 C131104 IY131104 SU131104 ACQ131104 AMM131104 AWI131104 BGE131104 BQA131104 BZW131104 CJS131104 CTO131104 DDK131104 DNG131104 DXC131104 EGY131104 EQU131104 FAQ131104 FKM131104 FUI131104 GEE131104 GOA131104 GXW131104 HHS131104 HRO131104 IBK131104 ILG131104 IVC131104 JEY131104 JOU131104 JYQ131104 KIM131104 KSI131104 LCE131104 LMA131104 LVW131104 MFS131104 MPO131104 MZK131104 NJG131104 NTC131104 OCY131104 OMU131104 OWQ131104 PGM131104 PQI131104 QAE131104 QKA131104 QTW131104 RDS131104 RNO131104 RXK131104 SHG131104 SRC131104 TAY131104 TKU131104 TUQ131104 UEM131104 UOI131104 UYE131104 VIA131104 VRW131104 WBS131104 WLO131104 WVK131104 C196640 IY196640 SU196640 ACQ196640 AMM196640 AWI196640 BGE196640 BQA196640 BZW196640 CJS196640 CTO196640 DDK196640 DNG196640 DXC196640 EGY196640 EQU196640 FAQ196640 FKM196640 FUI196640 GEE196640 GOA196640 GXW196640 HHS196640 HRO196640 IBK196640 ILG196640 IVC196640 JEY196640 JOU196640 JYQ196640 KIM196640 KSI196640 LCE196640 LMA196640 LVW196640 MFS196640 MPO196640 MZK196640 NJG196640 NTC196640 OCY196640 OMU196640 OWQ196640 PGM196640 PQI196640 QAE196640 QKA196640 QTW196640 RDS196640 RNO196640 RXK196640 SHG196640 SRC196640 TAY196640 TKU196640 TUQ196640 UEM196640 UOI196640 UYE196640 VIA196640 VRW196640 WBS196640 WLO196640 WVK196640 C262176 IY262176 SU262176 ACQ262176 AMM262176 AWI262176 BGE262176 BQA262176 BZW262176 CJS262176 CTO262176 DDK262176 DNG262176 DXC262176 EGY262176 EQU262176 FAQ262176 FKM262176 FUI262176 GEE262176 GOA262176 GXW262176 HHS262176 HRO262176 IBK262176 ILG262176 IVC262176 JEY262176 JOU262176 JYQ262176 KIM262176 KSI262176 LCE262176 LMA262176 LVW262176 MFS262176 MPO262176 MZK262176 NJG262176 NTC262176 OCY262176 OMU262176 OWQ262176 PGM262176 PQI262176 QAE262176 QKA262176 QTW262176 RDS262176 RNO262176 RXK262176 SHG262176 SRC262176 TAY262176 TKU262176 TUQ262176 UEM262176 UOI262176 UYE262176 VIA262176 VRW262176 WBS262176 WLO262176 WVK262176 C327712 IY327712 SU327712 ACQ327712 AMM327712 AWI327712 BGE327712 BQA327712 BZW327712 CJS327712 CTO327712 DDK327712 DNG327712 DXC327712 EGY327712 EQU327712 FAQ327712 FKM327712 FUI327712 GEE327712 GOA327712 GXW327712 HHS327712 HRO327712 IBK327712 ILG327712 IVC327712 JEY327712 JOU327712 JYQ327712 KIM327712 KSI327712 LCE327712 LMA327712 LVW327712 MFS327712 MPO327712 MZK327712 NJG327712 NTC327712 OCY327712 OMU327712 OWQ327712 PGM327712 PQI327712 QAE327712 QKA327712 QTW327712 RDS327712 RNO327712 RXK327712 SHG327712 SRC327712 TAY327712 TKU327712 TUQ327712 UEM327712 UOI327712 UYE327712 VIA327712 VRW327712 WBS327712 WLO327712 WVK327712 C393248 IY393248 SU393248 ACQ393248 AMM393248 AWI393248 BGE393248 BQA393248 BZW393248 CJS393248 CTO393248 DDK393248 DNG393248 DXC393248 EGY393248 EQU393248 FAQ393248 FKM393248 FUI393248 GEE393248 GOA393248 GXW393248 HHS393248 HRO393248 IBK393248 ILG393248 IVC393248 JEY393248 JOU393248 JYQ393248 KIM393248 KSI393248 LCE393248 LMA393248 LVW393248 MFS393248 MPO393248 MZK393248 NJG393248 NTC393248 OCY393248 OMU393248 OWQ393248 PGM393248 PQI393248 QAE393248 QKA393248 QTW393248 RDS393248 RNO393248 RXK393248 SHG393248 SRC393248 TAY393248 TKU393248 TUQ393248 UEM393248 UOI393248 UYE393248 VIA393248 VRW393248 WBS393248 WLO393248 WVK393248 C458784 IY458784 SU458784 ACQ458784 AMM458784 AWI458784 BGE458784 BQA458784 BZW458784 CJS458784 CTO458784 DDK458784 DNG458784 DXC458784 EGY458784 EQU458784 FAQ458784 FKM458784 FUI458784 GEE458784 GOA458784 GXW458784 HHS458784 HRO458784 IBK458784 ILG458784 IVC458784 JEY458784 JOU458784 JYQ458784 KIM458784 KSI458784 LCE458784 LMA458784 LVW458784 MFS458784 MPO458784 MZK458784 NJG458784 NTC458784 OCY458784 OMU458784 OWQ458784 PGM458784 PQI458784 QAE458784 QKA458784 QTW458784 RDS458784 RNO458784 RXK458784 SHG458784 SRC458784 TAY458784 TKU458784 TUQ458784 UEM458784 UOI458784 UYE458784 VIA458784 VRW458784 WBS458784 WLO458784 WVK458784 C524320 IY524320 SU524320 ACQ524320 AMM524320 AWI524320 BGE524320 BQA524320 BZW524320 CJS524320 CTO524320 DDK524320 DNG524320 DXC524320 EGY524320 EQU524320 FAQ524320 FKM524320 FUI524320 GEE524320 GOA524320 GXW524320 HHS524320 HRO524320 IBK524320 ILG524320 IVC524320 JEY524320 JOU524320 JYQ524320 KIM524320 KSI524320 LCE524320 LMA524320 LVW524320 MFS524320 MPO524320 MZK524320 NJG524320 NTC524320 OCY524320 OMU524320 OWQ524320 PGM524320 PQI524320 QAE524320 QKA524320 QTW524320 RDS524320 RNO524320 RXK524320 SHG524320 SRC524320 TAY524320 TKU524320 TUQ524320 UEM524320 UOI524320 UYE524320 VIA524320 VRW524320 WBS524320 WLO524320 WVK524320 C589856 IY589856 SU589856 ACQ589856 AMM589856 AWI589856 BGE589856 BQA589856 BZW589856 CJS589856 CTO589856 DDK589856 DNG589856 DXC589856 EGY589856 EQU589856 FAQ589856 FKM589856 FUI589856 GEE589856 GOA589856 GXW589856 HHS589856 HRO589856 IBK589856 ILG589856 IVC589856 JEY589856 JOU589856 JYQ589856 KIM589856 KSI589856 LCE589856 LMA589856 LVW589856 MFS589856 MPO589856 MZK589856 NJG589856 NTC589856 OCY589856 OMU589856 OWQ589856 PGM589856 PQI589856 QAE589856 QKA589856 QTW589856 RDS589856 RNO589856 RXK589856 SHG589856 SRC589856 TAY589856 TKU589856 TUQ589856 UEM589856 UOI589856 UYE589856 VIA589856 VRW589856 WBS589856 WLO589856 WVK589856 C655392 IY655392 SU655392 ACQ655392 AMM655392 AWI655392 BGE655392 BQA655392 BZW655392 CJS655392 CTO655392 DDK655392 DNG655392 DXC655392 EGY655392 EQU655392 FAQ655392 FKM655392 FUI655392 GEE655392 GOA655392 GXW655392 HHS655392 HRO655392 IBK655392 ILG655392 IVC655392 JEY655392 JOU655392 JYQ655392 KIM655392 KSI655392 LCE655392 LMA655392 LVW655392 MFS655392 MPO655392 MZK655392 NJG655392 NTC655392 OCY655392 OMU655392 OWQ655392 PGM655392 PQI655392 QAE655392 QKA655392 QTW655392 RDS655392 RNO655392 RXK655392 SHG655392 SRC655392 TAY655392 TKU655392 TUQ655392 UEM655392 UOI655392 UYE655392 VIA655392 VRW655392 WBS655392 WLO655392 WVK655392 C720928 IY720928 SU720928 ACQ720928 AMM720928 AWI720928 BGE720928 BQA720928 BZW720928 CJS720928 CTO720928 DDK720928 DNG720928 DXC720928 EGY720928 EQU720928 FAQ720928 FKM720928 FUI720928 GEE720928 GOA720928 GXW720928 HHS720928 HRO720928 IBK720928 ILG720928 IVC720928 JEY720928 JOU720928 JYQ720928 KIM720928 KSI720928 LCE720928 LMA720928 LVW720928 MFS720928 MPO720928 MZK720928 NJG720928 NTC720928 OCY720928 OMU720928 OWQ720928 PGM720928 PQI720928 QAE720928 QKA720928 QTW720928 RDS720928 RNO720928 RXK720928 SHG720928 SRC720928 TAY720928 TKU720928 TUQ720928 UEM720928 UOI720928 UYE720928 VIA720928 VRW720928 WBS720928 WLO720928 WVK720928 C786464 IY786464 SU786464 ACQ786464 AMM786464 AWI786464 BGE786464 BQA786464 BZW786464 CJS786464 CTO786464 DDK786464 DNG786464 DXC786464 EGY786464 EQU786464 FAQ786464 FKM786464 FUI786464 GEE786464 GOA786464 GXW786464 HHS786464 HRO786464 IBK786464 ILG786464 IVC786464 JEY786464 JOU786464 JYQ786464 KIM786464 KSI786464 LCE786464 LMA786464 LVW786464 MFS786464 MPO786464 MZK786464 NJG786464 NTC786464 OCY786464 OMU786464 OWQ786464 PGM786464 PQI786464 QAE786464 QKA786464 QTW786464 RDS786464 RNO786464 RXK786464 SHG786464 SRC786464 TAY786464 TKU786464 TUQ786464 UEM786464 UOI786464 UYE786464 VIA786464 VRW786464 WBS786464 WLO786464 WVK786464 C852000 IY852000 SU852000 ACQ852000 AMM852000 AWI852000 BGE852000 BQA852000 BZW852000 CJS852000 CTO852000 DDK852000 DNG852000 DXC852000 EGY852000 EQU852000 FAQ852000 FKM852000 FUI852000 GEE852000 GOA852000 GXW852000 HHS852000 HRO852000 IBK852000 ILG852000 IVC852000 JEY852000 JOU852000 JYQ852000 KIM852000 KSI852000 LCE852000 LMA852000 LVW852000 MFS852000 MPO852000 MZK852000 NJG852000 NTC852000 OCY852000 OMU852000 OWQ852000 PGM852000 PQI852000 QAE852000 QKA852000 QTW852000 RDS852000 RNO852000 RXK852000 SHG852000 SRC852000 TAY852000 TKU852000 TUQ852000 UEM852000 UOI852000 UYE852000 VIA852000 VRW852000 WBS852000 WLO852000 WVK852000 C917536 IY917536 SU917536 ACQ917536 AMM917536 AWI917536 BGE917536 BQA917536 BZW917536 CJS917536 CTO917536 DDK917536 DNG917536 DXC917536 EGY917536 EQU917536 FAQ917536 FKM917536 FUI917536 GEE917536 GOA917536 GXW917536 HHS917536 HRO917536 IBK917536 ILG917536 IVC917536 JEY917536 JOU917536 JYQ917536 KIM917536 KSI917536 LCE917536 LMA917536 LVW917536 MFS917536 MPO917536 MZK917536 NJG917536 NTC917536 OCY917536 OMU917536 OWQ917536 PGM917536 PQI917536 QAE917536 QKA917536 QTW917536 RDS917536 RNO917536 RXK917536 SHG917536 SRC917536 TAY917536 TKU917536 TUQ917536 UEM917536 UOI917536 UYE917536 VIA917536 VRW917536 WBS917536 WLO917536 WVK917536 C983072 IY983072 SU983072 ACQ983072 AMM983072 AWI983072 BGE983072 BQA983072 BZW983072 CJS983072 CTO983072 DDK983072 DNG983072 DXC983072 EGY983072 EQU983072 FAQ983072 FKM983072 FUI983072 GEE983072 GOA983072 GXW983072 HHS983072 HRO983072 IBK983072 ILG983072 IVC983072 JEY983072 JOU983072 JYQ983072 KIM983072 KSI983072 LCE983072 LMA983072 LVW983072 MFS983072 MPO983072 MZK983072 NJG983072 NTC983072 OCY983072 OMU983072 OWQ983072 PGM983072 PQI983072 QAE983072 QKA983072 QTW983072 RDS983072 RNO983072 RXK983072 SHG983072 SRC983072 TAY983072 TKU983072 TUQ983072 UEM983072 UOI983072 UYE983072 VIA983072 VRW983072 WBS983072 WLO983072 WVK983072" xr:uid="{0BBF6226-54C1-492D-8794-98D2B4E0F39D}">
      <formula1>GammaC</formula1>
    </dataValidation>
    <dataValidation type="list" allowBlank="1" showInputMessage="1" showErrorMessage="1" promptTitle="Alpha.cc" prompt="Widely accepted = 1.0 for shear where multiplying fcd by nu1_x000a__x000a_However, NA to BS EN1992-1-1 is not explicit on this. Some references suggest = 0.85" sqref="C30 IY30 SU30 ACQ30 AMM30 AWI30 BGE30 BQA30 BZW30 CJS30 CTO30 DDK30 DNG30 DXC30 EGY30 EQU30 FAQ30 FKM30 FUI30 GEE30 GOA30 GXW30 HHS30 HRO30 IBK30 ILG30 IVC30 JEY30 JOU30 JYQ30 KIM30 KSI30 LCE30 LMA30 LVW30 MFS30 MPO30 MZK30 NJG30 NTC30 OCY30 OMU30 OWQ30 PGM30 PQI30 QAE30 QKA30 QTW30 RDS30 RNO30 RXK30 SHG30 SRC30 TAY30 TKU30 TUQ30 UEM30 UOI30 UYE30 VIA30 VRW30 WBS30 WLO30 WVK30 C65571 IY65571 SU65571 ACQ65571 AMM65571 AWI65571 BGE65571 BQA65571 BZW65571 CJS65571 CTO65571 DDK65571 DNG65571 DXC65571 EGY65571 EQU65571 FAQ65571 FKM65571 FUI65571 GEE65571 GOA65571 GXW65571 HHS65571 HRO65571 IBK65571 ILG65571 IVC65571 JEY65571 JOU65571 JYQ65571 KIM65571 KSI65571 LCE65571 LMA65571 LVW65571 MFS65571 MPO65571 MZK65571 NJG65571 NTC65571 OCY65571 OMU65571 OWQ65571 PGM65571 PQI65571 QAE65571 QKA65571 QTW65571 RDS65571 RNO65571 RXK65571 SHG65571 SRC65571 TAY65571 TKU65571 TUQ65571 UEM65571 UOI65571 UYE65571 VIA65571 VRW65571 WBS65571 WLO65571 WVK65571 C131107 IY131107 SU131107 ACQ131107 AMM131107 AWI131107 BGE131107 BQA131107 BZW131107 CJS131107 CTO131107 DDK131107 DNG131107 DXC131107 EGY131107 EQU131107 FAQ131107 FKM131107 FUI131107 GEE131107 GOA131107 GXW131107 HHS131107 HRO131107 IBK131107 ILG131107 IVC131107 JEY131107 JOU131107 JYQ131107 KIM131107 KSI131107 LCE131107 LMA131107 LVW131107 MFS131107 MPO131107 MZK131107 NJG131107 NTC131107 OCY131107 OMU131107 OWQ131107 PGM131107 PQI131107 QAE131107 QKA131107 QTW131107 RDS131107 RNO131107 RXK131107 SHG131107 SRC131107 TAY131107 TKU131107 TUQ131107 UEM131107 UOI131107 UYE131107 VIA131107 VRW131107 WBS131107 WLO131107 WVK131107 C196643 IY196643 SU196643 ACQ196643 AMM196643 AWI196643 BGE196643 BQA196643 BZW196643 CJS196643 CTO196643 DDK196643 DNG196643 DXC196643 EGY196643 EQU196643 FAQ196643 FKM196643 FUI196643 GEE196643 GOA196643 GXW196643 HHS196643 HRO196643 IBK196643 ILG196643 IVC196643 JEY196643 JOU196643 JYQ196643 KIM196643 KSI196643 LCE196643 LMA196643 LVW196643 MFS196643 MPO196643 MZK196643 NJG196643 NTC196643 OCY196643 OMU196643 OWQ196643 PGM196643 PQI196643 QAE196643 QKA196643 QTW196643 RDS196643 RNO196643 RXK196643 SHG196643 SRC196643 TAY196643 TKU196643 TUQ196643 UEM196643 UOI196643 UYE196643 VIA196643 VRW196643 WBS196643 WLO196643 WVK196643 C262179 IY262179 SU262179 ACQ262179 AMM262179 AWI262179 BGE262179 BQA262179 BZW262179 CJS262179 CTO262179 DDK262179 DNG262179 DXC262179 EGY262179 EQU262179 FAQ262179 FKM262179 FUI262179 GEE262179 GOA262179 GXW262179 HHS262179 HRO262179 IBK262179 ILG262179 IVC262179 JEY262179 JOU262179 JYQ262179 KIM262179 KSI262179 LCE262179 LMA262179 LVW262179 MFS262179 MPO262179 MZK262179 NJG262179 NTC262179 OCY262179 OMU262179 OWQ262179 PGM262179 PQI262179 QAE262179 QKA262179 QTW262179 RDS262179 RNO262179 RXK262179 SHG262179 SRC262179 TAY262179 TKU262179 TUQ262179 UEM262179 UOI262179 UYE262179 VIA262179 VRW262179 WBS262179 WLO262179 WVK262179 C327715 IY327715 SU327715 ACQ327715 AMM327715 AWI327715 BGE327715 BQA327715 BZW327715 CJS327715 CTO327715 DDK327715 DNG327715 DXC327715 EGY327715 EQU327715 FAQ327715 FKM327715 FUI327715 GEE327715 GOA327715 GXW327715 HHS327715 HRO327715 IBK327715 ILG327715 IVC327715 JEY327715 JOU327715 JYQ327715 KIM327715 KSI327715 LCE327715 LMA327715 LVW327715 MFS327715 MPO327715 MZK327715 NJG327715 NTC327715 OCY327715 OMU327715 OWQ327715 PGM327715 PQI327715 QAE327715 QKA327715 QTW327715 RDS327715 RNO327715 RXK327715 SHG327715 SRC327715 TAY327715 TKU327715 TUQ327715 UEM327715 UOI327715 UYE327715 VIA327715 VRW327715 WBS327715 WLO327715 WVK327715 C393251 IY393251 SU393251 ACQ393251 AMM393251 AWI393251 BGE393251 BQA393251 BZW393251 CJS393251 CTO393251 DDK393251 DNG393251 DXC393251 EGY393251 EQU393251 FAQ393251 FKM393251 FUI393251 GEE393251 GOA393251 GXW393251 HHS393251 HRO393251 IBK393251 ILG393251 IVC393251 JEY393251 JOU393251 JYQ393251 KIM393251 KSI393251 LCE393251 LMA393251 LVW393251 MFS393251 MPO393251 MZK393251 NJG393251 NTC393251 OCY393251 OMU393251 OWQ393251 PGM393251 PQI393251 QAE393251 QKA393251 QTW393251 RDS393251 RNO393251 RXK393251 SHG393251 SRC393251 TAY393251 TKU393251 TUQ393251 UEM393251 UOI393251 UYE393251 VIA393251 VRW393251 WBS393251 WLO393251 WVK393251 C458787 IY458787 SU458787 ACQ458787 AMM458787 AWI458787 BGE458787 BQA458787 BZW458787 CJS458787 CTO458787 DDK458787 DNG458787 DXC458787 EGY458787 EQU458787 FAQ458787 FKM458787 FUI458787 GEE458787 GOA458787 GXW458787 HHS458787 HRO458787 IBK458787 ILG458787 IVC458787 JEY458787 JOU458787 JYQ458787 KIM458787 KSI458787 LCE458787 LMA458787 LVW458787 MFS458787 MPO458787 MZK458787 NJG458787 NTC458787 OCY458787 OMU458787 OWQ458787 PGM458787 PQI458787 QAE458787 QKA458787 QTW458787 RDS458787 RNO458787 RXK458787 SHG458787 SRC458787 TAY458787 TKU458787 TUQ458787 UEM458787 UOI458787 UYE458787 VIA458787 VRW458787 WBS458787 WLO458787 WVK458787 C524323 IY524323 SU524323 ACQ524323 AMM524323 AWI524323 BGE524323 BQA524323 BZW524323 CJS524323 CTO524323 DDK524323 DNG524323 DXC524323 EGY524323 EQU524323 FAQ524323 FKM524323 FUI524323 GEE524323 GOA524323 GXW524323 HHS524323 HRO524323 IBK524323 ILG524323 IVC524323 JEY524323 JOU524323 JYQ524323 KIM524323 KSI524323 LCE524323 LMA524323 LVW524323 MFS524323 MPO524323 MZK524323 NJG524323 NTC524323 OCY524323 OMU524323 OWQ524323 PGM524323 PQI524323 QAE524323 QKA524323 QTW524323 RDS524323 RNO524323 RXK524323 SHG524323 SRC524323 TAY524323 TKU524323 TUQ524323 UEM524323 UOI524323 UYE524323 VIA524323 VRW524323 WBS524323 WLO524323 WVK524323 C589859 IY589859 SU589859 ACQ589859 AMM589859 AWI589859 BGE589859 BQA589859 BZW589859 CJS589859 CTO589859 DDK589859 DNG589859 DXC589859 EGY589859 EQU589859 FAQ589859 FKM589859 FUI589859 GEE589859 GOA589859 GXW589859 HHS589859 HRO589859 IBK589859 ILG589859 IVC589859 JEY589859 JOU589859 JYQ589859 KIM589859 KSI589859 LCE589859 LMA589859 LVW589859 MFS589859 MPO589859 MZK589859 NJG589859 NTC589859 OCY589859 OMU589859 OWQ589859 PGM589859 PQI589859 QAE589859 QKA589859 QTW589859 RDS589859 RNO589859 RXK589859 SHG589859 SRC589859 TAY589859 TKU589859 TUQ589859 UEM589859 UOI589859 UYE589859 VIA589859 VRW589859 WBS589859 WLO589859 WVK589859 C655395 IY655395 SU655395 ACQ655395 AMM655395 AWI655395 BGE655395 BQA655395 BZW655395 CJS655395 CTO655395 DDK655395 DNG655395 DXC655395 EGY655395 EQU655395 FAQ655395 FKM655395 FUI655395 GEE655395 GOA655395 GXW655395 HHS655395 HRO655395 IBK655395 ILG655395 IVC655395 JEY655395 JOU655395 JYQ655395 KIM655395 KSI655395 LCE655395 LMA655395 LVW655395 MFS655395 MPO655395 MZK655395 NJG655395 NTC655395 OCY655395 OMU655395 OWQ655395 PGM655395 PQI655395 QAE655395 QKA655395 QTW655395 RDS655395 RNO655395 RXK655395 SHG655395 SRC655395 TAY655395 TKU655395 TUQ655395 UEM655395 UOI655395 UYE655395 VIA655395 VRW655395 WBS655395 WLO655395 WVK655395 C720931 IY720931 SU720931 ACQ720931 AMM720931 AWI720931 BGE720931 BQA720931 BZW720931 CJS720931 CTO720931 DDK720931 DNG720931 DXC720931 EGY720931 EQU720931 FAQ720931 FKM720931 FUI720931 GEE720931 GOA720931 GXW720931 HHS720931 HRO720931 IBK720931 ILG720931 IVC720931 JEY720931 JOU720931 JYQ720931 KIM720931 KSI720931 LCE720931 LMA720931 LVW720931 MFS720931 MPO720931 MZK720931 NJG720931 NTC720931 OCY720931 OMU720931 OWQ720931 PGM720931 PQI720931 QAE720931 QKA720931 QTW720931 RDS720931 RNO720931 RXK720931 SHG720931 SRC720931 TAY720931 TKU720931 TUQ720931 UEM720931 UOI720931 UYE720931 VIA720931 VRW720931 WBS720931 WLO720931 WVK720931 C786467 IY786467 SU786467 ACQ786467 AMM786467 AWI786467 BGE786467 BQA786467 BZW786467 CJS786467 CTO786467 DDK786467 DNG786467 DXC786467 EGY786467 EQU786467 FAQ786467 FKM786467 FUI786467 GEE786467 GOA786467 GXW786467 HHS786467 HRO786467 IBK786467 ILG786467 IVC786467 JEY786467 JOU786467 JYQ786467 KIM786467 KSI786467 LCE786467 LMA786467 LVW786467 MFS786467 MPO786467 MZK786467 NJG786467 NTC786467 OCY786467 OMU786467 OWQ786467 PGM786467 PQI786467 QAE786467 QKA786467 QTW786467 RDS786467 RNO786467 RXK786467 SHG786467 SRC786467 TAY786467 TKU786467 TUQ786467 UEM786467 UOI786467 UYE786467 VIA786467 VRW786467 WBS786467 WLO786467 WVK786467 C852003 IY852003 SU852003 ACQ852003 AMM852003 AWI852003 BGE852003 BQA852003 BZW852003 CJS852003 CTO852003 DDK852003 DNG852003 DXC852003 EGY852003 EQU852003 FAQ852003 FKM852003 FUI852003 GEE852003 GOA852003 GXW852003 HHS852003 HRO852003 IBK852003 ILG852003 IVC852003 JEY852003 JOU852003 JYQ852003 KIM852003 KSI852003 LCE852003 LMA852003 LVW852003 MFS852003 MPO852003 MZK852003 NJG852003 NTC852003 OCY852003 OMU852003 OWQ852003 PGM852003 PQI852003 QAE852003 QKA852003 QTW852003 RDS852003 RNO852003 RXK852003 SHG852003 SRC852003 TAY852003 TKU852003 TUQ852003 UEM852003 UOI852003 UYE852003 VIA852003 VRW852003 WBS852003 WLO852003 WVK852003 C917539 IY917539 SU917539 ACQ917539 AMM917539 AWI917539 BGE917539 BQA917539 BZW917539 CJS917539 CTO917539 DDK917539 DNG917539 DXC917539 EGY917539 EQU917539 FAQ917539 FKM917539 FUI917539 GEE917539 GOA917539 GXW917539 HHS917539 HRO917539 IBK917539 ILG917539 IVC917539 JEY917539 JOU917539 JYQ917539 KIM917539 KSI917539 LCE917539 LMA917539 LVW917539 MFS917539 MPO917539 MZK917539 NJG917539 NTC917539 OCY917539 OMU917539 OWQ917539 PGM917539 PQI917539 QAE917539 QKA917539 QTW917539 RDS917539 RNO917539 RXK917539 SHG917539 SRC917539 TAY917539 TKU917539 TUQ917539 UEM917539 UOI917539 UYE917539 VIA917539 VRW917539 WBS917539 WLO917539 WVK917539 C983075 IY983075 SU983075 ACQ983075 AMM983075 AWI983075 BGE983075 BQA983075 BZW983075 CJS983075 CTO983075 DDK983075 DNG983075 DXC983075 EGY983075 EQU983075 FAQ983075 FKM983075 FUI983075 GEE983075 GOA983075 GXW983075 HHS983075 HRO983075 IBK983075 ILG983075 IVC983075 JEY983075 JOU983075 JYQ983075 KIM983075 KSI983075 LCE983075 LMA983075 LVW983075 MFS983075 MPO983075 MZK983075 NJG983075 NTC983075 OCY983075 OMU983075 OWQ983075 PGM983075 PQI983075 QAE983075 QKA983075 QTW983075 RDS983075 RNO983075 RXK983075 SHG983075 SRC983075 TAY983075 TKU983075 TUQ983075 UEM983075 UOI983075 UYE983075 VIA983075 VRW983075 WBS983075 WLO983075 WVK983075" xr:uid="{26E64C6E-E0ED-4802-AC0E-BBFFD4B1A414}">
      <formula1>alphacc</formula1>
    </dataValidation>
  </dataValidations>
  <pageMargins left="0.86614173228346458" right="0.78740157480314965" top="0.70866141732283472" bottom="0.39370078740157483" header="0.55118110236220474" footer="0.19685039370078741"/>
  <pageSetup paperSize="9" scale="70" orientation="portrait" r:id="rId1"/>
  <headerFooter>
    <oddFooter>&amp;L&amp;8&amp;Z&amp;F
&amp;F&amp;R&amp;8&amp;T &amp;D</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40EF4-B629-4FB6-A0A2-43E71E087446}">
  <sheetPr codeName="Sheet4">
    <tabColor theme="5" tint="0.39997558519241921"/>
    <pageSetUpPr fitToPage="1"/>
  </sheetPr>
  <dimension ref="A1:R116"/>
  <sheetViews>
    <sheetView showGridLines="0" view="pageBreakPreview" topLeftCell="A25" zoomScaleNormal="100" zoomScaleSheetLayoutView="100" workbookViewId="0">
      <selection activeCell="C56" sqref="C56"/>
    </sheetView>
  </sheetViews>
  <sheetFormatPr defaultColWidth="9.140625" defaultRowHeight="12.75"/>
  <cols>
    <col min="1" max="1" width="11" style="4" customWidth="1"/>
    <col min="2" max="3" width="12.5703125" style="4" customWidth="1"/>
    <col min="4" max="4" width="11" style="4" customWidth="1"/>
    <col min="5" max="5" width="8.42578125" style="4" customWidth="1"/>
    <col min="6" max="6" width="11.42578125" style="4" customWidth="1"/>
    <col min="7" max="7" width="1.85546875" style="4" customWidth="1"/>
    <col min="8" max="8" width="8.42578125" style="4" customWidth="1"/>
    <col min="9" max="9" width="11.42578125" style="4" customWidth="1"/>
    <col min="10" max="11" width="10.42578125" style="4" customWidth="1"/>
    <col min="12" max="12" width="10.5703125" style="4" customWidth="1"/>
    <col min="13" max="13" width="10" style="4" customWidth="1"/>
    <col min="14" max="14" width="11" style="4" bestFit="1" customWidth="1"/>
    <col min="15" max="15" width="12" style="4" customWidth="1"/>
    <col min="16" max="16" width="11.140625" style="4" customWidth="1"/>
    <col min="17" max="17" width="9.5703125" style="4" customWidth="1"/>
    <col min="18" max="18" width="10.42578125" style="4" customWidth="1"/>
    <col min="19" max="19" width="8.5703125" style="4" customWidth="1"/>
    <col min="20" max="20" width="11" style="4" customWidth="1"/>
    <col min="21" max="21" width="13.42578125" style="4" bestFit="1" customWidth="1"/>
    <col min="22" max="22" width="9.42578125" style="4" customWidth="1"/>
    <col min="23" max="23" width="7.5703125" style="4" customWidth="1"/>
    <col min="24" max="24" width="11.42578125" style="4" customWidth="1"/>
    <col min="25" max="25" width="9.42578125" style="4" customWidth="1"/>
    <col min="26" max="26" width="11.42578125" style="4" customWidth="1"/>
    <col min="27" max="27" width="13.42578125" style="4" bestFit="1" customWidth="1"/>
    <col min="28" max="28" width="5.5703125" style="4" bestFit="1" customWidth="1"/>
    <col min="29" max="29" width="19.5703125" style="4" bestFit="1" customWidth="1"/>
    <col min="30" max="30" width="1.42578125" style="4" customWidth="1"/>
    <col min="31" max="31" width="13.42578125" style="4" bestFit="1" customWidth="1"/>
    <col min="32" max="32" width="8.5703125" style="4" bestFit="1" customWidth="1"/>
    <col min="33" max="33" width="8.85546875" style="4" bestFit="1" customWidth="1"/>
    <col min="34" max="256" width="9.140625" style="4"/>
    <col min="257" max="257" width="11" style="4" customWidth="1"/>
    <col min="258" max="259" width="12.5703125" style="4" customWidth="1"/>
    <col min="260" max="260" width="11" style="4" customWidth="1"/>
    <col min="261" max="261" width="8.42578125" style="4" customWidth="1"/>
    <col min="262" max="262" width="11.42578125" style="4" customWidth="1"/>
    <col min="263" max="263" width="1.85546875" style="4" customWidth="1"/>
    <col min="264" max="264" width="8.42578125" style="4" customWidth="1"/>
    <col min="265" max="265" width="11.42578125" style="4" customWidth="1"/>
    <col min="266" max="267" width="10.42578125" style="4" customWidth="1"/>
    <col min="268" max="268" width="10.5703125" style="4" customWidth="1"/>
    <col min="269" max="269" width="10" style="4" customWidth="1"/>
    <col min="270" max="270" width="11" style="4" bestFit="1" customWidth="1"/>
    <col min="271" max="271" width="12" style="4" customWidth="1"/>
    <col min="272" max="272" width="11.140625" style="4" customWidth="1"/>
    <col min="273" max="273" width="9.5703125" style="4" customWidth="1"/>
    <col min="274" max="274" width="10.42578125" style="4" customWidth="1"/>
    <col min="275" max="275" width="8.5703125" style="4" customWidth="1"/>
    <col min="276" max="276" width="11" style="4" customWidth="1"/>
    <col min="277" max="277" width="13.42578125" style="4" bestFit="1" customWidth="1"/>
    <col min="278" max="278" width="9.42578125" style="4" customWidth="1"/>
    <col min="279" max="279" width="7.5703125" style="4" customWidth="1"/>
    <col min="280" max="280" width="11.42578125" style="4" customWidth="1"/>
    <col min="281" max="281" width="9.42578125" style="4" customWidth="1"/>
    <col min="282" max="282" width="11.42578125" style="4" customWidth="1"/>
    <col min="283" max="283" width="13.42578125" style="4" bestFit="1" customWidth="1"/>
    <col min="284" max="284" width="5.5703125" style="4" bestFit="1" customWidth="1"/>
    <col min="285" max="285" width="19.5703125" style="4" bestFit="1" customWidth="1"/>
    <col min="286" max="286" width="1.42578125" style="4" customWidth="1"/>
    <col min="287" max="287" width="13.42578125" style="4" bestFit="1" customWidth="1"/>
    <col min="288" max="288" width="8.5703125" style="4" bestFit="1" customWidth="1"/>
    <col min="289" max="289" width="8.85546875" style="4" bestFit="1" customWidth="1"/>
    <col min="290" max="512" width="9.140625" style="4"/>
    <col min="513" max="513" width="11" style="4" customWidth="1"/>
    <col min="514" max="515" width="12.5703125" style="4" customWidth="1"/>
    <col min="516" max="516" width="11" style="4" customWidth="1"/>
    <col min="517" max="517" width="8.42578125" style="4" customWidth="1"/>
    <col min="518" max="518" width="11.42578125" style="4" customWidth="1"/>
    <col min="519" max="519" width="1.85546875" style="4" customWidth="1"/>
    <col min="520" max="520" width="8.42578125" style="4" customWidth="1"/>
    <col min="521" max="521" width="11.42578125" style="4" customWidth="1"/>
    <col min="522" max="523" width="10.42578125" style="4" customWidth="1"/>
    <col min="524" max="524" width="10.5703125" style="4" customWidth="1"/>
    <col min="525" max="525" width="10" style="4" customWidth="1"/>
    <col min="526" max="526" width="11" style="4" bestFit="1" customWidth="1"/>
    <col min="527" max="527" width="12" style="4" customWidth="1"/>
    <col min="528" max="528" width="11.140625" style="4" customWidth="1"/>
    <col min="529" max="529" width="9.5703125" style="4" customWidth="1"/>
    <col min="530" max="530" width="10.42578125" style="4" customWidth="1"/>
    <col min="531" max="531" width="8.5703125" style="4" customWidth="1"/>
    <col min="532" max="532" width="11" style="4" customWidth="1"/>
    <col min="533" max="533" width="13.42578125" style="4" bestFit="1" customWidth="1"/>
    <col min="534" max="534" width="9.42578125" style="4" customWidth="1"/>
    <col min="535" max="535" width="7.5703125" style="4" customWidth="1"/>
    <col min="536" max="536" width="11.42578125" style="4" customWidth="1"/>
    <col min="537" max="537" width="9.42578125" style="4" customWidth="1"/>
    <col min="538" max="538" width="11.42578125" style="4" customWidth="1"/>
    <col min="539" max="539" width="13.42578125" style="4" bestFit="1" customWidth="1"/>
    <col min="540" max="540" width="5.5703125" style="4" bestFit="1" customWidth="1"/>
    <col min="541" max="541" width="19.5703125" style="4" bestFit="1" customWidth="1"/>
    <col min="542" max="542" width="1.42578125" style="4" customWidth="1"/>
    <col min="543" max="543" width="13.42578125" style="4" bestFit="1" customWidth="1"/>
    <col min="544" max="544" width="8.5703125" style="4" bestFit="1" customWidth="1"/>
    <col min="545" max="545" width="8.85546875" style="4" bestFit="1" customWidth="1"/>
    <col min="546" max="768" width="9.140625" style="4"/>
    <col min="769" max="769" width="11" style="4" customWidth="1"/>
    <col min="770" max="771" width="12.5703125" style="4" customWidth="1"/>
    <col min="772" max="772" width="11" style="4" customWidth="1"/>
    <col min="773" max="773" width="8.42578125" style="4" customWidth="1"/>
    <col min="774" max="774" width="11.42578125" style="4" customWidth="1"/>
    <col min="775" max="775" width="1.85546875" style="4" customWidth="1"/>
    <col min="776" max="776" width="8.42578125" style="4" customWidth="1"/>
    <col min="777" max="777" width="11.42578125" style="4" customWidth="1"/>
    <col min="778" max="779" width="10.42578125" style="4" customWidth="1"/>
    <col min="780" max="780" width="10.5703125" style="4" customWidth="1"/>
    <col min="781" max="781" width="10" style="4" customWidth="1"/>
    <col min="782" max="782" width="11" style="4" bestFit="1" customWidth="1"/>
    <col min="783" max="783" width="12" style="4" customWidth="1"/>
    <col min="784" max="784" width="11.140625" style="4" customWidth="1"/>
    <col min="785" max="785" width="9.5703125" style="4" customWidth="1"/>
    <col min="786" max="786" width="10.42578125" style="4" customWidth="1"/>
    <col min="787" max="787" width="8.5703125" style="4" customWidth="1"/>
    <col min="788" max="788" width="11" style="4" customWidth="1"/>
    <col min="789" max="789" width="13.42578125" style="4" bestFit="1" customWidth="1"/>
    <col min="790" max="790" width="9.42578125" style="4" customWidth="1"/>
    <col min="791" max="791" width="7.5703125" style="4" customWidth="1"/>
    <col min="792" max="792" width="11.42578125" style="4" customWidth="1"/>
    <col min="793" max="793" width="9.42578125" style="4" customWidth="1"/>
    <col min="794" max="794" width="11.42578125" style="4" customWidth="1"/>
    <col min="795" max="795" width="13.42578125" style="4" bestFit="1" customWidth="1"/>
    <col min="796" max="796" width="5.5703125" style="4" bestFit="1" customWidth="1"/>
    <col min="797" max="797" width="19.5703125" style="4" bestFit="1" customWidth="1"/>
    <col min="798" max="798" width="1.42578125" style="4" customWidth="1"/>
    <col min="799" max="799" width="13.42578125" style="4" bestFit="1" customWidth="1"/>
    <col min="800" max="800" width="8.5703125" style="4" bestFit="1" customWidth="1"/>
    <col min="801" max="801" width="8.85546875" style="4" bestFit="1" customWidth="1"/>
    <col min="802" max="1024" width="9.140625" style="4"/>
    <col min="1025" max="1025" width="11" style="4" customWidth="1"/>
    <col min="1026" max="1027" width="12.5703125" style="4" customWidth="1"/>
    <col min="1028" max="1028" width="11" style="4" customWidth="1"/>
    <col min="1029" max="1029" width="8.42578125" style="4" customWidth="1"/>
    <col min="1030" max="1030" width="11.42578125" style="4" customWidth="1"/>
    <col min="1031" max="1031" width="1.85546875" style="4" customWidth="1"/>
    <col min="1032" max="1032" width="8.42578125" style="4" customWidth="1"/>
    <col min="1033" max="1033" width="11.42578125" style="4" customWidth="1"/>
    <col min="1034" max="1035" width="10.42578125" style="4" customWidth="1"/>
    <col min="1036" max="1036" width="10.5703125" style="4" customWidth="1"/>
    <col min="1037" max="1037" width="10" style="4" customWidth="1"/>
    <col min="1038" max="1038" width="11" style="4" bestFit="1" customWidth="1"/>
    <col min="1039" max="1039" width="12" style="4" customWidth="1"/>
    <col min="1040" max="1040" width="11.140625" style="4" customWidth="1"/>
    <col min="1041" max="1041" width="9.5703125" style="4" customWidth="1"/>
    <col min="1042" max="1042" width="10.42578125" style="4" customWidth="1"/>
    <col min="1043" max="1043" width="8.5703125" style="4" customWidth="1"/>
    <col min="1044" max="1044" width="11" style="4" customWidth="1"/>
    <col min="1045" max="1045" width="13.42578125" style="4" bestFit="1" customWidth="1"/>
    <col min="1046" max="1046" width="9.42578125" style="4" customWidth="1"/>
    <col min="1047" max="1047" width="7.5703125" style="4" customWidth="1"/>
    <col min="1048" max="1048" width="11.42578125" style="4" customWidth="1"/>
    <col min="1049" max="1049" width="9.42578125" style="4" customWidth="1"/>
    <col min="1050" max="1050" width="11.42578125" style="4" customWidth="1"/>
    <col min="1051" max="1051" width="13.42578125" style="4" bestFit="1" customWidth="1"/>
    <col min="1052" max="1052" width="5.5703125" style="4" bestFit="1" customWidth="1"/>
    <col min="1053" max="1053" width="19.5703125" style="4" bestFit="1" customWidth="1"/>
    <col min="1054" max="1054" width="1.42578125" style="4" customWidth="1"/>
    <col min="1055" max="1055" width="13.42578125" style="4" bestFit="1" customWidth="1"/>
    <col min="1056" max="1056" width="8.5703125" style="4" bestFit="1" customWidth="1"/>
    <col min="1057" max="1057" width="8.85546875" style="4" bestFit="1" customWidth="1"/>
    <col min="1058" max="1280" width="9.140625" style="4"/>
    <col min="1281" max="1281" width="11" style="4" customWidth="1"/>
    <col min="1282" max="1283" width="12.5703125" style="4" customWidth="1"/>
    <col min="1284" max="1284" width="11" style="4" customWidth="1"/>
    <col min="1285" max="1285" width="8.42578125" style="4" customWidth="1"/>
    <col min="1286" max="1286" width="11.42578125" style="4" customWidth="1"/>
    <col min="1287" max="1287" width="1.85546875" style="4" customWidth="1"/>
    <col min="1288" max="1288" width="8.42578125" style="4" customWidth="1"/>
    <col min="1289" max="1289" width="11.42578125" style="4" customWidth="1"/>
    <col min="1290" max="1291" width="10.42578125" style="4" customWidth="1"/>
    <col min="1292" max="1292" width="10.5703125" style="4" customWidth="1"/>
    <col min="1293" max="1293" width="10" style="4" customWidth="1"/>
    <col min="1294" max="1294" width="11" style="4" bestFit="1" customWidth="1"/>
    <col min="1295" max="1295" width="12" style="4" customWidth="1"/>
    <col min="1296" max="1296" width="11.140625" style="4" customWidth="1"/>
    <col min="1297" max="1297" width="9.5703125" style="4" customWidth="1"/>
    <col min="1298" max="1298" width="10.42578125" style="4" customWidth="1"/>
    <col min="1299" max="1299" width="8.5703125" style="4" customWidth="1"/>
    <col min="1300" max="1300" width="11" style="4" customWidth="1"/>
    <col min="1301" max="1301" width="13.42578125" style="4" bestFit="1" customWidth="1"/>
    <col min="1302" max="1302" width="9.42578125" style="4" customWidth="1"/>
    <col min="1303" max="1303" width="7.5703125" style="4" customWidth="1"/>
    <col min="1304" max="1304" width="11.42578125" style="4" customWidth="1"/>
    <col min="1305" max="1305" width="9.42578125" style="4" customWidth="1"/>
    <col min="1306" max="1306" width="11.42578125" style="4" customWidth="1"/>
    <col min="1307" max="1307" width="13.42578125" style="4" bestFit="1" customWidth="1"/>
    <col min="1308" max="1308" width="5.5703125" style="4" bestFit="1" customWidth="1"/>
    <col min="1309" max="1309" width="19.5703125" style="4" bestFit="1" customWidth="1"/>
    <col min="1310" max="1310" width="1.42578125" style="4" customWidth="1"/>
    <col min="1311" max="1311" width="13.42578125" style="4" bestFit="1" customWidth="1"/>
    <col min="1312" max="1312" width="8.5703125" style="4" bestFit="1" customWidth="1"/>
    <col min="1313" max="1313" width="8.85546875" style="4" bestFit="1" customWidth="1"/>
    <col min="1314" max="1536" width="9.140625" style="4"/>
    <col min="1537" max="1537" width="11" style="4" customWidth="1"/>
    <col min="1538" max="1539" width="12.5703125" style="4" customWidth="1"/>
    <col min="1540" max="1540" width="11" style="4" customWidth="1"/>
    <col min="1541" max="1541" width="8.42578125" style="4" customWidth="1"/>
    <col min="1542" max="1542" width="11.42578125" style="4" customWidth="1"/>
    <col min="1543" max="1543" width="1.85546875" style="4" customWidth="1"/>
    <col min="1544" max="1544" width="8.42578125" style="4" customWidth="1"/>
    <col min="1545" max="1545" width="11.42578125" style="4" customWidth="1"/>
    <col min="1546" max="1547" width="10.42578125" style="4" customWidth="1"/>
    <col min="1548" max="1548" width="10.5703125" style="4" customWidth="1"/>
    <col min="1549" max="1549" width="10" style="4" customWidth="1"/>
    <col min="1550" max="1550" width="11" style="4" bestFit="1" customWidth="1"/>
    <col min="1551" max="1551" width="12" style="4" customWidth="1"/>
    <col min="1552" max="1552" width="11.140625" style="4" customWidth="1"/>
    <col min="1553" max="1553" width="9.5703125" style="4" customWidth="1"/>
    <col min="1554" max="1554" width="10.42578125" style="4" customWidth="1"/>
    <col min="1555" max="1555" width="8.5703125" style="4" customWidth="1"/>
    <col min="1556" max="1556" width="11" style="4" customWidth="1"/>
    <col min="1557" max="1557" width="13.42578125" style="4" bestFit="1" customWidth="1"/>
    <col min="1558" max="1558" width="9.42578125" style="4" customWidth="1"/>
    <col min="1559" max="1559" width="7.5703125" style="4" customWidth="1"/>
    <col min="1560" max="1560" width="11.42578125" style="4" customWidth="1"/>
    <col min="1561" max="1561" width="9.42578125" style="4" customWidth="1"/>
    <col min="1562" max="1562" width="11.42578125" style="4" customWidth="1"/>
    <col min="1563" max="1563" width="13.42578125" style="4" bestFit="1" customWidth="1"/>
    <col min="1564" max="1564" width="5.5703125" style="4" bestFit="1" customWidth="1"/>
    <col min="1565" max="1565" width="19.5703125" style="4" bestFit="1" customWidth="1"/>
    <col min="1566" max="1566" width="1.42578125" style="4" customWidth="1"/>
    <col min="1567" max="1567" width="13.42578125" style="4" bestFit="1" customWidth="1"/>
    <col min="1568" max="1568" width="8.5703125" style="4" bestFit="1" customWidth="1"/>
    <col min="1569" max="1569" width="8.85546875" style="4" bestFit="1" customWidth="1"/>
    <col min="1570" max="1792" width="9.140625" style="4"/>
    <col min="1793" max="1793" width="11" style="4" customWidth="1"/>
    <col min="1794" max="1795" width="12.5703125" style="4" customWidth="1"/>
    <col min="1796" max="1796" width="11" style="4" customWidth="1"/>
    <col min="1797" max="1797" width="8.42578125" style="4" customWidth="1"/>
    <col min="1798" max="1798" width="11.42578125" style="4" customWidth="1"/>
    <col min="1799" max="1799" width="1.85546875" style="4" customWidth="1"/>
    <col min="1800" max="1800" width="8.42578125" style="4" customWidth="1"/>
    <col min="1801" max="1801" width="11.42578125" style="4" customWidth="1"/>
    <col min="1802" max="1803" width="10.42578125" style="4" customWidth="1"/>
    <col min="1804" max="1804" width="10.5703125" style="4" customWidth="1"/>
    <col min="1805" max="1805" width="10" style="4" customWidth="1"/>
    <col min="1806" max="1806" width="11" style="4" bestFit="1" customWidth="1"/>
    <col min="1807" max="1807" width="12" style="4" customWidth="1"/>
    <col min="1808" max="1808" width="11.140625" style="4" customWidth="1"/>
    <col min="1809" max="1809" width="9.5703125" style="4" customWidth="1"/>
    <col min="1810" max="1810" width="10.42578125" style="4" customWidth="1"/>
    <col min="1811" max="1811" width="8.5703125" style="4" customWidth="1"/>
    <col min="1812" max="1812" width="11" style="4" customWidth="1"/>
    <col min="1813" max="1813" width="13.42578125" style="4" bestFit="1" customWidth="1"/>
    <col min="1814" max="1814" width="9.42578125" style="4" customWidth="1"/>
    <col min="1815" max="1815" width="7.5703125" style="4" customWidth="1"/>
    <col min="1816" max="1816" width="11.42578125" style="4" customWidth="1"/>
    <col min="1817" max="1817" width="9.42578125" style="4" customWidth="1"/>
    <col min="1818" max="1818" width="11.42578125" style="4" customWidth="1"/>
    <col min="1819" max="1819" width="13.42578125" style="4" bestFit="1" customWidth="1"/>
    <col min="1820" max="1820" width="5.5703125" style="4" bestFit="1" customWidth="1"/>
    <col min="1821" max="1821" width="19.5703125" style="4" bestFit="1" customWidth="1"/>
    <col min="1822" max="1822" width="1.42578125" style="4" customWidth="1"/>
    <col min="1823" max="1823" width="13.42578125" style="4" bestFit="1" customWidth="1"/>
    <col min="1824" max="1824" width="8.5703125" style="4" bestFit="1" customWidth="1"/>
    <col min="1825" max="1825" width="8.85546875" style="4" bestFit="1" customWidth="1"/>
    <col min="1826" max="2048" width="9.140625" style="4"/>
    <col min="2049" max="2049" width="11" style="4" customWidth="1"/>
    <col min="2050" max="2051" width="12.5703125" style="4" customWidth="1"/>
    <col min="2052" max="2052" width="11" style="4" customWidth="1"/>
    <col min="2053" max="2053" width="8.42578125" style="4" customWidth="1"/>
    <col min="2054" max="2054" width="11.42578125" style="4" customWidth="1"/>
    <col min="2055" max="2055" width="1.85546875" style="4" customWidth="1"/>
    <col min="2056" max="2056" width="8.42578125" style="4" customWidth="1"/>
    <col min="2057" max="2057" width="11.42578125" style="4" customWidth="1"/>
    <col min="2058" max="2059" width="10.42578125" style="4" customWidth="1"/>
    <col min="2060" max="2060" width="10.5703125" style="4" customWidth="1"/>
    <col min="2061" max="2061" width="10" style="4" customWidth="1"/>
    <col min="2062" max="2062" width="11" style="4" bestFit="1" customWidth="1"/>
    <col min="2063" max="2063" width="12" style="4" customWidth="1"/>
    <col min="2064" max="2064" width="11.140625" style="4" customWidth="1"/>
    <col min="2065" max="2065" width="9.5703125" style="4" customWidth="1"/>
    <col min="2066" max="2066" width="10.42578125" style="4" customWidth="1"/>
    <col min="2067" max="2067" width="8.5703125" style="4" customWidth="1"/>
    <col min="2068" max="2068" width="11" style="4" customWidth="1"/>
    <col min="2069" max="2069" width="13.42578125" style="4" bestFit="1" customWidth="1"/>
    <col min="2070" max="2070" width="9.42578125" style="4" customWidth="1"/>
    <col min="2071" max="2071" width="7.5703125" style="4" customWidth="1"/>
    <col min="2072" max="2072" width="11.42578125" style="4" customWidth="1"/>
    <col min="2073" max="2073" width="9.42578125" style="4" customWidth="1"/>
    <col min="2074" max="2074" width="11.42578125" style="4" customWidth="1"/>
    <col min="2075" max="2075" width="13.42578125" style="4" bestFit="1" customWidth="1"/>
    <col min="2076" max="2076" width="5.5703125" style="4" bestFit="1" customWidth="1"/>
    <col min="2077" max="2077" width="19.5703125" style="4" bestFit="1" customWidth="1"/>
    <col min="2078" max="2078" width="1.42578125" style="4" customWidth="1"/>
    <col min="2079" max="2079" width="13.42578125" style="4" bestFit="1" customWidth="1"/>
    <col min="2080" max="2080" width="8.5703125" style="4" bestFit="1" customWidth="1"/>
    <col min="2081" max="2081" width="8.85546875" style="4" bestFit="1" customWidth="1"/>
    <col min="2082" max="2304" width="9.140625" style="4"/>
    <col min="2305" max="2305" width="11" style="4" customWidth="1"/>
    <col min="2306" max="2307" width="12.5703125" style="4" customWidth="1"/>
    <col min="2308" max="2308" width="11" style="4" customWidth="1"/>
    <col min="2309" max="2309" width="8.42578125" style="4" customWidth="1"/>
    <col min="2310" max="2310" width="11.42578125" style="4" customWidth="1"/>
    <col min="2311" max="2311" width="1.85546875" style="4" customWidth="1"/>
    <col min="2312" max="2312" width="8.42578125" style="4" customWidth="1"/>
    <col min="2313" max="2313" width="11.42578125" style="4" customWidth="1"/>
    <col min="2314" max="2315" width="10.42578125" style="4" customWidth="1"/>
    <col min="2316" max="2316" width="10.5703125" style="4" customWidth="1"/>
    <col min="2317" max="2317" width="10" style="4" customWidth="1"/>
    <col min="2318" max="2318" width="11" style="4" bestFit="1" customWidth="1"/>
    <col min="2319" max="2319" width="12" style="4" customWidth="1"/>
    <col min="2320" max="2320" width="11.140625" style="4" customWidth="1"/>
    <col min="2321" max="2321" width="9.5703125" style="4" customWidth="1"/>
    <col min="2322" max="2322" width="10.42578125" style="4" customWidth="1"/>
    <col min="2323" max="2323" width="8.5703125" style="4" customWidth="1"/>
    <col min="2324" max="2324" width="11" style="4" customWidth="1"/>
    <col min="2325" max="2325" width="13.42578125" style="4" bestFit="1" customWidth="1"/>
    <col min="2326" max="2326" width="9.42578125" style="4" customWidth="1"/>
    <col min="2327" max="2327" width="7.5703125" style="4" customWidth="1"/>
    <col min="2328" max="2328" width="11.42578125" style="4" customWidth="1"/>
    <col min="2329" max="2329" width="9.42578125" style="4" customWidth="1"/>
    <col min="2330" max="2330" width="11.42578125" style="4" customWidth="1"/>
    <col min="2331" max="2331" width="13.42578125" style="4" bestFit="1" customWidth="1"/>
    <col min="2332" max="2332" width="5.5703125" style="4" bestFit="1" customWidth="1"/>
    <col min="2333" max="2333" width="19.5703125" style="4" bestFit="1" customWidth="1"/>
    <col min="2334" max="2334" width="1.42578125" style="4" customWidth="1"/>
    <col min="2335" max="2335" width="13.42578125" style="4" bestFit="1" customWidth="1"/>
    <col min="2336" max="2336" width="8.5703125" style="4" bestFit="1" customWidth="1"/>
    <col min="2337" max="2337" width="8.85546875" style="4" bestFit="1" customWidth="1"/>
    <col min="2338" max="2560" width="9.140625" style="4"/>
    <col min="2561" max="2561" width="11" style="4" customWidth="1"/>
    <col min="2562" max="2563" width="12.5703125" style="4" customWidth="1"/>
    <col min="2564" max="2564" width="11" style="4" customWidth="1"/>
    <col min="2565" max="2565" width="8.42578125" style="4" customWidth="1"/>
    <col min="2566" max="2566" width="11.42578125" style="4" customWidth="1"/>
    <col min="2567" max="2567" width="1.85546875" style="4" customWidth="1"/>
    <col min="2568" max="2568" width="8.42578125" style="4" customWidth="1"/>
    <col min="2569" max="2569" width="11.42578125" style="4" customWidth="1"/>
    <col min="2570" max="2571" width="10.42578125" style="4" customWidth="1"/>
    <col min="2572" max="2572" width="10.5703125" style="4" customWidth="1"/>
    <col min="2573" max="2573" width="10" style="4" customWidth="1"/>
    <col min="2574" max="2574" width="11" style="4" bestFit="1" customWidth="1"/>
    <col min="2575" max="2575" width="12" style="4" customWidth="1"/>
    <col min="2576" max="2576" width="11.140625" style="4" customWidth="1"/>
    <col min="2577" max="2577" width="9.5703125" style="4" customWidth="1"/>
    <col min="2578" max="2578" width="10.42578125" style="4" customWidth="1"/>
    <col min="2579" max="2579" width="8.5703125" style="4" customWidth="1"/>
    <col min="2580" max="2580" width="11" style="4" customWidth="1"/>
    <col min="2581" max="2581" width="13.42578125" style="4" bestFit="1" customWidth="1"/>
    <col min="2582" max="2582" width="9.42578125" style="4" customWidth="1"/>
    <col min="2583" max="2583" width="7.5703125" style="4" customWidth="1"/>
    <col min="2584" max="2584" width="11.42578125" style="4" customWidth="1"/>
    <col min="2585" max="2585" width="9.42578125" style="4" customWidth="1"/>
    <col min="2586" max="2586" width="11.42578125" style="4" customWidth="1"/>
    <col min="2587" max="2587" width="13.42578125" style="4" bestFit="1" customWidth="1"/>
    <col min="2588" max="2588" width="5.5703125" style="4" bestFit="1" customWidth="1"/>
    <col min="2589" max="2589" width="19.5703125" style="4" bestFit="1" customWidth="1"/>
    <col min="2590" max="2590" width="1.42578125" style="4" customWidth="1"/>
    <col min="2591" max="2591" width="13.42578125" style="4" bestFit="1" customWidth="1"/>
    <col min="2592" max="2592" width="8.5703125" style="4" bestFit="1" customWidth="1"/>
    <col min="2593" max="2593" width="8.85546875" style="4" bestFit="1" customWidth="1"/>
    <col min="2594" max="2816" width="9.140625" style="4"/>
    <col min="2817" max="2817" width="11" style="4" customWidth="1"/>
    <col min="2818" max="2819" width="12.5703125" style="4" customWidth="1"/>
    <col min="2820" max="2820" width="11" style="4" customWidth="1"/>
    <col min="2821" max="2821" width="8.42578125" style="4" customWidth="1"/>
    <col min="2822" max="2822" width="11.42578125" style="4" customWidth="1"/>
    <col min="2823" max="2823" width="1.85546875" style="4" customWidth="1"/>
    <col min="2824" max="2824" width="8.42578125" style="4" customWidth="1"/>
    <col min="2825" max="2825" width="11.42578125" style="4" customWidth="1"/>
    <col min="2826" max="2827" width="10.42578125" style="4" customWidth="1"/>
    <col min="2828" max="2828" width="10.5703125" style="4" customWidth="1"/>
    <col min="2829" max="2829" width="10" style="4" customWidth="1"/>
    <col min="2830" max="2830" width="11" style="4" bestFit="1" customWidth="1"/>
    <col min="2831" max="2831" width="12" style="4" customWidth="1"/>
    <col min="2832" max="2832" width="11.140625" style="4" customWidth="1"/>
    <col min="2833" max="2833" width="9.5703125" style="4" customWidth="1"/>
    <col min="2834" max="2834" width="10.42578125" style="4" customWidth="1"/>
    <col min="2835" max="2835" width="8.5703125" style="4" customWidth="1"/>
    <col min="2836" max="2836" width="11" style="4" customWidth="1"/>
    <col min="2837" max="2837" width="13.42578125" style="4" bestFit="1" customWidth="1"/>
    <col min="2838" max="2838" width="9.42578125" style="4" customWidth="1"/>
    <col min="2839" max="2839" width="7.5703125" style="4" customWidth="1"/>
    <col min="2840" max="2840" width="11.42578125" style="4" customWidth="1"/>
    <col min="2841" max="2841" width="9.42578125" style="4" customWidth="1"/>
    <col min="2842" max="2842" width="11.42578125" style="4" customWidth="1"/>
    <col min="2843" max="2843" width="13.42578125" style="4" bestFit="1" customWidth="1"/>
    <col min="2844" max="2844" width="5.5703125" style="4" bestFit="1" customWidth="1"/>
    <col min="2845" max="2845" width="19.5703125" style="4" bestFit="1" customWidth="1"/>
    <col min="2846" max="2846" width="1.42578125" style="4" customWidth="1"/>
    <col min="2847" max="2847" width="13.42578125" style="4" bestFit="1" customWidth="1"/>
    <col min="2848" max="2848" width="8.5703125" style="4" bestFit="1" customWidth="1"/>
    <col min="2849" max="2849" width="8.85546875" style="4" bestFit="1" customWidth="1"/>
    <col min="2850" max="3072" width="9.140625" style="4"/>
    <col min="3073" max="3073" width="11" style="4" customWidth="1"/>
    <col min="3074" max="3075" width="12.5703125" style="4" customWidth="1"/>
    <col min="3076" max="3076" width="11" style="4" customWidth="1"/>
    <col min="3077" max="3077" width="8.42578125" style="4" customWidth="1"/>
    <col min="3078" max="3078" width="11.42578125" style="4" customWidth="1"/>
    <col min="3079" max="3079" width="1.85546875" style="4" customWidth="1"/>
    <col min="3080" max="3080" width="8.42578125" style="4" customWidth="1"/>
    <col min="3081" max="3081" width="11.42578125" style="4" customWidth="1"/>
    <col min="3082" max="3083" width="10.42578125" style="4" customWidth="1"/>
    <col min="3084" max="3084" width="10.5703125" style="4" customWidth="1"/>
    <col min="3085" max="3085" width="10" style="4" customWidth="1"/>
    <col min="3086" max="3086" width="11" style="4" bestFit="1" customWidth="1"/>
    <col min="3087" max="3087" width="12" style="4" customWidth="1"/>
    <col min="3088" max="3088" width="11.140625" style="4" customWidth="1"/>
    <col min="3089" max="3089" width="9.5703125" style="4" customWidth="1"/>
    <col min="3090" max="3090" width="10.42578125" style="4" customWidth="1"/>
    <col min="3091" max="3091" width="8.5703125" style="4" customWidth="1"/>
    <col min="3092" max="3092" width="11" style="4" customWidth="1"/>
    <col min="3093" max="3093" width="13.42578125" style="4" bestFit="1" customWidth="1"/>
    <col min="3094" max="3094" width="9.42578125" style="4" customWidth="1"/>
    <col min="3095" max="3095" width="7.5703125" style="4" customWidth="1"/>
    <col min="3096" max="3096" width="11.42578125" style="4" customWidth="1"/>
    <col min="3097" max="3097" width="9.42578125" style="4" customWidth="1"/>
    <col min="3098" max="3098" width="11.42578125" style="4" customWidth="1"/>
    <col min="3099" max="3099" width="13.42578125" style="4" bestFit="1" customWidth="1"/>
    <col min="3100" max="3100" width="5.5703125" style="4" bestFit="1" customWidth="1"/>
    <col min="3101" max="3101" width="19.5703125" style="4" bestFit="1" customWidth="1"/>
    <col min="3102" max="3102" width="1.42578125" style="4" customWidth="1"/>
    <col min="3103" max="3103" width="13.42578125" style="4" bestFit="1" customWidth="1"/>
    <col min="3104" max="3104" width="8.5703125" style="4" bestFit="1" customWidth="1"/>
    <col min="3105" max="3105" width="8.85546875" style="4" bestFit="1" customWidth="1"/>
    <col min="3106" max="3328" width="9.140625" style="4"/>
    <col min="3329" max="3329" width="11" style="4" customWidth="1"/>
    <col min="3330" max="3331" width="12.5703125" style="4" customWidth="1"/>
    <col min="3332" max="3332" width="11" style="4" customWidth="1"/>
    <col min="3333" max="3333" width="8.42578125" style="4" customWidth="1"/>
    <col min="3334" max="3334" width="11.42578125" style="4" customWidth="1"/>
    <col min="3335" max="3335" width="1.85546875" style="4" customWidth="1"/>
    <col min="3336" max="3336" width="8.42578125" style="4" customWidth="1"/>
    <col min="3337" max="3337" width="11.42578125" style="4" customWidth="1"/>
    <col min="3338" max="3339" width="10.42578125" style="4" customWidth="1"/>
    <col min="3340" max="3340" width="10.5703125" style="4" customWidth="1"/>
    <col min="3341" max="3341" width="10" style="4" customWidth="1"/>
    <col min="3342" max="3342" width="11" style="4" bestFit="1" customWidth="1"/>
    <col min="3343" max="3343" width="12" style="4" customWidth="1"/>
    <col min="3344" max="3344" width="11.140625" style="4" customWidth="1"/>
    <col min="3345" max="3345" width="9.5703125" style="4" customWidth="1"/>
    <col min="3346" max="3346" width="10.42578125" style="4" customWidth="1"/>
    <col min="3347" max="3347" width="8.5703125" style="4" customWidth="1"/>
    <col min="3348" max="3348" width="11" style="4" customWidth="1"/>
    <col min="3349" max="3349" width="13.42578125" style="4" bestFit="1" customWidth="1"/>
    <col min="3350" max="3350" width="9.42578125" style="4" customWidth="1"/>
    <col min="3351" max="3351" width="7.5703125" style="4" customWidth="1"/>
    <col min="3352" max="3352" width="11.42578125" style="4" customWidth="1"/>
    <col min="3353" max="3353" width="9.42578125" style="4" customWidth="1"/>
    <col min="3354" max="3354" width="11.42578125" style="4" customWidth="1"/>
    <col min="3355" max="3355" width="13.42578125" style="4" bestFit="1" customWidth="1"/>
    <col min="3356" max="3356" width="5.5703125" style="4" bestFit="1" customWidth="1"/>
    <col min="3357" max="3357" width="19.5703125" style="4" bestFit="1" customWidth="1"/>
    <col min="3358" max="3358" width="1.42578125" style="4" customWidth="1"/>
    <col min="3359" max="3359" width="13.42578125" style="4" bestFit="1" customWidth="1"/>
    <col min="3360" max="3360" width="8.5703125" style="4" bestFit="1" customWidth="1"/>
    <col min="3361" max="3361" width="8.85546875" style="4" bestFit="1" customWidth="1"/>
    <col min="3362" max="3584" width="9.140625" style="4"/>
    <col min="3585" max="3585" width="11" style="4" customWidth="1"/>
    <col min="3586" max="3587" width="12.5703125" style="4" customWidth="1"/>
    <col min="3588" max="3588" width="11" style="4" customWidth="1"/>
    <col min="3589" max="3589" width="8.42578125" style="4" customWidth="1"/>
    <col min="3590" max="3590" width="11.42578125" style="4" customWidth="1"/>
    <col min="3591" max="3591" width="1.85546875" style="4" customWidth="1"/>
    <col min="3592" max="3592" width="8.42578125" style="4" customWidth="1"/>
    <col min="3593" max="3593" width="11.42578125" style="4" customWidth="1"/>
    <col min="3594" max="3595" width="10.42578125" style="4" customWidth="1"/>
    <col min="3596" max="3596" width="10.5703125" style="4" customWidth="1"/>
    <col min="3597" max="3597" width="10" style="4" customWidth="1"/>
    <col min="3598" max="3598" width="11" style="4" bestFit="1" customWidth="1"/>
    <col min="3599" max="3599" width="12" style="4" customWidth="1"/>
    <col min="3600" max="3600" width="11.140625" style="4" customWidth="1"/>
    <col min="3601" max="3601" width="9.5703125" style="4" customWidth="1"/>
    <col min="3602" max="3602" width="10.42578125" style="4" customWidth="1"/>
    <col min="3603" max="3603" width="8.5703125" style="4" customWidth="1"/>
    <col min="3604" max="3604" width="11" style="4" customWidth="1"/>
    <col min="3605" max="3605" width="13.42578125" style="4" bestFit="1" customWidth="1"/>
    <col min="3606" max="3606" width="9.42578125" style="4" customWidth="1"/>
    <col min="3607" max="3607" width="7.5703125" style="4" customWidth="1"/>
    <col min="3608" max="3608" width="11.42578125" style="4" customWidth="1"/>
    <col min="3609" max="3609" width="9.42578125" style="4" customWidth="1"/>
    <col min="3610" max="3610" width="11.42578125" style="4" customWidth="1"/>
    <col min="3611" max="3611" width="13.42578125" style="4" bestFit="1" customWidth="1"/>
    <col min="3612" max="3612" width="5.5703125" style="4" bestFit="1" customWidth="1"/>
    <col min="3613" max="3613" width="19.5703125" style="4" bestFit="1" customWidth="1"/>
    <col min="3614" max="3614" width="1.42578125" style="4" customWidth="1"/>
    <col min="3615" max="3615" width="13.42578125" style="4" bestFit="1" customWidth="1"/>
    <col min="3616" max="3616" width="8.5703125" style="4" bestFit="1" customWidth="1"/>
    <col min="3617" max="3617" width="8.85546875" style="4" bestFit="1" customWidth="1"/>
    <col min="3618" max="3840" width="9.140625" style="4"/>
    <col min="3841" max="3841" width="11" style="4" customWidth="1"/>
    <col min="3842" max="3843" width="12.5703125" style="4" customWidth="1"/>
    <col min="3844" max="3844" width="11" style="4" customWidth="1"/>
    <col min="3845" max="3845" width="8.42578125" style="4" customWidth="1"/>
    <col min="3846" max="3846" width="11.42578125" style="4" customWidth="1"/>
    <col min="3847" max="3847" width="1.85546875" style="4" customWidth="1"/>
    <col min="3848" max="3848" width="8.42578125" style="4" customWidth="1"/>
    <col min="3849" max="3849" width="11.42578125" style="4" customWidth="1"/>
    <col min="3850" max="3851" width="10.42578125" style="4" customWidth="1"/>
    <col min="3852" max="3852" width="10.5703125" style="4" customWidth="1"/>
    <col min="3853" max="3853" width="10" style="4" customWidth="1"/>
    <col min="3854" max="3854" width="11" style="4" bestFit="1" customWidth="1"/>
    <col min="3855" max="3855" width="12" style="4" customWidth="1"/>
    <col min="3856" max="3856" width="11.140625" style="4" customWidth="1"/>
    <col min="3857" max="3857" width="9.5703125" style="4" customWidth="1"/>
    <col min="3858" max="3858" width="10.42578125" style="4" customWidth="1"/>
    <col min="3859" max="3859" width="8.5703125" style="4" customWidth="1"/>
    <col min="3860" max="3860" width="11" style="4" customWidth="1"/>
    <col min="3861" max="3861" width="13.42578125" style="4" bestFit="1" customWidth="1"/>
    <col min="3862" max="3862" width="9.42578125" style="4" customWidth="1"/>
    <col min="3863" max="3863" width="7.5703125" style="4" customWidth="1"/>
    <col min="3864" max="3864" width="11.42578125" style="4" customWidth="1"/>
    <col min="3865" max="3865" width="9.42578125" style="4" customWidth="1"/>
    <col min="3866" max="3866" width="11.42578125" style="4" customWidth="1"/>
    <col min="3867" max="3867" width="13.42578125" style="4" bestFit="1" customWidth="1"/>
    <col min="3868" max="3868" width="5.5703125" style="4" bestFit="1" customWidth="1"/>
    <col min="3869" max="3869" width="19.5703125" style="4" bestFit="1" customWidth="1"/>
    <col min="3870" max="3870" width="1.42578125" style="4" customWidth="1"/>
    <col min="3871" max="3871" width="13.42578125" style="4" bestFit="1" customWidth="1"/>
    <col min="3872" max="3872" width="8.5703125" style="4" bestFit="1" customWidth="1"/>
    <col min="3873" max="3873" width="8.85546875" style="4" bestFit="1" customWidth="1"/>
    <col min="3874" max="4096" width="9.140625" style="4"/>
    <col min="4097" max="4097" width="11" style="4" customWidth="1"/>
    <col min="4098" max="4099" width="12.5703125" style="4" customWidth="1"/>
    <col min="4100" max="4100" width="11" style="4" customWidth="1"/>
    <col min="4101" max="4101" width="8.42578125" style="4" customWidth="1"/>
    <col min="4102" max="4102" width="11.42578125" style="4" customWidth="1"/>
    <col min="4103" max="4103" width="1.85546875" style="4" customWidth="1"/>
    <col min="4104" max="4104" width="8.42578125" style="4" customWidth="1"/>
    <col min="4105" max="4105" width="11.42578125" style="4" customWidth="1"/>
    <col min="4106" max="4107" width="10.42578125" style="4" customWidth="1"/>
    <col min="4108" max="4108" width="10.5703125" style="4" customWidth="1"/>
    <col min="4109" max="4109" width="10" style="4" customWidth="1"/>
    <col min="4110" max="4110" width="11" style="4" bestFit="1" customWidth="1"/>
    <col min="4111" max="4111" width="12" style="4" customWidth="1"/>
    <col min="4112" max="4112" width="11.140625" style="4" customWidth="1"/>
    <col min="4113" max="4113" width="9.5703125" style="4" customWidth="1"/>
    <col min="4114" max="4114" width="10.42578125" style="4" customWidth="1"/>
    <col min="4115" max="4115" width="8.5703125" style="4" customWidth="1"/>
    <col min="4116" max="4116" width="11" style="4" customWidth="1"/>
    <col min="4117" max="4117" width="13.42578125" style="4" bestFit="1" customWidth="1"/>
    <col min="4118" max="4118" width="9.42578125" style="4" customWidth="1"/>
    <col min="4119" max="4119" width="7.5703125" style="4" customWidth="1"/>
    <col min="4120" max="4120" width="11.42578125" style="4" customWidth="1"/>
    <col min="4121" max="4121" width="9.42578125" style="4" customWidth="1"/>
    <col min="4122" max="4122" width="11.42578125" style="4" customWidth="1"/>
    <col min="4123" max="4123" width="13.42578125" style="4" bestFit="1" customWidth="1"/>
    <col min="4124" max="4124" width="5.5703125" style="4" bestFit="1" customWidth="1"/>
    <col min="4125" max="4125" width="19.5703125" style="4" bestFit="1" customWidth="1"/>
    <col min="4126" max="4126" width="1.42578125" style="4" customWidth="1"/>
    <col min="4127" max="4127" width="13.42578125" style="4" bestFit="1" customWidth="1"/>
    <col min="4128" max="4128" width="8.5703125" style="4" bestFit="1" customWidth="1"/>
    <col min="4129" max="4129" width="8.85546875" style="4" bestFit="1" customWidth="1"/>
    <col min="4130" max="4352" width="9.140625" style="4"/>
    <col min="4353" max="4353" width="11" style="4" customWidth="1"/>
    <col min="4354" max="4355" width="12.5703125" style="4" customWidth="1"/>
    <col min="4356" max="4356" width="11" style="4" customWidth="1"/>
    <col min="4357" max="4357" width="8.42578125" style="4" customWidth="1"/>
    <col min="4358" max="4358" width="11.42578125" style="4" customWidth="1"/>
    <col min="4359" max="4359" width="1.85546875" style="4" customWidth="1"/>
    <col min="4360" max="4360" width="8.42578125" style="4" customWidth="1"/>
    <col min="4361" max="4361" width="11.42578125" style="4" customWidth="1"/>
    <col min="4362" max="4363" width="10.42578125" style="4" customWidth="1"/>
    <col min="4364" max="4364" width="10.5703125" style="4" customWidth="1"/>
    <col min="4365" max="4365" width="10" style="4" customWidth="1"/>
    <col min="4366" max="4366" width="11" style="4" bestFit="1" customWidth="1"/>
    <col min="4367" max="4367" width="12" style="4" customWidth="1"/>
    <col min="4368" max="4368" width="11.140625" style="4" customWidth="1"/>
    <col min="4369" max="4369" width="9.5703125" style="4" customWidth="1"/>
    <col min="4370" max="4370" width="10.42578125" style="4" customWidth="1"/>
    <col min="4371" max="4371" width="8.5703125" style="4" customWidth="1"/>
    <col min="4372" max="4372" width="11" style="4" customWidth="1"/>
    <col min="4373" max="4373" width="13.42578125" style="4" bestFit="1" customWidth="1"/>
    <col min="4374" max="4374" width="9.42578125" style="4" customWidth="1"/>
    <col min="4375" max="4375" width="7.5703125" style="4" customWidth="1"/>
    <col min="4376" max="4376" width="11.42578125" style="4" customWidth="1"/>
    <col min="4377" max="4377" width="9.42578125" style="4" customWidth="1"/>
    <col min="4378" max="4378" width="11.42578125" style="4" customWidth="1"/>
    <col min="4379" max="4379" width="13.42578125" style="4" bestFit="1" customWidth="1"/>
    <col min="4380" max="4380" width="5.5703125" style="4" bestFit="1" customWidth="1"/>
    <col min="4381" max="4381" width="19.5703125" style="4" bestFit="1" customWidth="1"/>
    <col min="4382" max="4382" width="1.42578125" style="4" customWidth="1"/>
    <col min="4383" max="4383" width="13.42578125" style="4" bestFit="1" customWidth="1"/>
    <col min="4384" max="4384" width="8.5703125" style="4" bestFit="1" customWidth="1"/>
    <col min="4385" max="4385" width="8.85546875" style="4" bestFit="1" customWidth="1"/>
    <col min="4386" max="4608" width="9.140625" style="4"/>
    <col min="4609" max="4609" width="11" style="4" customWidth="1"/>
    <col min="4610" max="4611" width="12.5703125" style="4" customWidth="1"/>
    <col min="4612" max="4612" width="11" style="4" customWidth="1"/>
    <col min="4613" max="4613" width="8.42578125" style="4" customWidth="1"/>
    <col min="4614" max="4614" width="11.42578125" style="4" customWidth="1"/>
    <col min="4615" max="4615" width="1.85546875" style="4" customWidth="1"/>
    <col min="4616" max="4616" width="8.42578125" style="4" customWidth="1"/>
    <col min="4617" max="4617" width="11.42578125" style="4" customWidth="1"/>
    <col min="4618" max="4619" width="10.42578125" style="4" customWidth="1"/>
    <col min="4620" max="4620" width="10.5703125" style="4" customWidth="1"/>
    <col min="4621" max="4621" width="10" style="4" customWidth="1"/>
    <col min="4622" max="4622" width="11" style="4" bestFit="1" customWidth="1"/>
    <col min="4623" max="4623" width="12" style="4" customWidth="1"/>
    <col min="4624" max="4624" width="11.140625" style="4" customWidth="1"/>
    <col min="4625" max="4625" width="9.5703125" style="4" customWidth="1"/>
    <col min="4626" max="4626" width="10.42578125" style="4" customWidth="1"/>
    <col min="4627" max="4627" width="8.5703125" style="4" customWidth="1"/>
    <col min="4628" max="4628" width="11" style="4" customWidth="1"/>
    <col min="4629" max="4629" width="13.42578125" style="4" bestFit="1" customWidth="1"/>
    <col min="4630" max="4630" width="9.42578125" style="4" customWidth="1"/>
    <col min="4631" max="4631" width="7.5703125" style="4" customWidth="1"/>
    <col min="4632" max="4632" width="11.42578125" style="4" customWidth="1"/>
    <col min="4633" max="4633" width="9.42578125" style="4" customWidth="1"/>
    <col min="4634" max="4634" width="11.42578125" style="4" customWidth="1"/>
    <col min="4635" max="4635" width="13.42578125" style="4" bestFit="1" customWidth="1"/>
    <col min="4636" max="4636" width="5.5703125" style="4" bestFit="1" customWidth="1"/>
    <col min="4637" max="4637" width="19.5703125" style="4" bestFit="1" customWidth="1"/>
    <col min="4638" max="4638" width="1.42578125" style="4" customWidth="1"/>
    <col min="4639" max="4639" width="13.42578125" style="4" bestFit="1" customWidth="1"/>
    <col min="4640" max="4640" width="8.5703125" style="4" bestFit="1" customWidth="1"/>
    <col min="4641" max="4641" width="8.85546875" style="4" bestFit="1" customWidth="1"/>
    <col min="4642" max="4864" width="9.140625" style="4"/>
    <col min="4865" max="4865" width="11" style="4" customWidth="1"/>
    <col min="4866" max="4867" width="12.5703125" style="4" customWidth="1"/>
    <col min="4868" max="4868" width="11" style="4" customWidth="1"/>
    <col min="4869" max="4869" width="8.42578125" style="4" customWidth="1"/>
    <col min="4870" max="4870" width="11.42578125" style="4" customWidth="1"/>
    <col min="4871" max="4871" width="1.85546875" style="4" customWidth="1"/>
    <col min="4872" max="4872" width="8.42578125" style="4" customWidth="1"/>
    <col min="4873" max="4873" width="11.42578125" style="4" customWidth="1"/>
    <col min="4874" max="4875" width="10.42578125" style="4" customWidth="1"/>
    <col min="4876" max="4876" width="10.5703125" style="4" customWidth="1"/>
    <col min="4877" max="4877" width="10" style="4" customWidth="1"/>
    <col min="4878" max="4878" width="11" style="4" bestFit="1" customWidth="1"/>
    <col min="4879" max="4879" width="12" style="4" customWidth="1"/>
    <col min="4880" max="4880" width="11.140625" style="4" customWidth="1"/>
    <col min="4881" max="4881" width="9.5703125" style="4" customWidth="1"/>
    <col min="4882" max="4882" width="10.42578125" style="4" customWidth="1"/>
    <col min="4883" max="4883" width="8.5703125" style="4" customWidth="1"/>
    <col min="4884" max="4884" width="11" style="4" customWidth="1"/>
    <col min="4885" max="4885" width="13.42578125" style="4" bestFit="1" customWidth="1"/>
    <col min="4886" max="4886" width="9.42578125" style="4" customWidth="1"/>
    <col min="4887" max="4887" width="7.5703125" style="4" customWidth="1"/>
    <col min="4888" max="4888" width="11.42578125" style="4" customWidth="1"/>
    <col min="4889" max="4889" width="9.42578125" style="4" customWidth="1"/>
    <col min="4890" max="4890" width="11.42578125" style="4" customWidth="1"/>
    <col min="4891" max="4891" width="13.42578125" style="4" bestFit="1" customWidth="1"/>
    <col min="4892" max="4892" width="5.5703125" style="4" bestFit="1" customWidth="1"/>
    <col min="4893" max="4893" width="19.5703125" style="4" bestFit="1" customWidth="1"/>
    <col min="4894" max="4894" width="1.42578125" style="4" customWidth="1"/>
    <col min="4895" max="4895" width="13.42578125" style="4" bestFit="1" customWidth="1"/>
    <col min="4896" max="4896" width="8.5703125" style="4" bestFit="1" customWidth="1"/>
    <col min="4897" max="4897" width="8.85546875" style="4" bestFit="1" customWidth="1"/>
    <col min="4898" max="5120" width="9.140625" style="4"/>
    <col min="5121" max="5121" width="11" style="4" customWidth="1"/>
    <col min="5122" max="5123" width="12.5703125" style="4" customWidth="1"/>
    <col min="5124" max="5124" width="11" style="4" customWidth="1"/>
    <col min="5125" max="5125" width="8.42578125" style="4" customWidth="1"/>
    <col min="5126" max="5126" width="11.42578125" style="4" customWidth="1"/>
    <col min="5127" max="5127" width="1.85546875" style="4" customWidth="1"/>
    <col min="5128" max="5128" width="8.42578125" style="4" customWidth="1"/>
    <col min="5129" max="5129" width="11.42578125" style="4" customWidth="1"/>
    <col min="5130" max="5131" width="10.42578125" style="4" customWidth="1"/>
    <col min="5132" max="5132" width="10.5703125" style="4" customWidth="1"/>
    <col min="5133" max="5133" width="10" style="4" customWidth="1"/>
    <col min="5134" max="5134" width="11" style="4" bestFit="1" customWidth="1"/>
    <col min="5135" max="5135" width="12" style="4" customWidth="1"/>
    <col min="5136" max="5136" width="11.140625" style="4" customWidth="1"/>
    <col min="5137" max="5137" width="9.5703125" style="4" customWidth="1"/>
    <col min="5138" max="5138" width="10.42578125" style="4" customWidth="1"/>
    <col min="5139" max="5139" width="8.5703125" style="4" customWidth="1"/>
    <col min="5140" max="5140" width="11" style="4" customWidth="1"/>
    <col min="5141" max="5141" width="13.42578125" style="4" bestFit="1" customWidth="1"/>
    <col min="5142" max="5142" width="9.42578125" style="4" customWidth="1"/>
    <col min="5143" max="5143" width="7.5703125" style="4" customWidth="1"/>
    <col min="5144" max="5144" width="11.42578125" style="4" customWidth="1"/>
    <col min="5145" max="5145" width="9.42578125" style="4" customWidth="1"/>
    <col min="5146" max="5146" width="11.42578125" style="4" customWidth="1"/>
    <col min="5147" max="5147" width="13.42578125" style="4" bestFit="1" customWidth="1"/>
    <col min="5148" max="5148" width="5.5703125" style="4" bestFit="1" customWidth="1"/>
    <col min="5149" max="5149" width="19.5703125" style="4" bestFit="1" customWidth="1"/>
    <col min="5150" max="5150" width="1.42578125" style="4" customWidth="1"/>
    <col min="5151" max="5151" width="13.42578125" style="4" bestFit="1" customWidth="1"/>
    <col min="5152" max="5152" width="8.5703125" style="4" bestFit="1" customWidth="1"/>
    <col min="5153" max="5153" width="8.85546875" style="4" bestFit="1" customWidth="1"/>
    <col min="5154" max="5376" width="9.140625" style="4"/>
    <col min="5377" max="5377" width="11" style="4" customWidth="1"/>
    <col min="5378" max="5379" width="12.5703125" style="4" customWidth="1"/>
    <col min="5380" max="5380" width="11" style="4" customWidth="1"/>
    <col min="5381" max="5381" width="8.42578125" style="4" customWidth="1"/>
    <col min="5382" max="5382" width="11.42578125" style="4" customWidth="1"/>
    <col min="5383" max="5383" width="1.85546875" style="4" customWidth="1"/>
    <col min="5384" max="5384" width="8.42578125" style="4" customWidth="1"/>
    <col min="5385" max="5385" width="11.42578125" style="4" customWidth="1"/>
    <col min="5386" max="5387" width="10.42578125" style="4" customWidth="1"/>
    <col min="5388" max="5388" width="10.5703125" style="4" customWidth="1"/>
    <col min="5389" max="5389" width="10" style="4" customWidth="1"/>
    <col min="5390" max="5390" width="11" style="4" bestFit="1" customWidth="1"/>
    <col min="5391" max="5391" width="12" style="4" customWidth="1"/>
    <col min="5392" max="5392" width="11.140625" style="4" customWidth="1"/>
    <col min="5393" max="5393" width="9.5703125" style="4" customWidth="1"/>
    <col min="5394" max="5394" width="10.42578125" style="4" customWidth="1"/>
    <col min="5395" max="5395" width="8.5703125" style="4" customWidth="1"/>
    <col min="5396" max="5396" width="11" style="4" customWidth="1"/>
    <col min="5397" max="5397" width="13.42578125" style="4" bestFit="1" customWidth="1"/>
    <col min="5398" max="5398" width="9.42578125" style="4" customWidth="1"/>
    <col min="5399" max="5399" width="7.5703125" style="4" customWidth="1"/>
    <col min="5400" max="5400" width="11.42578125" style="4" customWidth="1"/>
    <col min="5401" max="5401" width="9.42578125" style="4" customWidth="1"/>
    <col min="5402" max="5402" width="11.42578125" style="4" customWidth="1"/>
    <col min="5403" max="5403" width="13.42578125" style="4" bestFit="1" customWidth="1"/>
    <col min="5404" max="5404" width="5.5703125" style="4" bestFit="1" customWidth="1"/>
    <col min="5405" max="5405" width="19.5703125" style="4" bestFit="1" customWidth="1"/>
    <col min="5406" max="5406" width="1.42578125" style="4" customWidth="1"/>
    <col min="5407" max="5407" width="13.42578125" style="4" bestFit="1" customWidth="1"/>
    <col min="5408" max="5408" width="8.5703125" style="4" bestFit="1" customWidth="1"/>
    <col min="5409" max="5409" width="8.85546875" style="4" bestFit="1" customWidth="1"/>
    <col min="5410" max="5632" width="9.140625" style="4"/>
    <col min="5633" max="5633" width="11" style="4" customWidth="1"/>
    <col min="5634" max="5635" width="12.5703125" style="4" customWidth="1"/>
    <col min="5636" max="5636" width="11" style="4" customWidth="1"/>
    <col min="5637" max="5637" width="8.42578125" style="4" customWidth="1"/>
    <col min="5638" max="5638" width="11.42578125" style="4" customWidth="1"/>
    <col min="5639" max="5639" width="1.85546875" style="4" customWidth="1"/>
    <col min="5640" max="5640" width="8.42578125" style="4" customWidth="1"/>
    <col min="5641" max="5641" width="11.42578125" style="4" customWidth="1"/>
    <col min="5642" max="5643" width="10.42578125" style="4" customWidth="1"/>
    <col min="5644" max="5644" width="10.5703125" style="4" customWidth="1"/>
    <col min="5645" max="5645" width="10" style="4" customWidth="1"/>
    <col min="5646" max="5646" width="11" style="4" bestFit="1" customWidth="1"/>
    <col min="5647" max="5647" width="12" style="4" customWidth="1"/>
    <col min="5648" max="5648" width="11.140625" style="4" customWidth="1"/>
    <col min="5649" max="5649" width="9.5703125" style="4" customWidth="1"/>
    <col min="5650" max="5650" width="10.42578125" style="4" customWidth="1"/>
    <col min="5651" max="5651" width="8.5703125" style="4" customWidth="1"/>
    <col min="5652" max="5652" width="11" style="4" customWidth="1"/>
    <col min="5653" max="5653" width="13.42578125" style="4" bestFit="1" customWidth="1"/>
    <col min="5654" max="5654" width="9.42578125" style="4" customWidth="1"/>
    <col min="5655" max="5655" width="7.5703125" style="4" customWidth="1"/>
    <col min="5656" max="5656" width="11.42578125" style="4" customWidth="1"/>
    <col min="5657" max="5657" width="9.42578125" style="4" customWidth="1"/>
    <col min="5658" max="5658" width="11.42578125" style="4" customWidth="1"/>
    <col min="5659" max="5659" width="13.42578125" style="4" bestFit="1" customWidth="1"/>
    <col min="5660" max="5660" width="5.5703125" style="4" bestFit="1" customWidth="1"/>
    <col min="5661" max="5661" width="19.5703125" style="4" bestFit="1" customWidth="1"/>
    <col min="5662" max="5662" width="1.42578125" style="4" customWidth="1"/>
    <col min="5663" max="5663" width="13.42578125" style="4" bestFit="1" customWidth="1"/>
    <col min="5664" max="5664" width="8.5703125" style="4" bestFit="1" customWidth="1"/>
    <col min="5665" max="5665" width="8.85546875" style="4" bestFit="1" customWidth="1"/>
    <col min="5666" max="5888" width="9.140625" style="4"/>
    <col min="5889" max="5889" width="11" style="4" customWidth="1"/>
    <col min="5890" max="5891" width="12.5703125" style="4" customWidth="1"/>
    <col min="5892" max="5892" width="11" style="4" customWidth="1"/>
    <col min="5893" max="5893" width="8.42578125" style="4" customWidth="1"/>
    <col min="5894" max="5894" width="11.42578125" style="4" customWidth="1"/>
    <col min="5895" max="5895" width="1.85546875" style="4" customWidth="1"/>
    <col min="5896" max="5896" width="8.42578125" style="4" customWidth="1"/>
    <col min="5897" max="5897" width="11.42578125" style="4" customWidth="1"/>
    <col min="5898" max="5899" width="10.42578125" style="4" customWidth="1"/>
    <col min="5900" max="5900" width="10.5703125" style="4" customWidth="1"/>
    <col min="5901" max="5901" width="10" style="4" customWidth="1"/>
    <col min="5902" max="5902" width="11" style="4" bestFit="1" customWidth="1"/>
    <col min="5903" max="5903" width="12" style="4" customWidth="1"/>
    <col min="5904" max="5904" width="11.140625" style="4" customWidth="1"/>
    <col min="5905" max="5905" width="9.5703125" style="4" customWidth="1"/>
    <col min="5906" max="5906" width="10.42578125" style="4" customWidth="1"/>
    <col min="5907" max="5907" width="8.5703125" style="4" customWidth="1"/>
    <col min="5908" max="5908" width="11" style="4" customWidth="1"/>
    <col min="5909" max="5909" width="13.42578125" style="4" bestFit="1" customWidth="1"/>
    <col min="5910" max="5910" width="9.42578125" style="4" customWidth="1"/>
    <col min="5911" max="5911" width="7.5703125" style="4" customWidth="1"/>
    <col min="5912" max="5912" width="11.42578125" style="4" customWidth="1"/>
    <col min="5913" max="5913" width="9.42578125" style="4" customWidth="1"/>
    <col min="5914" max="5914" width="11.42578125" style="4" customWidth="1"/>
    <col min="5915" max="5915" width="13.42578125" style="4" bestFit="1" customWidth="1"/>
    <col min="5916" max="5916" width="5.5703125" style="4" bestFit="1" customWidth="1"/>
    <col min="5917" max="5917" width="19.5703125" style="4" bestFit="1" customWidth="1"/>
    <col min="5918" max="5918" width="1.42578125" style="4" customWidth="1"/>
    <col min="5919" max="5919" width="13.42578125" style="4" bestFit="1" customWidth="1"/>
    <col min="5920" max="5920" width="8.5703125" style="4" bestFit="1" customWidth="1"/>
    <col min="5921" max="5921" width="8.85546875" style="4" bestFit="1" customWidth="1"/>
    <col min="5922" max="6144" width="9.140625" style="4"/>
    <col min="6145" max="6145" width="11" style="4" customWidth="1"/>
    <col min="6146" max="6147" width="12.5703125" style="4" customWidth="1"/>
    <col min="6148" max="6148" width="11" style="4" customWidth="1"/>
    <col min="6149" max="6149" width="8.42578125" style="4" customWidth="1"/>
    <col min="6150" max="6150" width="11.42578125" style="4" customWidth="1"/>
    <col min="6151" max="6151" width="1.85546875" style="4" customWidth="1"/>
    <col min="6152" max="6152" width="8.42578125" style="4" customWidth="1"/>
    <col min="6153" max="6153" width="11.42578125" style="4" customWidth="1"/>
    <col min="6154" max="6155" width="10.42578125" style="4" customWidth="1"/>
    <col min="6156" max="6156" width="10.5703125" style="4" customWidth="1"/>
    <col min="6157" max="6157" width="10" style="4" customWidth="1"/>
    <col min="6158" max="6158" width="11" style="4" bestFit="1" customWidth="1"/>
    <col min="6159" max="6159" width="12" style="4" customWidth="1"/>
    <col min="6160" max="6160" width="11.140625" style="4" customWidth="1"/>
    <col min="6161" max="6161" width="9.5703125" style="4" customWidth="1"/>
    <col min="6162" max="6162" width="10.42578125" style="4" customWidth="1"/>
    <col min="6163" max="6163" width="8.5703125" style="4" customWidth="1"/>
    <col min="6164" max="6164" width="11" style="4" customWidth="1"/>
    <col min="6165" max="6165" width="13.42578125" style="4" bestFit="1" customWidth="1"/>
    <col min="6166" max="6166" width="9.42578125" style="4" customWidth="1"/>
    <col min="6167" max="6167" width="7.5703125" style="4" customWidth="1"/>
    <col min="6168" max="6168" width="11.42578125" style="4" customWidth="1"/>
    <col min="6169" max="6169" width="9.42578125" style="4" customWidth="1"/>
    <col min="6170" max="6170" width="11.42578125" style="4" customWidth="1"/>
    <col min="6171" max="6171" width="13.42578125" style="4" bestFit="1" customWidth="1"/>
    <col min="6172" max="6172" width="5.5703125" style="4" bestFit="1" customWidth="1"/>
    <col min="6173" max="6173" width="19.5703125" style="4" bestFit="1" customWidth="1"/>
    <col min="6174" max="6174" width="1.42578125" style="4" customWidth="1"/>
    <col min="6175" max="6175" width="13.42578125" style="4" bestFit="1" customWidth="1"/>
    <col min="6176" max="6176" width="8.5703125" style="4" bestFit="1" customWidth="1"/>
    <col min="6177" max="6177" width="8.85546875" style="4" bestFit="1" customWidth="1"/>
    <col min="6178" max="6400" width="9.140625" style="4"/>
    <col min="6401" max="6401" width="11" style="4" customWidth="1"/>
    <col min="6402" max="6403" width="12.5703125" style="4" customWidth="1"/>
    <col min="6404" max="6404" width="11" style="4" customWidth="1"/>
    <col min="6405" max="6405" width="8.42578125" style="4" customWidth="1"/>
    <col min="6406" max="6406" width="11.42578125" style="4" customWidth="1"/>
    <col min="6407" max="6407" width="1.85546875" style="4" customWidth="1"/>
    <col min="6408" max="6408" width="8.42578125" style="4" customWidth="1"/>
    <col min="6409" max="6409" width="11.42578125" style="4" customWidth="1"/>
    <col min="6410" max="6411" width="10.42578125" style="4" customWidth="1"/>
    <col min="6412" max="6412" width="10.5703125" style="4" customWidth="1"/>
    <col min="6413" max="6413" width="10" style="4" customWidth="1"/>
    <col min="6414" max="6414" width="11" style="4" bestFit="1" customWidth="1"/>
    <col min="6415" max="6415" width="12" style="4" customWidth="1"/>
    <col min="6416" max="6416" width="11.140625" style="4" customWidth="1"/>
    <col min="6417" max="6417" width="9.5703125" style="4" customWidth="1"/>
    <col min="6418" max="6418" width="10.42578125" style="4" customWidth="1"/>
    <col min="6419" max="6419" width="8.5703125" style="4" customWidth="1"/>
    <col min="6420" max="6420" width="11" style="4" customWidth="1"/>
    <col min="6421" max="6421" width="13.42578125" style="4" bestFit="1" customWidth="1"/>
    <col min="6422" max="6422" width="9.42578125" style="4" customWidth="1"/>
    <col min="6423" max="6423" width="7.5703125" style="4" customWidth="1"/>
    <col min="6424" max="6424" width="11.42578125" style="4" customWidth="1"/>
    <col min="6425" max="6425" width="9.42578125" style="4" customWidth="1"/>
    <col min="6426" max="6426" width="11.42578125" style="4" customWidth="1"/>
    <col min="6427" max="6427" width="13.42578125" style="4" bestFit="1" customWidth="1"/>
    <col min="6428" max="6428" width="5.5703125" style="4" bestFit="1" customWidth="1"/>
    <col min="6429" max="6429" width="19.5703125" style="4" bestFit="1" customWidth="1"/>
    <col min="6430" max="6430" width="1.42578125" style="4" customWidth="1"/>
    <col min="6431" max="6431" width="13.42578125" style="4" bestFit="1" customWidth="1"/>
    <col min="6432" max="6432" width="8.5703125" style="4" bestFit="1" customWidth="1"/>
    <col min="6433" max="6433" width="8.85546875" style="4" bestFit="1" customWidth="1"/>
    <col min="6434" max="6656" width="9.140625" style="4"/>
    <col min="6657" max="6657" width="11" style="4" customWidth="1"/>
    <col min="6658" max="6659" width="12.5703125" style="4" customWidth="1"/>
    <col min="6660" max="6660" width="11" style="4" customWidth="1"/>
    <col min="6661" max="6661" width="8.42578125" style="4" customWidth="1"/>
    <col min="6662" max="6662" width="11.42578125" style="4" customWidth="1"/>
    <col min="6663" max="6663" width="1.85546875" style="4" customWidth="1"/>
    <col min="6664" max="6664" width="8.42578125" style="4" customWidth="1"/>
    <col min="6665" max="6665" width="11.42578125" style="4" customWidth="1"/>
    <col min="6666" max="6667" width="10.42578125" style="4" customWidth="1"/>
    <col min="6668" max="6668" width="10.5703125" style="4" customWidth="1"/>
    <col min="6669" max="6669" width="10" style="4" customWidth="1"/>
    <col min="6670" max="6670" width="11" style="4" bestFit="1" customWidth="1"/>
    <col min="6671" max="6671" width="12" style="4" customWidth="1"/>
    <col min="6672" max="6672" width="11.140625" style="4" customWidth="1"/>
    <col min="6673" max="6673" width="9.5703125" style="4" customWidth="1"/>
    <col min="6674" max="6674" width="10.42578125" style="4" customWidth="1"/>
    <col min="6675" max="6675" width="8.5703125" style="4" customWidth="1"/>
    <col min="6676" max="6676" width="11" style="4" customWidth="1"/>
    <col min="6677" max="6677" width="13.42578125" style="4" bestFit="1" customWidth="1"/>
    <col min="6678" max="6678" width="9.42578125" style="4" customWidth="1"/>
    <col min="6679" max="6679" width="7.5703125" style="4" customWidth="1"/>
    <col min="6680" max="6680" width="11.42578125" style="4" customWidth="1"/>
    <col min="6681" max="6681" width="9.42578125" style="4" customWidth="1"/>
    <col min="6682" max="6682" width="11.42578125" style="4" customWidth="1"/>
    <col min="6683" max="6683" width="13.42578125" style="4" bestFit="1" customWidth="1"/>
    <col min="6684" max="6684" width="5.5703125" style="4" bestFit="1" customWidth="1"/>
    <col min="6685" max="6685" width="19.5703125" style="4" bestFit="1" customWidth="1"/>
    <col min="6686" max="6686" width="1.42578125" style="4" customWidth="1"/>
    <col min="6687" max="6687" width="13.42578125" style="4" bestFit="1" customWidth="1"/>
    <col min="6688" max="6688" width="8.5703125" style="4" bestFit="1" customWidth="1"/>
    <col min="6689" max="6689" width="8.85546875" style="4" bestFit="1" customWidth="1"/>
    <col min="6690" max="6912" width="9.140625" style="4"/>
    <col min="6913" max="6913" width="11" style="4" customWidth="1"/>
    <col min="6914" max="6915" width="12.5703125" style="4" customWidth="1"/>
    <col min="6916" max="6916" width="11" style="4" customWidth="1"/>
    <col min="6917" max="6917" width="8.42578125" style="4" customWidth="1"/>
    <col min="6918" max="6918" width="11.42578125" style="4" customWidth="1"/>
    <col min="6919" max="6919" width="1.85546875" style="4" customWidth="1"/>
    <col min="6920" max="6920" width="8.42578125" style="4" customWidth="1"/>
    <col min="6921" max="6921" width="11.42578125" style="4" customWidth="1"/>
    <col min="6922" max="6923" width="10.42578125" style="4" customWidth="1"/>
    <col min="6924" max="6924" width="10.5703125" style="4" customWidth="1"/>
    <col min="6925" max="6925" width="10" style="4" customWidth="1"/>
    <col min="6926" max="6926" width="11" style="4" bestFit="1" customWidth="1"/>
    <col min="6927" max="6927" width="12" style="4" customWidth="1"/>
    <col min="6928" max="6928" width="11.140625" style="4" customWidth="1"/>
    <col min="6929" max="6929" width="9.5703125" style="4" customWidth="1"/>
    <col min="6930" max="6930" width="10.42578125" style="4" customWidth="1"/>
    <col min="6931" max="6931" width="8.5703125" style="4" customWidth="1"/>
    <col min="6932" max="6932" width="11" style="4" customWidth="1"/>
    <col min="6933" max="6933" width="13.42578125" style="4" bestFit="1" customWidth="1"/>
    <col min="6934" max="6934" width="9.42578125" style="4" customWidth="1"/>
    <col min="6935" max="6935" width="7.5703125" style="4" customWidth="1"/>
    <col min="6936" max="6936" width="11.42578125" style="4" customWidth="1"/>
    <col min="6937" max="6937" width="9.42578125" style="4" customWidth="1"/>
    <col min="6938" max="6938" width="11.42578125" style="4" customWidth="1"/>
    <col min="6939" max="6939" width="13.42578125" style="4" bestFit="1" customWidth="1"/>
    <col min="6940" max="6940" width="5.5703125" style="4" bestFit="1" customWidth="1"/>
    <col min="6941" max="6941" width="19.5703125" style="4" bestFit="1" customWidth="1"/>
    <col min="6942" max="6942" width="1.42578125" style="4" customWidth="1"/>
    <col min="6943" max="6943" width="13.42578125" style="4" bestFit="1" customWidth="1"/>
    <col min="6944" max="6944" width="8.5703125" style="4" bestFit="1" customWidth="1"/>
    <col min="6945" max="6945" width="8.85546875" style="4" bestFit="1" customWidth="1"/>
    <col min="6946" max="7168" width="9.140625" style="4"/>
    <col min="7169" max="7169" width="11" style="4" customWidth="1"/>
    <col min="7170" max="7171" width="12.5703125" style="4" customWidth="1"/>
    <col min="7172" max="7172" width="11" style="4" customWidth="1"/>
    <col min="7173" max="7173" width="8.42578125" style="4" customWidth="1"/>
    <col min="7174" max="7174" width="11.42578125" style="4" customWidth="1"/>
    <col min="7175" max="7175" width="1.85546875" style="4" customWidth="1"/>
    <col min="7176" max="7176" width="8.42578125" style="4" customWidth="1"/>
    <col min="7177" max="7177" width="11.42578125" style="4" customWidth="1"/>
    <col min="7178" max="7179" width="10.42578125" style="4" customWidth="1"/>
    <col min="7180" max="7180" width="10.5703125" style="4" customWidth="1"/>
    <col min="7181" max="7181" width="10" style="4" customWidth="1"/>
    <col min="7182" max="7182" width="11" style="4" bestFit="1" customWidth="1"/>
    <col min="7183" max="7183" width="12" style="4" customWidth="1"/>
    <col min="7184" max="7184" width="11.140625" style="4" customWidth="1"/>
    <col min="7185" max="7185" width="9.5703125" style="4" customWidth="1"/>
    <col min="7186" max="7186" width="10.42578125" style="4" customWidth="1"/>
    <col min="7187" max="7187" width="8.5703125" style="4" customWidth="1"/>
    <col min="7188" max="7188" width="11" style="4" customWidth="1"/>
    <col min="7189" max="7189" width="13.42578125" style="4" bestFit="1" customWidth="1"/>
    <col min="7190" max="7190" width="9.42578125" style="4" customWidth="1"/>
    <col min="7191" max="7191" width="7.5703125" style="4" customWidth="1"/>
    <col min="7192" max="7192" width="11.42578125" style="4" customWidth="1"/>
    <col min="7193" max="7193" width="9.42578125" style="4" customWidth="1"/>
    <col min="7194" max="7194" width="11.42578125" style="4" customWidth="1"/>
    <col min="7195" max="7195" width="13.42578125" style="4" bestFit="1" customWidth="1"/>
    <col min="7196" max="7196" width="5.5703125" style="4" bestFit="1" customWidth="1"/>
    <col min="7197" max="7197" width="19.5703125" style="4" bestFit="1" customWidth="1"/>
    <col min="7198" max="7198" width="1.42578125" style="4" customWidth="1"/>
    <col min="7199" max="7199" width="13.42578125" style="4" bestFit="1" customWidth="1"/>
    <col min="7200" max="7200" width="8.5703125" style="4" bestFit="1" customWidth="1"/>
    <col min="7201" max="7201" width="8.85546875" style="4" bestFit="1" customWidth="1"/>
    <col min="7202" max="7424" width="9.140625" style="4"/>
    <col min="7425" max="7425" width="11" style="4" customWidth="1"/>
    <col min="7426" max="7427" width="12.5703125" style="4" customWidth="1"/>
    <col min="7428" max="7428" width="11" style="4" customWidth="1"/>
    <col min="7429" max="7429" width="8.42578125" style="4" customWidth="1"/>
    <col min="7430" max="7430" width="11.42578125" style="4" customWidth="1"/>
    <col min="7431" max="7431" width="1.85546875" style="4" customWidth="1"/>
    <col min="7432" max="7432" width="8.42578125" style="4" customWidth="1"/>
    <col min="7433" max="7433" width="11.42578125" style="4" customWidth="1"/>
    <col min="7434" max="7435" width="10.42578125" style="4" customWidth="1"/>
    <col min="7436" max="7436" width="10.5703125" style="4" customWidth="1"/>
    <col min="7437" max="7437" width="10" style="4" customWidth="1"/>
    <col min="7438" max="7438" width="11" style="4" bestFit="1" customWidth="1"/>
    <col min="7439" max="7439" width="12" style="4" customWidth="1"/>
    <col min="7440" max="7440" width="11.140625" style="4" customWidth="1"/>
    <col min="7441" max="7441" width="9.5703125" style="4" customWidth="1"/>
    <col min="7442" max="7442" width="10.42578125" style="4" customWidth="1"/>
    <col min="7443" max="7443" width="8.5703125" style="4" customWidth="1"/>
    <col min="7444" max="7444" width="11" style="4" customWidth="1"/>
    <col min="7445" max="7445" width="13.42578125" style="4" bestFit="1" customWidth="1"/>
    <col min="7446" max="7446" width="9.42578125" style="4" customWidth="1"/>
    <col min="7447" max="7447" width="7.5703125" style="4" customWidth="1"/>
    <col min="7448" max="7448" width="11.42578125" style="4" customWidth="1"/>
    <col min="7449" max="7449" width="9.42578125" style="4" customWidth="1"/>
    <col min="7450" max="7450" width="11.42578125" style="4" customWidth="1"/>
    <col min="7451" max="7451" width="13.42578125" style="4" bestFit="1" customWidth="1"/>
    <col min="7452" max="7452" width="5.5703125" style="4" bestFit="1" customWidth="1"/>
    <col min="7453" max="7453" width="19.5703125" style="4" bestFit="1" customWidth="1"/>
    <col min="7454" max="7454" width="1.42578125" style="4" customWidth="1"/>
    <col min="7455" max="7455" width="13.42578125" style="4" bestFit="1" customWidth="1"/>
    <col min="7456" max="7456" width="8.5703125" style="4" bestFit="1" customWidth="1"/>
    <col min="7457" max="7457" width="8.85546875" style="4" bestFit="1" customWidth="1"/>
    <col min="7458" max="7680" width="9.140625" style="4"/>
    <col min="7681" max="7681" width="11" style="4" customWidth="1"/>
    <col min="7682" max="7683" width="12.5703125" style="4" customWidth="1"/>
    <col min="7684" max="7684" width="11" style="4" customWidth="1"/>
    <col min="7685" max="7685" width="8.42578125" style="4" customWidth="1"/>
    <col min="7686" max="7686" width="11.42578125" style="4" customWidth="1"/>
    <col min="7687" max="7687" width="1.85546875" style="4" customWidth="1"/>
    <col min="7688" max="7688" width="8.42578125" style="4" customWidth="1"/>
    <col min="7689" max="7689" width="11.42578125" style="4" customWidth="1"/>
    <col min="7690" max="7691" width="10.42578125" style="4" customWidth="1"/>
    <col min="7692" max="7692" width="10.5703125" style="4" customWidth="1"/>
    <col min="7693" max="7693" width="10" style="4" customWidth="1"/>
    <col min="7694" max="7694" width="11" style="4" bestFit="1" customWidth="1"/>
    <col min="7695" max="7695" width="12" style="4" customWidth="1"/>
    <col min="7696" max="7696" width="11.140625" style="4" customWidth="1"/>
    <col min="7697" max="7697" width="9.5703125" style="4" customWidth="1"/>
    <col min="7698" max="7698" width="10.42578125" style="4" customWidth="1"/>
    <col min="7699" max="7699" width="8.5703125" style="4" customWidth="1"/>
    <col min="7700" max="7700" width="11" style="4" customWidth="1"/>
    <col min="7701" max="7701" width="13.42578125" style="4" bestFit="1" customWidth="1"/>
    <col min="7702" max="7702" width="9.42578125" style="4" customWidth="1"/>
    <col min="7703" max="7703" width="7.5703125" style="4" customWidth="1"/>
    <col min="7704" max="7704" width="11.42578125" style="4" customWidth="1"/>
    <col min="7705" max="7705" width="9.42578125" style="4" customWidth="1"/>
    <col min="7706" max="7706" width="11.42578125" style="4" customWidth="1"/>
    <col min="7707" max="7707" width="13.42578125" style="4" bestFit="1" customWidth="1"/>
    <col min="7708" max="7708" width="5.5703125" style="4" bestFit="1" customWidth="1"/>
    <col min="7709" max="7709" width="19.5703125" style="4" bestFit="1" customWidth="1"/>
    <col min="7710" max="7710" width="1.42578125" style="4" customWidth="1"/>
    <col min="7711" max="7711" width="13.42578125" style="4" bestFit="1" customWidth="1"/>
    <col min="7712" max="7712" width="8.5703125" style="4" bestFit="1" customWidth="1"/>
    <col min="7713" max="7713" width="8.85546875" style="4" bestFit="1" customWidth="1"/>
    <col min="7714" max="7936" width="9.140625" style="4"/>
    <col min="7937" max="7937" width="11" style="4" customWidth="1"/>
    <col min="7938" max="7939" width="12.5703125" style="4" customWidth="1"/>
    <col min="7940" max="7940" width="11" style="4" customWidth="1"/>
    <col min="7941" max="7941" width="8.42578125" style="4" customWidth="1"/>
    <col min="7942" max="7942" width="11.42578125" style="4" customWidth="1"/>
    <col min="7943" max="7943" width="1.85546875" style="4" customWidth="1"/>
    <col min="7944" max="7944" width="8.42578125" style="4" customWidth="1"/>
    <col min="7945" max="7945" width="11.42578125" style="4" customWidth="1"/>
    <col min="7946" max="7947" width="10.42578125" style="4" customWidth="1"/>
    <col min="7948" max="7948" width="10.5703125" style="4" customWidth="1"/>
    <col min="7949" max="7949" width="10" style="4" customWidth="1"/>
    <col min="7950" max="7950" width="11" style="4" bestFit="1" customWidth="1"/>
    <col min="7951" max="7951" width="12" style="4" customWidth="1"/>
    <col min="7952" max="7952" width="11.140625" style="4" customWidth="1"/>
    <col min="7953" max="7953" width="9.5703125" style="4" customWidth="1"/>
    <col min="7954" max="7954" width="10.42578125" style="4" customWidth="1"/>
    <col min="7955" max="7955" width="8.5703125" style="4" customWidth="1"/>
    <col min="7956" max="7956" width="11" style="4" customWidth="1"/>
    <col min="7957" max="7957" width="13.42578125" style="4" bestFit="1" customWidth="1"/>
    <col min="7958" max="7958" width="9.42578125" style="4" customWidth="1"/>
    <col min="7959" max="7959" width="7.5703125" style="4" customWidth="1"/>
    <col min="7960" max="7960" width="11.42578125" style="4" customWidth="1"/>
    <col min="7961" max="7961" width="9.42578125" style="4" customWidth="1"/>
    <col min="7962" max="7962" width="11.42578125" style="4" customWidth="1"/>
    <col min="7963" max="7963" width="13.42578125" style="4" bestFit="1" customWidth="1"/>
    <col min="7964" max="7964" width="5.5703125" style="4" bestFit="1" customWidth="1"/>
    <col min="7965" max="7965" width="19.5703125" style="4" bestFit="1" customWidth="1"/>
    <col min="7966" max="7966" width="1.42578125" style="4" customWidth="1"/>
    <col min="7967" max="7967" width="13.42578125" style="4" bestFit="1" customWidth="1"/>
    <col min="7968" max="7968" width="8.5703125" style="4" bestFit="1" customWidth="1"/>
    <col min="7969" max="7969" width="8.85546875" style="4" bestFit="1" customWidth="1"/>
    <col min="7970" max="8192" width="9.140625" style="4"/>
    <col min="8193" max="8193" width="11" style="4" customWidth="1"/>
    <col min="8194" max="8195" width="12.5703125" style="4" customWidth="1"/>
    <col min="8196" max="8196" width="11" style="4" customWidth="1"/>
    <col min="8197" max="8197" width="8.42578125" style="4" customWidth="1"/>
    <col min="8198" max="8198" width="11.42578125" style="4" customWidth="1"/>
    <col min="8199" max="8199" width="1.85546875" style="4" customWidth="1"/>
    <col min="8200" max="8200" width="8.42578125" style="4" customWidth="1"/>
    <col min="8201" max="8201" width="11.42578125" style="4" customWidth="1"/>
    <col min="8202" max="8203" width="10.42578125" style="4" customWidth="1"/>
    <col min="8204" max="8204" width="10.5703125" style="4" customWidth="1"/>
    <col min="8205" max="8205" width="10" style="4" customWidth="1"/>
    <col min="8206" max="8206" width="11" style="4" bestFit="1" customWidth="1"/>
    <col min="8207" max="8207" width="12" style="4" customWidth="1"/>
    <col min="8208" max="8208" width="11.140625" style="4" customWidth="1"/>
    <col min="8209" max="8209" width="9.5703125" style="4" customWidth="1"/>
    <col min="8210" max="8210" width="10.42578125" style="4" customWidth="1"/>
    <col min="8211" max="8211" width="8.5703125" style="4" customWidth="1"/>
    <col min="8212" max="8212" width="11" style="4" customWidth="1"/>
    <col min="8213" max="8213" width="13.42578125" style="4" bestFit="1" customWidth="1"/>
    <col min="8214" max="8214" width="9.42578125" style="4" customWidth="1"/>
    <col min="8215" max="8215" width="7.5703125" style="4" customWidth="1"/>
    <col min="8216" max="8216" width="11.42578125" style="4" customWidth="1"/>
    <col min="8217" max="8217" width="9.42578125" style="4" customWidth="1"/>
    <col min="8218" max="8218" width="11.42578125" style="4" customWidth="1"/>
    <col min="8219" max="8219" width="13.42578125" style="4" bestFit="1" customWidth="1"/>
    <col min="8220" max="8220" width="5.5703125" style="4" bestFit="1" customWidth="1"/>
    <col min="8221" max="8221" width="19.5703125" style="4" bestFit="1" customWidth="1"/>
    <col min="8222" max="8222" width="1.42578125" style="4" customWidth="1"/>
    <col min="8223" max="8223" width="13.42578125" style="4" bestFit="1" customWidth="1"/>
    <col min="8224" max="8224" width="8.5703125" style="4" bestFit="1" customWidth="1"/>
    <col min="8225" max="8225" width="8.85546875" style="4" bestFit="1" customWidth="1"/>
    <col min="8226" max="8448" width="9.140625" style="4"/>
    <col min="8449" max="8449" width="11" style="4" customWidth="1"/>
    <col min="8450" max="8451" width="12.5703125" style="4" customWidth="1"/>
    <col min="8452" max="8452" width="11" style="4" customWidth="1"/>
    <col min="8453" max="8453" width="8.42578125" style="4" customWidth="1"/>
    <col min="8454" max="8454" width="11.42578125" style="4" customWidth="1"/>
    <col min="8455" max="8455" width="1.85546875" style="4" customWidth="1"/>
    <col min="8456" max="8456" width="8.42578125" style="4" customWidth="1"/>
    <col min="8457" max="8457" width="11.42578125" style="4" customWidth="1"/>
    <col min="8458" max="8459" width="10.42578125" style="4" customWidth="1"/>
    <col min="8460" max="8460" width="10.5703125" style="4" customWidth="1"/>
    <col min="8461" max="8461" width="10" style="4" customWidth="1"/>
    <col min="8462" max="8462" width="11" style="4" bestFit="1" customWidth="1"/>
    <col min="8463" max="8463" width="12" style="4" customWidth="1"/>
    <col min="8464" max="8464" width="11.140625" style="4" customWidth="1"/>
    <col min="8465" max="8465" width="9.5703125" style="4" customWidth="1"/>
    <col min="8466" max="8466" width="10.42578125" style="4" customWidth="1"/>
    <col min="8467" max="8467" width="8.5703125" style="4" customWidth="1"/>
    <col min="8468" max="8468" width="11" style="4" customWidth="1"/>
    <col min="8469" max="8469" width="13.42578125" style="4" bestFit="1" customWidth="1"/>
    <col min="8470" max="8470" width="9.42578125" style="4" customWidth="1"/>
    <col min="8471" max="8471" width="7.5703125" style="4" customWidth="1"/>
    <col min="8472" max="8472" width="11.42578125" style="4" customWidth="1"/>
    <col min="8473" max="8473" width="9.42578125" style="4" customWidth="1"/>
    <col min="8474" max="8474" width="11.42578125" style="4" customWidth="1"/>
    <col min="8475" max="8475" width="13.42578125" style="4" bestFit="1" customWidth="1"/>
    <col min="8476" max="8476" width="5.5703125" style="4" bestFit="1" customWidth="1"/>
    <col min="8477" max="8477" width="19.5703125" style="4" bestFit="1" customWidth="1"/>
    <col min="8478" max="8478" width="1.42578125" style="4" customWidth="1"/>
    <col min="8479" max="8479" width="13.42578125" style="4" bestFit="1" customWidth="1"/>
    <col min="8480" max="8480" width="8.5703125" style="4" bestFit="1" customWidth="1"/>
    <col min="8481" max="8481" width="8.85546875" style="4" bestFit="1" customWidth="1"/>
    <col min="8482" max="8704" width="9.140625" style="4"/>
    <col min="8705" max="8705" width="11" style="4" customWidth="1"/>
    <col min="8706" max="8707" width="12.5703125" style="4" customWidth="1"/>
    <col min="8708" max="8708" width="11" style="4" customWidth="1"/>
    <col min="8709" max="8709" width="8.42578125" style="4" customWidth="1"/>
    <col min="8710" max="8710" width="11.42578125" style="4" customWidth="1"/>
    <col min="8711" max="8711" width="1.85546875" style="4" customWidth="1"/>
    <col min="8712" max="8712" width="8.42578125" style="4" customWidth="1"/>
    <col min="8713" max="8713" width="11.42578125" style="4" customWidth="1"/>
    <col min="8714" max="8715" width="10.42578125" style="4" customWidth="1"/>
    <col min="8716" max="8716" width="10.5703125" style="4" customWidth="1"/>
    <col min="8717" max="8717" width="10" style="4" customWidth="1"/>
    <col min="8718" max="8718" width="11" style="4" bestFit="1" customWidth="1"/>
    <col min="8719" max="8719" width="12" style="4" customWidth="1"/>
    <col min="8720" max="8720" width="11.140625" style="4" customWidth="1"/>
    <col min="8721" max="8721" width="9.5703125" style="4" customWidth="1"/>
    <col min="8722" max="8722" width="10.42578125" style="4" customWidth="1"/>
    <col min="8723" max="8723" width="8.5703125" style="4" customWidth="1"/>
    <col min="8724" max="8724" width="11" style="4" customWidth="1"/>
    <col min="8725" max="8725" width="13.42578125" style="4" bestFit="1" customWidth="1"/>
    <col min="8726" max="8726" width="9.42578125" style="4" customWidth="1"/>
    <col min="8727" max="8727" width="7.5703125" style="4" customWidth="1"/>
    <col min="8728" max="8728" width="11.42578125" style="4" customWidth="1"/>
    <col min="8729" max="8729" width="9.42578125" style="4" customWidth="1"/>
    <col min="8730" max="8730" width="11.42578125" style="4" customWidth="1"/>
    <col min="8731" max="8731" width="13.42578125" style="4" bestFit="1" customWidth="1"/>
    <col min="8732" max="8732" width="5.5703125" style="4" bestFit="1" customWidth="1"/>
    <col min="8733" max="8733" width="19.5703125" style="4" bestFit="1" customWidth="1"/>
    <col min="8734" max="8734" width="1.42578125" style="4" customWidth="1"/>
    <col min="8735" max="8735" width="13.42578125" style="4" bestFit="1" customWidth="1"/>
    <col min="8736" max="8736" width="8.5703125" style="4" bestFit="1" customWidth="1"/>
    <col min="8737" max="8737" width="8.85546875" style="4" bestFit="1" customWidth="1"/>
    <col min="8738" max="8960" width="9.140625" style="4"/>
    <col min="8961" max="8961" width="11" style="4" customWidth="1"/>
    <col min="8962" max="8963" width="12.5703125" style="4" customWidth="1"/>
    <col min="8964" max="8964" width="11" style="4" customWidth="1"/>
    <col min="8965" max="8965" width="8.42578125" style="4" customWidth="1"/>
    <col min="8966" max="8966" width="11.42578125" style="4" customWidth="1"/>
    <col min="8967" max="8967" width="1.85546875" style="4" customWidth="1"/>
    <col min="8968" max="8968" width="8.42578125" style="4" customWidth="1"/>
    <col min="8969" max="8969" width="11.42578125" style="4" customWidth="1"/>
    <col min="8970" max="8971" width="10.42578125" style="4" customWidth="1"/>
    <col min="8972" max="8972" width="10.5703125" style="4" customWidth="1"/>
    <col min="8973" max="8973" width="10" style="4" customWidth="1"/>
    <col min="8974" max="8974" width="11" style="4" bestFit="1" customWidth="1"/>
    <col min="8975" max="8975" width="12" style="4" customWidth="1"/>
    <col min="8976" max="8976" width="11.140625" style="4" customWidth="1"/>
    <col min="8977" max="8977" width="9.5703125" style="4" customWidth="1"/>
    <col min="8978" max="8978" width="10.42578125" style="4" customWidth="1"/>
    <col min="8979" max="8979" width="8.5703125" style="4" customWidth="1"/>
    <col min="8980" max="8980" width="11" style="4" customWidth="1"/>
    <col min="8981" max="8981" width="13.42578125" style="4" bestFit="1" customWidth="1"/>
    <col min="8982" max="8982" width="9.42578125" style="4" customWidth="1"/>
    <col min="8983" max="8983" width="7.5703125" style="4" customWidth="1"/>
    <col min="8984" max="8984" width="11.42578125" style="4" customWidth="1"/>
    <col min="8985" max="8985" width="9.42578125" style="4" customWidth="1"/>
    <col min="8986" max="8986" width="11.42578125" style="4" customWidth="1"/>
    <col min="8987" max="8987" width="13.42578125" style="4" bestFit="1" customWidth="1"/>
    <col min="8988" max="8988" width="5.5703125" style="4" bestFit="1" customWidth="1"/>
    <col min="8989" max="8989" width="19.5703125" style="4" bestFit="1" customWidth="1"/>
    <col min="8990" max="8990" width="1.42578125" style="4" customWidth="1"/>
    <col min="8991" max="8991" width="13.42578125" style="4" bestFit="1" customWidth="1"/>
    <col min="8992" max="8992" width="8.5703125" style="4" bestFit="1" customWidth="1"/>
    <col min="8993" max="8993" width="8.85546875" style="4" bestFit="1" customWidth="1"/>
    <col min="8994" max="9216" width="9.140625" style="4"/>
    <col min="9217" max="9217" width="11" style="4" customWidth="1"/>
    <col min="9218" max="9219" width="12.5703125" style="4" customWidth="1"/>
    <col min="9220" max="9220" width="11" style="4" customWidth="1"/>
    <col min="9221" max="9221" width="8.42578125" style="4" customWidth="1"/>
    <col min="9222" max="9222" width="11.42578125" style="4" customWidth="1"/>
    <col min="9223" max="9223" width="1.85546875" style="4" customWidth="1"/>
    <col min="9224" max="9224" width="8.42578125" style="4" customWidth="1"/>
    <col min="9225" max="9225" width="11.42578125" style="4" customWidth="1"/>
    <col min="9226" max="9227" width="10.42578125" style="4" customWidth="1"/>
    <col min="9228" max="9228" width="10.5703125" style="4" customWidth="1"/>
    <col min="9229" max="9229" width="10" style="4" customWidth="1"/>
    <col min="9230" max="9230" width="11" style="4" bestFit="1" customWidth="1"/>
    <col min="9231" max="9231" width="12" style="4" customWidth="1"/>
    <col min="9232" max="9232" width="11.140625" style="4" customWidth="1"/>
    <col min="9233" max="9233" width="9.5703125" style="4" customWidth="1"/>
    <col min="9234" max="9234" width="10.42578125" style="4" customWidth="1"/>
    <col min="9235" max="9235" width="8.5703125" style="4" customWidth="1"/>
    <col min="9236" max="9236" width="11" style="4" customWidth="1"/>
    <col min="9237" max="9237" width="13.42578125" style="4" bestFit="1" customWidth="1"/>
    <col min="9238" max="9238" width="9.42578125" style="4" customWidth="1"/>
    <col min="9239" max="9239" width="7.5703125" style="4" customWidth="1"/>
    <col min="9240" max="9240" width="11.42578125" style="4" customWidth="1"/>
    <col min="9241" max="9241" width="9.42578125" style="4" customWidth="1"/>
    <col min="9242" max="9242" width="11.42578125" style="4" customWidth="1"/>
    <col min="9243" max="9243" width="13.42578125" style="4" bestFit="1" customWidth="1"/>
    <col min="9244" max="9244" width="5.5703125" style="4" bestFit="1" customWidth="1"/>
    <col min="9245" max="9245" width="19.5703125" style="4" bestFit="1" customWidth="1"/>
    <col min="9246" max="9246" width="1.42578125" style="4" customWidth="1"/>
    <col min="9247" max="9247" width="13.42578125" style="4" bestFit="1" customWidth="1"/>
    <col min="9248" max="9248" width="8.5703125" style="4" bestFit="1" customWidth="1"/>
    <col min="9249" max="9249" width="8.85546875" style="4" bestFit="1" customWidth="1"/>
    <col min="9250" max="9472" width="9.140625" style="4"/>
    <col min="9473" max="9473" width="11" style="4" customWidth="1"/>
    <col min="9474" max="9475" width="12.5703125" style="4" customWidth="1"/>
    <col min="9476" max="9476" width="11" style="4" customWidth="1"/>
    <col min="9477" max="9477" width="8.42578125" style="4" customWidth="1"/>
    <col min="9478" max="9478" width="11.42578125" style="4" customWidth="1"/>
    <col min="9479" max="9479" width="1.85546875" style="4" customWidth="1"/>
    <col min="9480" max="9480" width="8.42578125" style="4" customWidth="1"/>
    <col min="9481" max="9481" width="11.42578125" style="4" customWidth="1"/>
    <col min="9482" max="9483" width="10.42578125" style="4" customWidth="1"/>
    <col min="9484" max="9484" width="10.5703125" style="4" customWidth="1"/>
    <col min="9485" max="9485" width="10" style="4" customWidth="1"/>
    <col min="9486" max="9486" width="11" style="4" bestFit="1" customWidth="1"/>
    <col min="9487" max="9487" width="12" style="4" customWidth="1"/>
    <col min="9488" max="9488" width="11.140625" style="4" customWidth="1"/>
    <col min="9489" max="9489" width="9.5703125" style="4" customWidth="1"/>
    <col min="9490" max="9490" width="10.42578125" style="4" customWidth="1"/>
    <col min="9491" max="9491" width="8.5703125" style="4" customWidth="1"/>
    <col min="9492" max="9492" width="11" style="4" customWidth="1"/>
    <col min="9493" max="9493" width="13.42578125" style="4" bestFit="1" customWidth="1"/>
    <col min="9494" max="9494" width="9.42578125" style="4" customWidth="1"/>
    <col min="9495" max="9495" width="7.5703125" style="4" customWidth="1"/>
    <col min="9496" max="9496" width="11.42578125" style="4" customWidth="1"/>
    <col min="9497" max="9497" width="9.42578125" style="4" customWidth="1"/>
    <col min="9498" max="9498" width="11.42578125" style="4" customWidth="1"/>
    <col min="9499" max="9499" width="13.42578125" style="4" bestFit="1" customWidth="1"/>
    <col min="9500" max="9500" width="5.5703125" style="4" bestFit="1" customWidth="1"/>
    <col min="9501" max="9501" width="19.5703125" style="4" bestFit="1" customWidth="1"/>
    <col min="9502" max="9502" width="1.42578125" style="4" customWidth="1"/>
    <col min="9503" max="9503" width="13.42578125" style="4" bestFit="1" customWidth="1"/>
    <col min="9504" max="9504" width="8.5703125" style="4" bestFit="1" customWidth="1"/>
    <col min="9505" max="9505" width="8.85546875" style="4" bestFit="1" customWidth="1"/>
    <col min="9506" max="9728" width="9.140625" style="4"/>
    <col min="9729" max="9729" width="11" style="4" customWidth="1"/>
    <col min="9730" max="9731" width="12.5703125" style="4" customWidth="1"/>
    <col min="9732" max="9732" width="11" style="4" customWidth="1"/>
    <col min="9733" max="9733" width="8.42578125" style="4" customWidth="1"/>
    <col min="9734" max="9734" width="11.42578125" style="4" customWidth="1"/>
    <col min="9735" max="9735" width="1.85546875" style="4" customWidth="1"/>
    <col min="9736" max="9736" width="8.42578125" style="4" customWidth="1"/>
    <col min="9737" max="9737" width="11.42578125" style="4" customWidth="1"/>
    <col min="9738" max="9739" width="10.42578125" style="4" customWidth="1"/>
    <col min="9740" max="9740" width="10.5703125" style="4" customWidth="1"/>
    <col min="9741" max="9741" width="10" style="4" customWidth="1"/>
    <col min="9742" max="9742" width="11" style="4" bestFit="1" customWidth="1"/>
    <col min="9743" max="9743" width="12" style="4" customWidth="1"/>
    <col min="9744" max="9744" width="11.140625" style="4" customWidth="1"/>
    <col min="9745" max="9745" width="9.5703125" style="4" customWidth="1"/>
    <col min="9746" max="9746" width="10.42578125" style="4" customWidth="1"/>
    <col min="9747" max="9747" width="8.5703125" style="4" customWidth="1"/>
    <col min="9748" max="9748" width="11" style="4" customWidth="1"/>
    <col min="9749" max="9749" width="13.42578125" style="4" bestFit="1" customWidth="1"/>
    <col min="9750" max="9750" width="9.42578125" style="4" customWidth="1"/>
    <col min="9751" max="9751" width="7.5703125" style="4" customWidth="1"/>
    <col min="9752" max="9752" width="11.42578125" style="4" customWidth="1"/>
    <col min="9753" max="9753" width="9.42578125" style="4" customWidth="1"/>
    <col min="9754" max="9754" width="11.42578125" style="4" customWidth="1"/>
    <col min="9755" max="9755" width="13.42578125" style="4" bestFit="1" customWidth="1"/>
    <col min="9756" max="9756" width="5.5703125" style="4" bestFit="1" customWidth="1"/>
    <col min="9757" max="9757" width="19.5703125" style="4" bestFit="1" customWidth="1"/>
    <col min="9758" max="9758" width="1.42578125" style="4" customWidth="1"/>
    <col min="9759" max="9759" width="13.42578125" style="4" bestFit="1" customWidth="1"/>
    <col min="9760" max="9760" width="8.5703125" style="4" bestFit="1" customWidth="1"/>
    <col min="9761" max="9761" width="8.85546875" style="4" bestFit="1" customWidth="1"/>
    <col min="9762" max="9984" width="9.140625" style="4"/>
    <col min="9985" max="9985" width="11" style="4" customWidth="1"/>
    <col min="9986" max="9987" width="12.5703125" style="4" customWidth="1"/>
    <col min="9988" max="9988" width="11" style="4" customWidth="1"/>
    <col min="9989" max="9989" width="8.42578125" style="4" customWidth="1"/>
    <col min="9990" max="9990" width="11.42578125" style="4" customWidth="1"/>
    <col min="9991" max="9991" width="1.85546875" style="4" customWidth="1"/>
    <col min="9992" max="9992" width="8.42578125" style="4" customWidth="1"/>
    <col min="9993" max="9993" width="11.42578125" style="4" customWidth="1"/>
    <col min="9994" max="9995" width="10.42578125" style="4" customWidth="1"/>
    <col min="9996" max="9996" width="10.5703125" style="4" customWidth="1"/>
    <col min="9997" max="9997" width="10" style="4" customWidth="1"/>
    <col min="9998" max="9998" width="11" style="4" bestFit="1" customWidth="1"/>
    <col min="9999" max="9999" width="12" style="4" customWidth="1"/>
    <col min="10000" max="10000" width="11.140625" style="4" customWidth="1"/>
    <col min="10001" max="10001" width="9.5703125" style="4" customWidth="1"/>
    <col min="10002" max="10002" width="10.42578125" style="4" customWidth="1"/>
    <col min="10003" max="10003" width="8.5703125" style="4" customWidth="1"/>
    <col min="10004" max="10004" width="11" style="4" customWidth="1"/>
    <col min="10005" max="10005" width="13.42578125" style="4" bestFit="1" customWidth="1"/>
    <col min="10006" max="10006" width="9.42578125" style="4" customWidth="1"/>
    <col min="10007" max="10007" width="7.5703125" style="4" customWidth="1"/>
    <col min="10008" max="10008" width="11.42578125" style="4" customWidth="1"/>
    <col min="10009" max="10009" width="9.42578125" style="4" customWidth="1"/>
    <col min="10010" max="10010" width="11.42578125" style="4" customWidth="1"/>
    <col min="10011" max="10011" width="13.42578125" style="4" bestFit="1" customWidth="1"/>
    <col min="10012" max="10012" width="5.5703125" style="4" bestFit="1" customWidth="1"/>
    <col min="10013" max="10013" width="19.5703125" style="4" bestFit="1" customWidth="1"/>
    <col min="10014" max="10014" width="1.42578125" style="4" customWidth="1"/>
    <col min="10015" max="10015" width="13.42578125" style="4" bestFit="1" customWidth="1"/>
    <col min="10016" max="10016" width="8.5703125" style="4" bestFit="1" customWidth="1"/>
    <col min="10017" max="10017" width="8.85546875" style="4" bestFit="1" customWidth="1"/>
    <col min="10018" max="10240" width="9.140625" style="4"/>
    <col min="10241" max="10241" width="11" style="4" customWidth="1"/>
    <col min="10242" max="10243" width="12.5703125" style="4" customWidth="1"/>
    <col min="10244" max="10244" width="11" style="4" customWidth="1"/>
    <col min="10245" max="10245" width="8.42578125" style="4" customWidth="1"/>
    <col min="10246" max="10246" width="11.42578125" style="4" customWidth="1"/>
    <col min="10247" max="10247" width="1.85546875" style="4" customWidth="1"/>
    <col min="10248" max="10248" width="8.42578125" style="4" customWidth="1"/>
    <col min="10249" max="10249" width="11.42578125" style="4" customWidth="1"/>
    <col min="10250" max="10251" width="10.42578125" style="4" customWidth="1"/>
    <col min="10252" max="10252" width="10.5703125" style="4" customWidth="1"/>
    <col min="10253" max="10253" width="10" style="4" customWidth="1"/>
    <col min="10254" max="10254" width="11" style="4" bestFit="1" customWidth="1"/>
    <col min="10255" max="10255" width="12" style="4" customWidth="1"/>
    <col min="10256" max="10256" width="11.140625" style="4" customWidth="1"/>
    <col min="10257" max="10257" width="9.5703125" style="4" customWidth="1"/>
    <col min="10258" max="10258" width="10.42578125" style="4" customWidth="1"/>
    <col min="10259" max="10259" width="8.5703125" style="4" customWidth="1"/>
    <col min="10260" max="10260" width="11" style="4" customWidth="1"/>
    <col min="10261" max="10261" width="13.42578125" style="4" bestFit="1" customWidth="1"/>
    <col min="10262" max="10262" width="9.42578125" style="4" customWidth="1"/>
    <col min="10263" max="10263" width="7.5703125" style="4" customWidth="1"/>
    <col min="10264" max="10264" width="11.42578125" style="4" customWidth="1"/>
    <col min="10265" max="10265" width="9.42578125" style="4" customWidth="1"/>
    <col min="10266" max="10266" width="11.42578125" style="4" customWidth="1"/>
    <col min="10267" max="10267" width="13.42578125" style="4" bestFit="1" customWidth="1"/>
    <col min="10268" max="10268" width="5.5703125" style="4" bestFit="1" customWidth="1"/>
    <col min="10269" max="10269" width="19.5703125" style="4" bestFit="1" customWidth="1"/>
    <col min="10270" max="10270" width="1.42578125" style="4" customWidth="1"/>
    <col min="10271" max="10271" width="13.42578125" style="4" bestFit="1" customWidth="1"/>
    <col min="10272" max="10272" width="8.5703125" style="4" bestFit="1" customWidth="1"/>
    <col min="10273" max="10273" width="8.85546875" style="4" bestFit="1" customWidth="1"/>
    <col min="10274" max="10496" width="9.140625" style="4"/>
    <col min="10497" max="10497" width="11" style="4" customWidth="1"/>
    <col min="10498" max="10499" width="12.5703125" style="4" customWidth="1"/>
    <col min="10500" max="10500" width="11" style="4" customWidth="1"/>
    <col min="10501" max="10501" width="8.42578125" style="4" customWidth="1"/>
    <col min="10502" max="10502" width="11.42578125" style="4" customWidth="1"/>
    <col min="10503" max="10503" width="1.85546875" style="4" customWidth="1"/>
    <col min="10504" max="10504" width="8.42578125" style="4" customWidth="1"/>
    <col min="10505" max="10505" width="11.42578125" style="4" customWidth="1"/>
    <col min="10506" max="10507" width="10.42578125" style="4" customWidth="1"/>
    <col min="10508" max="10508" width="10.5703125" style="4" customWidth="1"/>
    <col min="10509" max="10509" width="10" style="4" customWidth="1"/>
    <col min="10510" max="10510" width="11" style="4" bestFit="1" customWidth="1"/>
    <col min="10511" max="10511" width="12" style="4" customWidth="1"/>
    <col min="10512" max="10512" width="11.140625" style="4" customWidth="1"/>
    <col min="10513" max="10513" width="9.5703125" style="4" customWidth="1"/>
    <col min="10514" max="10514" width="10.42578125" style="4" customWidth="1"/>
    <col min="10515" max="10515" width="8.5703125" style="4" customWidth="1"/>
    <col min="10516" max="10516" width="11" style="4" customWidth="1"/>
    <col min="10517" max="10517" width="13.42578125" style="4" bestFit="1" customWidth="1"/>
    <col min="10518" max="10518" width="9.42578125" style="4" customWidth="1"/>
    <col min="10519" max="10519" width="7.5703125" style="4" customWidth="1"/>
    <col min="10520" max="10520" width="11.42578125" style="4" customWidth="1"/>
    <col min="10521" max="10521" width="9.42578125" style="4" customWidth="1"/>
    <col min="10522" max="10522" width="11.42578125" style="4" customWidth="1"/>
    <col min="10523" max="10523" width="13.42578125" style="4" bestFit="1" customWidth="1"/>
    <col min="10524" max="10524" width="5.5703125" style="4" bestFit="1" customWidth="1"/>
    <col min="10525" max="10525" width="19.5703125" style="4" bestFit="1" customWidth="1"/>
    <col min="10526" max="10526" width="1.42578125" style="4" customWidth="1"/>
    <col min="10527" max="10527" width="13.42578125" style="4" bestFit="1" customWidth="1"/>
    <col min="10528" max="10528" width="8.5703125" style="4" bestFit="1" customWidth="1"/>
    <col min="10529" max="10529" width="8.85546875" style="4" bestFit="1" customWidth="1"/>
    <col min="10530" max="10752" width="9.140625" style="4"/>
    <col min="10753" max="10753" width="11" style="4" customWidth="1"/>
    <col min="10754" max="10755" width="12.5703125" style="4" customWidth="1"/>
    <col min="10756" max="10756" width="11" style="4" customWidth="1"/>
    <col min="10757" max="10757" width="8.42578125" style="4" customWidth="1"/>
    <col min="10758" max="10758" width="11.42578125" style="4" customWidth="1"/>
    <col min="10759" max="10759" width="1.85546875" style="4" customWidth="1"/>
    <col min="10760" max="10760" width="8.42578125" style="4" customWidth="1"/>
    <col min="10761" max="10761" width="11.42578125" style="4" customWidth="1"/>
    <col min="10762" max="10763" width="10.42578125" style="4" customWidth="1"/>
    <col min="10764" max="10764" width="10.5703125" style="4" customWidth="1"/>
    <col min="10765" max="10765" width="10" style="4" customWidth="1"/>
    <col min="10766" max="10766" width="11" style="4" bestFit="1" customWidth="1"/>
    <col min="10767" max="10767" width="12" style="4" customWidth="1"/>
    <col min="10768" max="10768" width="11.140625" style="4" customWidth="1"/>
    <col min="10769" max="10769" width="9.5703125" style="4" customWidth="1"/>
    <col min="10770" max="10770" width="10.42578125" style="4" customWidth="1"/>
    <col min="10771" max="10771" width="8.5703125" style="4" customWidth="1"/>
    <col min="10772" max="10772" width="11" style="4" customWidth="1"/>
    <col min="10773" max="10773" width="13.42578125" style="4" bestFit="1" customWidth="1"/>
    <col min="10774" max="10774" width="9.42578125" style="4" customWidth="1"/>
    <col min="10775" max="10775" width="7.5703125" style="4" customWidth="1"/>
    <col min="10776" max="10776" width="11.42578125" style="4" customWidth="1"/>
    <col min="10777" max="10777" width="9.42578125" style="4" customWidth="1"/>
    <col min="10778" max="10778" width="11.42578125" style="4" customWidth="1"/>
    <col min="10779" max="10779" width="13.42578125" style="4" bestFit="1" customWidth="1"/>
    <col min="10780" max="10780" width="5.5703125" style="4" bestFit="1" customWidth="1"/>
    <col min="10781" max="10781" width="19.5703125" style="4" bestFit="1" customWidth="1"/>
    <col min="10782" max="10782" width="1.42578125" style="4" customWidth="1"/>
    <col min="10783" max="10783" width="13.42578125" style="4" bestFit="1" customWidth="1"/>
    <col min="10784" max="10784" width="8.5703125" style="4" bestFit="1" customWidth="1"/>
    <col min="10785" max="10785" width="8.85546875" style="4" bestFit="1" customWidth="1"/>
    <col min="10786" max="11008" width="9.140625" style="4"/>
    <col min="11009" max="11009" width="11" style="4" customWidth="1"/>
    <col min="11010" max="11011" width="12.5703125" style="4" customWidth="1"/>
    <col min="11012" max="11012" width="11" style="4" customWidth="1"/>
    <col min="11013" max="11013" width="8.42578125" style="4" customWidth="1"/>
    <col min="11014" max="11014" width="11.42578125" style="4" customWidth="1"/>
    <col min="11015" max="11015" width="1.85546875" style="4" customWidth="1"/>
    <col min="11016" max="11016" width="8.42578125" style="4" customWidth="1"/>
    <col min="11017" max="11017" width="11.42578125" style="4" customWidth="1"/>
    <col min="11018" max="11019" width="10.42578125" style="4" customWidth="1"/>
    <col min="11020" max="11020" width="10.5703125" style="4" customWidth="1"/>
    <col min="11021" max="11021" width="10" style="4" customWidth="1"/>
    <col min="11022" max="11022" width="11" style="4" bestFit="1" customWidth="1"/>
    <col min="11023" max="11023" width="12" style="4" customWidth="1"/>
    <col min="11024" max="11024" width="11.140625" style="4" customWidth="1"/>
    <col min="11025" max="11025" width="9.5703125" style="4" customWidth="1"/>
    <col min="11026" max="11026" width="10.42578125" style="4" customWidth="1"/>
    <col min="11027" max="11027" width="8.5703125" style="4" customWidth="1"/>
    <col min="11028" max="11028" width="11" style="4" customWidth="1"/>
    <col min="11029" max="11029" width="13.42578125" style="4" bestFit="1" customWidth="1"/>
    <col min="11030" max="11030" width="9.42578125" style="4" customWidth="1"/>
    <col min="11031" max="11031" width="7.5703125" style="4" customWidth="1"/>
    <col min="11032" max="11032" width="11.42578125" style="4" customWidth="1"/>
    <col min="11033" max="11033" width="9.42578125" style="4" customWidth="1"/>
    <col min="11034" max="11034" width="11.42578125" style="4" customWidth="1"/>
    <col min="11035" max="11035" width="13.42578125" style="4" bestFit="1" customWidth="1"/>
    <col min="11036" max="11036" width="5.5703125" style="4" bestFit="1" customWidth="1"/>
    <col min="11037" max="11037" width="19.5703125" style="4" bestFit="1" customWidth="1"/>
    <col min="11038" max="11038" width="1.42578125" style="4" customWidth="1"/>
    <col min="11039" max="11039" width="13.42578125" style="4" bestFit="1" customWidth="1"/>
    <col min="11040" max="11040" width="8.5703125" style="4" bestFit="1" customWidth="1"/>
    <col min="11041" max="11041" width="8.85546875" style="4" bestFit="1" customWidth="1"/>
    <col min="11042" max="11264" width="9.140625" style="4"/>
    <col min="11265" max="11265" width="11" style="4" customWidth="1"/>
    <col min="11266" max="11267" width="12.5703125" style="4" customWidth="1"/>
    <col min="11268" max="11268" width="11" style="4" customWidth="1"/>
    <col min="11269" max="11269" width="8.42578125" style="4" customWidth="1"/>
    <col min="11270" max="11270" width="11.42578125" style="4" customWidth="1"/>
    <col min="11271" max="11271" width="1.85546875" style="4" customWidth="1"/>
    <col min="11272" max="11272" width="8.42578125" style="4" customWidth="1"/>
    <col min="11273" max="11273" width="11.42578125" style="4" customWidth="1"/>
    <col min="11274" max="11275" width="10.42578125" style="4" customWidth="1"/>
    <col min="11276" max="11276" width="10.5703125" style="4" customWidth="1"/>
    <col min="11277" max="11277" width="10" style="4" customWidth="1"/>
    <col min="11278" max="11278" width="11" style="4" bestFit="1" customWidth="1"/>
    <col min="11279" max="11279" width="12" style="4" customWidth="1"/>
    <col min="11280" max="11280" width="11.140625" style="4" customWidth="1"/>
    <col min="11281" max="11281" width="9.5703125" style="4" customWidth="1"/>
    <col min="11282" max="11282" width="10.42578125" style="4" customWidth="1"/>
    <col min="11283" max="11283" width="8.5703125" style="4" customWidth="1"/>
    <col min="11284" max="11284" width="11" style="4" customWidth="1"/>
    <col min="11285" max="11285" width="13.42578125" style="4" bestFit="1" customWidth="1"/>
    <col min="11286" max="11286" width="9.42578125" style="4" customWidth="1"/>
    <col min="11287" max="11287" width="7.5703125" style="4" customWidth="1"/>
    <col min="11288" max="11288" width="11.42578125" style="4" customWidth="1"/>
    <col min="11289" max="11289" width="9.42578125" style="4" customWidth="1"/>
    <col min="11290" max="11290" width="11.42578125" style="4" customWidth="1"/>
    <col min="11291" max="11291" width="13.42578125" style="4" bestFit="1" customWidth="1"/>
    <col min="11292" max="11292" width="5.5703125" style="4" bestFit="1" customWidth="1"/>
    <col min="11293" max="11293" width="19.5703125" style="4" bestFit="1" customWidth="1"/>
    <col min="11294" max="11294" width="1.42578125" style="4" customWidth="1"/>
    <col min="11295" max="11295" width="13.42578125" style="4" bestFit="1" customWidth="1"/>
    <col min="11296" max="11296" width="8.5703125" style="4" bestFit="1" customWidth="1"/>
    <col min="11297" max="11297" width="8.85546875" style="4" bestFit="1" customWidth="1"/>
    <col min="11298" max="11520" width="9.140625" style="4"/>
    <col min="11521" max="11521" width="11" style="4" customWidth="1"/>
    <col min="11522" max="11523" width="12.5703125" style="4" customWidth="1"/>
    <col min="11524" max="11524" width="11" style="4" customWidth="1"/>
    <col min="11525" max="11525" width="8.42578125" style="4" customWidth="1"/>
    <col min="11526" max="11526" width="11.42578125" style="4" customWidth="1"/>
    <col min="11527" max="11527" width="1.85546875" style="4" customWidth="1"/>
    <col min="11528" max="11528" width="8.42578125" style="4" customWidth="1"/>
    <col min="11529" max="11529" width="11.42578125" style="4" customWidth="1"/>
    <col min="11530" max="11531" width="10.42578125" style="4" customWidth="1"/>
    <col min="11532" max="11532" width="10.5703125" style="4" customWidth="1"/>
    <col min="11533" max="11533" width="10" style="4" customWidth="1"/>
    <col min="11534" max="11534" width="11" style="4" bestFit="1" customWidth="1"/>
    <col min="11535" max="11535" width="12" style="4" customWidth="1"/>
    <col min="11536" max="11536" width="11.140625" style="4" customWidth="1"/>
    <col min="11537" max="11537" width="9.5703125" style="4" customWidth="1"/>
    <col min="11538" max="11538" width="10.42578125" style="4" customWidth="1"/>
    <col min="11539" max="11539" width="8.5703125" style="4" customWidth="1"/>
    <col min="11540" max="11540" width="11" style="4" customWidth="1"/>
    <col min="11541" max="11541" width="13.42578125" style="4" bestFit="1" customWidth="1"/>
    <col min="11542" max="11542" width="9.42578125" style="4" customWidth="1"/>
    <col min="11543" max="11543" width="7.5703125" style="4" customWidth="1"/>
    <col min="11544" max="11544" width="11.42578125" style="4" customWidth="1"/>
    <col min="11545" max="11545" width="9.42578125" style="4" customWidth="1"/>
    <col min="11546" max="11546" width="11.42578125" style="4" customWidth="1"/>
    <col min="11547" max="11547" width="13.42578125" style="4" bestFit="1" customWidth="1"/>
    <col min="11548" max="11548" width="5.5703125" style="4" bestFit="1" customWidth="1"/>
    <col min="11549" max="11549" width="19.5703125" style="4" bestFit="1" customWidth="1"/>
    <col min="11550" max="11550" width="1.42578125" style="4" customWidth="1"/>
    <col min="11551" max="11551" width="13.42578125" style="4" bestFit="1" customWidth="1"/>
    <col min="11552" max="11552" width="8.5703125" style="4" bestFit="1" customWidth="1"/>
    <col min="11553" max="11553" width="8.85546875" style="4" bestFit="1" customWidth="1"/>
    <col min="11554" max="11776" width="9.140625" style="4"/>
    <col min="11777" max="11777" width="11" style="4" customWidth="1"/>
    <col min="11778" max="11779" width="12.5703125" style="4" customWidth="1"/>
    <col min="11780" max="11780" width="11" style="4" customWidth="1"/>
    <col min="11781" max="11781" width="8.42578125" style="4" customWidth="1"/>
    <col min="11782" max="11782" width="11.42578125" style="4" customWidth="1"/>
    <col min="11783" max="11783" width="1.85546875" style="4" customWidth="1"/>
    <col min="11784" max="11784" width="8.42578125" style="4" customWidth="1"/>
    <col min="11785" max="11785" width="11.42578125" style="4" customWidth="1"/>
    <col min="11786" max="11787" width="10.42578125" style="4" customWidth="1"/>
    <col min="11788" max="11788" width="10.5703125" style="4" customWidth="1"/>
    <col min="11789" max="11789" width="10" style="4" customWidth="1"/>
    <col min="11790" max="11790" width="11" style="4" bestFit="1" customWidth="1"/>
    <col min="11791" max="11791" width="12" style="4" customWidth="1"/>
    <col min="11792" max="11792" width="11.140625" style="4" customWidth="1"/>
    <col min="11793" max="11793" width="9.5703125" style="4" customWidth="1"/>
    <col min="11794" max="11794" width="10.42578125" style="4" customWidth="1"/>
    <col min="11795" max="11795" width="8.5703125" style="4" customWidth="1"/>
    <col min="11796" max="11796" width="11" style="4" customWidth="1"/>
    <col min="11797" max="11797" width="13.42578125" style="4" bestFit="1" customWidth="1"/>
    <col min="11798" max="11798" width="9.42578125" style="4" customWidth="1"/>
    <col min="11799" max="11799" width="7.5703125" style="4" customWidth="1"/>
    <col min="11800" max="11800" width="11.42578125" style="4" customWidth="1"/>
    <col min="11801" max="11801" width="9.42578125" style="4" customWidth="1"/>
    <col min="11802" max="11802" width="11.42578125" style="4" customWidth="1"/>
    <col min="11803" max="11803" width="13.42578125" style="4" bestFit="1" customWidth="1"/>
    <col min="11804" max="11804" width="5.5703125" style="4" bestFit="1" customWidth="1"/>
    <col min="11805" max="11805" width="19.5703125" style="4" bestFit="1" customWidth="1"/>
    <col min="11806" max="11806" width="1.42578125" style="4" customWidth="1"/>
    <col min="11807" max="11807" width="13.42578125" style="4" bestFit="1" customWidth="1"/>
    <col min="11808" max="11808" width="8.5703125" style="4" bestFit="1" customWidth="1"/>
    <col min="11809" max="11809" width="8.85546875" style="4" bestFit="1" customWidth="1"/>
    <col min="11810" max="12032" width="9.140625" style="4"/>
    <col min="12033" max="12033" width="11" style="4" customWidth="1"/>
    <col min="12034" max="12035" width="12.5703125" style="4" customWidth="1"/>
    <col min="12036" max="12036" width="11" style="4" customWidth="1"/>
    <col min="12037" max="12037" width="8.42578125" style="4" customWidth="1"/>
    <col min="12038" max="12038" width="11.42578125" style="4" customWidth="1"/>
    <col min="12039" max="12039" width="1.85546875" style="4" customWidth="1"/>
    <col min="12040" max="12040" width="8.42578125" style="4" customWidth="1"/>
    <col min="12041" max="12041" width="11.42578125" style="4" customWidth="1"/>
    <col min="12042" max="12043" width="10.42578125" style="4" customWidth="1"/>
    <col min="12044" max="12044" width="10.5703125" style="4" customWidth="1"/>
    <col min="12045" max="12045" width="10" style="4" customWidth="1"/>
    <col min="12046" max="12046" width="11" style="4" bestFit="1" customWidth="1"/>
    <col min="12047" max="12047" width="12" style="4" customWidth="1"/>
    <col min="12048" max="12048" width="11.140625" style="4" customWidth="1"/>
    <col min="12049" max="12049" width="9.5703125" style="4" customWidth="1"/>
    <col min="12050" max="12050" width="10.42578125" style="4" customWidth="1"/>
    <col min="12051" max="12051" width="8.5703125" style="4" customWidth="1"/>
    <col min="12052" max="12052" width="11" style="4" customWidth="1"/>
    <col min="12053" max="12053" width="13.42578125" style="4" bestFit="1" customWidth="1"/>
    <col min="12054" max="12054" width="9.42578125" style="4" customWidth="1"/>
    <col min="12055" max="12055" width="7.5703125" style="4" customWidth="1"/>
    <col min="12056" max="12056" width="11.42578125" style="4" customWidth="1"/>
    <col min="12057" max="12057" width="9.42578125" style="4" customWidth="1"/>
    <col min="12058" max="12058" width="11.42578125" style="4" customWidth="1"/>
    <col min="12059" max="12059" width="13.42578125" style="4" bestFit="1" customWidth="1"/>
    <col min="12060" max="12060" width="5.5703125" style="4" bestFit="1" customWidth="1"/>
    <col min="12061" max="12061" width="19.5703125" style="4" bestFit="1" customWidth="1"/>
    <col min="12062" max="12062" width="1.42578125" style="4" customWidth="1"/>
    <col min="12063" max="12063" width="13.42578125" style="4" bestFit="1" customWidth="1"/>
    <col min="12064" max="12064" width="8.5703125" style="4" bestFit="1" customWidth="1"/>
    <col min="12065" max="12065" width="8.85546875" style="4" bestFit="1" customWidth="1"/>
    <col min="12066" max="12288" width="9.140625" style="4"/>
    <col min="12289" max="12289" width="11" style="4" customWidth="1"/>
    <col min="12290" max="12291" width="12.5703125" style="4" customWidth="1"/>
    <col min="12292" max="12292" width="11" style="4" customWidth="1"/>
    <col min="12293" max="12293" width="8.42578125" style="4" customWidth="1"/>
    <col min="12294" max="12294" width="11.42578125" style="4" customWidth="1"/>
    <col min="12295" max="12295" width="1.85546875" style="4" customWidth="1"/>
    <col min="12296" max="12296" width="8.42578125" style="4" customWidth="1"/>
    <col min="12297" max="12297" width="11.42578125" style="4" customWidth="1"/>
    <col min="12298" max="12299" width="10.42578125" style="4" customWidth="1"/>
    <col min="12300" max="12300" width="10.5703125" style="4" customWidth="1"/>
    <col min="12301" max="12301" width="10" style="4" customWidth="1"/>
    <col min="12302" max="12302" width="11" style="4" bestFit="1" customWidth="1"/>
    <col min="12303" max="12303" width="12" style="4" customWidth="1"/>
    <col min="12304" max="12304" width="11.140625" style="4" customWidth="1"/>
    <col min="12305" max="12305" width="9.5703125" style="4" customWidth="1"/>
    <col min="12306" max="12306" width="10.42578125" style="4" customWidth="1"/>
    <col min="12307" max="12307" width="8.5703125" style="4" customWidth="1"/>
    <col min="12308" max="12308" width="11" style="4" customWidth="1"/>
    <col min="12309" max="12309" width="13.42578125" style="4" bestFit="1" customWidth="1"/>
    <col min="12310" max="12310" width="9.42578125" style="4" customWidth="1"/>
    <col min="12311" max="12311" width="7.5703125" style="4" customWidth="1"/>
    <col min="12312" max="12312" width="11.42578125" style="4" customWidth="1"/>
    <col min="12313" max="12313" width="9.42578125" style="4" customWidth="1"/>
    <col min="12314" max="12314" width="11.42578125" style="4" customWidth="1"/>
    <col min="12315" max="12315" width="13.42578125" style="4" bestFit="1" customWidth="1"/>
    <col min="12316" max="12316" width="5.5703125" style="4" bestFit="1" customWidth="1"/>
    <col min="12317" max="12317" width="19.5703125" style="4" bestFit="1" customWidth="1"/>
    <col min="12318" max="12318" width="1.42578125" style="4" customWidth="1"/>
    <col min="12319" max="12319" width="13.42578125" style="4" bestFit="1" customWidth="1"/>
    <col min="12320" max="12320" width="8.5703125" style="4" bestFit="1" customWidth="1"/>
    <col min="12321" max="12321" width="8.85546875" style="4" bestFit="1" customWidth="1"/>
    <col min="12322" max="12544" width="9.140625" style="4"/>
    <col min="12545" max="12545" width="11" style="4" customWidth="1"/>
    <col min="12546" max="12547" width="12.5703125" style="4" customWidth="1"/>
    <col min="12548" max="12548" width="11" style="4" customWidth="1"/>
    <col min="12549" max="12549" width="8.42578125" style="4" customWidth="1"/>
    <col min="12550" max="12550" width="11.42578125" style="4" customWidth="1"/>
    <col min="12551" max="12551" width="1.85546875" style="4" customWidth="1"/>
    <col min="12552" max="12552" width="8.42578125" style="4" customWidth="1"/>
    <col min="12553" max="12553" width="11.42578125" style="4" customWidth="1"/>
    <col min="12554" max="12555" width="10.42578125" style="4" customWidth="1"/>
    <col min="12556" max="12556" width="10.5703125" style="4" customWidth="1"/>
    <col min="12557" max="12557" width="10" style="4" customWidth="1"/>
    <col min="12558" max="12558" width="11" style="4" bestFit="1" customWidth="1"/>
    <col min="12559" max="12559" width="12" style="4" customWidth="1"/>
    <col min="12560" max="12560" width="11.140625" style="4" customWidth="1"/>
    <col min="12561" max="12561" width="9.5703125" style="4" customWidth="1"/>
    <col min="12562" max="12562" width="10.42578125" style="4" customWidth="1"/>
    <col min="12563" max="12563" width="8.5703125" style="4" customWidth="1"/>
    <col min="12564" max="12564" width="11" style="4" customWidth="1"/>
    <col min="12565" max="12565" width="13.42578125" style="4" bestFit="1" customWidth="1"/>
    <col min="12566" max="12566" width="9.42578125" style="4" customWidth="1"/>
    <col min="12567" max="12567" width="7.5703125" style="4" customWidth="1"/>
    <col min="12568" max="12568" width="11.42578125" style="4" customWidth="1"/>
    <col min="12569" max="12569" width="9.42578125" style="4" customWidth="1"/>
    <col min="12570" max="12570" width="11.42578125" style="4" customWidth="1"/>
    <col min="12571" max="12571" width="13.42578125" style="4" bestFit="1" customWidth="1"/>
    <col min="12572" max="12572" width="5.5703125" style="4" bestFit="1" customWidth="1"/>
    <col min="12573" max="12573" width="19.5703125" style="4" bestFit="1" customWidth="1"/>
    <col min="12574" max="12574" width="1.42578125" style="4" customWidth="1"/>
    <col min="12575" max="12575" width="13.42578125" style="4" bestFit="1" customWidth="1"/>
    <col min="12576" max="12576" width="8.5703125" style="4" bestFit="1" customWidth="1"/>
    <col min="12577" max="12577" width="8.85546875" style="4" bestFit="1" customWidth="1"/>
    <col min="12578" max="12800" width="9.140625" style="4"/>
    <col min="12801" max="12801" width="11" style="4" customWidth="1"/>
    <col min="12802" max="12803" width="12.5703125" style="4" customWidth="1"/>
    <col min="12804" max="12804" width="11" style="4" customWidth="1"/>
    <col min="12805" max="12805" width="8.42578125" style="4" customWidth="1"/>
    <col min="12806" max="12806" width="11.42578125" style="4" customWidth="1"/>
    <col min="12807" max="12807" width="1.85546875" style="4" customWidth="1"/>
    <col min="12808" max="12808" width="8.42578125" style="4" customWidth="1"/>
    <col min="12809" max="12809" width="11.42578125" style="4" customWidth="1"/>
    <col min="12810" max="12811" width="10.42578125" style="4" customWidth="1"/>
    <col min="12812" max="12812" width="10.5703125" style="4" customWidth="1"/>
    <col min="12813" max="12813" width="10" style="4" customWidth="1"/>
    <col min="12814" max="12814" width="11" style="4" bestFit="1" customWidth="1"/>
    <col min="12815" max="12815" width="12" style="4" customWidth="1"/>
    <col min="12816" max="12816" width="11.140625" style="4" customWidth="1"/>
    <col min="12817" max="12817" width="9.5703125" style="4" customWidth="1"/>
    <col min="12818" max="12818" width="10.42578125" style="4" customWidth="1"/>
    <col min="12819" max="12819" width="8.5703125" style="4" customWidth="1"/>
    <col min="12820" max="12820" width="11" style="4" customWidth="1"/>
    <col min="12821" max="12821" width="13.42578125" style="4" bestFit="1" customWidth="1"/>
    <col min="12822" max="12822" width="9.42578125" style="4" customWidth="1"/>
    <col min="12823" max="12823" width="7.5703125" style="4" customWidth="1"/>
    <col min="12824" max="12824" width="11.42578125" style="4" customWidth="1"/>
    <col min="12825" max="12825" width="9.42578125" style="4" customWidth="1"/>
    <col min="12826" max="12826" width="11.42578125" style="4" customWidth="1"/>
    <col min="12827" max="12827" width="13.42578125" style="4" bestFit="1" customWidth="1"/>
    <col min="12828" max="12828" width="5.5703125" style="4" bestFit="1" customWidth="1"/>
    <col min="12829" max="12829" width="19.5703125" style="4" bestFit="1" customWidth="1"/>
    <col min="12830" max="12830" width="1.42578125" style="4" customWidth="1"/>
    <col min="12831" max="12831" width="13.42578125" style="4" bestFit="1" customWidth="1"/>
    <col min="12832" max="12832" width="8.5703125" style="4" bestFit="1" customWidth="1"/>
    <col min="12833" max="12833" width="8.85546875" style="4" bestFit="1" customWidth="1"/>
    <col min="12834" max="13056" width="9.140625" style="4"/>
    <col min="13057" max="13057" width="11" style="4" customWidth="1"/>
    <col min="13058" max="13059" width="12.5703125" style="4" customWidth="1"/>
    <col min="13060" max="13060" width="11" style="4" customWidth="1"/>
    <col min="13061" max="13061" width="8.42578125" style="4" customWidth="1"/>
    <col min="13062" max="13062" width="11.42578125" style="4" customWidth="1"/>
    <col min="13063" max="13063" width="1.85546875" style="4" customWidth="1"/>
    <col min="13064" max="13064" width="8.42578125" style="4" customWidth="1"/>
    <col min="13065" max="13065" width="11.42578125" style="4" customWidth="1"/>
    <col min="13066" max="13067" width="10.42578125" style="4" customWidth="1"/>
    <col min="13068" max="13068" width="10.5703125" style="4" customWidth="1"/>
    <col min="13069" max="13069" width="10" style="4" customWidth="1"/>
    <col min="13070" max="13070" width="11" style="4" bestFit="1" customWidth="1"/>
    <col min="13071" max="13071" width="12" style="4" customWidth="1"/>
    <col min="13072" max="13072" width="11.140625" style="4" customWidth="1"/>
    <col min="13073" max="13073" width="9.5703125" style="4" customWidth="1"/>
    <col min="13074" max="13074" width="10.42578125" style="4" customWidth="1"/>
    <col min="13075" max="13075" width="8.5703125" style="4" customWidth="1"/>
    <col min="13076" max="13076" width="11" style="4" customWidth="1"/>
    <col min="13077" max="13077" width="13.42578125" style="4" bestFit="1" customWidth="1"/>
    <col min="13078" max="13078" width="9.42578125" style="4" customWidth="1"/>
    <col min="13079" max="13079" width="7.5703125" style="4" customWidth="1"/>
    <col min="13080" max="13080" width="11.42578125" style="4" customWidth="1"/>
    <col min="13081" max="13081" width="9.42578125" style="4" customWidth="1"/>
    <col min="13082" max="13082" width="11.42578125" style="4" customWidth="1"/>
    <col min="13083" max="13083" width="13.42578125" style="4" bestFit="1" customWidth="1"/>
    <col min="13084" max="13084" width="5.5703125" style="4" bestFit="1" customWidth="1"/>
    <col min="13085" max="13085" width="19.5703125" style="4" bestFit="1" customWidth="1"/>
    <col min="13086" max="13086" width="1.42578125" style="4" customWidth="1"/>
    <col min="13087" max="13087" width="13.42578125" style="4" bestFit="1" customWidth="1"/>
    <col min="13088" max="13088" width="8.5703125" style="4" bestFit="1" customWidth="1"/>
    <col min="13089" max="13089" width="8.85546875" style="4" bestFit="1" customWidth="1"/>
    <col min="13090" max="13312" width="9.140625" style="4"/>
    <col min="13313" max="13313" width="11" style="4" customWidth="1"/>
    <col min="13314" max="13315" width="12.5703125" style="4" customWidth="1"/>
    <col min="13316" max="13316" width="11" style="4" customWidth="1"/>
    <col min="13317" max="13317" width="8.42578125" style="4" customWidth="1"/>
    <col min="13318" max="13318" width="11.42578125" style="4" customWidth="1"/>
    <col min="13319" max="13319" width="1.85546875" style="4" customWidth="1"/>
    <col min="13320" max="13320" width="8.42578125" style="4" customWidth="1"/>
    <col min="13321" max="13321" width="11.42578125" style="4" customWidth="1"/>
    <col min="13322" max="13323" width="10.42578125" style="4" customWidth="1"/>
    <col min="13324" max="13324" width="10.5703125" style="4" customWidth="1"/>
    <col min="13325" max="13325" width="10" style="4" customWidth="1"/>
    <col min="13326" max="13326" width="11" style="4" bestFit="1" customWidth="1"/>
    <col min="13327" max="13327" width="12" style="4" customWidth="1"/>
    <col min="13328" max="13328" width="11.140625" style="4" customWidth="1"/>
    <col min="13329" max="13329" width="9.5703125" style="4" customWidth="1"/>
    <col min="13330" max="13330" width="10.42578125" style="4" customWidth="1"/>
    <col min="13331" max="13331" width="8.5703125" style="4" customWidth="1"/>
    <col min="13332" max="13332" width="11" style="4" customWidth="1"/>
    <col min="13333" max="13333" width="13.42578125" style="4" bestFit="1" customWidth="1"/>
    <col min="13334" max="13334" width="9.42578125" style="4" customWidth="1"/>
    <col min="13335" max="13335" width="7.5703125" style="4" customWidth="1"/>
    <col min="13336" max="13336" width="11.42578125" style="4" customWidth="1"/>
    <col min="13337" max="13337" width="9.42578125" style="4" customWidth="1"/>
    <col min="13338" max="13338" width="11.42578125" style="4" customWidth="1"/>
    <col min="13339" max="13339" width="13.42578125" style="4" bestFit="1" customWidth="1"/>
    <col min="13340" max="13340" width="5.5703125" style="4" bestFit="1" customWidth="1"/>
    <col min="13341" max="13341" width="19.5703125" style="4" bestFit="1" customWidth="1"/>
    <col min="13342" max="13342" width="1.42578125" style="4" customWidth="1"/>
    <col min="13343" max="13343" width="13.42578125" style="4" bestFit="1" customWidth="1"/>
    <col min="13344" max="13344" width="8.5703125" style="4" bestFit="1" customWidth="1"/>
    <col min="13345" max="13345" width="8.85546875" style="4" bestFit="1" customWidth="1"/>
    <col min="13346" max="13568" width="9.140625" style="4"/>
    <col min="13569" max="13569" width="11" style="4" customWidth="1"/>
    <col min="13570" max="13571" width="12.5703125" style="4" customWidth="1"/>
    <col min="13572" max="13572" width="11" style="4" customWidth="1"/>
    <col min="13573" max="13573" width="8.42578125" style="4" customWidth="1"/>
    <col min="13574" max="13574" width="11.42578125" style="4" customWidth="1"/>
    <col min="13575" max="13575" width="1.85546875" style="4" customWidth="1"/>
    <col min="13576" max="13576" width="8.42578125" style="4" customWidth="1"/>
    <col min="13577" max="13577" width="11.42578125" style="4" customWidth="1"/>
    <col min="13578" max="13579" width="10.42578125" style="4" customWidth="1"/>
    <col min="13580" max="13580" width="10.5703125" style="4" customWidth="1"/>
    <col min="13581" max="13581" width="10" style="4" customWidth="1"/>
    <col min="13582" max="13582" width="11" style="4" bestFit="1" customWidth="1"/>
    <col min="13583" max="13583" width="12" style="4" customWidth="1"/>
    <col min="13584" max="13584" width="11.140625" style="4" customWidth="1"/>
    <col min="13585" max="13585" width="9.5703125" style="4" customWidth="1"/>
    <col min="13586" max="13586" width="10.42578125" style="4" customWidth="1"/>
    <col min="13587" max="13587" width="8.5703125" style="4" customWidth="1"/>
    <col min="13588" max="13588" width="11" style="4" customWidth="1"/>
    <col min="13589" max="13589" width="13.42578125" style="4" bestFit="1" customWidth="1"/>
    <col min="13590" max="13590" width="9.42578125" style="4" customWidth="1"/>
    <col min="13591" max="13591" width="7.5703125" style="4" customWidth="1"/>
    <col min="13592" max="13592" width="11.42578125" style="4" customWidth="1"/>
    <col min="13593" max="13593" width="9.42578125" style="4" customWidth="1"/>
    <col min="13594" max="13594" width="11.42578125" style="4" customWidth="1"/>
    <col min="13595" max="13595" width="13.42578125" style="4" bestFit="1" customWidth="1"/>
    <col min="13596" max="13596" width="5.5703125" style="4" bestFit="1" customWidth="1"/>
    <col min="13597" max="13597" width="19.5703125" style="4" bestFit="1" customWidth="1"/>
    <col min="13598" max="13598" width="1.42578125" style="4" customWidth="1"/>
    <col min="13599" max="13599" width="13.42578125" style="4" bestFit="1" customWidth="1"/>
    <col min="13600" max="13600" width="8.5703125" style="4" bestFit="1" customWidth="1"/>
    <col min="13601" max="13601" width="8.85546875" style="4" bestFit="1" customWidth="1"/>
    <col min="13602" max="13824" width="9.140625" style="4"/>
    <col min="13825" max="13825" width="11" style="4" customWidth="1"/>
    <col min="13826" max="13827" width="12.5703125" style="4" customWidth="1"/>
    <col min="13828" max="13828" width="11" style="4" customWidth="1"/>
    <col min="13829" max="13829" width="8.42578125" style="4" customWidth="1"/>
    <col min="13830" max="13830" width="11.42578125" style="4" customWidth="1"/>
    <col min="13831" max="13831" width="1.85546875" style="4" customWidth="1"/>
    <col min="13832" max="13832" width="8.42578125" style="4" customWidth="1"/>
    <col min="13833" max="13833" width="11.42578125" style="4" customWidth="1"/>
    <col min="13834" max="13835" width="10.42578125" style="4" customWidth="1"/>
    <col min="13836" max="13836" width="10.5703125" style="4" customWidth="1"/>
    <col min="13837" max="13837" width="10" style="4" customWidth="1"/>
    <col min="13838" max="13838" width="11" style="4" bestFit="1" customWidth="1"/>
    <col min="13839" max="13839" width="12" style="4" customWidth="1"/>
    <col min="13840" max="13840" width="11.140625" style="4" customWidth="1"/>
    <col min="13841" max="13841" width="9.5703125" style="4" customWidth="1"/>
    <col min="13842" max="13842" width="10.42578125" style="4" customWidth="1"/>
    <col min="13843" max="13843" width="8.5703125" style="4" customWidth="1"/>
    <col min="13844" max="13844" width="11" style="4" customWidth="1"/>
    <col min="13845" max="13845" width="13.42578125" style="4" bestFit="1" customWidth="1"/>
    <col min="13846" max="13846" width="9.42578125" style="4" customWidth="1"/>
    <col min="13847" max="13847" width="7.5703125" style="4" customWidth="1"/>
    <col min="13848" max="13848" width="11.42578125" style="4" customWidth="1"/>
    <col min="13849" max="13849" width="9.42578125" style="4" customWidth="1"/>
    <col min="13850" max="13850" width="11.42578125" style="4" customWidth="1"/>
    <col min="13851" max="13851" width="13.42578125" style="4" bestFit="1" customWidth="1"/>
    <col min="13852" max="13852" width="5.5703125" style="4" bestFit="1" customWidth="1"/>
    <col min="13853" max="13853" width="19.5703125" style="4" bestFit="1" customWidth="1"/>
    <col min="13854" max="13854" width="1.42578125" style="4" customWidth="1"/>
    <col min="13855" max="13855" width="13.42578125" style="4" bestFit="1" customWidth="1"/>
    <col min="13856" max="13856" width="8.5703125" style="4" bestFit="1" customWidth="1"/>
    <col min="13857" max="13857" width="8.85546875" style="4" bestFit="1" customWidth="1"/>
    <col min="13858" max="14080" width="9.140625" style="4"/>
    <col min="14081" max="14081" width="11" style="4" customWidth="1"/>
    <col min="14082" max="14083" width="12.5703125" style="4" customWidth="1"/>
    <col min="14084" max="14084" width="11" style="4" customWidth="1"/>
    <col min="14085" max="14085" width="8.42578125" style="4" customWidth="1"/>
    <col min="14086" max="14086" width="11.42578125" style="4" customWidth="1"/>
    <col min="14087" max="14087" width="1.85546875" style="4" customWidth="1"/>
    <col min="14088" max="14088" width="8.42578125" style="4" customWidth="1"/>
    <col min="14089" max="14089" width="11.42578125" style="4" customWidth="1"/>
    <col min="14090" max="14091" width="10.42578125" style="4" customWidth="1"/>
    <col min="14092" max="14092" width="10.5703125" style="4" customWidth="1"/>
    <col min="14093" max="14093" width="10" style="4" customWidth="1"/>
    <col min="14094" max="14094" width="11" style="4" bestFit="1" customWidth="1"/>
    <col min="14095" max="14095" width="12" style="4" customWidth="1"/>
    <col min="14096" max="14096" width="11.140625" style="4" customWidth="1"/>
    <col min="14097" max="14097" width="9.5703125" style="4" customWidth="1"/>
    <col min="14098" max="14098" width="10.42578125" style="4" customWidth="1"/>
    <col min="14099" max="14099" width="8.5703125" style="4" customWidth="1"/>
    <col min="14100" max="14100" width="11" style="4" customWidth="1"/>
    <col min="14101" max="14101" width="13.42578125" style="4" bestFit="1" customWidth="1"/>
    <col min="14102" max="14102" width="9.42578125" style="4" customWidth="1"/>
    <col min="14103" max="14103" width="7.5703125" style="4" customWidth="1"/>
    <col min="14104" max="14104" width="11.42578125" style="4" customWidth="1"/>
    <col min="14105" max="14105" width="9.42578125" style="4" customWidth="1"/>
    <col min="14106" max="14106" width="11.42578125" style="4" customWidth="1"/>
    <col min="14107" max="14107" width="13.42578125" style="4" bestFit="1" customWidth="1"/>
    <col min="14108" max="14108" width="5.5703125" style="4" bestFit="1" customWidth="1"/>
    <col min="14109" max="14109" width="19.5703125" style="4" bestFit="1" customWidth="1"/>
    <col min="14110" max="14110" width="1.42578125" style="4" customWidth="1"/>
    <col min="14111" max="14111" width="13.42578125" style="4" bestFit="1" customWidth="1"/>
    <col min="14112" max="14112" width="8.5703125" style="4" bestFit="1" customWidth="1"/>
    <col min="14113" max="14113" width="8.85546875" style="4" bestFit="1" customWidth="1"/>
    <col min="14114" max="14336" width="9.140625" style="4"/>
    <col min="14337" max="14337" width="11" style="4" customWidth="1"/>
    <col min="14338" max="14339" width="12.5703125" style="4" customWidth="1"/>
    <col min="14340" max="14340" width="11" style="4" customWidth="1"/>
    <col min="14341" max="14341" width="8.42578125" style="4" customWidth="1"/>
    <col min="14342" max="14342" width="11.42578125" style="4" customWidth="1"/>
    <col min="14343" max="14343" width="1.85546875" style="4" customWidth="1"/>
    <col min="14344" max="14344" width="8.42578125" style="4" customWidth="1"/>
    <col min="14345" max="14345" width="11.42578125" style="4" customWidth="1"/>
    <col min="14346" max="14347" width="10.42578125" style="4" customWidth="1"/>
    <col min="14348" max="14348" width="10.5703125" style="4" customWidth="1"/>
    <col min="14349" max="14349" width="10" style="4" customWidth="1"/>
    <col min="14350" max="14350" width="11" style="4" bestFit="1" customWidth="1"/>
    <col min="14351" max="14351" width="12" style="4" customWidth="1"/>
    <col min="14352" max="14352" width="11.140625" style="4" customWidth="1"/>
    <col min="14353" max="14353" width="9.5703125" style="4" customWidth="1"/>
    <col min="14354" max="14354" width="10.42578125" style="4" customWidth="1"/>
    <col min="14355" max="14355" width="8.5703125" style="4" customWidth="1"/>
    <col min="14356" max="14356" width="11" style="4" customWidth="1"/>
    <col min="14357" max="14357" width="13.42578125" style="4" bestFit="1" customWidth="1"/>
    <col min="14358" max="14358" width="9.42578125" style="4" customWidth="1"/>
    <col min="14359" max="14359" width="7.5703125" style="4" customWidth="1"/>
    <col min="14360" max="14360" width="11.42578125" style="4" customWidth="1"/>
    <col min="14361" max="14361" width="9.42578125" style="4" customWidth="1"/>
    <col min="14362" max="14362" width="11.42578125" style="4" customWidth="1"/>
    <col min="14363" max="14363" width="13.42578125" style="4" bestFit="1" customWidth="1"/>
    <col min="14364" max="14364" width="5.5703125" style="4" bestFit="1" customWidth="1"/>
    <col min="14365" max="14365" width="19.5703125" style="4" bestFit="1" customWidth="1"/>
    <col min="14366" max="14366" width="1.42578125" style="4" customWidth="1"/>
    <col min="14367" max="14367" width="13.42578125" style="4" bestFit="1" customWidth="1"/>
    <col min="14368" max="14368" width="8.5703125" style="4" bestFit="1" customWidth="1"/>
    <col min="14369" max="14369" width="8.85546875" style="4" bestFit="1" customWidth="1"/>
    <col min="14370" max="14592" width="9.140625" style="4"/>
    <col min="14593" max="14593" width="11" style="4" customWidth="1"/>
    <col min="14594" max="14595" width="12.5703125" style="4" customWidth="1"/>
    <col min="14596" max="14596" width="11" style="4" customWidth="1"/>
    <col min="14597" max="14597" width="8.42578125" style="4" customWidth="1"/>
    <col min="14598" max="14598" width="11.42578125" style="4" customWidth="1"/>
    <col min="14599" max="14599" width="1.85546875" style="4" customWidth="1"/>
    <col min="14600" max="14600" width="8.42578125" style="4" customWidth="1"/>
    <col min="14601" max="14601" width="11.42578125" style="4" customWidth="1"/>
    <col min="14602" max="14603" width="10.42578125" style="4" customWidth="1"/>
    <col min="14604" max="14604" width="10.5703125" style="4" customWidth="1"/>
    <col min="14605" max="14605" width="10" style="4" customWidth="1"/>
    <col min="14606" max="14606" width="11" style="4" bestFit="1" customWidth="1"/>
    <col min="14607" max="14607" width="12" style="4" customWidth="1"/>
    <col min="14608" max="14608" width="11.140625" style="4" customWidth="1"/>
    <col min="14609" max="14609" width="9.5703125" style="4" customWidth="1"/>
    <col min="14610" max="14610" width="10.42578125" style="4" customWidth="1"/>
    <col min="14611" max="14611" width="8.5703125" style="4" customWidth="1"/>
    <col min="14612" max="14612" width="11" style="4" customWidth="1"/>
    <col min="14613" max="14613" width="13.42578125" style="4" bestFit="1" customWidth="1"/>
    <col min="14614" max="14614" width="9.42578125" style="4" customWidth="1"/>
    <col min="14615" max="14615" width="7.5703125" style="4" customWidth="1"/>
    <col min="14616" max="14616" width="11.42578125" style="4" customWidth="1"/>
    <col min="14617" max="14617" width="9.42578125" style="4" customWidth="1"/>
    <col min="14618" max="14618" width="11.42578125" style="4" customWidth="1"/>
    <col min="14619" max="14619" width="13.42578125" style="4" bestFit="1" customWidth="1"/>
    <col min="14620" max="14620" width="5.5703125" style="4" bestFit="1" customWidth="1"/>
    <col min="14621" max="14621" width="19.5703125" style="4" bestFit="1" customWidth="1"/>
    <col min="14622" max="14622" width="1.42578125" style="4" customWidth="1"/>
    <col min="14623" max="14623" width="13.42578125" style="4" bestFit="1" customWidth="1"/>
    <col min="14624" max="14624" width="8.5703125" style="4" bestFit="1" customWidth="1"/>
    <col min="14625" max="14625" width="8.85546875" style="4" bestFit="1" customWidth="1"/>
    <col min="14626" max="14848" width="9.140625" style="4"/>
    <col min="14849" max="14849" width="11" style="4" customWidth="1"/>
    <col min="14850" max="14851" width="12.5703125" style="4" customWidth="1"/>
    <col min="14852" max="14852" width="11" style="4" customWidth="1"/>
    <col min="14853" max="14853" width="8.42578125" style="4" customWidth="1"/>
    <col min="14854" max="14854" width="11.42578125" style="4" customWidth="1"/>
    <col min="14855" max="14855" width="1.85546875" style="4" customWidth="1"/>
    <col min="14856" max="14856" width="8.42578125" style="4" customWidth="1"/>
    <col min="14857" max="14857" width="11.42578125" style="4" customWidth="1"/>
    <col min="14858" max="14859" width="10.42578125" style="4" customWidth="1"/>
    <col min="14860" max="14860" width="10.5703125" style="4" customWidth="1"/>
    <col min="14861" max="14861" width="10" style="4" customWidth="1"/>
    <col min="14862" max="14862" width="11" style="4" bestFit="1" customWidth="1"/>
    <col min="14863" max="14863" width="12" style="4" customWidth="1"/>
    <col min="14864" max="14864" width="11.140625" style="4" customWidth="1"/>
    <col min="14865" max="14865" width="9.5703125" style="4" customWidth="1"/>
    <col min="14866" max="14866" width="10.42578125" style="4" customWidth="1"/>
    <col min="14867" max="14867" width="8.5703125" style="4" customWidth="1"/>
    <col min="14868" max="14868" width="11" style="4" customWidth="1"/>
    <col min="14869" max="14869" width="13.42578125" style="4" bestFit="1" customWidth="1"/>
    <col min="14870" max="14870" width="9.42578125" style="4" customWidth="1"/>
    <col min="14871" max="14871" width="7.5703125" style="4" customWidth="1"/>
    <col min="14872" max="14872" width="11.42578125" style="4" customWidth="1"/>
    <col min="14873" max="14873" width="9.42578125" style="4" customWidth="1"/>
    <col min="14874" max="14874" width="11.42578125" style="4" customWidth="1"/>
    <col min="14875" max="14875" width="13.42578125" style="4" bestFit="1" customWidth="1"/>
    <col min="14876" max="14876" width="5.5703125" style="4" bestFit="1" customWidth="1"/>
    <col min="14877" max="14877" width="19.5703125" style="4" bestFit="1" customWidth="1"/>
    <col min="14878" max="14878" width="1.42578125" style="4" customWidth="1"/>
    <col min="14879" max="14879" width="13.42578125" style="4" bestFit="1" customWidth="1"/>
    <col min="14880" max="14880" width="8.5703125" style="4" bestFit="1" customWidth="1"/>
    <col min="14881" max="14881" width="8.85546875" style="4" bestFit="1" customWidth="1"/>
    <col min="14882" max="15104" width="9.140625" style="4"/>
    <col min="15105" max="15105" width="11" style="4" customWidth="1"/>
    <col min="15106" max="15107" width="12.5703125" style="4" customWidth="1"/>
    <col min="15108" max="15108" width="11" style="4" customWidth="1"/>
    <col min="15109" max="15109" width="8.42578125" style="4" customWidth="1"/>
    <col min="15110" max="15110" width="11.42578125" style="4" customWidth="1"/>
    <col min="15111" max="15111" width="1.85546875" style="4" customWidth="1"/>
    <col min="15112" max="15112" width="8.42578125" style="4" customWidth="1"/>
    <col min="15113" max="15113" width="11.42578125" style="4" customWidth="1"/>
    <col min="15114" max="15115" width="10.42578125" style="4" customWidth="1"/>
    <col min="15116" max="15116" width="10.5703125" style="4" customWidth="1"/>
    <col min="15117" max="15117" width="10" style="4" customWidth="1"/>
    <col min="15118" max="15118" width="11" style="4" bestFit="1" customWidth="1"/>
    <col min="15119" max="15119" width="12" style="4" customWidth="1"/>
    <col min="15120" max="15120" width="11.140625" style="4" customWidth="1"/>
    <col min="15121" max="15121" width="9.5703125" style="4" customWidth="1"/>
    <col min="15122" max="15122" width="10.42578125" style="4" customWidth="1"/>
    <col min="15123" max="15123" width="8.5703125" style="4" customWidth="1"/>
    <col min="15124" max="15124" width="11" style="4" customWidth="1"/>
    <col min="15125" max="15125" width="13.42578125" style="4" bestFit="1" customWidth="1"/>
    <col min="15126" max="15126" width="9.42578125" style="4" customWidth="1"/>
    <col min="15127" max="15127" width="7.5703125" style="4" customWidth="1"/>
    <col min="15128" max="15128" width="11.42578125" style="4" customWidth="1"/>
    <col min="15129" max="15129" width="9.42578125" style="4" customWidth="1"/>
    <col min="15130" max="15130" width="11.42578125" style="4" customWidth="1"/>
    <col min="15131" max="15131" width="13.42578125" style="4" bestFit="1" customWidth="1"/>
    <col min="15132" max="15132" width="5.5703125" style="4" bestFit="1" customWidth="1"/>
    <col min="15133" max="15133" width="19.5703125" style="4" bestFit="1" customWidth="1"/>
    <col min="15134" max="15134" width="1.42578125" style="4" customWidth="1"/>
    <col min="15135" max="15135" width="13.42578125" style="4" bestFit="1" customWidth="1"/>
    <col min="15136" max="15136" width="8.5703125" style="4" bestFit="1" customWidth="1"/>
    <col min="15137" max="15137" width="8.85546875" style="4" bestFit="1" customWidth="1"/>
    <col min="15138" max="15360" width="9.140625" style="4"/>
    <col min="15361" max="15361" width="11" style="4" customWidth="1"/>
    <col min="15362" max="15363" width="12.5703125" style="4" customWidth="1"/>
    <col min="15364" max="15364" width="11" style="4" customWidth="1"/>
    <col min="15365" max="15365" width="8.42578125" style="4" customWidth="1"/>
    <col min="15366" max="15366" width="11.42578125" style="4" customWidth="1"/>
    <col min="15367" max="15367" width="1.85546875" style="4" customWidth="1"/>
    <col min="15368" max="15368" width="8.42578125" style="4" customWidth="1"/>
    <col min="15369" max="15369" width="11.42578125" style="4" customWidth="1"/>
    <col min="15370" max="15371" width="10.42578125" style="4" customWidth="1"/>
    <col min="15372" max="15372" width="10.5703125" style="4" customWidth="1"/>
    <col min="15373" max="15373" width="10" style="4" customWidth="1"/>
    <col min="15374" max="15374" width="11" style="4" bestFit="1" customWidth="1"/>
    <col min="15375" max="15375" width="12" style="4" customWidth="1"/>
    <col min="15376" max="15376" width="11.140625" style="4" customWidth="1"/>
    <col min="15377" max="15377" width="9.5703125" style="4" customWidth="1"/>
    <col min="15378" max="15378" width="10.42578125" style="4" customWidth="1"/>
    <col min="15379" max="15379" width="8.5703125" style="4" customWidth="1"/>
    <col min="15380" max="15380" width="11" style="4" customWidth="1"/>
    <col min="15381" max="15381" width="13.42578125" style="4" bestFit="1" customWidth="1"/>
    <col min="15382" max="15382" width="9.42578125" style="4" customWidth="1"/>
    <col min="15383" max="15383" width="7.5703125" style="4" customWidth="1"/>
    <col min="15384" max="15384" width="11.42578125" style="4" customWidth="1"/>
    <col min="15385" max="15385" width="9.42578125" style="4" customWidth="1"/>
    <col min="15386" max="15386" width="11.42578125" style="4" customWidth="1"/>
    <col min="15387" max="15387" width="13.42578125" style="4" bestFit="1" customWidth="1"/>
    <col min="15388" max="15388" width="5.5703125" style="4" bestFit="1" customWidth="1"/>
    <col min="15389" max="15389" width="19.5703125" style="4" bestFit="1" customWidth="1"/>
    <col min="15390" max="15390" width="1.42578125" style="4" customWidth="1"/>
    <col min="15391" max="15391" width="13.42578125" style="4" bestFit="1" customWidth="1"/>
    <col min="15392" max="15392" width="8.5703125" style="4" bestFit="1" customWidth="1"/>
    <col min="15393" max="15393" width="8.85546875" style="4" bestFit="1" customWidth="1"/>
    <col min="15394" max="15616" width="9.140625" style="4"/>
    <col min="15617" max="15617" width="11" style="4" customWidth="1"/>
    <col min="15618" max="15619" width="12.5703125" style="4" customWidth="1"/>
    <col min="15620" max="15620" width="11" style="4" customWidth="1"/>
    <col min="15621" max="15621" width="8.42578125" style="4" customWidth="1"/>
    <col min="15622" max="15622" width="11.42578125" style="4" customWidth="1"/>
    <col min="15623" max="15623" width="1.85546875" style="4" customWidth="1"/>
    <col min="15624" max="15624" width="8.42578125" style="4" customWidth="1"/>
    <col min="15625" max="15625" width="11.42578125" style="4" customWidth="1"/>
    <col min="15626" max="15627" width="10.42578125" style="4" customWidth="1"/>
    <col min="15628" max="15628" width="10.5703125" style="4" customWidth="1"/>
    <col min="15629" max="15629" width="10" style="4" customWidth="1"/>
    <col min="15630" max="15630" width="11" style="4" bestFit="1" customWidth="1"/>
    <col min="15631" max="15631" width="12" style="4" customWidth="1"/>
    <col min="15632" max="15632" width="11.140625" style="4" customWidth="1"/>
    <col min="15633" max="15633" width="9.5703125" style="4" customWidth="1"/>
    <col min="15634" max="15634" width="10.42578125" style="4" customWidth="1"/>
    <col min="15635" max="15635" width="8.5703125" style="4" customWidth="1"/>
    <col min="15636" max="15636" width="11" style="4" customWidth="1"/>
    <col min="15637" max="15637" width="13.42578125" style="4" bestFit="1" customWidth="1"/>
    <col min="15638" max="15638" width="9.42578125" style="4" customWidth="1"/>
    <col min="15639" max="15639" width="7.5703125" style="4" customWidth="1"/>
    <col min="15640" max="15640" width="11.42578125" style="4" customWidth="1"/>
    <col min="15641" max="15641" width="9.42578125" style="4" customWidth="1"/>
    <col min="15642" max="15642" width="11.42578125" style="4" customWidth="1"/>
    <col min="15643" max="15643" width="13.42578125" style="4" bestFit="1" customWidth="1"/>
    <col min="15644" max="15644" width="5.5703125" style="4" bestFit="1" customWidth="1"/>
    <col min="15645" max="15645" width="19.5703125" style="4" bestFit="1" customWidth="1"/>
    <col min="15646" max="15646" width="1.42578125" style="4" customWidth="1"/>
    <col min="15647" max="15647" width="13.42578125" style="4" bestFit="1" customWidth="1"/>
    <col min="15648" max="15648" width="8.5703125" style="4" bestFit="1" customWidth="1"/>
    <col min="15649" max="15649" width="8.85546875" style="4" bestFit="1" customWidth="1"/>
    <col min="15650" max="15872" width="9.140625" style="4"/>
    <col min="15873" max="15873" width="11" style="4" customWidth="1"/>
    <col min="15874" max="15875" width="12.5703125" style="4" customWidth="1"/>
    <col min="15876" max="15876" width="11" style="4" customWidth="1"/>
    <col min="15877" max="15877" width="8.42578125" style="4" customWidth="1"/>
    <col min="15878" max="15878" width="11.42578125" style="4" customWidth="1"/>
    <col min="15879" max="15879" width="1.85546875" style="4" customWidth="1"/>
    <col min="15880" max="15880" width="8.42578125" style="4" customWidth="1"/>
    <col min="15881" max="15881" width="11.42578125" style="4" customWidth="1"/>
    <col min="15882" max="15883" width="10.42578125" style="4" customWidth="1"/>
    <col min="15884" max="15884" width="10.5703125" style="4" customWidth="1"/>
    <col min="15885" max="15885" width="10" style="4" customWidth="1"/>
    <col min="15886" max="15886" width="11" style="4" bestFit="1" customWidth="1"/>
    <col min="15887" max="15887" width="12" style="4" customWidth="1"/>
    <col min="15888" max="15888" width="11.140625" style="4" customWidth="1"/>
    <col min="15889" max="15889" width="9.5703125" style="4" customWidth="1"/>
    <col min="15890" max="15890" width="10.42578125" style="4" customWidth="1"/>
    <col min="15891" max="15891" width="8.5703125" style="4" customWidth="1"/>
    <col min="15892" max="15892" width="11" style="4" customWidth="1"/>
    <col min="15893" max="15893" width="13.42578125" style="4" bestFit="1" customWidth="1"/>
    <col min="15894" max="15894" width="9.42578125" style="4" customWidth="1"/>
    <col min="15895" max="15895" width="7.5703125" style="4" customWidth="1"/>
    <col min="15896" max="15896" width="11.42578125" style="4" customWidth="1"/>
    <col min="15897" max="15897" width="9.42578125" style="4" customWidth="1"/>
    <col min="15898" max="15898" width="11.42578125" style="4" customWidth="1"/>
    <col min="15899" max="15899" width="13.42578125" style="4" bestFit="1" customWidth="1"/>
    <col min="15900" max="15900" width="5.5703125" style="4" bestFit="1" customWidth="1"/>
    <col min="15901" max="15901" width="19.5703125" style="4" bestFit="1" customWidth="1"/>
    <col min="15902" max="15902" width="1.42578125" style="4" customWidth="1"/>
    <col min="15903" max="15903" width="13.42578125" style="4" bestFit="1" customWidth="1"/>
    <col min="15904" max="15904" width="8.5703125" style="4" bestFit="1" customWidth="1"/>
    <col min="15905" max="15905" width="8.85546875" style="4" bestFit="1" customWidth="1"/>
    <col min="15906" max="16128" width="9.140625" style="4"/>
    <col min="16129" max="16129" width="11" style="4" customWidth="1"/>
    <col min="16130" max="16131" width="12.5703125" style="4" customWidth="1"/>
    <col min="16132" max="16132" width="11" style="4" customWidth="1"/>
    <col min="16133" max="16133" width="8.42578125" style="4" customWidth="1"/>
    <col min="16134" max="16134" width="11.42578125" style="4" customWidth="1"/>
    <col min="16135" max="16135" width="1.85546875" style="4" customWidth="1"/>
    <col min="16136" max="16136" width="8.42578125" style="4" customWidth="1"/>
    <col min="16137" max="16137" width="11.42578125" style="4" customWidth="1"/>
    <col min="16138" max="16139" width="10.42578125" style="4" customWidth="1"/>
    <col min="16140" max="16140" width="10.5703125" style="4" customWidth="1"/>
    <col min="16141" max="16141" width="10" style="4" customWidth="1"/>
    <col min="16142" max="16142" width="11" style="4" bestFit="1" customWidth="1"/>
    <col min="16143" max="16143" width="12" style="4" customWidth="1"/>
    <col min="16144" max="16144" width="11.140625" style="4" customWidth="1"/>
    <col min="16145" max="16145" width="9.5703125" style="4" customWidth="1"/>
    <col min="16146" max="16146" width="10.42578125" style="4" customWidth="1"/>
    <col min="16147" max="16147" width="8.5703125" style="4" customWidth="1"/>
    <col min="16148" max="16148" width="11" style="4" customWidth="1"/>
    <col min="16149" max="16149" width="13.42578125" style="4" bestFit="1" customWidth="1"/>
    <col min="16150" max="16150" width="9.42578125" style="4" customWidth="1"/>
    <col min="16151" max="16151" width="7.5703125" style="4" customWidth="1"/>
    <col min="16152" max="16152" width="11.42578125" style="4" customWidth="1"/>
    <col min="16153" max="16153" width="9.42578125" style="4" customWidth="1"/>
    <col min="16154" max="16154" width="11.42578125" style="4" customWidth="1"/>
    <col min="16155" max="16155" width="13.42578125" style="4" bestFit="1" customWidth="1"/>
    <col min="16156" max="16156" width="5.5703125" style="4" bestFit="1" customWidth="1"/>
    <col min="16157" max="16157" width="19.5703125" style="4" bestFit="1" customWidth="1"/>
    <col min="16158" max="16158" width="1.42578125" style="4" customWidth="1"/>
    <col min="16159" max="16159" width="13.42578125" style="4" bestFit="1" customWidth="1"/>
    <col min="16160" max="16160" width="8.5703125" style="4" bestFit="1" customWidth="1"/>
    <col min="16161" max="16161" width="8.85546875" style="4" bestFit="1" customWidth="1"/>
    <col min="16162" max="16384" width="9.140625" style="4"/>
  </cols>
  <sheetData>
    <row r="1" spans="1:14" ht="4.5" customHeight="1">
      <c r="A1"/>
      <c r="B1"/>
      <c r="C1"/>
      <c r="D1"/>
      <c r="E1"/>
      <c r="F1"/>
      <c r="G1"/>
      <c r="H1"/>
      <c r="I1"/>
      <c r="J1"/>
      <c r="K1"/>
      <c r="L1"/>
      <c r="M1"/>
    </row>
    <row r="2" spans="1:14" ht="27" customHeight="1">
      <c r="A2"/>
      <c r="B2"/>
      <c r="C2"/>
      <c r="D2"/>
      <c r="E2"/>
      <c r="F2"/>
      <c r="G2"/>
      <c r="H2"/>
      <c r="I2"/>
      <c r="J2"/>
      <c r="K2"/>
      <c r="L2"/>
      <c r="M2"/>
    </row>
    <row r="3" spans="1:14" ht="4.5" customHeight="1">
      <c r="A3"/>
      <c r="B3"/>
      <c r="C3"/>
      <c r="D3"/>
      <c r="E3"/>
      <c r="F3"/>
      <c r="G3"/>
      <c r="H3"/>
      <c r="I3"/>
      <c r="J3"/>
      <c r="K3"/>
      <c r="L3"/>
      <c r="M3"/>
    </row>
    <row r="4" spans="1:14" ht="15">
      <c r="A4"/>
      <c r="B4"/>
      <c r="C4"/>
      <c r="D4"/>
      <c r="E4"/>
      <c r="F4"/>
      <c r="G4"/>
      <c r="H4"/>
      <c r="I4"/>
      <c r="J4"/>
      <c r="K4"/>
      <c r="L4"/>
      <c r="M4"/>
    </row>
    <row r="5" spans="1:14" ht="4.5" customHeight="1">
      <c r="A5"/>
      <c r="B5"/>
      <c r="C5"/>
      <c r="D5"/>
      <c r="E5"/>
      <c r="F5"/>
      <c r="G5"/>
      <c r="H5"/>
      <c r="I5"/>
      <c r="J5"/>
      <c r="K5"/>
      <c r="L5"/>
      <c r="M5"/>
    </row>
    <row r="6" spans="1:14" ht="15">
      <c r="A6"/>
      <c r="B6"/>
      <c r="C6"/>
      <c r="D6"/>
      <c r="E6"/>
      <c r="F6"/>
      <c r="G6"/>
      <c r="H6"/>
      <c r="I6"/>
      <c r="J6"/>
      <c r="K6"/>
      <c r="L6"/>
      <c r="M6"/>
    </row>
    <row r="7" spans="1:14" ht="4.5" customHeight="1">
      <c r="A7"/>
      <c r="B7"/>
      <c r="C7"/>
      <c r="D7"/>
      <c r="E7"/>
      <c r="F7"/>
      <c r="G7"/>
      <c r="H7"/>
      <c r="I7"/>
      <c r="J7"/>
      <c r="K7"/>
      <c r="L7"/>
      <c r="M7"/>
    </row>
    <row r="8" spans="1:14" s="6" customFormat="1" ht="27.75" customHeight="1">
      <c r="A8"/>
      <c r="B8"/>
      <c r="C8"/>
      <c r="D8"/>
      <c r="E8"/>
      <c r="F8"/>
      <c r="G8"/>
      <c r="H8"/>
      <c r="I8"/>
      <c r="J8"/>
      <c r="K8"/>
      <c r="L8"/>
      <c r="M8"/>
    </row>
    <row r="9" spans="1:14" ht="18.75">
      <c r="A9" s="1"/>
      <c r="B9"/>
      <c r="C9"/>
      <c r="D9"/>
      <c r="E9"/>
      <c r="F9"/>
      <c r="G9"/>
      <c r="H9"/>
      <c r="I9"/>
      <c r="J9"/>
      <c r="K9"/>
      <c r="L9"/>
      <c r="M9"/>
    </row>
    <row r="10" spans="1:14" ht="15">
      <c r="A10" s="2" t="str">
        <f ca="1">MID(CELL("filename",A1),FIND("]",CELL("filename",A1))+1,256)</f>
        <v>AR</v>
      </c>
      <c r="B10"/>
      <c r="C10" s="135">
        <f>C46</f>
        <v>0</v>
      </c>
      <c r="D10" s="135" t="s">
        <v>4</v>
      </c>
      <c r="E10"/>
      <c r="F10"/>
      <c r="G10"/>
      <c r="H10"/>
      <c r="I10"/>
      <c r="J10"/>
      <c r="K10"/>
      <c r="L10"/>
      <c r="M10"/>
    </row>
    <row r="11" spans="1:14" ht="13.5" thickBot="1">
      <c r="H11" s="85"/>
    </row>
    <row r="12" spans="1:14">
      <c r="A12" s="7" t="s">
        <v>5</v>
      </c>
      <c r="B12" s="8" t="s">
        <v>6</v>
      </c>
      <c r="C12" s="9" t="s">
        <v>7</v>
      </c>
      <c r="D12" s="10" t="s">
        <v>8</v>
      </c>
      <c r="N12" s="11"/>
    </row>
    <row r="13" spans="1:14" ht="13.5" thickBot="1">
      <c r="A13" s="12" t="s">
        <v>9</v>
      </c>
      <c r="B13" s="13" t="s">
        <v>10</v>
      </c>
      <c r="C13" s="14" t="s">
        <v>11</v>
      </c>
      <c r="D13" s="15" t="s">
        <v>12</v>
      </c>
    </row>
    <row r="14" spans="1:14">
      <c r="A14" s="16"/>
      <c r="B14" s="16"/>
    </row>
    <row r="15" spans="1:14" ht="30" customHeight="1">
      <c r="A15" s="143" t="s">
        <v>13</v>
      </c>
      <c r="B15" s="143"/>
      <c r="C15" s="143"/>
      <c r="D15" s="143"/>
      <c r="E15" s="143"/>
      <c r="F15" s="143"/>
      <c r="H15" s="17" t="s">
        <v>14</v>
      </c>
      <c r="I15" s="18"/>
      <c r="J15" s="18"/>
      <c r="K15" s="18"/>
      <c r="L15" s="19"/>
    </row>
    <row r="16" spans="1:14" ht="45" customHeight="1">
      <c r="A16" s="143" t="s">
        <v>15</v>
      </c>
      <c r="B16" s="143"/>
      <c r="C16" s="143"/>
      <c r="D16" s="143"/>
      <c r="E16" s="143"/>
      <c r="F16" s="143"/>
      <c r="H16" s="20"/>
      <c r="L16" s="21"/>
    </row>
    <row r="17" spans="1:18">
      <c r="A17" s="16"/>
      <c r="B17" s="16"/>
      <c r="H17" s="20"/>
      <c r="L17" s="21"/>
    </row>
    <row r="18" spans="1:18" s="28" customFormat="1">
      <c r="A18" s="22" t="s">
        <v>16</v>
      </c>
      <c r="B18" s="23"/>
      <c r="C18" s="24"/>
      <c r="D18" s="24"/>
      <c r="E18" s="24"/>
      <c r="F18" s="25" t="s">
        <v>17</v>
      </c>
      <c r="G18" s="26"/>
      <c r="H18" s="27"/>
      <c r="L18" s="29"/>
      <c r="N18" s="4"/>
      <c r="O18" s="4"/>
      <c r="P18" s="4"/>
      <c r="Q18" s="4"/>
      <c r="R18" s="4"/>
    </row>
    <row r="19" spans="1:18" s="28" customFormat="1">
      <c r="A19" s="30" t="s">
        <v>18</v>
      </c>
      <c r="B19" s="31"/>
      <c r="C19" s="32"/>
      <c r="D19" s="33"/>
      <c r="E19" s="33"/>
      <c r="F19" s="29"/>
      <c r="H19" s="27"/>
      <c r="L19" s="29"/>
      <c r="N19" s="4"/>
      <c r="O19" s="4"/>
      <c r="P19" s="4"/>
      <c r="Q19" s="4"/>
      <c r="R19" s="4"/>
    </row>
    <row r="20" spans="1:18" s="28" customFormat="1">
      <c r="A20" s="34"/>
      <c r="B20" s="35" t="s">
        <v>19</v>
      </c>
      <c r="C20" s="36">
        <v>1130</v>
      </c>
      <c r="D20" s="37" t="s">
        <v>20</v>
      </c>
      <c r="E20" s="38">
        <f>C20/1000</f>
        <v>1.1299999999999999</v>
      </c>
      <c r="F20" s="39" t="s">
        <v>4</v>
      </c>
      <c r="G20" s="26"/>
      <c r="H20" s="27"/>
      <c r="L20" s="29"/>
      <c r="P20" s="4"/>
      <c r="Q20" s="4"/>
      <c r="R20" s="4"/>
    </row>
    <row r="21" spans="1:18" s="28" customFormat="1">
      <c r="A21" s="34"/>
      <c r="B21" s="35" t="s">
        <v>21</v>
      </c>
      <c r="C21" s="40">
        <v>115</v>
      </c>
      <c r="D21" s="37" t="s">
        <v>20</v>
      </c>
      <c r="E21" s="38">
        <f>C21/1000</f>
        <v>0.115</v>
      </c>
      <c r="F21" s="39" t="s">
        <v>4</v>
      </c>
      <c r="G21" s="26"/>
      <c r="H21" s="27"/>
      <c r="L21" s="29"/>
      <c r="P21" s="4"/>
      <c r="Q21" s="4"/>
      <c r="R21" s="4"/>
    </row>
    <row r="22" spans="1:18" s="28" customFormat="1" ht="15.75">
      <c r="A22" s="34"/>
      <c r="B22" s="35" t="s">
        <v>22</v>
      </c>
      <c r="C22" s="41">
        <f>(PI()*C20^2/4)</f>
        <v>1002874.9148422017</v>
      </c>
      <c r="D22" s="37" t="s">
        <v>23</v>
      </c>
      <c r="E22" s="38">
        <f>PI()*E20^2/4</f>
        <v>1.0028749148422014</v>
      </c>
      <c r="F22" s="39" t="s">
        <v>24</v>
      </c>
      <c r="G22" s="26"/>
      <c r="H22" s="27"/>
      <c r="L22" s="29"/>
      <c r="P22" s="4"/>
      <c r="Q22" s="4"/>
      <c r="R22" s="4"/>
    </row>
    <row r="23" spans="1:18" s="28" customFormat="1" ht="15.75">
      <c r="A23" s="34"/>
      <c r="B23" s="35" t="s">
        <v>25</v>
      </c>
      <c r="C23" s="42">
        <f>C20-2*C21-2*C48-C40</f>
        <v>820</v>
      </c>
      <c r="D23" s="37" t="s">
        <v>20</v>
      </c>
      <c r="E23" s="38">
        <f>E20-2*E21-2*E48-E40</f>
        <v>0.81999999999999984</v>
      </c>
      <c r="F23" s="39" t="s">
        <v>4</v>
      </c>
      <c r="G23" s="26"/>
      <c r="H23" s="27"/>
      <c r="L23" s="29"/>
      <c r="P23" s="4"/>
      <c r="Q23" s="4"/>
      <c r="R23" s="4"/>
    </row>
    <row r="24" spans="1:18" s="28" customFormat="1" ht="15.75">
      <c r="A24" s="34"/>
      <c r="B24" s="35" t="s">
        <v>26</v>
      </c>
      <c r="C24" s="42">
        <f>C20-2*C21-C48</f>
        <v>880</v>
      </c>
      <c r="D24" s="37" t="s">
        <v>20</v>
      </c>
      <c r="E24" s="38">
        <f>E20-2*E21-E48</f>
        <v>0.87999999999999989</v>
      </c>
      <c r="F24" s="39" t="s">
        <v>4</v>
      </c>
      <c r="G24" s="26"/>
      <c r="H24" s="27"/>
      <c r="L24" s="29"/>
      <c r="P24" s="4"/>
      <c r="Q24" s="4"/>
      <c r="R24" s="4"/>
    </row>
    <row r="25" spans="1:18" s="28" customFormat="1">
      <c r="A25" s="27"/>
      <c r="F25" s="29"/>
      <c r="G25" s="26"/>
      <c r="H25" s="27"/>
      <c r="L25" s="29"/>
      <c r="O25" s="4"/>
      <c r="P25" s="4"/>
      <c r="Q25" s="4"/>
      <c r="R25" s="4"/>
    </row>
    <row r="26" spans="1:18" s="28" customFormat="1" ht="15.75">
      <c r="A26" s="34"/>
      <c r="B26" s="35" t="s">
        <v>27</v>
      </c>
      <c r="C26" s="40">
        <v>40</v>
      </c>
      <c r="D26" s="37" t="s">
        <v>28</v>
      </c>
      <c r="F26" s="29"/>
      <c r="G26" s="26"/>
      <c r="H26" s="27"/>
      <c r="L26" s="29"/>
      <c r="O26" s="4"/>
      <c r="P26" s="4"/>
      <c r="Q26" s="4"/>
      <c r="R26" s="4"/>
    </row>
    <row r="27" spans="1:18" s="28" customFormat="1" ht="15.75">
      <c r="A27" s="34"/>
      <c r="B27" s="35" t="s">
        <v>29</v>
      </c>
      <c r="C27" s="43">
        <v>1.65</v>
      </c>
      <c r="D27" s="44" t="str">
        <f>IF(C27&gt;1.5,"…allowing for cast against ground","")</f>
        <v>…allowing for cast against ground</v>
      </c>
      <c r="E27" s="33"/>
      <c r="F27" s="45" t="s">
        <v>30</v>
      </c>
      <c r="G27" s="26"/>
      <c r="H27" s="27"/>
      <c r="L27" s="29"/>
      <c r="O27" s="4"/>
      <c r="P27" s="4"/>
      <c r="Q27" s="4"/>
      <c r="R27" s="4"/>
    </row>
    <row r="28" spans="1:18" s="28" customFormat="1" ht="15.75">
      <c r="A28" s="34"/>
      <c r="B28" s="35" t="s">
        <v>31</v>
      </c>
      <c r="C28" s="46">
        <f>1.75+MAX(0,0.55*(C26-50)/40)</f>
        <v>1.75</v>
      </c>
      <c r="D28" s="37" t="s">
        <v>32</v>
      </c>
      <c r="F28" s="45" t="s">
        <v>33</v>
      </c>
      <c r="G28" s="26"/>
      <c r="H28" s="27"/>
      <c r="L28" s="29"/>
      <c r="O28" s="4"/>
      <c r="P28" s="4"/>
      <c r="Q28" s="4"/>
      <c r="R28" s="4"/>
    </row>
    <row r="29" spans="1:18" s="28" customFormat="1" ht="15.75">
      <c r="A29" s="34"/>
      <c r="B29" s="35" t="s">
        <v>34</v>
      </c>
      <c r="C29" s="46">
        <f>(0.85*C26/C27)/C28</f>
        <v>11.774891774891774</v>
      </c>
      <c r="D29" s="37" t="s">
        <v>35</v>
      </c>
      <c r="F29" s="45" t="s">
        <v>36</v>
      </c>
      <c r="G29" s="26"/>
      <c r="H29" s="47"/>
      <c r="I29" s="48"/>
      <c r="J29" s="48"/>
      <c r="K29" s="48"/>
      <c r="L29" s="49"/>
    </row>
    <row r="30" spans="1:18" s="28" customFormat="1" ht="13.5">
      <c r="A30" s="34"/>
      <c r="B30" s="35" t="s">
        <v>37</v>
      </c>
      <c r="C30" s="43">
        <v>1</v>
      </c>
      <c r="D30" s="37"/>
      <c r="F30" s="45" t="s">
        <v>38</v>
      </c>
      <c r="G30" s="26"/>
    </row>
    <row r="31" spans="1:18" s="28" customFormat="1" ht="13.5">
      <c r="A31" s="34"/>
      <c r="B31" s="50" t="s">
        <v>39</v>
      </c>
      <c r="C31" s="46">
        <f>C30*C26/C27</f>
        <v>24.242424242424242</v>
      </c>
      <c r="D31" s="37" t="s">
        <v>28</v>
      </c>
      <c r="F31" s="45" t="s">
        <v>38</v>
      </c>
      <c r="G31" s="26"/>
      <c r="H31" s="22" t="s">
        <v>40</v>
      </c>
      <c r="I31" s="24"/>
      <c r="J31" s="24"/>
      <c r="K31" s="24"/>
      <c r="L31" s="25" t="s">
        <v>17</v>
      </c>
    </row>
    <row r="32" spans="1:18" s="28" customFormat="1" ht="13.5">
      <c r="A32" s="34"/>
      <c r="B32" s="35" t="s">
        <v>41</v>
      </c>
      <c r="C32" s="46">
        <f>0.6*(1-C26/250)*C31</f>
        <v>12.218181818181819</v>
      </c>
      <c r="D32" s="37" t="s">
        <v>28</v>
      </c>
      <c r="F32" s="45" t="s">
        <v>42</v>
      </c>
      <c r="G32" s="26"/>
      <c r="H32" s="30" t="s">
        <v>43</v>
      </c>
      <c r="L32" s="29"/>
    </row>
    <row r="33" spans="1:14" s="28" customFormat="1" ht="15.75">
      <c r="A33" s="34"/>
      <c r="F33" s="29"/>
      <c r="G33" s="26"/>
      <c r="H33" s="27"/>
      <c r="I33" s="35" t="s">
        <v>44</v>
      </c>
      <c r="J33" s="52">
        <f>MIN(1,2.5*(1-C56)+18*E43*(C56-0.6))</f>
        <v>0.28703719946746042</v>
      </c>
      <c r="L33" s="29"/>
    </row>
    <row r="34" spans="1:14" s="28" customFormat="1" ht="15.75">
      <c r="A34" s="34"/>
      <c r="B34" s="35" t="s">
        <v>45</v>
      </c>
      <c r="C34" s="53">
        <v>500</v>
      </c>
      <c r="D34" s="37" t="s">
        <v>28</v>
      </c>
      <c r="F34" s="45" t="s">
        <v>46</v>
      </c>
      <c r="G34" s="26"/>
      <c r="H34" s="27"/>
      <c r="I34" s="35" t="s">
        <v>47</v>
      </c>
      <c r="J34" s="52">
        <f>MIN(1,2.5*(1-C56)+MIN(2.25,1.5+37.5*E43)*(C56-0.6))</f>
        <v>0.90900000000000003</v>
      </c>
      <c r="L34" s="29"/>
      <c r="N34" s="51"/>
    </row>
    <row r="35" spans="1:14" s="28" customFormat="1" ht="15.75">
      <c r="A35" s="34"/>
      <c r="B35" s="35" t="s">
        <v>48</v>
      </c>
      <c r="C35" s="53">
        <v>200</v>
      </c>
      <c r="D35" s="37" t="s">
        <v>35</v>
      </c>
      <c r="E35" s="33"/>
      <c r="F35" s="45" t="s">
        <v>49</v>
      </c>
      <c r="G35" s="26"/>
      <c r="H35" s="27"/>
      <c r="I35" s="35" t="s">
        <v>50</v>
      </c>
      <c r="J35" s="52">
        <f>MIN(1,2.5*(1-C56)+MIN(2,100*E43)*(C56-0.6))</f>
        <v>0.81800000000000006</v>
      </c>
      <c r="L35" s="29"/>
    </row>
    <row r="36" spans="1:14" s="28" customFormat="1" ht="15.75" customHeight="1">
      <c r="A36" s="34"/>
      <c r="B36" s="35" t="s">
        <v>51</v>
      </c>
      <c r="C36" s="53">
        <v>1.1499999999999999</v>
      </c>
      <c r="F36" s="45" t="s">
        <v>30</v>
      </c>
      <c r="G36" s="26"/>
      <c r="H36" s="27"/>
      <c r="L36" s="29"/>
    </row>
    <row r="37" spans="1:14" s="28" customFormat="1" ht="15.75">
      <c r="A37" s="34"/>
      <c r="B37" s="35" t="s">
        <v>52</v>
      </c>
      <c r="C37" s="54">
        <f>C34/C36</f>
        <v>434.78260869565219</v>
      </c>
      <c r="D37" s="37" t="s">
        <v>28</v>
      </c>
      <c r="F37" s="45" t="s">
        <v>53</v>
      </c>
      <c r="G37" s="26"/>
      <c r="H37" s="30" t="s">
        <v>54</v>
      </c>
      <c r="L37" s="29"/>
    </row>
    <row r="38" spans="1:14" s="28" customFormat="1" ht="15.75">
      <c r="A38" s="27"/>
      <c r="F38" s="29"/>
      <c r="G38" s="26"/>
      <c r="H38" s="27"/>
      <c r="I38" s="35" t="s">
        <v>55</v>
      </c>
      <c r="J38" s="52">
        <f>MIN(0.65,0.4+(E23/E20)/(1.3-LOG(E43*C35/C29)))*E24</f>
        <v>0.57199999999999995</v>
      </c>
      <c r="K38" s="37" t="s">
        <v>4</v>
      </c>
      <c r="L38" s="29"/>
    </row>
    <row r="39" spans="1:14" s="28" customFormat="1" ht="15.75">
      <c r="A39" s="30" t="s">
        <v>56</v>
      </c>
      <c r="B39" s="31"/>
      <c r="D39" s="37"/>
      <c r="E39" s="33"/>
      <c r="F39" s="45"/>
      <c r="G39" s="26"/>
      <c r="H39" s="27"/>
      <c r="I39" s="35" t="s">
        <v>57</v>
      </c>
      <c r="J39" s="52">
        <f>MAX(0.4,(1.3+0.2*LOG(C35*E43/C29))*(E23/E20-0.3)+0.6*(1-E23/E20))*E22</f>
        <v>0.69511958413012942</v>
      </c>
      <c r="K39" s="37" t="s">
        <v>58</v>
      </c>
      <c r="L39" s="29"/>
      <c r="M39" s="137"/>
    </row>
    <row r="40" spans="1:14" s="28" customFormat="1" ht="15.75" customHeight="1">
      <c r="A40" s="27"/>
      <c r="B40" s="35" t="s">
        <v>59</v>
      </c>
      <c r="C40" s="136">
        <v>40</v>
      </c>
      <c r="D40" s="37" t="s">
        <v>20</v>
      </c>
      <c r="E40" s="38">
        <f>C40/1000</f>
        <v>0.04</v>
      </c>
      <c r="F40" s="39" t="s">
        <v>4</v>
      </c>
      <c r="G40" s="26"/>
      <c r="H40" s="27"/>
      <c r="I40" s="35" t="s">
        <v>60</v>
      </c>
      <c r="J40" s="52">
        <f>0.9*(1-(1-E23/E20)^(2.5+0.6*LOG(E43*C35/C29)))</f>
        <v>0.8555081949489387</v>
      </c>
      <c r="L40" s="29"/>
    </row>
    <row r="41" spans="1:14" s="28" customFormat="1" ht="15.75">
      <c r="A41" s="27"/>
      <c r="B41" s="35" t="s">
        <v>61</v>
      </c>
      <c r="C41" s="40">
        <v>24</v>
      </c>
      <c r="D41" s="37"/>
      <c r="E41" s="58"/>
      <c r="F41" s="39"/>
      <c r="G41" s="26"/>
      <c r="H41" s="27"/>
      <c r="L41" s="29"/>
    </row>
    <row r="42" spans="1:14" s="28" customFormat="1" ht="15.75">
      <c r="A42" s="27"/>
      <c r="B42" s="35" t="s">
        <v>62</v>
      </c>
      <c r="C42" s="42">
        <f>PI()*C40^2/4*C41</f>
        <v>30159.289474462013</v>
      </c>
      <c r="D42" s="37" t="s">
        <v>63</v>
      </c>
      <c r="E42" s="38">
        <f>PI()*E40^2/4*C41</f>
        <v>3.0159289474462014E-2</v>
      </c>
      <c r="F42" s="39" t="s">
        <v>64</v>
      </c>
      <c r="G42" s="26"/>
      <c r="H42" s="30" t="s">
        <v>65</v>
      </c>
      <c r="L42" s="29"/>
    </row>
    <row r="43" spans="1:14" s="28" customFormat="1" ht="15.75">
      <c r="A43" s="55"/>
      <c r="B43" s="35" t="s">
        <v>66</v>
      </c>
      <c r="C43" s="56">
        <f>E43*100</f>
        <v>3.0072832641553773</v>
      </c>
      <c r="D43" s="37" t="s">
        <v>67</v>
      </c>
      <c r="E43" s="38">
        <f>(E42)/(E22)</f>
        <v>3.0072832641553773E-2</v>
      </c>
      <c r="F43" s="39"/>
      <c r="G43" s="26"/>
      <c r="H43" s="92" t="s">
        <v>68</v>
      </c>
      <c r="L43" s="29"/>
    </row>
    <row r="44" spans="1:14" s="28" customFormat="1" ht="15.75">
      <c r="A44" s="27"/>
      <c r="E44" s="58"/>
      <c r="F44" s="39"/>
      <c r="G44" s="26"/>
      <c r="H44" s="27"/>
      <c r="I44" s="35" t="s">
        <v>69</v>
      </c>
      <c r="J44" s="57">
        <f>2*E50*J38*C37*IF(E47=1,J35*(1-E49/(J40*PI()*E24))/SQRT(1+(E49/(PI()*E24))^2),J34)*1000</f>
        <v>946.93612582533672</v>
      </c>
      <c r="K44" s="37" t="s">
        <v>70</v>
      </c>
      <c r="L44" s="45" t="s">
        <v>71</v>
      </c>
    </row>
    <row r="45" spans="1:14" s="28" customFormat="1" ht="16.5" thickBot="1">
      <c r="A45" s="30" t="s">
        <v>72</v>
      </c>
      <c r="B45" s="31"/>
      <c r="D45" s="59"/>
      <c r="E45" s="58"/>
      <c r="F45" s="39"/>
      <c r="G45" s="26"/>
      <c r="H45" s="27"/>
      <c r="I45" s="35" t="s">
        <v>73</v>
      </c>
      <c r="J45" s="57">
        <f>C59*J33*J39*C32/2*1000</f>
        <v>1127.4974167598559</v>
      </c>
      <c r="K45" s="37" t="s">
        <v>70</v>
      </c>
      <c r="L45" s="45" t="s">
        <v>74</v>
      </c>
    </row>
    <row r="46" spans="1:14" s="28" customFormat="1" ht="15.75">
      <c r="A46" s="59"/>
      <c r="B46" s="35" t="s">
        <v>75</v>
      </c>
      <c r="C46" s="61">
        <v>0</v>
      </c>
      <c r="D46" s="59" t="s">
        <v>76</v>
      </c>
      <c r="E46" s="58"/>
      <c r="F46" s="39"/>
      <c r="G46" s="26"/>
      <c r="H46" s="27"/>
      <c r="I46" s="35" t="s">
        <v>77</v>
      </c>
      <c r="J46" s="60">
        <f>IF(J45&lt;J44,1,IF(J44&lt;0,1,MIN(IF(C57&lt;0,1.25,2.5),SQRT(2*J45/J44-1))))</f>
        <v>1.1753122844841679</v>
      </c>
      <c r="L46" s="29"/>
    </row>
    <row r="47" spans="1:14" s="28" customFormat="1" ht="15.75">
      <c r="A47" s="27"/>
      <c r="B47" s="35" t="s">
        <v>78</v>
      </c>
      <c r="C47" s="126" t="s">
        <v>228</v>
      </c>
      <c r="E47" s="62">
        <f>IF(C47="Spiral",1,0)</f>
        <v>0</v>
      </c>
      <c r="F47" s="39"/>
      <c r="G47" s="26"/>
      <c r="H47" s="27"/>
      <c r="I47" s="35" t="s">
        <v>79</v>
      </c>
      <c r="J47" s="90">
        <f>MIN(2*J45/(J46+1/J46),2*E50*J38*C37*J46*IF(E47=1,J35*(1-E49/(J40*PI()*E24*J46))/SQRT(1+(E49/(PI()*E24))^2),J34)*1000)</f>
        <v>1112.945661304364</v>
      </c>
      <c r="K47" s="37" t="s">
        <v>70</v>
      </c>
      <c r="L47" s="29"/>
    </row>
    <row r="48" spans="1:14" s="28" customFormat="1" ht="15.75" customHeight="1">
      <c r="A48" s="27"/>
      <c r="B48" s="35" t="s">
        <v>80</v>
      </c>
      <c r="C48" s="63">
        <v>20</v>
      </c>
      <c r="D48" s="37" t="s">
        <v>20</v>
      </c>
      <c r="E48" s="38">
        <f>C48/1000</f>
        <v>0.02</v>
      </c>
      <c r="F48" s="39" t="s">
        <v>4</v>
      </c>
      <c r="G48" s="26"/>
      <c r="H48" s="27"/>
      <c r="I48" s="35" t="s">
        <v>81</v>
      </c>
      <c r="J48" s="91">
        <f>C55/J47</f>
        <v>0.98091042353364843</v>
      </c>
      <c r="K48" s="66" t="str">
        <f>IF(J48&gt;1,"FAIL","Pass")</f>
        <v>Pass</v>
      </c>
      <c r="L48" s="29"/>
    </row>
    <row r="49" spans="1:13" s="28" customFormat="1" ht="13.5" thickBot="1">
      <c r="A49" s="27"/>
      <c r="B49" s="35" t="str">
        <f>IF(E47=1,"Spiral pitch, p =", "Link spacing, s =")</f>
        <v>Link spacing, s =</v>
      </c>
      <c r="C49" s="64">
        <v>150</v>
      </c>
      <c r="D49" s="37" t="s">
        <v>20</v>
      </c>
      <c r="E49" s="38">
        <f>C49/1000</f>
        <v>0.15</v>
      </c>
      <c r="F49" s="39" t="s">
        <v>4</v>
      </c>
      <c r="G49" s="26"/>
      <c r="H49" s="27"/>
      <c r="I49" s="28" t="s">
        <v>82</v>
      </c>
      <c r="J49" s="28">
        <f>J47*0.75</f>
        <v>834.70924597827297</v>
      </c>
      <c r="K49" s="28" t="s">
        <v>70</v>
      </c>
      <c r="L49" s="29"/>
    </row>
    <row r="50" spans="1:13" s="28" customFormat="1" ht="15.75">
      <c r="A50" s="27"/>
      <c r="B50" s="35" t="str">
        <f>IF(E47=1,"Asw / p =","Asw / s =")</f>
        <v>Asw / s =</v>
      </c>
      <c r="C50" s="42">
        <f>(C48^2*PI()/4)/E49</f>
        <v>2094.3951023931954</v>
      </c>
      <c r="D50" s="37" t="s">
        <v>83</v>
      </c>
      <c r="E50" s="67">
        <f>(E48^2*PI()/4)/E49</f>
        <v>2.0943951023931957E-3</v>
      </c>
      <c r="F50" s="39" t="s">
        <v>84</v>
      </c>
      <c r="G50" s="26"/>
      <c r="H50" s="92" t="s">
        <v>85</v>
      </c>
      <c r="L50" s="29"/>
    </row>
    <row r="51" spans="1:13" s="28" customFormat="1" ht="15.75">
      <c r="A51" s="27"/>
      <c r="E51" s="38"/>
      <c r="F51" s="68" t="str">
        <f>IF(E47=1,IF(C49&gt;0.4*C24*J46,"Spiral pitch, P exceeds limit of 0.4Dw.cotθ = "&amp;ROUND(0.4*C24*J46,0)&amp;"mm. Result not valid",""),"")</f>
        <v/>
      </c>
      <c r="G51" s="26"/>
      <c r="H51" s="27"/>
      <c r="I51" s="35" t="s">
        <v>69</v>
      </c>
      <c r="J51" s="57">
        <f>2*E50*J38*C37*IF(E47=1,J35*(1-E49/(J40*PI()*E24))/SQRT(1+(E49/(PI()*E24))^2),J34)*1000</f>
        <v>946.93612582533672</v>
      </c>
      <c r="K51" s="37" t="s">
        <v>70</v>
      </c>
      <c r="L51" s="45" t="s">
        <v>71</v>
      </c>
    </row>
    <row r="52" spans="1:13" s="28" customFormat="1" ht="15.75">
      <c r="A52" s="27"/>
      <c r="F52" s="68" t="str">
        <f>IF(C26&gt;50,"fck &gt; 50. Check the max allowable link spacing using the UK NA cl 9.5.3(3)",IF(C49&gt;MIN(20*C40,C20,400),"Link spacing or pitch exceeds limit set by EN1992-1-1 cl 9.5.3(3) = "&amp;ROUND(MIN(20*C40,C20,400),0)&amp;"mm","Link spacing satisfies limit set by EN1992-1-1 cl 9.5.3(3)"))</f>
        <v>Link spacing satisfies limit set by EN1992-1-1 cl 9.5.3(3)</v>
      </c>
      <c r="G52" s="26"/>
      <c r="H52" s="27"/>
      <c r="I52" s="35" t="s">
        <v>73</v>
      </c>
      <c r="J52" s="57">
        <f>C63*J33*J39*C32/2*1000</f>
        <v>1218.917455475683</v>
      </c>
      <c r="K52" s="37" t="s">
        <v>70</v>
      </c>
      <c r="L52" s="45" t="s">
        <v>74</v>
      </c>
    </row>
    <row r="53" spans="1:13" s="28" customFormat="1" ht="15">
      <c r="A53" s="27"/>
      <c r="F53" s="69" t="str">
        <f>IF(C26&gt;50,"",IF(C49&gt;0.6*MIN(20*C40,C20,400),"Link spacing or pitch exceeds limit set by EN1992-1-1 cl 9.5.3(4) = "&amp;ROUND(0.6*MIN(20*C40,C20,400),0)&amp;"mm",""))</f>
        <v/>
      </c>
      <c r="H53" s="27"/>
      <c r="I53" s="35" t="s">
        <v>77</v>
      </c>
      <c r="J53" s="60">
        <f>IF(J52&lt;J51,1,IF(J51&lt;0,1,MIN(IF(C61&lt;0,1.25,2.5),SQRT(2*J52/J51-1))))</f>
        <v>1.2547688763045701</v>
      </c>
      <c r="L53" s="29"/>
    </row>
    <row r="54" spans="1:13" s="28" customFormat="1" ht="15.75">
      <c r="A54" s="30" t="s">
        <v>86</v>
      </c>
      <c r="D54" s="37"/>
      <c r="E54" s="38"/>
      <c r="F54" s="39"/>
      <c r="H54" s="27"/>
      <c r="I54" s="35" t="s">
        <v>79</v>
      </c>
      <c r="J54" s="90">
        <f>MIN(2*J52/(J53+1/J53),2*E50*J38*C37*J53*IF(E47=1,J35*(1-E49/(J40*PI()*E24*J53))/SQRT(1+(E49/(PI()*E24))^2),J34)*1000)</f>
        <v>1188.1859785340607</v>
      </c>
      <c r="K54" s="37" t="s">
        <v>70</v>
      </c>
      <c r="L54" s="29"/>
    </row>
    <row r="55" spans="1:13" s="28" customFormat="1" ht="15.75">
      <c r="A55" s="27"/>
      <c r="B55" s="35" t="s">
        <v>87</v>
      </c>
      <c r="C55" s="95">
        <v>1091.7</v>
      </c>
      <c r="D55" s="37" t="s">
        <v>70</v>
      </c>
      <c r="E55" s="38">
        <f>C55/1000</f>
        <v>1.0917000000000001</v>
      </c>
      <c r="F55" s="39" t="s">
        <v>88</v>
      </c>
      <c r="G55" s="26"/>
      <c r="H55" s="27"/>
      <c r="I55" s="35" t="s">
        <v>81</v>
      </c>
      <c r="J55" s="91">
        <f>C55/J54</f>
        <v>0.91879555871118634</v>
      </c>
      <c r="K55" s="66" t="str">
        <f>IF(J55&gt;1,"FAIL","Pass")</f>
        <v>Pass</v>
      </c>
      <c r="L55" s="29"/>
    </row>
    <row r="56" spans="1:13" s="28" customFormat="1" ht="15.75">
      <c r="A56" s="27"/>
      <c r="B56" s="35" t="s">
        <v>89</v>
      </c>
      <c r="C56" s="94">
        <v>0.96399999999999997</v>
      </c>
      <c r="D56" s="37"/>
      <c r="F56" s="71"/>
      <c r="G56" s="26"/>
      <c r="H56" s="47"/>
      <c r="I56" s="48"/>
      <c r="J56" s="48"/>
      <c r="K56" s="48"/>
      <c r="L56" s="49"/>
    </row>
    <row r="57" spans="1:13" s="28" customFormat="1" ht="15.75">
      <c r="A57" s="92" t="s">
        <v>68</v>
      </c>
      <c r="B57" s="35" t="s">
        <v>90</v>
      </c>
      <c r="C57" s="40">
        <v>-2700</v>
      </c>
      <c r="D57" s="37" t="s">
        <v>91</v>
      </c>
      <c r="E57" s="72"/>
      <c r="F57" s="45"/>
      <c r="G57" s="26"/>
    </row>
    <row r="58" spans="1:13" s="28" customFormat="1" ht="13.5">
      <c r="A58" s="34"/>
      <c r="B58" s="35" t="s">
        <v>92</v>
      </c>
      <c r="C58" s="73">
        <f>E58/((E22-E42)+(E42*C35/C29))</f>
        <v>-1.818206272173726</v>
      </c>
      <c r="D58" s="37" t="s">
        <v>28</v>
      </c>
      <c r="E58" s="38">
        <f>C57/1000</f>
        <v>-2.7</v>
      </c>
      <c r="F58" s="39" t="s">
        <v>88</v>
      </c>
      <c r="G58" s="26"/>
      <c r="H58" s="22" t="s">
        <v>93</v>
      </c>
      <c r="I58" s="24"/>
      <c r="J58" s="24"/>
      <c r="K58" s="24"/>
      <c r="L58" s="25" t="s">
        <v>17</v>
      </c>
      <c r="M58" s="4"/>
    </row>
    <row r="59" spans="1:13" s="28" customFormat="1" ht="13.5">
      <c r="A59" s="34"/>
      <c r="B59" s="35" t="s">
        <v>94</v>
      </c>
      <c r="C59" s="46">
        <f>IF(C58&lt;0.5*C31,MIN((1+C58/C31),1.25),IF(C58&lt;C31,2.5*(1-C58/C31),"Error: N.Ed too large!"))</f>
        <v>0.9249989912728338</v>
      </c>
      <c r="D59" s="37"/>
      <c r="F59" s="45" t="s">
        <v>42</v>
      </c>
      <c r="G59" s="26"/>
      <c r="H59" s="30" t="s">
        <v>95</v>
      </c>
      <c r="L59" s="45" t="s">
        <v>96</v>
      </c>
      <c r="M59" s="4"/>
    </row>
    <row r="60" spans="1:13" s="28" customFormat="1" ht="15.75">
      <c r="A60" s="34"/>
      <c r="B60" s="35"/>
      <c r="C60" s="73"/>
      <c r="D60" s="37"/>
      <c r="E60" s="38"/>
      <c r="F60" s="39"/>
      <c r="G60" s="26"/>
      <c r="H60" s="27"/>
      <c r="I60" s="35" t="s">
        <v>97</v>
      </c>
      <c r="J60" s="60">
        <f>0.08*SQRT(C26)/C34</f>
        <v>1.0119288512538814E-3</v>
      </c>
      <c r="L60" s="70" t="s">
        <v>98</v>
      </c>
      <c r="M60" s="4"/>
    </row>
    <row r="61" spans="1:13" s="28" customFormat="1" ht="16.5" thickBot="1">
      <c r="A61" s="92" t="s">
        <v>85</v>
      </c>
      <c r="B61" s="35" t="s">
        <v>90</v>
      </c>
      <c r="C61" s="40">
        <v>0</v>
      </c>
      <c r="D61" s="37" t="s">
        <v>91</v>
      </c>
      <c r="E61" s="72"/>
      <c r="F61" s="45"/>
      <c r="G61" s="26"/>
      <c r="H61" s="27"/>
      <c r="I61" s="35" t="s">
        <v>99</v>
      </c>
      <c r="J61" s="60">
        <f>MIN((IF(J46=1,J44,J47/J46)/(C37*1000))/(J39*J33),(IF(J53=1,J51,J54/J53)/(C37*1000))/(J39*J33))</f>
        <v>1.0915680433567224E-2</v>
      </c>
      <c r="L61" s="70" t="s">
        <v>100</v>
      </c>
      <c r="M61" s="4"/>
    </row>
    <row r="62" spans="1:13" s="28" customFormat="1" ht="16.5" thickBot="1">
      <c r="A62" s="27"/>
      <c r="B62" s="35" t="s">
        <v>92</v>
      </c>
      <c r="C62" s="73">
        <f>E62/((E22-E42)+(E42*C35/C29))</f>
        <v>0</v>
      </c>
      <c r="D62" s="37" t="s">
        <v>28</v>
      </c>
      <c r="E62" s="38">
        <f>C61/1000</f>
        <v>0</v>
      </c>
      <c r="F62" s="39" t="s">
        <v>88</v>
      </c>
      <c r="G62" s="26"/>
      <c r="H62" s="27"/>
      <c r="I62" s="35" t="s">
        <v>101</v>
      </c>
      <c r="J62" s="65">
        <f>J61/J60</f>
        <v>10.7870038689396</v>
      </c>
      <c r="K62" s="66" t="str">
        <f>IF(J62&lt;1,"FAIL","Pass")</f>
        <v>Pass</v>
      </c>
      <c r="L62" s="29"/>
      <c r="M62" s="4"/>
    </row>
    <row r="63" spans="1:13" s="28" customFormat="1" ht="13.5">
      <c r="A63" s="93"/>
      <c r="B63" s="35" t="s">
        <v>94</v>
      </c>
      <c r="C63" s="46">
        <f>IF(C62&lt;0.5*C31,MIN((1+C62/C31),1.25),IF(C62&lt;C31,2.5*(1-C62/C31),"Error: N.Ed too large!"))</f>
        <v>1</v>
      </c>
      <c r="D63" s="37"/>
      <c r="F63" s="45" t="s">
        <v>42</v>
      </c>
      <c r="H63" s="27"/>
      <c r="L63" s="29"/>
      <c r="M63" s="4"/>
    </row>
    <row r="64" spans="1:13" s="28" customFormat="1">
      <c r="A64" s="47"/>
      <c r="B64" s="48"/>
      <c r="C64" s="48"/>
      <c r="D64" s="48"/>
      <c r="E64" s="48"/>
      <c r="F64" s="49"/>
      <c r="G64" s="26"/>
      <c r="H64" s="74"/>
      <c r="I64" s="48"/>
      <c r="J64" s="75"/>
      <c r="K64" s="75"/>
      <c r="L64" s="76"/>
      <c r="M64" s="4"/>
    </row>
    <row r="65" spans="1:14" s="28" customFormat="1">
      <c r="A65" s="4"/>
      <c r="C65" s="4"/>
      <c r="E65" s="4"/>
      <c r="G65" s="4"/>
      <c r="I65" s="4"/>
      <c r="J65" s="4"/>
      <c r="K65" s="4"/>
      <c r="L65" s="4"/>
      <c r="M65" s="4"/>
      <c r="N65" s="4"/>
    </row>
    <row r="66" spans="1:14" s="28" customFormat="1">
      <c r="A66" s="4"/>
      <c r="B66" s="4"/>
      <c r="C66" s="4"/>
      <c r="D66" s="4"/>
      <c r="E66" s="4"/>
      <c r="F66" s="4"/>
      <c r="G66" s="4"/>
      <c r="H66" s="4"/>
      <c r="I66" s="4"/>
      <c r="J66" s="4"/>
      <c r="K66" s="4"/>
      <c r="L66" s="4"/>
      <c r="M66" s="4"/>
      <c r="N66" s="4"/>
    </row>
    <row r="67" spans="1:14">
      <c r="B67" s="4" t="s">
        <v>102</v>
      </c>
      <c r="D67" s="4">
        <f>0.5*C55*(IF(J48&gt;J55,J46,J53))</f>
        <v>641.54421048568304</v>
      </c>
      <c r="E67" s="4" t="s">
        <v>70</v>
      </c>
    </row>
    <row r="68" spans="1:14" ht="12" customHeight="1"/>
    <row r="69" spans="1:14">
      <c r="A69" s="27"/>
      <c r="B69" s="28"/>
      <c r="C69" s="28"/>
      <c r="D69" s="28"/>
      <c r="E69" s="33"/>
      <c r="F69" s="28"/>
      <c r="H69" s="28"/>
    </row>
    <row r="70" spans="1:14">
      <c r="G70" s="28"/>
      <c r="H70" s="28"/>
    </row>
    <row r="71" spans="1:14">
      <c r="E71" s="77"/>
      <c r="G71" s="28"/>
      <c r="H71" s="28"/>
    </row>
    <row r="72" spans="1:14">
      <c r="G72" s="28"/>
      <c r="H72" s="28"/>
    </row>
    <row r="73" spans="1:14" ht="15">
      <c r="A73" s="78"/>
      <c r="B73" s="78"/>
      <c r="C73" s="28"/>
      <c r="D73" s="28"/>
      <c r="G73" s="28"/>
      <c r="H73" s="28"/>
    </row>
    <row r="74" spans="1:14">
      <c r="E74" s="28"/>
      <c r="G74" s="28"/>
      <c r="H74" s="28"/>
    </row>
    <row r="75" spans="1:14">
      <c r="E75" s="142"/>
      <c r="G75" s="28"/>
      <c r="H75" s="28"/>
    </row>
    <row r="76" spans="1:14">
      <c r="E76" s="142"/>
      <c r="G76" s="28"/>
      <c r="H76" s="28"/>
    </row>
    <row r="77" spans="1:14" ht="15.75" customHeight="1">
      <c r="E77" s="142"/>
      <c r="G77" s="28"/>
      <c r="H77" s="28"/>
    </row>
    <row r="78" spans="1:14">
      <c r="E78" s="142"/>
      <c r="G78" s="28"/>
      <c r="H78" s="28"/>
    </row>
    <row r="79" spans="1:14" ht="15.75" customHeight="1">
      <c r="E79" s="142"/>
      <c r="G79" s="28"/>
      <c r="H79" s="28"/>
    </row>
    <row r="80" spans="1:14">
      <c r="E80" s="142"/>
      <c r="G80" s="28"/>
      <c r="H80" s="28"/>
    </row>
    <row r="81" spans="1:13">
      <c r="E81" s="142"/>
      <c r="G81" s="28"/>
      <c r="H81" s="28"/>
    </row>
    <row r="82" spans="1:13">
      <c r="E82" s="142"/>
      <c r="G82" s="28"/>
      <c r="H82" s="28"/>
    </row>
    <row r="83" spans="1:13">
      <c r="E83" s="142"/>
      <c r="G83" s="28"/>
      <c r="H83" s="28"/>
      <c r="I83" s="28"/>
      <c r="J83" s="28"/>
      <c r="K83" s="79"/>
      <c r="L83" s="28"/>
    </row>
    <row r="84" spans="1:13">
      <c r="A84" s="80"/>
      <c r="B84" s="80"/>
      <c r="C84" s="28"/>
      <c r="D84" s="28"/>
      <c r="E84" s="142"/>
      <c r="G84" s="28"/>
      <c r="H84" s="28"/>
      <c r="I84" s="28"/>
      <c r="J84" s="28"/>
      <c r="K84" s="28"/>
      <c r="L84" s="81"/>
    </row>
    <row r="85" spans="1:13">
      <c r="A85" s="82"/>
      <c r="B85" s="82"/>
      <c r="C85" s="83"/>
      <c r="D85" s="28"/>
      <c r="E85" s="28"/>
      <c r="G85" s="28"/>
      <c r="H85" s="28"/>
      <c r="L85" s="28"/>
      <c r="M85" s="28"/>
    </row>
    <row r="86" spans="1:13" ht="15">
      <c r="A86" s="84"/>
      <c r="B86" s="84"/>
      <c r="C86" s="83"/>
      <c r="D86" s="28"/>
      <c r="E86" s="28"/>
      <c r="G86" s="28"/>
      <c r="H86" s="28"/>
      <c r="M86" s="28"/>
    </row>
    <row r="87" spans="1:13">
      <c r="A87" s="82"/>
      <c r="B87" s="82"/>
      <c r="C87" s="83"/>
      <c r="D87" s="28"/>
      <c r="E87" s="28"/>
      <c r="G87" s="28"/>
      <c r="H87" s="28"/>
      <c r="I87" s="28"/>
      <c r="J87" s="28"/>
      <c r="K87" s="28"/>
      <c r="M87" s="28"/>
    </row>
    <row r="88" spans="1:13">
      <c r="E88" s="28"/>
      <c r="G88" s="28"/>
      <c r="H88" s="28"/>
      <c r="L88" s="28"/>
      <c r="M88" s="28"/>
    </row>
    <row r="89" spans="1:13">
      <c r="E89" s="28"/>
      <c r="G89" s="28"/>
      <c r="H89" s="28"/>
      <c r="M89" s="28"/>
    </row>
    <row r="90" spans="1:13">
      <c r="E90" s="28"/>
      <c r="G90" s="28"/>
      <c r="H90" s="28"/>
      <c r="L90" s="28"/>
      <c r="M90" s="28"/>
    </row>
    <row r="91" spans="1:13">
      <c r="E91" s="28"/>
      <c r="G91" s="28"/>
      <c r="H91" s="28"/>
      <c r="K91" s="28"/>
      <c r="L91" s="28"/>
    </row>
    <row r="92" spans="1:13">
      <c r="E92" s="28"/>
      <c r="G92" s="28"/>
      <c r="H92" s="28"/>
      <c r="K92" s="28"/>
      <c r="M92" s="28"/>
    </row>
    <row r="93" spans="1:13">
      <c r="E93" s="28"/>
      <c r="G93" s="28"/>
      <c r="H93" s="28"/>
      <c r="M93" s="28"/>
    </row>
    <row r="94" spans="1:13">
      <c r="E94" s="28"/>
      <c r="G94" s="28"/>
    </row>
    <row r="95" spans="1:13">
      <c r="E95" s="28"/>
    </row>
    <row r="96" spans="1:13">
      <c r="E96" s="28"/>
      <c r="K96" s="28"/>
    </row>
    <row r="97" spans="1:13">
      <c r="E97" s="28"/>
      <c r="H97" s="28"/>
      <c r="K97" s="28"/>
    </row>
    <row r="98" spans="1:13">
      <c r="E98" s="28"/>
      <c r="G98" s="28"/>
      <c r="H98" s="28"/>
      <c r="K98" s="28"/>
    </row>
    <row r="99" spans="1:13">
      <c r="E99" s="28"/>
      <c r="G99" s="28"/>
      <c r="H99" s="28"/>
      <c r="M99" s="28"/>
    </row>
    <row r="100" spans="1:13">
      <c r="E100" s="28"/>
      <c r="G100" s="28"/>
      <c r="K100" s="28"/>
      <c r="M100" s="28"/>
    </row>
    <row r="101" spans="1:13">
      <c r="A101" s="85"/>
      <c r="B101" s="85"/>
      <c r="C101" s="86"/>
      <c r="E101" s="28"/>
      <c r="K101" s="28"/>
      <c r="M101" s="28"/>
    </row>
    <row r="102" spans="1:13">
      <c r="D102" s="83"/>
      <c r="M102" s="28"/>
    </row>
    <row r="103" spans="1:13">
      <c r="I103" s="87"/>
    </row>
    <row r="104" spans="1:13">
      <c r="M104" s="28"/>
    </row>
    <row r="111" spans="1:13">
      <c r="A111" s="85"/>
      <c r="B111" s="85"/>
    </row>
    <row r="115" spans="7:8">
      <c r="H115" s="88"/>
    </row>
    <row r="116" spans="7:8">
      <c r="G116" s="88" t="s">
        <v>103</v>
      </c>
    </row>
  </sheetData>
  <dataConsolidate link="1"/>
  <mergeCells count="6">
    <mergeCell ref="E83:E84"/>
    <mergeCell ref="A15:F15"/>
    <mergeCell ref="A16:F16"/>
    <mergeCell ref="E75:E77"/>
    <mergeCell ref="E78:E80"/>
    <mergeCell ref="E81:E82"/>
  </mergeCells>
  <conditionalFormatting sqref="H6 J6 B6 B8 B4 H4 H2">
    <cfRule type="cellIs" dxfId="185" priority="14" stopIfTrue="1" operator="equal">
      <formula>0</formula>
    </cfRule>
  </conditionalFormatting>
  <conditionalFormatting sqref="B6">
    <cfRule type="cellIs" dxfId="184" priority="13" stopIfTrue="1" operator="equal">
      <formula>0</formula>
    </cfRule>
  </conditionalFormatting>
  <conditionalFormatting sqref="H6 J6 H4">
    <cfRule type="cellIs" dxfId="183" priority="12" stopIfTrue="1" operator="equal">
      <formula>0</formula>
    </cfRule>
  </conditionalFormatting>
  <conditionalFormatting sqref="J48">
    <cfRule type="cellIs" dxfId="182" priority="10" stopIfTrue="1" operator="greaterThan">
      <formula>1</formula>
    </cfRule>
    <cfRule type="cellIs" dxfId="181" priority="11" stopIfTrue="1" operator="lessThanOrEqual">
      <formula>1</formula>
    </cfRule>
  </conditionalFormatting>
  <conditionalFormatting sqref="J62">
    <cfRule type="cellIs" dxfId="180" priority="8" stopIfTrue="1" operator="lessThan">
      <formula>1</formula>
    </cfRule>
    <cfRule type="cellIs" dxfId="179" priority="9" stopIfTrue="1" operator="greaterThanOrEqual">
      <formula>1</formula>
    </cfRule>
  </conditionalFormatting>
  <conditionalFormatting sqref="K48 K62">
    <cfRule type="cellIs" dxfId="178" priority="6" stopIfTrue="1" operator="equal">
      <formula>"FAIL"</formula>
    </cfRule>
    <cfRule type="cellIs" dxfId="177" priority="7" stopIfTrue="1" operator="equal">
      <formula>"Pass"</formula>
    </cfRule>
  </conditionalFormatting>
  <conditionalFormatting sqref="F52">
    <cfRule type="cellIs" dxfId="176" priority="5" stopIfTrue="1" operator="equal">
      <formula>"Link spacing satisfies limit set by EN1992-1-1 cl 9.5.3(3)"</formula>
    </cfRule>
  </conditionalFormatting>
  <conditionalFormatting sqref="K55">
    <cfRule type="cellIs" dxfId="175" priority="3" stopIfTrue="1" operator="equal">
      <formula>"FAIL"</formula>
    </cfRule>
    <cfRule type="cellIs" dxfId="174" priority="4" stopIfTrue="1" operator="equal">
      <formula>"Pass"</formula>
    </cfRule>
  </conditionalFormatting>
  <conditionalFormatting sqref="J55">
    <cfRule type="cellIs" dxfId="173" priority="1" stopIfTrue="1" operator="greaterThan">
      <formula>1</formula>
    </cfRule>
    <cfRule type="cellIs" dxfId="172" priority="2" stopIfTrue="1" operator="lessThanOrEqual">
      <formula>1</formula>
    </cfRule>
  </conditionalFormatting>
  <dataValidations count="10">
    <dataValidation type="list" allowBlank="1" showInputMessage="1" showErrorMessage="1" promptTitle="Alpha.cc" prompt="Widely accepted = 1.0 for shear where multiplying fcd by nu1_x000a__x000a_However, NA to BS EN1992-1-1 is not explicit on this. Some references suggest = 0.85" sqref="C30 IY30 SU30 ACQ30 AMM30 AWI30 BGE30 BQA30 BZW30 CJS30 CTO30 DDK30 DNG30 DXC30 EGY30 EQU30 FAQ30 FKM30 FUI30 GEE30 GOA30 GXW30 HHS30 HRO30 IBK30 ILG30 IVC30 JEY30 JOU30 JYQ30 KIM30 KSI30 LCE30 LMA30 LVW30 MFS30 MPO30 MZK30 NJG30 NTC30 OCY30 OMU30 OWQ30 PGM30 PQI30 QAE30 QKA30 QTW30 RDS30 RNO30 RXK30 SHG30 SRC30 TAY30 TKU30 TUQ30 UEM30 UOI30 UYE30 VIA30 VRW30 WBS30 WLO30 WVK30 C65571 IY65571 SU65571 ACQ65571 AMM65571 AWI65571 BGE65571 BQA65571 BZW65571 CJS65571 CTO65571 DDK65571 DNG65571 DXC65571 EGY65571 EQU65571 FAQ65571 FKM65571 FUI65571 GEE65571 GOA65571 GXW65571 HHS65571 HRO65571 IBK65571 ILG65571 IVC65571 JEY65571 JOU65571 JYQ65571 KIM65571 KSI65571 LCE65571 LMA65571 LVW65571 MFS65571 MPO65571 MZK65571 NJG65571 NTC65571 OCY65571 OMU65571 OWQ65571 PGM65571 PQI65571 QAE65571 QKA65571 QTW65571 RDS65571 RNO65571 RXK65571 SHG65571 SRC65571 TAY65571 TKU65571 TUQ65571 UEM65571 UOI65571 UYE65571 VIA65571 VRW65571 WBS65571 WLO65571 WVK65571 C131107 IY131107 SU131107 ACQ131107 AMM131107 AWI131107 BGE131107 BQA131107 BZW131107 CJS131107 CTO131107 DDK131107 DNG131107 DXC131107 EGY131107 EQU131107 FAQ131107 FKM131107 FUI131107 GEE131107 GOA131107 GXW131107 HHS131107 HRO131107 IBK131107 ILG131107 IVC131107 JEY131107 JOU131107 JYQ131107 KIM131107 KSI131107 LCE131107 LMA131107 LVW131107 MFS131107 MPO131107 MZK131107 NJG131107 NTC131107 OCY131107 OMU131107 OWQ131107 PGM131107 PQI131107 QAE131107 QKA131107 QTW131107 RDS131107 RNO131107 RXK131107 SHG131107 SRC131107 TAY131107 TKU131107 TUQ131107 UEM131107 UOI131107 UYE131107 VIA131107 VRW131107 WBS131107 WLO131107 WVK131107 C196643 IY196643 SU196643 ACQ196643 AMM196643 AWI196643 BGE196643 BQA196643 BZW196643 CJS196643 CTO196643 DDK196643 DNG196643 DXC196643 EGY196643 EQU196643 FAQ196643 FKM196643 FUI196643 GEE196643 GOA196643 GXW196643 HHS196643 HRO196643 IBK196643 ILG196643 IVC196643 JEY196643 JOU196643 JYQ196643 KIM196643 KSI196643 LCE196643 LMA196643 LVW196643 MFS196643 MPO196643 MZK196643 NJG196643 NTC196643 OCY196643 OMU196643 OWQ196643 PGM196643 PQI196643 QAE196643 QKA196643 QTW196643 RDS196643 RNO196643 RXK196643 SHG196643 SRC196643 TAY196643 TKU196643 TUQ196643 UEM196643 UOI196643 UYE196643 VIA196643 VRW196643 WBS196643 WLO196643 WVK196643 C262179 IY262179 SU262179 ACQ262179 AMM262179 AWI262179 BGE262179 BQA262179 BZW262179 CJS262179 CTO262179 DDK262179 DNG262179 DXC262179 EGY262179 EQU262179 FAQ262179 FKM262179 FUI262179 GEE262179 GOA262179 GXW262179 HHS262179 HRO262179 IBK262179 ILG262179 IVC262179 JEY262179 JOU262179 JYQ262179 KIM262179 KSI262179 LCE262179 LMA262179 LVW262179 MFS262179 MPO262179 MZK262179 NJG262179 NTC262179 OCY262179 OMU262179 OWQ262179 PGM262179 PQI262179 QAE262179 QKA262179 QTW262179 RDS262179 RNO262179 RXK262179 SHG262179 SRC262179 TAY262179 TKU262179 TUQ262179 UEM262179 UOI262179 UYE262179 VIA262179 VRW262179 WBS262179 WLO262179 WVK262179 C327715 IY327715 SU327715 ACQ327715 AMM327715 AWI327715 BGE327715 BQA327715 BZW327715 CJS327715 CTO327715 DDK327715 DNG327715 DXC327715 EGY327715 EQU327715 FAQ327715 FKM327715 FUI327715 GEE327715 GOA327715 GXW327715 HHS327715 HRO327715 IBK327715 ILG327715 IVC327715 JEY327715 JOU327715 JYQ327715 KIM327715 KSI327715 LCE327715 LMA327715 LVW327715 MFS327715 MPO327715 MZK327715 NJG327715 NTC327715 OCY327715 OMU327715 OWQ327715 PGM327715 PQI327715 QAE327715 QKA327715 QTW327715 RDS327715 RNO327715 RXK327715 SHG327715 SRC327715 TAY327715 TKU327715 TUQ327715 UEM327715 UOI327715 UYE327715 VIA327715 VRW327715 WBS327715 WLO327715 WVK327715 C393251 IY393251 SU393251 ACQ393251 AMM393251 AWI393251 BGE393251 BQA393251 BZW393251 CJS393251 CTO393251 DDK393251 DNG393251 DXC393251 EGY393251 EQU393251 FAQ393251 FKM393251 FUI393251 GEE393251 GOA393251 GXW393251 HHS393251 HRO393251 IBK393251 ILG393251 IVC393251 JEY393251 JOU393251 JYQ393251 KIM393251 KSI393251 LCE393251 LMA393251 LVW393251 MFS393251 MPO393251 MZK393251 NJG393251 NTC393251 OCY393251 OMU393251 OWQ393251 PGM393251 PQI393251 QAE393251 QKA393251 QTW393251 RDS393251 RNO393251 RXK393251 SHG393251 SRC393251 TAY393251 TKU393251 TUQ393251 UEM393251 UOI393251 UYE393251 VIA393251 VRW393251 WBS393251 WLO393251 WVK393251 C458787 IY458787 SU458787 ACQ458787 AMM458787 AWI458787 BGE458787 BQA458787 BZW458787 CJS458787 CTO458787 DDK458787 DNG458787 DXC458787 EGY458787 EQU458787 FAQ458787 FKM458787 FUI458787 GEE458787 GOA458787 GXW458787 HHS458787 HRO458787 IBK458787 ILG458787 IVC458787 JEY458787 JOU458787 JYQ458787 KIM458787 KSI458787 LCE458787 LMA458787 LVW458787 MFS458787 MPO458787 MZK458787 NJG458787 NTC458787 OCY458787 OMU458787 OWQ458787 PGM458787 PQI458787 QAE458787 QKA458787 QTW458787 RDS458787 RNO458787 RXK458787 SHG458787 SRC458787 TAY458787 TKU458787 TUQ458787 UEM458787 UOI458787 UYE458787 VIA458787 VRW458787 WBS458787 WLO458787 WVK458787 C524323 IY524323 SU524323 ACQ524323 AMM524323 AWI524323 BGE524323 BQA524323 BZW524323 CJS524323 CTO524323 DDK524323 DNG524323 DXC524323 EGY524323 EQU524323 FAQ524323 FKM524323 FUI524323 GEE524323 GOA524323 GXW524323 HHS524323 HRO524323 IBK524323 ILG524323 IVC524323 JEY524323 JOU524323 JYQ524323 KIM524323 KSI524323 LCE524323 LMA524323 LVW524323 MFS524323 MPO524323 MZK524323 NJG524323 NTC524323 OCY524323 OMU524323 OWQ524323 PGM524323 PQI524323 QAE524323 QKA524323 QTW524323 RDS524323 RNO524323 RXK524323 SHG524323 SRC524323 TAY524323 TKU524323 TUQ524323 UEM524323 UOI524323 UYE524323 VIA524323 VRW524323 WBS524323 WLO524323 WVK524323 C589859 IY589859 SU589859 ACQ589859 AMM589859 AWI589859 BGE589859 BQA589859 BZW589859 CJS589859 CTO589859 DDK589859 DNG589859 DXC589859 EGY589859 EQU589859 FAQ589859 FKM589859 FUI589859 GEE589859 GOA589859 GXW589859 HHS589859 HRO589859 IBK589859 ILG589859 IVC589859 JEY589859 JOU589859 JYQ589859 KIM589859 KSI589859 LCE589859 LMA589859 LVW589859 MFS589859 MPO589859 MZK589859 NJG589859 NTC589859 OCY589859 OMU589859 OWQ589859 PGM589859 PQI589859 QAE589859 QKA589859 QTW589859 RDS589859 RNO589859 RXK589859 SHG589859 SRC589859 TAY589859 TKU589859 TUQ589859 UEM589859 UOI589859 UYE589859 VIA589859 VRW589859 WBS589859 WLO589859 WVK589859 C655395 IY655395 SU655395 ACQ655395 AMM655395 AWI655395 BGE655395 BQA655395 BZW655395 CJS655395 CTO655395 DDK655395 DNG655395 DXC655395 EGY655395 EQU655395 FAQ655395 FKM655395 FUI655395 GEE655395 GOA655395 GXW655395 HHS655395 HRO655395 IBK655395 ILG655395 IVC655395 JEY655395 JOU655395 JYQ655395 KIM655395 KSI655395 LCE655395 LMA655395 LVW655395 MFS655395 MPO655395 MZK655395 NJG655395 NTC655395 OCY655395 OMU655395 OWQ655395 PGM655395 PQI655395 QAE655395 QKA655395 QTW655395 RDS655395 RNO655395 RXK655395 SHG655395 SRC655395 TAY655395 TKU655395 TUQ655395 UEM655395 UOI655395 UYE655395 VIA655395 VRW655395 WBS655395 WLO655395 WVK655395 C720931 IY720931 SU720931 ACQ720931 AMM720931 AWI720931 BGE720931 BQA720931 BZW720931 CJS720931 CTO720931 DDK720931 DNG720931 DXC720931 EGY720931 EQU720931 FAQ720931 FKM720931 FUI720931 GEE720931 GOA720931 GXW720931 HHS720931 HRO720931 IBK720931 ILG720931 IVC720931 JEY720931 JOU720931 JYQ720931 KIM720931 KSI720931 LCE720931 LMA720931 LVW720931 MFS720931 MPO720931 MZK720931 NJG720931 NTC720931 OCY720931 OMU720931 OWQ720931 PGM720931 PQI720931 QAE720931 QKA720931 QTW720931 RDS720931 RNO720931 RXK720931 SHG720931 SRC720931 TAY720931 TKU720931 TUQ720931 UEM720931 UOI720931 UYE720931 VIA720931 VRW720931 WBS720931 WLO720931 WVK720931 C786467 IY786467 SU786467 ACQ786467 AMM786467 AWI786467 BGE786467 BQA786467 BZW786467 CJS786467 CTO786467 DDK786467 DNG786467 DXC786467 EGY786467 EQU786467 FAQ786467 FKM786467 FUI786467 GEE786467 GOA786467 GXW786467 HHS786467 HRO786467 IBK786467 ILG786467 IVC786467 JEY786467 JOU786467 JYQ786467 KIM786467 KSI786467 LCE786467 LMA786467 LVW786467 MFS786467 MPO786467 MZK786467 NJG786467 NTC786467 OCY786467 OMU786467 OWQ786467 PGM786467 PQI786467 QAE786467 QKA786467 QTW786467 RDS786467 RNO786467 RXK786467 SHG786467 SRC786467 TAY786467 TKU786467 TUQ786467 UEM786467 UOI786467 UYE786467 VIA786467 VRW786467 WBS786467 WLO786467 WVK786467 C852003 IY852003 SU852003 ACQ852003 AMM852003 AWI852003 BGE852003 BQA852003 BZW852003 CJS852003 CTO852003 DDK852003 DNG852003 DXC852003 EGY852003 EQU852003 FAQ852003 FKM852003 FUI852003 GEE852003 GOA852003 GXW852003 HHS852003 HRO852003 IBK852003 ILG852003 IVC852003 JEY852003 JOU852003 JYQ852003 KIM852003 KSI852003 LCE852003 LMA852003 LVW852003 MFS852003 MPO852003 MZK852003 NJG852003 NTC852003 OCY852003 OMU852003 OWQ852003 PGM852003 PQI852003 QAE852003 QKA852003 QTW852003 RDS852003 RNO852003 RXK852003 SHG852003 SRC852003 TAY852003 TKU852003 TUQ852003 UEM852003 UOI852003 UYE852003 VIA852003 VRW852003 WBS852003 WLO852003 WVK852003 C917539 IY917539 SU917539 ACQ917539 AMM917539 AWI917539 BGE917539 BQA917539 BZW917539 CJS917539 CTO917539 DDK917539 DNG917539 DXC917539 EGY917539 EQU917539 FAQ917539 FKM917539 FUI917539 GEE917539 GOA917539 GXW917539 HHS917539 HRO917539 IBK917539 ILG917539 IVC917539 JEY917539 JOU917539 JYQ917539 KIM917539 KSI917539 LCE917539 LMA917539 LVW917539 MFS917539 MPO917539 MZK917539 NJG917539 NTC917539 OCY917539 OMU917539 OWQ917539 PGM917539 PQI917539 QAE917539 QKA917539 QTW917539 RDS917539 RNO917539 RXK917539 SHG917539 SRC917539 TAY917539 TKU917539 TUQ917539 UEM917539 UOI917539 UYE917539 VIA917539 VRW917539 WBS917539 WLO917539 WVK917539 C983075 IY983075 SU983075 ACQ983075 AMM983075 AWI983075 BGE983075 BQA983075 BZW983075 CJS983075 CTO983075 DDK983075 DNG983075 DXC983075 EGY983075 EQU983075 FAQ983075 FKM983075 FUI983075 GEE983075 GOA983075 GXW983075 HHS983075 HRO983075 IBK983075 ILG983075 IVC983075 JEY983075 JOU983075 JYQ983075 KIM983075 KSI983075 LCE983075 LMA983075 LVW983075 MFS983075 MPO983075 MZK983075 NJG983075 NTC983075 OCY983075 OMU983075 OWQ983075 PGM983075 PQI983075 QAE983075 QKA983075 QTW983075 RDS983075 RNO983075 RXK983075 SHG983075 SRC983075 TAY983075 TKU983075 TUQ983075 UEM983075 UOI983075 UYE983075 VIA983075 VRW983075 WBS983075 WLO983075 WVK983075" xr:uid="{10A47EFD-6AF6-4983-B283-B6EC19AD42C7}">
      <formula1>alphacc</formula1>
    </dataValidation>
    <dataValidation type="list" allowBlank="1" showInputMessage="1" showErrorMessage="1" prompt="1.50 generally._x000a_1.65 typical if cast against ground." sqref="C27 IY27 SU27 ACQ27 AMM27 AWI27 BGE27 BQA27 BZW27 CJS27 CTO27 DDK27 DNG27 DXC27 EGY27 EQU27 FAQ27 FKM27 FUI27 GEE27 GOA27 GXW27 HHS27 HRO27 IBK27 ILG27 IVC27 JEY27 JOU27 JYQ27 KIM27 KSI27 LCE27 LMA27 LVW27 MFS27 MPO27 MZK27 NJG27 NTC27 OCY27 OMU27 OWQ27 PGM27 PQI27 QAE27 QKA27 QTW27 RDS27 RNO27 RXK27 SHG27 SRC27 TAY27 TKU27 TUQ27 UEM27 UOI27 UYE27 VIA27 VRW27 WBS27 WLO27 WVK27 C65568 IY65568 SU65568 ACQ65568 AMM65568 AWI65568 BGE65568 BQA65568 BZW65568 CJS65568 CTO65568 DDK65568 DNG65568 DXC65568 EGY65568 EQU65568 FAQ65568 FKM65568 FUI65568 GEE65568 GOA65568 GXW65568 HHS65568 HRO65568 IBK65568 ILG65568 IVC65568 JEY65568 JOU65568 JYQ65568 KIM65568 KSI65568 LCE65568 LMA65568 LVW65568 MFS65568 MPO65568 MZK65568 NJG65568 NTC65568 OCY65568 OMU65568 OWQ65568 PGM65568 PQI65568 QAE65568 QKA65568 QTW65568 RDS65568 RNO65568 RXK65568 SHG65568 SRC65568 TAY65568 TKU65568 TUQ65568 UEM65568 UOI65568 UYE65568 VIA65568 VRW65568 WBS65568 WLO65568 WVK65568 C131104 IY131104 SU131104 ACQ131104 AMM131104 AWI131104 BGE131104 BQA131104 BZW131104 CJS131104 CTO131104 DDK131104 DNG131104 DXC131104 EGY131104 EQU131104 FAQ131104 FKM131104 FUI131104 GEE131104 GOA131104 GXW131104 HHS131104 HRO131104 IBK131104 ILG131104 IVC131104 JEY131104 JOU131104 JYQ131104 KIM131104 KSI131104 LCE131104 LMA131104 LVW131104 MFS131104 MPO131104 MZK131104 NJG131104 NTC131104 OCY131104 OMU131104 OWQ131104 PGM131104 PQI131104 QAE131104 QKA131104 QTW131104 RDS131104 RNO131104 RXK131104 SHG131104 SRC131104 TAY131104 TKU131104 TUQ131104 UEM131104 UOI131104 UYE131104 VIA131104 VRW131104 WBS131104 WLO131104 WVK131104 C196640 IY196640 SU196640 ACQ196640 AMM196640 AWI196640 BGE196640 BQA196640 BZW196640 CJS196640 CTO196640 DDK196640 DNG196640 DXC196640 EGY196640 EQU196640 FAQ196640 FKM196640 FUI196640 GEE196640 GOA196640 GXW196640 HHS196640 HRO196640 IBK196640 ILG196640 IVC196640 JEY196640 JOU196640 JYQ196640 KIM196640 KSI196640 LCE196640 LMA196640 LVW196640 MFS196640 MPO196640 MZK196640 NJG196640 NTC196640 OCY196640 OMU196640 OWQ196640 PGM196640 PQI196640 QAE196640 QKA196640 QTW196640 RDS196640 RNO196640 RXK196640 SHG196640 SRC196640 TAY196640 TKU196640 TUQ196640 UEM196640 UOI196640 UYE196640 VIA196640 VRW196640 WBS196640 WLO196640 WVK196640 C262176 IY262176 SU262176 ACQ262176 AMM262176 AWI262176 BGE262176 BQA262176 BZW262176 CJS262176 CTO262176 DDK262176 DNG262176 DXC262176 EGY262176 EQU262176 FAQ262176 FKM262176 FUI262176 GEE262176 GOA262176 GXW262176 HHS262176 HRO262176 IBK262176 ILG262176 IVC262176 JEY262176 JOU262176 JYQ262176 KIM262176 KSI262176 LCE262176 LMA262176 LVW262176 MFS262176 MPO262176 MZK262176 NJG262176 NTC262176 OCY262176 OMU262176 OWQ262176 PGM262176 PQI262176 QAE262176 QKA262176 QTW262176 RDS262176 RNO262176 RXK262176 SHG262176 SRC262176 TAY262176 TKU262176 TUQ262176 UEM262176 UOI262176 UYE262176 VIA262176 VRW262176 WBS262176 WLO262176 WVK262176 C327712 IY327712 SU327712 ACQ327712 AMM327712 AWI327712 BGE327712 BQA327712 BZW327712 CJS327712 CTO327712 DDK327712 DNG327712 DXC327712 EGY327712 EQU327712 FAQ327712 FKM327712 FUI327712 GEE327712 GOA327712 GXW327712 HHS327712 HRO327712 IBK327712 ILG327712 IVC327712 JEY327712 JOU327712 JYQ327712 KIM327712 KSI327712 LCE327712 LMA327712 LVW327712 MFS327712 MPO327712 MZK327712 NJG327712 NTC327712 OCY327712 OMU327712 OWQ327712 PGM327712 PQI327712 QAE327712 QKA327712 QTW327712 RDS327712 RNO327712 RXK327712 SHG327712 SRC327712 TAY327712 TKU327712 TUQ327712 UEM327712 UOI327712 UYE327712 VIA327712 VRW327712 WBS327712 WLO327712 WVK327712 C393248 IY393248 SU393248 ACQ393248 AMM393248 AWI393248 BGE393248 BQA393248 BZW393248 CJS393248 CTO393248 DDK393248 DNG393248 DXC393248 EGY393248 EQU393248 FAQ393248 FKM393248 FUI393248 GEE393248 GOA393248 GXW393248 HHS393248 HRO393248 IBK393248 ILG393248 IVC393248 JEY393248 JOU393248 JYQ393248 KIM393248 KSI393248 LCE393248 LMA393248 LVW393248 MFS393248 MPO393248 MZK393248 NJG393248 NTC393248 OCY393248 OMU393248 OWQ393248 PGM393248 PQI393248 QAE393248 QKA393248 QTW393248 RDS393248 RNO393248 RXK393248 SHG393248 SRC393248 TAY393248 TKU393248 TUQ393248 UEM393248 UOI393248 UYE393248 VIA393248 VRW393248 WBS393248 WLO393248 WVK393248 C458784 IY458784 SU458784 ACQ458784 AMM458784 AWI458784 BGE458784 BQA458784 BZW458784 CJS458784 CTO458784 DDK458784 DNG458784 DXC458784 EGY458784 EQU458784 FAQ458784 FKM458784 FUI458784 GEE458784 GOA458784 GXW458784 HHS458784 HRO458784 IBK458784 ILG458784 IVC458784 JEY458784 JOU458784 JYQ458784 KIM458784 KSI458784 LCE458784 LMA458784 LVW458784 MFS458784 MPO458784 MZK458784 NJG458784 NTC458784 OCY458784 OMU458784 OWQ458784 PGM458784 PQI458784 QAE458784 QKA458784 QTW458784 RDS458784 RNO458784 RXK458784 SHG458784 SRC458784 TAY458784 TKU458784 TUQ458784 UEM458784 UOI458784 UYE458784 VIA458784 VRW458784 WBS458784 WLO458784 WVK458784 C524320 IY524320 SU524320 ACQ524320 AMM524320 AWI524320 BGE524320 BQA524320 BZW524320 CJS524320 CTO524320 DDK524320 DNG524320 DXC524320 EGY524320 EQU524320 FAQ524320 FKM524320 FUI524320 GEE524320 GOA524320 GXW524320 HHS524320 HRO524320 IBK524320 ILG524320 IVC524320 JEY524320 JOU524320 JYQ524320 KIM524320 KSI524320 LCE524320 LMA524320 LVW524320 MFS524320 MPO524320 MZK524320 NJG524320 NTC524320 OCY524320 OMU524320 OWQ524320 PGM524320 PQI524320 QAE524320 QKA524320 QTW524320 RDS524320 RNO524320 RXK524320 SHG524320 SRC524320 TAY524320 TKU524320 TUQ524320 UEM524320 UOI524320 UYE524320 VIA524320 VRW524320 WBS524320 WLO524320 WVK524320 C589856 IY589856 SU589856 ACQ589856 AMM589856 AWI589856 BGE589856 BQA589856 BZW589856 CJS589856 CTO589856 DDK589856 DNG589856 DXC589856 EGY589856 EQU589856 FAQ589856 FKM589856 FUI589856 GEE589856 GOA589856 GXW589856 HHS589856 HRO589856 IBK589856 ILG589856 IVC589856 JEY589856 JOU589856 JYQ589856 KIM589856 KSI589856 LCE589856 LMA589856 LVW589856 MFS589856 MPO589856 MZK589856 NJG589856 NTC589856 OCY589856 OMU589856 OWQ589856 PGM589856 PQI589856 QAE589856 QKA589856 QTW589856 RDS589856 RNO589856 RXK589856 SHG589856 SRC589856 TAY589856 TKU589856 TUQ589856 UEM589856 UOI589856 UYE589856 VIA589856 VRW589856 WBS589856 WLO589856 WVK589856 C655392 IY655392 SU655392 ACQ655392 AMM655392 AWI655392 BGE655392 BQA655392 BZW655392 CJS655392 CTO655392 DDK655392 DNG655392 DXC655392 EGY655392 EQU655392 FAQ655392 FKM655392 FUI655392 GEE655392 GOA655392 GXW655392 HHS655392 HRO655392 IBK655392 ILG655392 IVC655392 JEY655392 JOU655392 JYQ655392 KIM655392 KSI655392 LCE655392 LMA655392 LVW655392 MFS655392 MPO655392 MZK655392 NJG655392 NTC655392 OCY655392 OMU655392 OWQ655392 PGM655392 PQI655392 QAE655392 QKA655392 QTW655392 RDS655392 RNO655392 RXK655392 SHG655392 SRC655392 TAY655392 TKU655392 TUQ655392 UEM655392 UOI655392 UYE655392 VIA655392 VRW655392 WBS655392 WLO655392 WVK655392 C720928 IY720928 SU720928 ACQ720928 AMM720928 AWI720928 BGE720928 BQA720928 BZW720928 CJS720928 CTO720928 DDK720928 DNG720928 DXC720928 EGY720928 EQU720928 FAQ720928 FKM720928 FUI720928 GEE720928 GOA720928 GXW720928 HHS720928 HRO720928 IBK720928 ILG720928 IVC720928 JEY720928 JOU720928 JYQ720928 KIM720928 KSI720928 LCE720928 LMA720928 LVW720928 MFS720928 MPO720928 MZK720928 NJG720928 NTC720928 OCY720928 OMU720928 OWQ720928 PGM720928 PQI720928 QAE720928 QKA720928 QTW720928 RDS720928 RNO720928 RXK720928 SHG720928 SRC720928 TAY720928 TKU720928 TUQ720928 UEM720928 UOI720928 UYE720928 VIA720928 VRW720928 WBS720928 WLO720928 WVK720928 C786464 IY786464 SU786464 ACQ786464 AMM786464 AWI786464 BGE786464 BQA786464 BZW786464 CJS786464 CTO786464 DDK786464 DNG786464 DXC786464 EGY786464 EQU786464 FAQ786464 FKM786464 FUI786464 GEE786464 GOA786464 GXW786464 HHS786464 HRO786464 IBK786464 ILG786464 IVC786464 JEY786464 JOU786464 JYQ786464 KIM786464 KSI786464 LCE786464 LMA786464 LVW786464 MFS786464 MPO786464 MZK786464 NJG786464 NTC786464 OCY786464 OMU786464 OWQ786464 PGM786464 PQI786464 QAE786464 QKA786464 QTW786464 RDS786464 RNO786464 RXK786464 SHG786464 SRC786464 TAY786464 TKU786464 TUQ786464 UEM786464 UOI786464 UYE786464 VIA786464 VRW786464 WBS786464 WLO786464 WVK786464 C852000 IY852000 SU852000 ACQ852000 AMM852000 AWI852000 BGE852000 BQA852000 BZW852000 CJS852000 CTO852000 DDK852000 DNG852000 DXC852000 EGY852000 EQU852000 FAQ852000 FKM852000 FUI852000 GEE852000 GOA852000 GXW852000 HHS852000 HRO852000 IBK852000 ILG852000 IVC852000 JEY852000 JOU852000 JYQ852000 KIM852000 KSI852000 LCE852000 LMA852000 LVW852000 MFS852000 MPO852000 MZK852000 NJG852000 NTC852000 OCY852000 OMU852000 OWQ852000 PGM852000 PQI852000 QAE852000 QKA852000 QTW852000 RDS852000 RNO852000 RXK852000 SHG852000 SRC852000 TAY852000 TKU852000 TUQ852000 UEM852000 UOI852000 UYE852000 VIA852000 VRW852000 WBS852000 WLO852000 WVK852000 C917536 IY917536 SU917536 ACQ917536 AMM917536 AWI917536 BGE917536 BQA917536 BZW917536 CJS917536 CTO917536 DDK917536 DNG917536 DXC917536 EGY917536 EQU917536 FAQ917536 FKM917536 FUI917536 GEE917536 GOA917536 GXW917536 HHS917536 HRO917536 IBK917536 ILG917536 IVC917536 JEY917536 JOU917536 JYQ917536 KIM917536 KSI917536 LCE917536 LMA917536 LVW917536 MFS917536 MPO917536 MZK917536 NJG917536 NTC917536 OCY917536 OMU917536 OWQ917536 PGM917536 PQI917536 QAE917536 QKA917536 QTW917536 RDS917536 RNO917536 RXK917536 SHG917536 SRC917536 TAY917536 TKU917536 TUQ917536 UEM917536 UOI917536 UYE917536 VIA917536 VRW917536 WBS917536 WLO917536 WVK917536 C983072 IY983072 SU983072 ACQ983072 AMM983072 AWI983072 BGE983072 BQA983072 BZW983072 CJS983072 CTO983072 DDK983072 DNG983072 DXC983072 EGY983072 EQU983072 FAQ983072 FKM983072 FUI983072 GEE983072 GOA983072 GXW983072 HHS983072 HRO983072 IBK983072 ILG983072 IVC983072 JEY983072 JOU983072 JYQ983072 KIM983072 KSI983072 LCE983072 LMA983072 LVW983072 MFS983072 MPO983072 MZK983072 NJG983072 NTC983072 OCY983072 OMU983072 OWQ983072 PGM983072 PQI983072 QAE983072 QKA983072 QTW983072 RDS983072 RNO983072 RXK983072 SHG983072 SRC983072 TAY983072 TKU983072 TUQ983072 UEM983072 UOI983072 UYE983072 VIA983072 VRW983072 WBS983072 WLO983072 WVK983072" xr:uid="{EE546C88-9B2B-4B1F-921C-933736BC19C6}">
      <formula1>GammaC</formula1>
    </dataValidation>
    <dataValidation type="list" errorStyle="warning" allowBlank="1" showInputMessage="1" showErrorMessage="1" errorTitle="Non-standard size" error="Non-standard size_x000a_Note, units are in metres" sqref="C48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89 IY65589 SU65589 ACQ65589 AMM65589 AWI65589 BGE65589 BQA65589 BZW65589 CJS65589 CTO65589 DDK65589 DNG65589 DXC65589 EGY65589 EQU65589 FAQ65589 FKM65589 FUI65589 GEE65589 GOA65589 GXW65589 HHS65589 HRO65589 IBK65589 ILG65589 IVC65589 JEY65589 JOU65589 JYQ65589 KIM65589 KSI65589 LCE65589 LMA65589 LVW65589 MFS65589 MPO65589 MZK65589 NJG65589 NTC65589 OCY65589 OMU65589 OWQ65589 PGM65589 PQI65589 QAE65589 QKA65589 QTW65589 RDS65589 RNO65589 RXK65589 SHG65589 SRC65589 TAY65589 TKU65589 TUQ65589 UEM65589 UOI65589 UYE65589 VIA65589 VRW65589 WBS65589 WLO65589 WVK65589 C131125 IY131125 SU131125 ACQ131125 AMM131125 AWI131125 BGE131125 BQA131125 BZW131125 CJS131125 CTO131125 DDK131125 DNG131125 DXC131125 EGY131125 EQU131125 FAQ131125 FKM131125 FUI131125 GEE131125 GOA131125 GXW131125 HHS131125 HRO131125 IBK131125 ILG131125 IVC131125 JEY131125 JOU131125 JYQ131125 KIM131125 KSI131125 LCE131125 LMA131125 LVW131125 MFS131125 MPO131125 MZK131125 NJG131125 NTC131125 OCY131125 OMU131125 OWQ131125 PGM131125 PQI131125 QAE131125 QKA131125 QTW131125 RDS131125 RNO131125 RXK131125 SHG131125 SRC131125 TAY131125 TKU131125 TUQ131125 UEM131125 UOI131125 UYE131125 VIA131125 VRW131125 WBS131125 WLO131125 WVK131125 C196661 IY196661 SU196661 ACQ196661 AMM196661 AWI196661 BGE196661 BQA196661 BZW196661 CJS196661 CTO196661 DDK196661 DNG196661 DXC196661 EGY196661 EQU196661 FAQ196661 FKM196661 FUI196661 GEE196661 GOA196661 GXW196661 HHS196661 HRO196661 IBK196661 ILG196661 IVC196661 JEY196661 JOU196661 JYQ196661 KIM196661 KSI196661 LCE196661 LMA196661 LVW196661 MFS196661 MPO196661 MZK196661 NJG196661 NTC196661 OCY196661 OMU196661 OWQ196661 PGM196661 PQI196661 QAE196661 QKA196661 QTW196661 RDS196661 RNO196661 RXK196661 SHG196661 SRC196661 TAY196661 TKU196661 TUQ196661 UEM196661 UOI196661 UYE196661 VIA196661 VRW196661 WBS196661 WLO196661 WVK196661 C262197 IY262197 SU262197 ACQ262197 AMM262197 AWI262197 BGE262197 BQA262197 BZW262197 CJS262197 CTO262197 DDK262197 DNG262197 DXC262197 EGY262197 EQU262197 FAQ262197 FKM262197 FUI262197 GEE262197 GOA262197 GXW262197 HHS262197 HRO262197 IBK262197 ILG262197 IVC262197 JEY262197 JOU262197 JYQ262197 KIM262197 KSI262197 LCE262197 LMA262197 LVW262197 MFS262197 MPO262197 MZK262197 NJG262197 NTC262197 OCY262197 OMU262197 OWQ262197 PGM262197 PQI262197 QAE262197 QKA262197 QTW262197 RDS262197 RNO262197 RXK262197 SHG262197 SRC262197 TAY262197 TKU262197 TUQ262197 UEM262197 UOI262197 UYE262197 VIA262197 VRW262197 WBS262197 WLO262197 WVK262197 C327733 IY327733 SU327733 ACQ327733 AMM327733 AWI327733 BGE327733 BQA327733 BZW327733 CJS327733 CTO327733 DDK327733 DNG327733 DXC327733 EGY327733 EQU327733 FAQ327733 FKM327733 FUI327733 GEE327733 GOA327733 GXW327733 HHS327733 HRO327733 IBK327733 ILG327733 IVC327733 JEY327733 JOU327733 JYQ327733 KIM327733 KSI327733 LCE327733 LMA327733 LVW327733 MFS327733 MPO327733 MZK327733 NJG327733 NTC327733 OCY327733 OMU327733 OWQ327733 PGM327733 PQI327733 QAE327733 QKA327733 QTW327733 RDS327733 RNO327733 RXK327733 SHG327733 SRC327733 TAY327733 TKU327733 TUQ327733 UEM327733 UOI327733 UYE327733 VIA327733 VRW327733 WBS327733 WLO327733 WVK327733 C393269 IY393269 SU393269 ACQ393269 AMM393269 AWI393269 BGE393269 BQA393269 BZW393269 CJS393269 CTO393269 DDK393269 DNG393269 DXC393269 EGY393269 EQU393269 FAQ393269 FKM393269 FUI393269 GEE393269 GOA393269 GXW393269 HHS393269 HRO393269 IBK393269 ILG393269 IVC393269 JEY393269 JOU393269 JYQ393269 KIM393269 KSI393269 LCE393269 LMA393269 LVW393269 MFS393269 MPO393269 MZK393269 NJG393269 NTC393269 OCY393269 OMU393269 OWQ393269 PGM393269 PQI393269 QAE393269 QKA393269 QTW393269 RDS393269 RNO393269 RXK393269 SHG393269 SRC393269 TAY393269 TKU393269 TUQ393269 UEM393269 UOI393269 UYE393269 VIA393269 VRW393269 WBS393269 WLO393269 WVK393269 C458805 IY458805 SU458805 ACQ458805 AMM458805 AWI458805 BGE458805 BQA458805 BZW458805 CJS458805 CTO458805 DDK458805 DNG458805 DXC458805 EGY458805 EQU458805 FAQ458805 FKM458805 FUI458805 GEE458805 GOA458805 GXW458805 HHS458805 HRO458805 IBK458805 ILG458805 IVC458805 JEY458805 JOU458805 JYQ458805 KIM458805 KSI458805 LCE458805 LMA458805 LVW458805 MFS458805 MPO458805 MZK458805 NJG458805 NTC458805 OCY458805 OMU458805 OWQ458805 PGM458805 PQI458805 QAE458805 QKA458805 QTW458805 RDS458805 RNO458805 RXK458805 SHG458805 SRC458805 TAY458805 TKU458805 TUQ458805 UEM458805 UOI458805 UYE458805 VIA458805 VRW458805 WBS458805 WLO458805 WVK458805 C524341 IY524341 SU524341 ACQ524341 AMM524341 AWI524341 BGE524341 BQA524341 BZW524341 CJS524341 CTO524341 DDK524341 DNG524341 DXC524341 EGY524341 EQU524341 FAQ524341 FKM524341 FUI524341 GEE524341 GOA524341 GXW524341 HHS524341 HRO524341 IBK524341 ILG524341 IVC524341 JEY524341 JOU524341 JYQ524341 KIM524341 KSI524341 LCE524341 LMA524341 LVW524341 MFS524341 MPO524341 MZK524341 NJG524341 NTC524341 OCY524341 OMU524341 OWQ524341 PGM524341 PQI524341 QAE524341 QKA524341 QTW524341 RDS524341 RNO524341 RXK524341 SHG524341 SRC524341 TAY524341 TKU524341 TUQ524341 UEM524341 UOI524341 UYE524341 VIA524341 VRW524341 WBS524341 WLO524341 WVK524341 C589877 IY589877 SU589877 ACQ589877 AMM589877 AWI589877 BGE589877 BQA589877 BZW589877 CJS589877 CTO589877 DDK589877 DNG589877 DXC589877 EGY589877 EQU589877 FAQ589877 FKM589877 FUI589877 GEE589877 GOA589877 GXW589877 HHS589877 HRO589877 IBK589877 ILG589877 IVC589877 JEY589877 JOU589877 JYQ589877 KIM589877 KSI589877 LCE589877 LMA589877 LVW589877 MFS589877 MPO589877 MZK589877 NJG589877 NTC589877 OCY589877 OMU589877 OWQ589877 PGM589877 PQI589877 QAE589877 QKA589877 QTW589877 RDS589877 RNO589877 RXK589877 SHG589877 SRC589877 TAY589877 TKU589877 TUQ589877 UEM589877 UOI589877 UYE589877 VIA589877 VRW589877 WBS589877 WLO589877 WVK589877 C655413 IY655413 SU655413 ACQ655413 AMM655413 AWI655413 BGE655413 BQA655413 BZW655413 CJS655413 CTO655413 DDK655413 DNG655413 DXC655413 EGY655413 EQU655413 FAQ655413 FKM655413 FUI655413 GEE655413 GOA655413 GXW655413 HHS655413 HRO655413 IBK655413 ILG655413 IVC655413 JEY655413 JOU655413 JYQ655413 KIM655413 KSI655413 LCE655413 LMA655413 LVW655413 MFS655413 MPO655413 MZK655413 NJG655413 NTC655413 OCY655413 OMU655413 OWQ655413 PGM655413 PQI655413 QAE655413 QKA655413 QTW655413 RDS655413 RNO655413 RXK655413 SHG655413 SRC655413 TAY655413 TKU655413 TUQ655413 UEM655413 UOI655413 UYE655413 VIA655413 VRW655413 WBS655413 WLO655413 WVK655413 C720949 IY720949 SU720949 ACQ720949 AMM720949 AWI720949 BGE720949 BQA720949 BZW720949 CJS720949 CTO720949 DDK720949 DNG720949 DXC720949 EGY720949 EQU720949 FAQ720949 FKM720949 FUI720949 GEE720949 GOA720949 GXW720949 HHS720949 HRO720949 IBK720949 ILG720949 IVC720949 JEY720949 JOU720949 JYQ720949 KIM720949 KSI720949 LCE720949 LMA720949 LVW720949 MFS720949 MPO720949 MZK720949 NJG720949 NTC720949 OCY720949 OMU720949 OWQ720949 PGM720949 PQI720949 QAE720949 QKA720949 QTW720949 RDS720949 RNO720949 RXK720949 SHG720949 SRC720949 TAY720949 TKU720949 TUQ720949 UEM720949 UOI720949 UYE720949 VIA720949 VRW720949 WBS720949 WLO720949 WVK720949 C786485 IY786485 SU786485 ACQ786485 AMM786485 AWI786485 BGE786485 BQA786485 BZW786485 CJS786485 CTO786485 DDK786485 DNG786485 DXC786485 EGY786485 EQU786485 FAQ786485 FKM786485 FUI786485 GEE786485 GOA786485 GXW786485 HHS786485 HRO786485 IBK786485 ILG786485 IVC786485 JEY786485 JOU786485 JYQ786485 KIM786485 KSI786485 LCE786485 LMA786485 LVW786485 MFS786485 MPO786485 MZK786485 NJG786485 NTC786485 OCY786485 OMU786485 OWQ786485 PGM786485 PQI786485 QAE786485 QKA786485 QTW786485 RDS786485 RNO786485 RXK786485 SHG786485 SRC786485 TAY786485 TKU786485 TUQ786485 UEM786485 UOI786485 UYE786485 VIA786485 VRW786485 WBS786485 WLO786485 WVK786485 C852021 IY852021 SU852021 ACQ852021 AMM852021 AWI852021 BGE852021 BQA852021 BZW852021 CJS852021 CTO852021 DDK852021 DNG852021 DXC852021 EGY852021 EQU852021 FAQ852021 FKM852021 FUI852021 GEE852021 GOA852021 GXW852021 HHS852021 HRO852021 IBK852021 ILG852021 IVC852021 JEY852021 JOU852021 JYQ852021 KIM852021 KSI852021 LCE852021 LMA852021 LVW852021 MFS852021 MPO852021 MZK852021 NJG852021 NTC852021 OCY852021 OMU852021 OWQ852021 PGM852021 PQI852021 QAE852021 QKA852021 QTW852021 RDS852021 RNO852021 RXK852021 SHG852021 SRC852021 TAY852021 TKU852021 TUQ852021 UEM852021 UOI852021 UYE852021 VIA852021 VRW852021 WBS852021 WLO852021 WVK852021 C917557 IY917557 SU917557 ACQ917557 AMM917557 AWI917557 BGE917557 BQA917557 BZW917557 CJS917557 CTO917557 DDK917557 DNG917557 DXC917557 EGY917557 EQU917557 FAQ917557 FKM917557 FUI917557 GEE917557 GOA917557 GXW917557 HHS917557 HRO917557 IBK917557 ILG917557 IVC917557 JEY917557 JOU917557 JYQ917557 KIM917557 KSI917557 LCE917557 LMA917557 LVW917557 MFS917557 MPO917557 MZK917557 NJG917557 NTC917557 OCY917557 OMU917557 OWQ917557 PGM917557 PQI917557 QAE917557 QKA917557 QTW917557 RDS917557 RNO917557 RXK917557 SHG917557 SRC917557 TAY917557 TKU917557 TUQ917557 UEM917557 UOI917557 UYE917557 VIA917557 VRW917557 WBS917557 WLO917557 WVK917557 C983093 IY983093 SU983093 ACQ983093 AMM983093 AWI983093 BGE983093 BQA983093 BZW983093 CJS983093 CTO983093 DDK983093 DNG983093 DXC983093 EGY983093 EQU983093 FAQ983093 FKM983093 FUI983093 GEE983093 GOA983093 GXW983093 HHS983093 HRO983093 IBK983093 ILG983093 IVC983093 JEY983093 JOU983093 JYQ983093 KIM983093 KSI983093 LCE983093 LMA983093 LVW983093 MFS983093 MPO983093 MZK983093 NJG983093 NTC983093 OCY983093 OMU983093 OWQ983093 PGM983093 PQI983093 QAE983093 QKA983093 QTW983093 RDS983093 RNO983093 RXK983093 SHG983093 SRC983093 TAY983093 TKU983093 TUQ983093 UEM983093 UOI983093 UYE983093 VIA983093 VRW983093 WBS983093 WLO983093 WVK983093" xr:uid="{3AE97486-DE50-4165-921F-F946F1A6ED47}">
      <formula1>Link</formula1>
    </dataValidation>
    <dataValidation type="list" errorStyle="warning" allowBlank="1" showInputMessage="1" showErrorMessage="1" errorTitle="Non-standard size" error="Non-standard size._x000a_Note, units are in metres" sqref="WVK983086 IY41 SU41 ACQ41 AMM41 AWI41 BGE41 BQA41 BZW41 CJS41 CTO41 DDK41 DNG41 DXC41 EGY41 EQU41 FAQ41 FKM41 FUI41 GEE41 GOA41 GXW41 HHS41 HRO41 IBK41 ILG41 IVC41 JEY41 JOU41 JYQ41 KIM41 KSI41 LCE41 LMA41 LVW41 MFS41 MPO41 MZK41 NJG41 NTC41 OCY41 OMU41 OWQ41 PGM41 PQI41 QAE41 QKA41 QTW41 RDS41 RNO41 RXK41 SHG41 SRC41 TAY41 TKU41 TUQ41 UEM41 UOI41 UYE41 VIA41 VRW41 WBS41 WLO41 WVK41 C65582 IY65582 SU65582 ACQ65582 AMM65582 AWI65582 BGE65582 BQA65582 BZW65582 CJS65582 CTO65582 DDK65582 DNG65582 DXC65582 EGY65582 EQU65582 FAQ65582 FKM65582 FUI65582 GEE65582 GOA65582 GXW65582 HHS65582 HRO65582 IBK65582 ILG65582 IVC65582 JEY65582 JOU65582 JYQ65582 KIM65582 KSI65582 LCE65582 LMA65582 LVW65582 MFS65582 MPO65582 MZK65582 NJG65582 NTC65582 OCY65582 OMU65582 OWQ65582 PGM65582 PQI65582 QAE65582 QKA65582 QTW65582 RDS65582 RNO65582 RXK65582 SHG65582 SRC65582 TAY65582 TKU65582 TUQ65582 UEM65582 UOI65582 UYE65582 VIA65582 VRW65582 WBS65582 WLO65582 WVK65582 C131118 IY131118 SU131118 ACQ131118 AMM131118 AWI131118 BGE131118 BQA131118 BZW131118 CJS131118 CTO131118 DDK131118 DNG131118 DXC131118 EGY131118 EQU131118 FAQ131118 FKM131118 FUI131118 GEE131118 GOA131118 GXW131118 HHS131118 HRO131118 IBK131118 ILG131118 IVC131118 JEY131118 JOU131118 JYQ131118 KIM131118 KSI131118 LCE131118 LMA131118 LVW131118 MFS131118 MPO131118 MZK131118 NJG131118 NTC131118 OCY131118 OMU131118 OWQ131118 PGM131118 PQI131118 QAE131118 QKA131118 QTW131118 RDS131118 RNO131118 RXK131118 SHG131118 SRC131118 TAY131118 TKU131118 TUQ131118 UEM131118 UOI131118 UYE131118 VIA131118 VRW131118 WBS131118 WLO131118 WVK131118 C196654 IY196654 SU196654 ACQ196654 AMM196654 AWI196654 BGE196654 BQA196654 BZW196654 CJS196654 CTO196654 DDK196654 DNG196654 DXC196654 EGY196654 EQU196654 FAQ196654 FKM196654 FUI196654 GEE196654 GOA196654 GXW196654 HHS196654 HRO196654 IBK196654 ILG196654 IVC196654 JEY196654 JOU196654 JYQ196654 KIM196654 KSI196654 LCE196654 LMA196654 LVW196654 MFS196654 MPO196654 MZK196654 NJG196654 NTC196654 OCY196654 OMU196654 OWQ196654 PGM196654 PQI196654 QAE196654 QKA196654 QTW196654 RDS196654 RNO196654 RXK196654 SHG196654 SRC196654 TAY196654 TKU196654 TUQ196654 UEM196654 UOI196654 UYE196654 VIA196654 VRW196654 WBS196654 WLO196654 WVK196654 C262190 IY262190 SU262190 ACQ262190 AMM262190 AWI262190 BGE262190 BQA262190 BZW262190 CJS262190 CTO262190 DDK262190 DNG262190 DXC262190 EGY262190 EQU262190 FAQ262190 FKM262190 FUI262190 GEE262190 GOA262190 GXW262190 HHS262190 HRO262190 IBK262190 ILG262190 IVC262190 JEY262190 JOU262190 JYQ262190 KIM262190 KSI262190 LCE262190 LMA262190 LVW262190 MFS262190 MPO262190 MZK262190 NJG262190 NTC262190 OCY262190 OMU262190 OWQ262190 PGM262190 PQI262190 QAE262190 QKA262190 QTW262190 RDS262190 RNO262190 RXK262190 SHG262190 SRC262190 TAY262190 TKU262190 TUQ262190 UEM262190 UOI262190 UYE262190 VIA262190 VRW262190 WBS262190 WLO262190 WVK262190 C327726 IY327726 SU327726 ACQ327726 AMM327726 AWI327726 BGE327726 BQA327726 BZW327726 CJS327726 CTO327726 DDK327726 DNG327726 DXC327726 EGY327726 EQU327726 FAQ327726 FKM327726 FUI327726 GEE327726 GOA327726 GXW327726 HHS327726 HRO327726 IBK327726 ILG327726 IVC327726 JEY327726 JOU327726 JYQ327726 KIM327726 KSI327726 LCE327726 LMA327726 LVW327726 MFS327726 MPO327726 MZK327726 NJG327726 NTC327726 OCY327726 OMU327726 OWQ327726 PGM327726 PQI327726 QAE327726 QKA327726 QTW327726 RDS327726 RNO327726 RXK327726 SHG327726 SRC327726 TAY327726 TKU327726 TUQ327726 UEM327726 UOI327726 UYE327726 VIA327726 VRW327726 WBS327726 WLO327726 WVK327726 C393262 IY393262 SU393262 ACQ393262 AMM393262 AWI393262 BGE393262 BQA393262 BZW393262 CJS393262 CTO393262 DDK393262 DNG393262 DXC393262 EGY393262 EQU393262 FAQ393262 FKM393262 FUI393262 GEE393262 GOA393262 GXW393262 HHS393262 HRO393262 IBK393262 ILG393262 IVC393262 JEY393262 JOU393262 JYQ393262 KIM393262 KSI393262 LCE393262 LMA393262 LVW393262 MFS393262 MPO393262 MZK393262 NJG393262 NTC393262 OCY393262 OMU393262 OWQ393262 PGM393262 PQI393262 QAE393262 QKA393262 QTW393262 RDS393262 RNO393262 RXK393262 SHG393262 SRC393262 TAY393262 TKU393262 TUQ393262 UEM393262 UOI393262 UYE393262 VIA393262 VRW393262 WBS393262 WLO393262 WVK393262 C458798 IY458798 SU458798 ACQ458798 AMM458798 AWI458798 BGE458798 BQA458798 BZW458798 CJS458798 CTO458798 DDK458798 DNG458798 DXC458798 EGY458798 EQU458798 FAQ458798 FKM458798 FUI458798 GEE458798 GOA458798 GXW458798 HHS458798 HRO458798 IBK458798 ILG458798 IVC458798 JEY458798 JOU458798 JYQ458798 KIM458798 KSI458798 LCE458798 LMA458798 LVW458798 MFS458798 MPO458798 MZK458798 NJG458798 NTC458798 OCY458798 OMU458798 OWQ458798 PGM458798 PQI458798 QAE458798 QKA458798 QTW458798 RDS458798 RNO458798 RXK458798 SHG458798 SRC458798 TAY458798 TKU458798 TUQ458798 UEM458798 UOI458798 UYE458798 VIA458798 VRW458798 WBS458798 WLO458798 WVK458798 C524334 IY524334 SU524334 ACQ524334 AMM524334 AWI524334 BGE524334 BQA524334 BZW524334 CJS524334 CTO524334 DDK524334 DNG524334 DXC524334 EGY524334 EQU524334 FAQ524334 FKM524334 FUI524334 GEE524334 GOA524334 GXW524334 HHS524334 HRO524334 IBK524334 ILG524334 IVC524334 JEY524334 JOU524334 JYQ524334 KIM524334 KSI524334 LCE524334 LMA524334 LVW524334 MFS524334 MPO524334 MZK524334 NJG524334 NTC524334 OCY524334 OMU524334 OWQ524334 PGM524334 PQI524334 QAE524334 QKA524334 QTW524334 RDS524334 RNO524334 RXK524334 SHG524334 SRC524334 TAY524334 TKU524334 TUQ524334 UEM524334 UOI524334 UYE524334 VIA524334 VRW524334 WBS524334 WLO524334 WVK524334 C589870 IY589870 SU589870 ACQ589870 AMM589870 AWI589870 BGE589870 BQA589870 BZW589870 CJS589870 CTO589870 DDK589870 DNG589870 DXC589870 EGY589870 EQU589870 FAQ589870 FKM589870 FUI589870 GEE589870 GOA589870 GXW589870 HHS589870 HRO589870 IBK589870 ILG589870 IVC589870 JEY589870 JOU589870 JYQ589870 KIM589870 KSI589870 LCE589870 LMA589870 LVW589870 MFS589870 MPO589870 MZK589870 NJG589870 NTC589870 OCY589870 OMU589870 OWQ589870 PGM589870 PQI589870 QAE589870 QKA589870 QTW589870 RDS589870 RNO589870 RXK589870 SHG589870 SRC589870 TAY589870 TKU589870 TUQ589870 UEM589870 UOI589870 UYE589870 VIA589870 VRW589870 WBS589870 WLO589870 WVK589870 C655406 IY655406 SU655406 ACQ655406 AMM655406 AWI655406 BGE655406 BQA655406 BZW655406 CJS655406 CTO655406 DDK655406 DNG655406 DXC655406 EGY655406 EQU655406 FAQ655406 FKM655406 FUI655406 GEE655406 GOA655406 GXW655406 HHS655406 HRO655406 IBK655406 ILG655406 IVC655406 JEY655406 JOU655406 JYQ655406 KIM655406 KSI655406 LCE655406 LMA655406 LVW655406 MFS655406 MPO655406 MZK655406 NJG655406 NTC655406 OCY655406 OMU655406 OWQ655406 PGM655406 PQI655406 QAE655406 QKA655406 QTW655406 RDS655406 RNO655406 RXK655406 SHG655406 SRC655406 TAY655406 TKU655406 TUQ655406 UEM655406 UOI655406 UYE655406 VIA655406 VRW655406 WBS655406 WLO655406 WVK655406 C720942 IY720942 SU720942 ACQ720942 AMM720942 AWI720942 BGE720942 BQA720942 BZW720942 CJS720942 CTO720942 DDK720942 DNG720942 DXC720942 EGY720942 EQU720942 FAQ720942 FKM720942 FUI720942 GEE720942 GOA720942 GXW720942 HHS720942 HRO720942 IBK720942 ILG720942 IVC720942 JEY720942 JOU720942 JYQ720942 KIM720942 KSI720942 LCE720942 LMA720942 LVW720942 MFS720942 MPO720942 MZK720942 NJG720942 NTC720942 OCY720942 OMU720942 OWQ720942 PGM720942 PQI720942 QAE720942 QKA720942 QTW720942 RDS720942 RNO720942 RXK720942 SHG720942 SRC720942 TAY720942 TKU720942 TUQ720942 UEM720942 UOI720942 UYE720942 VIA720942 VRW720942 WBS720942 WLO720942 WVK720942 C786478 IY786478 SU786478 ACQ786478 AMM786478 AWI786478 BGE786478 BQA786478 BZW786478 CJS786478 CTO786478 DDK786478 DNG786478 DXC786478 EGY786478 EQU786478 FAQ786478 FKM786478 FUI786478 GEE786478 GOA786478 GXW786478 HHS786478 HRO786478 IBK786478 ILG786478 IVC786478 JEY786478 JOU786478 JYQ786478 KIM786478 KSI786478 LCE786478 LMA786478 LVW786478 MFS786478 MPO786478 MZK786478 NJG786478 NTC786478 OCY786478 OMU786478 OWQ786478 PGM786478 PQI786478 QAE786478 QKA786478 QTW786478 RDS786478 RNO786478 RXK786478 SHG786478 SRC786478 TAY786478 TKU786478 TUQ786478 UEM786478 UOI786478 UYE786478 VIA786478 VRW786478 WBS786478 WLO786478 WVK786478 C852014 IY852014 SU852014 ACQ852014 AMM852014 AWI852014 BGE852014 BQA852014 BZW852014 CJS852014 CTO852014 DDK852014 DNG852014 DXC852014 EGY852014 EQU852014 FAQ852014 FKM852014 FUI852014 GEE852014 GOA852014 GXW852014 HHS852014 HRO852014 IBK852014 ILG852014 IVC852014 JEY852014 JOU852014 JYQ852014 KIM852014 KSI852014 LCE852014 LMA852014 LVW852014 MFS852014 MPO852014 MZK852014 NJG852014 NTC852014 OCY852014 OMU852014 OWQ852014 PGM852014 PQI852014 QAE852014 QKA852014 QTW852014 RDS852014 RNO852014 RXK852014 SHG852014 SRC852014 TAY852014 TKU852014 TUQ852014 UEM852014 UOI852014 UYE852014 VIA852014 VRW852014 WBS852014 WLO852014 WVK852014 C917550 IY917550 SU917550 ACQ917550 AMM917550 AWI917550 BGE917550 BQA917550 BZW917550 CJS917550 CTO917550 DDK917550 DNG917550 DXC917550 EGY917550 EQU917550 FAQ917550 FKM917550 FUI917550 GEE917550 GOA917550 GXW917550 HHS917550 HRO917550 IBK917550 ILG917550 IVC917550 JEY917550 JOU917550 JYQ917550 KIM917550 KSI917550 LCE917550 LMA917550 LVW917550 MFS917550 MPO917550 MZK917550 NJG917550 NTC917550 OCY917550 OMU917550 OWQ917550 PGM917550 PQI917550 QAE917550 QKA917550 QTW917550 RDS917550 RNO917550 RXK917550 SHG917550 SRC917550 TAY917550 TKU917550 TUQ917550 UEM917550 UOI917550 UYE917550 VIA917550 VRW917550 WBS917550 WLO917550 WVK917550 C983086 IY983086 SU983086 ACQ983086 AMM983086 AWI983086 BGE983086 BQA983086 BZW983086 CJS983086 CTO983086 DDK983086 DNG983086 DXC983086 EGY983086 EQU983086 FAQ983086 FKM983086 FUI983086 GEE983086 GOA983086 GXW983086 HHS983086 HRO983086 IBK983086 ILG983086 IVC983086 JEY983086 JOU983086 JYQ983086 KIM983086 KSI983086 LCE983086 LMA983086 LVW983086 MFS983086 MPO983086 MZK983086 NJG983086 NTC983086 OCY983086 OMU983086 OWQ983086 PGM983086 PQI983086 QAE983086 QKA983086 QTW983086 RDS983086 RNO983086 RXK983086 SHG983086 SRC983086 TAY983086 TKU983086 TUQ983086 UEM983086 UOI983086 UYE983086 VIA983086 VRW983086 WBS983086 WLO983086 C40" xr:uid="{885F5997-1C79-434D-A386-0955DFD28046}">
      <formula1>Bar</formula1>
    </dataValidation>
    <dataValidation type="list" allowBlank="1" showInputMessage="1" showErrorMessage="1" sqref="C47 IY48 SU48 ACQ48 AMM48 AWI48 BGE48 BQA48 BZW48 CJS48 CTO48 DDK48 DNG48 DXC48 EGY48 EQU48 FAQ48 FKM48 FUI48 GEE48 GOA48 GXW48 HHS48 HRO48 IBK48 ILG48 IVC48 JEY48 JOU48 JYQ48 KIM48 KSI48 LCE48 LMA48 LVW48 MFS48 MPO48 MZK48 NJG48 NTC48 OCY48 OMU48 OWQ48 PGM48 PQI48 QAE48 QKA48 QTW48 RDS48 RNO48 RXK48 SHG48 SRC48 TAY48 TKU48 TUQ48 UEM48 UOI48 UYE48 VIA48 VRW48 WBS48 WLO48 WVK48 C65588 IY65588 SU65588 ACQ65588 AMM65588 AWI65588 BGE65588 BQA65588 BZW65588 CJS65588 CTO65588 DDK65588 DNG65588 DXC65588 EGY65588 EQU65588 FAQ65588 FKM65588 FUI65588 GEE65588 GOA65588 GXW65588 HHS65588 HRO65588 IBK65588 ILG65588 IVC65588 JEY65588 JOU65588 JYQ65588 KIM65588 KSI65588 LCE65588 LMA65588 LVW65588 MFS65588 MPO65588 MZK65588 NJG65588 NTC65588 OCY65588 OMU65588 OWQ65588 PGM65588 PQI65588 QAE65588 QKA65588 QTW65588 RDS65588 RNO65588 RXK65588 SHG65588 SRC65588 TAY65588 TKU65588 TUQ65588 UEM65588 UOI65588 UYE65588 VIA65588 VRW65588 WBS65588 WLO65588 WVK65588 C131124 IY131124 SU131124 ACQ131124 AMM131124 AWI131124 BGE131124 BQA131124 BZW131124 CJS131124 CTO131124 DDK131124 DNG131124 DXC131124 EGY131124 EQU131124 FAQ131124 FKM131124 FUI131124 GEE131124 GOA131124 GXW131124 HHS131124 HRO131124 IBK131124 ILG131124 IVC131124 JEY131124 JOU131124 JYQ131124 KIM131124 KSI131124 LCE131124 LMA131124 LVW131124 MFS131124 MPO131124 MZK131124 NJG131124 NTC131124 OCY131124 OMU131124 OWQ131124 PGM131124 PQI131124 QAE131124 QKA131124 QTW131124 RDS131124 RNO131124 RXK131124 SHG131124 SRC131124 TAY131124 TKU131124 TUQ131124 UEM131124 UOI131124 UYE131124 VIA131124 VRW131124 WBS131124 WLO131124 WVK131124 C196660 IY196660 SU196660 ACQ196660 AMM196660 AWI196660 BGE196660 BQA196660 BZW196660 CJS196660 CTO196660 DDK196660 DNG196660 DXC196660 EGY196660 EQU196660 FAQ196660 FKM196660 FUI196660 GEE196660 GOA196660 GXW196660 HHS196660 HRO196660 IBK196660 ILG196660 IVC196660 JEY196660 JOU196660 JYQ196660 KIM196660 KSI196660 LCE196660 LMA196660 LVW196660 MFS196660 MPO196660 MZK196660 NJG196660 NTC196660 OCY196660 OMU196660 OWQ196660 PGM196660 PQI196660 QAE196660 QKA196660 QTW196660 RDS196660 RNO196660 RXK196660 SHG196660 SRC196660 TAY196660 TKU196660 TUQ196660 UEM196660 UOI196660 UYE196660 VIA196660 VRW196660 WBS196660 WLO196660 WVK196660 C262196 IY262196 SU262196 ACQ262196 AMM262196 AWI262196 BGE262196 BQA262196 BZW262196 CJS262196 CTO262196 DDK262196 DNG262196 DXC262196 EGY262196 EQU262196 FAQ262196 FKM262196 FUI262196 GEE262196 GOA262196 GXW262196 HHS262196 HRO262196 IBK262196 ILG262196 IVC262196 JEY262196 JOU262196 JYQ262196 KIM262196 KSI262196 LCE262196 LMA262196 LVW262196 MFS262196 MPO262196 MZK262196 NJG262196 NTC262196 OCY262196 OMU262196 OWQ262196 PGM262196 PQI262196 QAE262196 QKA262196 QTW262196 RDS262196 RNO262196 RXK262196 SHG262196 SRC262196 TAY262196 TKU262196 TUQ262196 UEM262196 UOI262196 UYE262196 VIA262196 VRW262196 WBS262196 WLO262196 WVK262196 C327732 IY327732 SU327732 ACQ327732 AMM327732 AWI327732 BGE327732 BQA327732 BZW327732 CJS327732 CTO327732 DDK327732 DNG327732 DXC327732 EGY327732 EQU327732 FAQ327732 FKM327732 FUI327732 GEE327732 GOA327732 GXW327732 HHS327732 HRO327732 IBK327732 ILG327732 IVC327732 JEY327732 JOU327732 JYQ327732 KIM327732 KSI327732 LCE327732 LMA327732 LVW327732 MFS327732 MPO327732 MZK327732 NJG327732 NTC327732 OCY327732 OMU327732 OWQ327732 PGM327732 PQI327732 QAE327732 QKA327732 QTW327732 RDS327732 RNO327732 RXK327732 SHG327732 SRC327732 TAY327732 TKU327732 TUQ327732 UEM327732 UOI327732 UYE327732 VIA327732 VRW327732 WBS327732 WLO327732 WVK327732 C393268 IY393268 SU393268 ACQ393268 AMM393268 AWI393268 BGE393268 BQA393268 BZW393268 CJS393268 CTO393268 DDK393268 DNG393268 DXC393268 EGY393268 EQU393268 FAQ393268 FKM393268 FUI393268 GEE393268 GOA393268 GXW393268 HHS393268 HRO393268 IBK393268 ILG393268 IVC393268 JEY393268 JOU393268 JYQ393268 KIM393268 KSI393268 LCE393268 LMA393268 LVW393268 MFS393268 MPO393268 MZK393268 NJG393268 NTC393268 OCY393268 OMU393268 OWQ393268 PGM393268 PQI393268 QAE393268 QKA393268 QTW393268 RDS393268 RNO393268 RXK393268 SHG393268 SRC393268 TAY393268 TKU393268 TUQ393268 UEM393268 UOI393268 UYE393268 VIA393268 VRW393268 WBS393268 WLO393268 WVK393268 C458804 IY458804 SU458804 ACQ458804 AMM458804 AWI458804 BGE458804 BQA458804 BZW458804 CJS458804 CTO458804 DDK458804 DNG458804 DXC458804 EGY458804 EQU458804 FAQ458804 FKM458804 FUI458804 GEE458804 GOA458804 GXW458804 HHS458804 HRO458804 IBK458804 ILG458804 IVC458804 JEY458804 JOU458804 JYQ458804 KIM458804 KSI458804 LCE458804 LMA458804 LVW458804 MFS458804 MPO458804 MZK458804 NJG458804 NTC458804 OCY458804 OMU458804 OWQ458804 PGM458804 PQI458804 QAE458804 QKA458804 QTW458804 RDS458804 RNO458804 RXK458804 SHG458804 SRC458804 TAY458804 TKU458804 TUQ458804 UEM458804 UOI458804 UYE458804 VIA458804 VRW458804 WBS458804 WLO458804 WVK458804 C524340 IY524340 SU524340 ACQ524340 AMM524340 AWI524340 BGE524340 BQA524340 BZW524340 CJS524340 CTO524340 DDK524340 DNG524340 DXC524340 EGY524340 EQU524340 FAQ524340 FKM524340 FUI524340 GEE524340 GOA524340 GXW524340 HHS524340 HRO524340 IBK524340 ILG524340 IVC524340 JEY524340 JOU524340 JYQ524340 KIM524340 KSI524340 LCE524340 LMA524340 LVW524340 MFS524340 MPO524340 MZK524340 NJG524340 NTC524340 OCY524340 OMU524340 OWQ524340 PGM524340 PQI524340 QAE524340 QKA524340 QTW524340 RDS524340 RNO524340 RXK524340 SHG524340 SRC524340 TAY524340 TKU524340 TUQ524340 UEM524340 UOI524340 UYE524340 VIA524340 VRW524340 WBS524340 WLO524340 WVK524340 C589876 IY589876 SU589876 ACQ589876 AMM589876 AWI589876 BGE589876 BQA589876 BZW589876 CJS589876 CTO589876 DDK589876 DNG589876 DXC589876 EGY589876 EQU589876 FAQ589876 FKM589876 FUI589876 GEE589876 GOA589876 GXW589876 HHS589876 HRO589876 IBK589876 ILG589876 IVC589876 JEY589876 JOU589876 JYQ589876 KIM589876 KSI589876 LCE589876 LMA589876 LVW589876 MFS589876 MPO589876 MZK589876 NJG589876 NTC589876 OCY589876 OMU589876 OWQ589876 PGM589876 PQI589876 QAE589876 QKA589876 QTW589876 RDS589876 RNO589876 RXK589876 SHG589876 SRC589876 TAY589876 TKU589876 TUQ589876 UEM589876 UOI589876 UYE589876 VIA589876 VRW589876 WBS589876 WLO589876 WVK589876 C655412 IY655412 SU655412 ACQ655412 AMM655412 AWI655412 BGE655412 BQA655412 BZW655412 CJS655412 CTO655412 DDK655412 DNG655412 DXC655412 EGY655412 EQU655412 FAQ655412 FKM655412 FUI655412 GEE655412 GOA655412 GXW655412 HHS655412 HRO655412 IBK655412 ILG655412 IVC655412 JEY655412 JOU655412 JYQ655412 KIM655412 KSI655412 LCE655412 LMA655412 LVW655412 MFS655412 MPO655412 MZK655412 NJG655412 NTC655412 OCY655412 OMU655412 OWQ655412 PGM655412 PQI655412 QAE655412 QKA655412 QTW655412 RDS655412 RNO655412 RXK655412 SHG655412 SRC655412 TAY655412 TKU655412 TUQ655412 UEM655412 UOI655412 UYE655412 VIA655412 VRW655412 WBS655412 WLO655412 WVK655412 C720948 IY720948 SU720948 ACQ720948 AMM720948 AWI720948 BGE720948 BQA720948 BZW720948 CJS720948 CTO720948 DDK720948 DNG720948 DXC720948 EGY720948 EQU720948 FAQ720948 FKM720948 FUI720948 GEE720948 GOA720948 GXW720948 HHS720948 HRO720948 IBK720948 ILG720948 IVC720948 JEY720948 JOU720948 JYQ720948 KIM720948 KSI720948 LCE720948 LMA720948 LVW720948 MFS720948 MPO720948 MZK720948 NJG720948 NTC720948 OCY720948 OMU720948 OWQ720948 PGM720948 PQI720948 QAE720948 QKA720948 QTW720948 RDS720948 RNO720948 RXK720948 SHG720948 SRC720948 TAY720948 TKU720948 TUQ720948 UEM720948 UOI720948 UYE720948 VIA720948 VRW720948 WBS720948 WLO720948 WVK720948 C786484 IY786484 SU786484 ACQ786484 AMM786484 AWI786484 BGE786484 BQA786484 BZW786484 CJS786484 CTO786484 DDK786484 DNG786484 DXC786484 EGY786484 EQU786484 FAQ786484 FKM786484 FUI786484 GEE786484 GOA786484 GXW786484 HHS786484 HRO786484 IBK786484 ILG786484 IVC786484 JEY786484 JOU786484 JYQ786484 KIM786484 KSI786484 LCE786484 LMA786484 LVW786484 MFS786484 MPO786484 MZK786484 NJG786484 NTC786484 OCY786484 OMU786484 OWQ786484 PGM786484 PQI786484 QAE786484 QKA786484 QTW786484 RDS786484 RNO786484 RXK786484 SHG786484 SRC786484 TAY786484 TKU786484 TUQ786484 UEM786484 UOI786484 UYE786484 VIA786484 VRW786484 WBS786484 WLO786484 WVK786484 C852020 IY852020 SU852020 ACQ852020 AMM852020 AWI852020 BGE852020 BQA852020 BZW852020 CJS852020 CTO852020 DDK852020 DNG852020 DXC852020 EGY852020 EQU852020 FAQ852020 FKM852020 FUI852020 GEE852020 GOA852020 GXW852020 HHS852020 HRO852020 IBK852020 ILG852020 IVC852020 JEY852020 JOU852020 JYQ852020 KIM852020 KSI852020 LCE852020 LMA852020 LVW852020 MFS852020 MPO852020 MZK852020 NJG852020 NTC852020 OCY852020 OMU852020 OWQ852020 PGM852020 PQI852020 QAE852020 QKA852020 QTW852020 RDS852020 RNO852020 RXK852020 SHG852020 SRC852020 TAY852020 TKU852020 TUQ852020 UEM852020 UOI852020 UYE852020 VIA852020 VRW852020 WBS852020 WLO852020 WVK852020 C917556 IY917556 SU917556 ACQ917556 AMM917556 AWI917556 BGE917556 BQA917556 BZW917556 CJS917556 CTO917556 DDK917556 DNG917556 DXC917556 EGY917556 EQU917556 FAQ917556 FKM917556 FUI917556 GEE917556 GOA917556 GXW917556 HHS917556 HRO917556 IBK917556 ILG917556 IVC917556 JEY917556 JOU917556 JYQ917556 KIM917556 KSI917556 LCE917556 LMA917556 LVW917556 MFS917556 MPO917556 MZK917556 NJG917556 NTC917556 OCY917556 OMU917556 OWQ917556 PGM917556 PQI917556 QAE917556 QKA917556 QTW917556 RDS917556 RNO917556 RXK917556 SHG917556 SRC917556 TAY917556 TKU917556 TUQ917556 UEM917556 UOI917556 UYE917556 VIA917556 VRW917556 WBS917556 WLO917556 WVK917556 C983092 IY983092 SU983092 ACQ983092 AMM983092 AWI983092 BGE983092 BQA983092 BZW983092 CJS983092 CTO983092 DDK983092 DNG983092 DXC983092 EGY983092 EQU983092 FAQ983092 FKM983092 FUI983092 GEE983092 GOA983092 GXW983092 HHS983092 HRO983092 IBK983092 ILG983092 IVC983092 JEY983092 JOU983092 JYQ983092 KIM983092 KSI983092 LCE983092 LMA983092 LVW983092 MFS983092 MPO983092 MZK983092 NJG983092 NTC983092 OCY983092 OMU983092 OWQ983092 PGM983092 PQI983092 QAE983092 QKA983092 QTW983092 RDS983092 RNO983092 RXK983092 SHG983092 SRC983092 TAY983092 TKU983092 TUQ983092 UEM983092 UOI983092 UYE983092 VIA983092 VRW983092 WBS983092 WLO983092 WVK983092" xr:uid="{339CCDAC-C3B1-41F7-8915-046A50EAFCCE}">
      <formula1>Type</formula1>
    </dataValidation>
    <dataValidation allowBlank="1" showInputMessage="1" showErrorMessage="1" promptTitle="Alpha.cc" prompt="fcd for normal stresses with alpha.cc = 0.85 in accordance with the UK NA to 3.1.6(1)" sqref="C29 IY29 SU29 ACQ29 AMM29 AWI29 BGE29 BQA29 BZW29 CJS29 CTO29 DDK29 DNG29 DXC29 EGY29 EQU29 FAQ29 FKM29 FUI29 GEE29 GOA29 GXW29 HHS29 HRO29 IBK29 ILG29 IVC29 JEY29 JOU29 JYQ29 KIM29 KSI29 LCE29 LMA29 LVW29 MFS29 MPO29 MZK29 NJG29 NTC29 OCY29 OMU29 OWQ29 PGM29 PQI29 QAE29 QKA29 QTW29 RDS29 RNO29 RXK29 SHG29 SRC29 TAY29 TKU29 TUQ29 UEM29 UOI29 UYE29 VIA29 VRW29 WBS29 WLO29 WVK29 C65570 IY65570 SU65570 ACQ65570 AMM65570 AWI65570 BGE65570 BQA65570 BZW65570 CJS65570 CTO65570 DDK65570 DNG65570 DXC65570 EGY65570 EQU65570 FAQ65570 FKM65570 FUI65570 GEE65570 GOA65570 GXW65570 HHS65570 HRO65570 IBK65570 ILG65570 IVC65570 JEY65570 JOU65570 JYQ65570 KIM65570 KSI65570 LCE65570 LMA65570 LVW65570 MFS65570 MPO65570 MZK65570 NJG65570 NTC65570 OCY65570 OMU65570 OWQ65570 PGM65570 PQI65570 QAE65570 QKA65570 QTW65570 RDS65570 RNO65570 RXK65570 SHG65570 SRC65570 TAY65570 TKU65570 TUQ65570 UEM65570 UOI65570 UYE65570 VIA65570 VRW65570 WBS65570 WLO65570 WVK65570 C131106 IY131106 SU131106 ACQ131106 AMM131106 AWI131106 BGE131106 BQA131106 BZW131106 CJS131106 CTO131106 DDK131106 DNG131106 DXC131106 EGY131106 EQU131106 FAQ131106 FKM131106 FUI131106 GEE131106 GOA131106 GXW131106 HHS131106 HRO131106 IBK131106 ILG131106 IVC131106 JEY131106 JOU131106 JYQ131106 KIM131106 KSI131106 LCE131106 LMA131106 LVW131106 MFS131106 MPO131106 MZK131106 NJG131106 NTC131106 OCY131106 OMU131106 OWQ131106 PGM131106 PQI131106 QAE131106 QKA131106 QTW131106 RDS131106 RNO131106 RXK131106 SHG131106 SRC131106 TAY131106 TKU131106 TUQ131106 UEM131106 UOI131106 UYE131106 VIA131106 VRW131106 WBS131106 WLO131106 WVK131106 C196642 IY196642 SU196642 ACQ196642 AMM196642 AWI196642 BGE196642 BQA196642 BZW196642 CJS196642 CTO196642 DDK196642 DNG196642 DXC196642 EGY196642 EQU196642 FAQ196642 FKM196642 FUI196642 GEE196642 GOA196642 GXW196642 HHS196642 HRO196642 IBK196642 ILG196642 IVC196642 JEY196642 JOU196642 JYQ196642 KIM196642 KSI196642 LCE196642 LMA196642 LVW196642 MFS196642 MPO196642 MZK196642 NJG196642 NTC196642 OCY196642 OMU196642 OWQ196642 PGM196642 PQI196642 QAE196642 QKA196642 QTW196642 RDS196642 RNO196642 RXK196642 SHG196642 SRC196642 TAY196642 TKU196642 TUQ196642 UEM196642 UOI196642 UYE196642 VIA196642 VRW196642 WBS196642 WLO196642 WVK196642 C262178 IY262178 SU262178 ACQ262178 AMM262178 AWI262178 BGE262178 BQA262178 BZW262178 CJS262178 CTO262178 DDK262178 DNG262178 DXC262178 EGY262178 EQU262178 FAQ262178 FKM262178 FUI262178 GEE262178 GOA262178 GXW262178 HHS262178 HRO262178 IBK262178 ILG262178 IVC262178 JEY262178 JOU262178 JYQ262178 KIM262178 KSI262178 LCE262178 LMA262178 LVW262178 MFS262178 MPO262178 MZK262178 NJG262178 NTC262178 OCY262178 OMU262178 OWQ262178 PGM262178 PQI262178 QAE262178 QKA262178 QTW262178 RDS262178 RNO262178 RXK262178 SHG262178 SRC262178 TAY262178 TKU262178 TUQ262178 UEM262178 UOI262178 UYE262178 VIA262178 VRW262178 WBS262178 WLO262178 WVK262178 C327714 IY327714 SU327714 ACQ327714 AMM327714 AWI327714 BGE327714 BQA327714 BZW327714 CJS327714 CTO327714 DDK327714 DNG327714 DXC327714 EGY327714 EQU327714 FAQ327714 FKM327714 FUI327714 GEE327714 GOA327714 GXW327714 HHS327714 HRO327714 IBK327714 ILG327714 IVC327714 JEY327714 JOU327714 JYQ327714 KIM327714 KSI327714 LCE327714 LMA327714 LVW327714 MFS327714 MPO327714 MZK327714 NJG327714 NTC327714 OCY327714 OMU327714 OWQ327714 PGM327714 PQI327714 QAE327714 QKA327714 QTW327714 RDS327714 RNO327714 RXK327714 SHG327714 SRC327714 TAY327714 TKU327714 TUQ327714 UEM327714 UOI327714 UYE327714 VIA327714 VRW327714 WBS327714 WLO327714 WVK327714 C393250 IY393250 SU393250 ACQ393250 AMM393250 AWI393250 BGE393250 BQA393250 BZW393250 CJS393250 CTO393250 DDK393250 DNG393250 DXC393250 EGY393250 EQU393250 FAQ393250 FKM393250 FUI393250 GEE393250 GOA393250 GXW393250 HHS393250 HRO393250 IBK393250 ILG393250 IVC393250 JEY393250 JOU393250 JYQ393250 KIM393250 KSI393250 LCE393250 LMA393250 LVW393250 MFS393250 MPO393250 MZK393250 NJG393250 NTC393250 OCY393250 OMU393250 OWQ393250 PGM393250 PQI393250 QAE393250 QKA393250 QTW393250 RDS393250 RNO393250 RXK393250 SHG393250 SRC393250 TAY393250 TKU393250 TUQ393250 UEM393250 UOI393250 UYE393250 VIA393250 VRW393250 WBS393250 WLO393250 WVK393250 C458786 IY458786 SU458786 ACQ458786 AMM458786 AWI458786 BGE458786 BQA458786 BZW458786 CJS458786 CTO458786 DDK458786 DNG458786 DXC458786 EGY458786 EQU458786 FAQ458786 FKM458786 FUI458786 GEE458786 GOA458786 GXW458786 HHS458786 HRO458786 IBK458786 ILG458786 IVC458786 JEY458786 JOU458786 JYQ458786 KIM458786 KSI458786 LCE458786 LMA458786 LVW458786 MFS458786 MPO458786 MZK458786 NJG458786 NTC458786 OCY458786 OMU458786 OWQ458786 PGM458786 PQI458786 QAE458786 QKA458786 QTW458786 RDS458786 RNO458786 RXK458786 SHG458786 SRC458786 TAY458786 TKU458786 TUQ458786 UEM458786 UOI458786 UYE458786 VIA458786 VRW458786 WBS458786 WLO458786 WVK458786 C524322 IY524322 SU524322 ACQ524322 AMM524322 AWI524322 BGE524322 BQA524322 BZW524322 CJS524322 CTO524322 DDK524322 DNG524322 DXC524322 EGY524322 EQU524322 FAQ524322 FKM524322 FUI524322 GEE524322 GOA524322 GXW524322 HHS524322 HRO524322 IBK524322 ILG524322 IVC524322 JEY524322 JOU524322 JYQ524322 KIM524322 KSI524322 LCE524322 LMA524322 LVW524322 MFS524322 MPO524322 MZK524322 NJG524322 NTC524322 OCY524322 OMU524322 OWQ524322 PGM524322 PQI524322 QAE524322 QKA524322 QTW524322 RDS524322 RNO524322 RXK524322 SHG524322 SRC524322 TAY524322 TKU524322 TUQ524322 UEM524322 UOI524322 UYE524322 VIA524322 VRW524322 WBS524322 WLO524322 WVK524322 C589858 IY589858 SU589858 ACQ589858 AMM589858 AWI589858 BGE589858 BQA589858 BZW589858 CJS589858 CTO589858 DDK589858 DNG589858 DXC589858 EGY589858 EQU589858 FAQ589858 FKM589858 FUI589858 GEE589858 GOA589858 GXW589858 HHS589858 HRO589858 IBK589858 ILG589858 IVC589858 JEY589858 JOU589858 JYQ589858 KIM589858 KSI589858 LCE589858 LMA589858 LVW589858 MFS589858 MPO589858 MZK589858 NJG589858 NTC589858 OCY589858 OMU589858 OWQ589858 PGM589858 PQI589858 QAE589858 QKA589858 QTW589858 RDS589858 RNO589858 RXK589858 SHG589858 SRC589858 TAY589858 TKU589858 TUQ589858 UEM589858 UOI589858 UYE589858 VIA589858 VRW589858 WBS589858 WLO589858 WVK589858 C655394 IY655394 SU655394 ACQ655394 AMM655394 AWI655394 BGE655394 BQA655394 BZW655394 CJS655394 CTO655394 DDK655394 DNG655394 DXC655394 EGY655394 EQU655394 FAQ655394 FKM655394 FUI655394 GEE655394 GOA655394 GXW655394 HHS655394 HRO655394 IBK655394 ILG655394 IVC655394 JEY655394 JOU655394 JYQ655394 KIM655394 KSI655394 LCE655394 LMA655394 LVW655394 MFS655394 MPO655394 MZK655394 NJG655394 NTC655394 OCY655394 OMU655394 OWQ655394 PGM655394 PQI655394 QAE655394 QKA655394 QTW655394 RDS655394 RNO655394 RXK655394 SHG655394 SRC655394 TAY655394 TKU655394 TUQ655394 UEM655394 UOI655394 UYE655394 VIA655394 VRW655394 WBS655394 WLO655394 WVK655394 C720930 IY720930 SU720930 ACQ720930 AMM720930 AWI720930 BGE720930 BQA720930 BZW720930 CJS720930 CTO720930 DDK720930 DNG720930 DXC720930 EGY720930 EQU720930 FAQ720930 FKM720930 FUI720930 GEE720930 GOA720930 GXW720930 HHS720930 HRO720930 IBK720930 ILG720930 IVC720930 JEY720930 JOU720930 JYQ720930 KIM720930 KSI720930 LCE720930 LMA720930 LVW720930 MFS720930 MPO720930 MZK720930 NJG720930 NTC720930 OCY720930 OMU720930 OWQ720930 PGM720930 PQI720930 QAE720930 QKA720930 QTW720930 RDS720930 RNO720930 RXK720930 SHG720930 SRC720930 TAY720930 TKU720930 TUQ720930 UEM720930 UOI720930 UYE720930 VIA720930 VRW720930 WBS720930 WLO720930 WVK720930 C786466 IY786466 SU786466 ACQ786466 AMM786466 AWI786466 BGE786466 BQA786466 BZW786466 CJS786466 CTO786466 DDK786466 DNG786466 DXC786466 EGY786466 EQU786466 FAQ786466 FKM786466 FUI786466 GEE786466 GOA786466 GXW786466 HHS786466 HRO786466 IBK786466 ILG786466 IVC786466 JEY786466 JOU786466 JYQ786466 KIM786466 KSI786466 LCE786466 LMA786466 LVW786466 MFS786466 MPO786466 MZK786466 NJG786466 NTC786466 OCY786466 OMU786466 OWQ786466 PGM786466 PQI786466 QAE786466 QKA786466 QTW786466 RDS786466 RNO786466 RXK786466 SHG786466 SRC786466 TAY786466 TKU786466 TUQ786466 UEM786466 UOI786466 UYE786466 VIA786466 VRW786466 WBS786466 WLO786466 WVK786466 C852002 IY852002 SU852002 ACQ852002 AMM852002 AWI852002 BGE852002 BQA852002 BZW852002 CJS852002 CTO852002 DDK852002 DNG852002 DXC852002 EGY852002 EQU852002 FAQ852002 FKM852002 FUI852002 GEE852002 GOA852002 GXW852002 HHS852002 HRO852002 IBK852002 ILG852002 IVC852002 JEY852002 JOU852002 JYQ852002 KIM852002 KSI852002 LCE852002 LMA852002 LVW852002 MFS852002 MPO852002 MZK852002 NJG852002 NTC852002 OCY852002 OMU852002 OWQ852002 PGM852002 PQI852002 QAE852002 QKA852002 QTW852002 RDS852002 RNO852002 RXK852002 SHG852002 SRC852002 TAY852002 TKU852002 TUQ852002 UEM852002 UOI852002 UYE852002 VIA852002 VRW852002 WBS852002 WLO852002 WVK852002 C917538 IY917538 SU917538 ACQ917538 AMM917538 AWI917538 BGE917538 BQA917538 BZW917538 CJS917538 CTO917538 DDK917538 DNG917538 DXC917538 EGY917538 EQU917538 FAQ917538 FKM917538 FUI917538 GEE917538 GOA917538 GXW917538 HHS917538 HRO917538 IBK917538 ILG917538 IVC917538 JEY917538 JOU917538 JYQ917538 KIM917538 KSI917538 LCE917538 LMA917538 LVW917538 MFS917538 MPO917538 MZK917538 NJG917538 NTC917538 OCY917538 OMU917538 OWQ917538 PGM917538 PQI917538 QAE917538 QKA917538 QTW917538 RDS917538 RNO917538 RXK917538 SHG917538 SRC917538 TAY917538 TKU917538 TUQ917538 UEM917538 UOI917538 UYE917538 VIA917538 VRW917538 WBS917538 WLO917538 WVK917538 C983074 IY983074 SU983074 ACQ983074 AMM983074 AWI983074 BGE983074 BQA983074 BZW983074 CJS983074 CTO983074 DDK983074 DNG983074 DXC983074 EGY983074 EQU983074 FAQ983074 FKM983074 FUI983074 GEE983074 GOA983074 GXW983074 HHS983074 HRO983074 IBK983074 ILG983074 IVC983074 JEY983074 JOU983074 JYQ983074 KIM983074 KSI983074 LCE983074 LMA983074 LVW983074 MFS983074 MPO983074 MZK983074 NJG983074 NTC983074 OCY983074 OMU983074 OWQ983074 PGM983074 PQI983074 QAE983074 QKA983074 QTW983074 RDS983074 RNO983074 RXK983074 SHG983074 SRC983074 TAY983074 TKU983074 TUQ983074 UEM983074 UOI983074 UYE983074 VIA983074 VRW983074 WBS983074 WLO983074 WVK983074" xr:uid="{00F7F273-0C7D-4063-9CBF-C4A9F6E6088C}"/>
    <dataValidation allowBlank="1" showInputMessage="1" showErrorMessage="1" promptTitle="Alpha.cw" prompt="Calculated based on the state of axial stress caused by Ned, the applied design action, as entered in cell C54 below." sqref="C59 IY33 SU33 ACQ33 AMM33 AWI33 BGE33 BQA33 BZW33 CJS33 CTO33 DDK33 DNG33 DXC33 EGY33 EQU33 FAQ33 FKM33 FUI33 GEE33 GOA33 GXW33 HHS33 HRO33 IBK33 ILG33 IVC33 JEY33 JOU33 JYQ33 KIM33 KSI33 LCE33 LMA33 LVW33 MFS33 MPO33 MZK33 NJG33 NTC33 OCY33 OMU33 OWQ33 PGM33 PQI33 QAE33 QKA33 QTW33 RDS33 RNO33 RXK33 SHG33 SRC33 TAY33 TKU33 TUQ33 UEM33 UOI33 UYE33 VIA33 VRW33 WBS33 WLO33 WVK33 C65574 IY65574 SU65574 ACQ65574 AMM65574 AWI65574 BGE65574 BQA65574 BZW65574 CJS65574 CTO65574 DDK65574 DNG65574 DXC65574 EGY65574 EQU65574 FAQ65574 FKM65574 FUI65574 GEE65574 GOA65574 GXW65574 HHS65574 HRO65574 IBK65574 ILG65574 IVC65574 JEY65574 JOU65574 JYQ65574 KIM65574 KSI65574 LCE65574 LMA65574 LVW65574 MFS65574 MPO65574 MZK65574 NJG65574 NTC65574 OCY65574 OMU65574 OWQ65574 PGM65574 PQI65574 QAE65574 QKA65574 QTW65574 RDS65574 RNO65574 RXK65574 SHG65574 SRC65574 TAY65574 TKU65574 TUQ65574 UEM65574 UOI65574 UYE65574 VIA65574 VRW65574 WBS65574 WLO65574 WVK65574 C131110 IY131110 SU131110 ACQ131110 AMM131110 AWI131110 BGE131110 BQA131110 BZW131110 CJS131110 CTO131110 DDK131110 DNG131110 DXC131110 EGY131110 EQU131110 FAQ131110 FKM131110 FUI131110 GEE131110 GOA131110 GXW131110 HHS131110 HRO131110 IBK131110 ILG131110 IVC131110 JEY131110 JOU131110 JYQ131110 KIM131110 KSI131110 LCE131110 LMA131110 LVW131110 MFS131110 MPO131110 MZK131110 NJG131110 NTC131110 OCY131110 OMU131110 OWQ131110 PGM131110 PQI131110 QAE131110 QKA131110 QTW131110 RDS131110 RNO131110 RXK131110 SHG131110 SRC131110 TAY131110 TKU131110 TUQ131110 UEM131110 UOI131110 UYE131110 VIA131110 VRW131110 WBS131110 WLO131110 WVK131110 C196646 IY196646 SU196646 ACQ196646 AMM196646 AWI196646 BGE196646 BQA196646 BZW196646 CJS196646 CTO196646 DDK196646 DNG196646 DXC196646 EGY196646 EQU196646 FAQ196646 FKM196646 FUI196646 GEE196646 GOA196646 GXW196646 HHS196646 HRO196646 IBK196646 ILG196646 IVC196646 JEY196646 JOU196646 JYQ196646 KIM196646 KSI196646 LCE196646 LMA196646 LVW196646 MFS196646 MPO196646 MZK196646 NJG196646 NTC196646 OCY196646 OMU196646 OWQ196646 PGM196646 PQI196646 QAE196646 QKA196646 QTW196646 RDS196646 RNO196646 RXK196646 SHG196646 SRC196646 TAY196646 TKU196646 TUQ196646 UEM196646 UOI196646 UYE196646 VIA196646 VRW196646 WBS196646 WLO196646 WVK196646 C262182 IY262182 SU262182 ACQ262182 AMM262182 AWI262182 BGE262182 BQA262182 BZW262182 CJS262182 CTO262182 DDK262182 DNG262182 DXC262182 EGY262182 EQU262182 FAQ262182 FKM262182 FUI262182 GEE262182 GOA262182 GXW262182 HHS262182 HRO262182 IBK262182 ILG262182 IVC262182 JEY262182 JOU262182 JYQ262182 KIM262182 KSI262182 LCE262182 LMA262182 LVW262182 MFS262182 MPO262182 MZK262182 NJG262182 NTC262182 OCY262182 OMU262182 OWQ262182 PGM262182 PQI262182 QAE262182 QKA262182 QTW262182 RDS262182 RNO262182 RXK262182 SHG262182 SRC262182 TAY262182 TKU262182 TUQ262182 UEM262182 UOI262182 UYE262182 VIA262182 VRW262182 WBS262182 WLO262182 WVK262182 C327718 IY327718 SU327718 ACQ327718 AMM327718 AWI327718 BGE327718 BQA327718 BZW327718 CJS327718 CTO327718 DDK327718 DNG327718 DXC327718 EGY327718 EQU327718 FAQ327718 FKM327718 FUI327718 GEE327718 GOA327718 GXW327718 HHS327718 HRO327718 IBK327718 ILG327718 IVC327718 JEY327718 JOU327718 JYQ327718 KIM327718 KSI327718 LCE327718 LMA327718 LVW327718 MFS327718 MPO327718 MZK327718 NJG327718 NTC327718 OCY327718 OMU327718 OWQ327718 PGM327718 PQI327718 QAE327718 QKA327718 QTW327718 RDS327718 RNO327718 RXK327718 SHG327718 SRC327718 TAY327718 TKU327718 TUQ327718 UEM327718 UOI327718 UYE327718 VIA327718 VRW327718 WBS327718 WLO327718 WVK327718 C393254 IY393254 SU393254 ACQ393254 AMM393254 AWI393254 BGE393254 BQA393254 BZW393254 CJS393254 CTO393254 DDK393254 DNG393254 DXC393254 EGY393254 EQU393254 FAQ393254 FKM393254 FUI393254 GEE393254 GOA393254 GXW393254 HHS393254 HRO393254 IBK393254 ILG393254 IVC393254 JEY393254 JOU393254 JYQ393254 KIM393254 KSI393254 LCE393254 LMA393254 LVW393254 MFS393254 MPO393254 MZK393254 NJG393254 NTC393254 OCY393254 OMU393254 OWQ393254 PGM393254 PQI393254 QAE393254 QKA393254 QTW393254 RDS393254 RNO393254 RXK393254 SHG393254 SRC393254 TAY393254 TKU393254 TUQ393254 UEM393254 UOI393254 UYE393254 VIA393254 VRW393254 WBS393254 WLO393254 WVK393254 C458790 IY458790 SU458790 ACQ458790 AMM458790 AWI458790 BGE458790 BQA458790 BZW458790 CJS458790 CTO458790 DDK458790 DNG458790 DXC458790 EGY458790 EQU458790 FAQ458790 FKM458790 FUI458790 GEE458790 GOA458790 GXW458790 HHS458790 HRO458790 IBK458790 ILG458790 IVC458790 JEY458790 JOU458790 JYQ458790 KIM458790 KSI458790 LCE458790 LMA458790 LVW458790 MFS458790 MPO458790 MZK458790 NJG458790 NTC458790 OCY458790 OMU458790 OWQ458790 PGM458790 PQI458790 QAE458790 QKA458790 QTW458790 RDS458790 RNO458790 RXK458790 SHG458790 SRC458790 TAY458790 TKU458790 TUQ458790 UEM458790 UOI458790 UYE458790 VIA458790 VRW458790 WBS458790 WLO458790 WVK458790 C524326 IY524326 SU524326 ACQ524326 AMM524326 AWI524326 BGE524326 BQA524326 BZW524326 CJS524326 CTO524326 DDK524326 DNG524326 DXC524326 EGY524326 EQU524326 FAQ524326 FKM524326 FUI524326 GEE524326 GOA524326 GXW524326 HHS524326 HRO524326 IBK524326 ILG524326 IVC524326 JEY524326 JOU524326 JYQ524326 KIM524326 KSI524326 LCE524326 LMA524326 LVW524326 MFS524326 MPO524326 MZK524326 NJG524326 NTC524326 OCY524326 OMU524326 OWQ524326 PGM524326 PQI524326 QAE524326 QKA524326 QTW524326 RDS524326 RNO524326 RXK524326 SHG524326 SRC524326 TAY524326 TKU524326 TUQ524326 UEM524326 UOI524326 UYE524326 VIA524326 VRW524326 WBS524326 WLO524326 WVK524326 C589862 IY589862 SU589862 ACQ589862 AMM589862 AWI589862 BGE589862 BQA589862 BZW589862 CJS589862 CTO589862 DDK589862 DNG589862 DXC589862 EGY589862 EQU589862 FAQ589862 FKM589862 FUI589862 GEE589862 GOA589862 GXW589862 HHS589862 HRO589862 IBK589862 ILG589862 IVC589862 JEY589862 JOU589862 JYQ589862 KIM589862 KSI589862 LCE589862 LMA589862 LVW589862 MFS589862 MPO589862 MZK589862 NJG589862 NTC589862 OCY589862 OMU589862 OWQ589862 PGM589862 PQI589862 QAE589862 QKA589862 QTW589862 RDS589862 RNO589862 RXK589862 SHG589862 SRC589862 TAY589862 TKU589862 TUQ589862 UEM589862 UOI589862 UYE589862 VIA589862 VRW589862 WBS589862 WLO589862 WVK589862 C655398 IY655398 SU655398 ACQ655398 AMM655398 AWI655398 BGE655398 BQA655398 BZW655398 CJS655398 CTO655398 DDK655398 DNG655398 DXC655398 EGY655398 EQU655398 FAQ655398 FKM655398 FUI655398 GEE655398 GOA655398 GXW655398 HHS655398 HRO655398 IBK655398 ILG655398 IVC655398 JEY655398 JOU655398 JYQ655398 KIM655398 KSI655398 LCE655398 LMA655398 LVW655398 MFS655398 MPO655398 MZK655398 NJG655398 NTC655398 OCY655398 OMU655398 OWQ655398 PGM655398 PQI655398 QAE655398 QKA655398 QTW655398 RDS655398 RNO655398 RXK655398 SHG655398 SRC655398 TAY655398 TKU655398 TUQ655398 UEM655398 UOI655398 UYE655398 VIA655398 VRW655398 WBS655398 WLO655398 WVK655398 C720934 IY720934 SU720934 ACQ720934 AMM720934 AWI720934 BGE720934 BQA720934 BZW720934 CJS720934 CTO720934 DDK720934 DNG720934 DXC720934 EGY720934 EQU720934 FAQ720934 FKM720934 FUI720934 GEE720934 GOA720934 GXW720934 HHS720934 HRO720934 IBK720934 ILG720934 IVC720934 JEY720934 JOU720934 JYQ720934 KIM720934 KSI720934 LCE720934 LMA720934 LVW720934 MFS720934 MPO720934 MZK720934 NJG720934 NTC720934 OCY720934 OMU720934 OWQ720934 PGM720934 PQI720934 QAE720934 QKA720934 QTW720934 RDS720934 RNO720934 RXK720934 SHG720934 SRC720934 TAY720934 TKU720934 TUQ720934 UEM720934 UOI720934 UYE720934 VIA720934 VRW720934 WBS720934 WLO720934 WVK720934 C786470 IY786470 SU786470 ACQ786470 AMM786470 AWI786470 BGE786470 BQA786470 BZW786470 CJS786470 CTO786470 DDK786470 DNG786470 DXC786470 EGY786470 EQU786470 FAQ786470 FKM786470 FUI786470 GEE786470 GOA786470 GXW786470 HHS786470 HRO786470 IBK786470 ILG786470 IVC786470 JEY786470 JOU786470 JYQ786470 KIM786470 KSI786470 LCE786470 LMA786470 LVW786470 MFS786470 MPO786470 MZK786470 NJG786470 NTC786470 OCY786470 OMU786470 OWQ786470 PGM786470 PQI786470 QAE786470 QKA786470 QTW786470 RDS786470 RNO786470 RXK786470 SHG786470 SRC786470 TAY786470 TKU786470 TUQ786470 UEM786470 UOI786470 UYE786470 VIA786470 VRW786470 WBS786470 WLO786470 WVK786470 C852006 IY852006 SU852006 ACQ852006 AMM852006 AWI852006 BGE852006 BQA852006 BZW852006 CJS852006 CTO852006 DDK852006 DNG852006 DXC852006 EGY852006 EQU852006 FAQ852006 FKM852006 FUI852006 GEE852006 GOA852006 GXW852006 HHS852006 HRO852006 IBK852006 ILG852006 IVC852006 JEY852006 JOU852006 JYQ852006 KIM852006 KSI852006 LCE852006 LMA852006 LVW852006 MFS852006 MPO852006 MZK852006 NJG852006 NTC852006 OCY852006 OMU852006 OWQ852006 PGM852006 PQI852006 QAE852006 QKA852006 QTW852006 RDS852006 RNO852006 RXK852006 SHG852006 SRC852006 TAY852006 TKU852006 TUQ852006 UEM852006 UOI852006 UYE852006 VIA852006 VRW852006 WBS852006 WLO852006 WVK852006 C917542 IY917542 SU917542 ACQ917542 AMM917542 AWI917542 BGE917542 BQA917542 BZW917542 CJS917542 CTO917542 DDK917542 DNG917542 DXC917542 EGY917542 EQU917542 FAQ917542 FKM917542 FUI917542 GEE917542 GOA917542 GXW917542 HHS917542 HRO917542 IBK917542 ILG917542 IVC917542 JEY917542 JOU917542 JYQ917542 KIM917542 KSI917542 LCE917542 LMA917542 LVW917542 MFS917542 MPO917542 MZK917542 NJG917542 NTC917542 OCY917542 OMU917542 OWQ917542 PGM917542 PQI917542 QAE917542 QKA917542 QTW917542 RDS917542 RNO917542 RXK917542 SHG917542 SRC917542 TAY917542 TKU917542 TUQ917542 UEM917542 UOI917542 UYE917542 VIA917542 VRW917542 WBS917542 WLO917542 WVK917542 C983078 IY983078 SU983078 ACQ983078 AMM983078 AWI983078 BGE983078 BQA983078 BZW983078 CJS983078 CTO983078 DDK983078 DNG983078 DXC983078 EGY983078 EQU983078 FAQ983078 FKM983078 FUI983078 GEE983078 GOA983078 GXW983078 HHS983078 HRO983078 IBK983078 ILG983078 IVC983078 JEY983078 JOU983078 JYQ983078 KIM983078 KSI983078 LCE983078 LMA983078 LVW983078 MFS983078 MPO983078 MZK983078 NJG983078 NTC983078 OCY983078 OMU983078 OWQ983078 PGM983078 PQI983078 QAE983078 QKA983078 QTW983078 RDS983078 RNO983078 RXK983078 SHG983078 SRC983078 TAY983078 TKU983078 TUQ983078 UEM983078 UOI983078 UYE983078 VIA983078 VRW983078 WBS983078 WLO983078 WVK983078 C63" xr:uid="{783476A5-6F17-4457-A1B8-F4AB5A103882}"/>
    <dataValidation allowBlank="1" showInputMessage="1" showErrorMessage="1" promptTitle="Vrd,s" prompt="This is the minimum Vrd,s (applicable when cot.theta = 1.0)._x000a_It gives a lower bound on Vrd." sqref="J44 JF44 TB44 ACX44 AMT44 AWP44 BGL44 BQH44 CAD44 CJZ44 CTV44 DDR44 DNN44 DXJ44 EHF44 ERB44 FAX44 FKT44 FUP44 GEL44 GOH44 GYD44 HHZ44 HRV44 IBR44 ILN44 IVJ44 JFF44 JPB44 JYX44 KIT44 KSP44 LCL44 LMH44 LWD44 MFZ44 MPV44 MZR44 NJN44 NTJ44 ODF44 ONB44 OWX44 PGT44 PQP44 QAL44 QKH44 QUD44 RDZ44 RNV44 RXR44 SHN44 SRJ44 TBF44 TLB44 TUX44 UET44 UOP44 UYL44 VIH44 VSD44 WBZ44 WLV44 WVR44 J65585 JF65585 TB65585 ACX65585 AMT65585 AWP65585 BGL65585 BQH65585 CAD65585 CJZ65585 CTV65585 DDR65585 DNN65585 DXJ65585 EHF65585 ERB65585 FAX65585 FKT65585 FUP65585 GEL65585 GOH65585 GYD65585 HHZ65585 HRV65585 IBR65585 ILN65585 IVJ65585 JFF65585 JPB65585 JYX65585 KIT65585 KSP65585 LCL65585 LMH65585 LWD65585 MFZ65585 MPV65585 MZR65585 NJN65585 NTJ65585 ODF65585 ONB65585 OWX65585 PGT65585 PQP65585 QAL65585 QKH65585 QUD65585 RDZ65585 RNV65585 RXR65585 SHN65585 SRJ65585 TBF65585 TLB65585 TUX65585 UET65585 UOP65585 UYL65585 VIH65585 VSD65585 WBZ65585 WLV65585 WVR65585 J131121 JF131121 TB131121 ACX131121 AMT131121 AWP131121 BGL131121 BQH131121 CAD131121 CJZ131121 CTV131121 DDR131121 DNN131121 DXJ131121 EHF131121 ERB131121 FAX131121 FKT131121 FUP131121 GEL131121 GOH131121 GYD131121 HHZ131121 HRV131121 IBR131121 ILN131121 IVJ131121 JFF131121 JPB131121 JYX131121 KIT131121 KSP131121 LCL131121 LMH131121 LWD131121 MFZ131121 MPV131121 MZR131121 NJN131121 NTJ131121 ODF131121 ONB131121 OWX131121 PGT131121 PQP131121 QAL131121 QKH131121 QUD131121 RDZ131121 RNV131121 RXR131121 SHN131121 SRJ131121 TBF131121 TLB131121 TUX131121 UET131121 UOP131121 UYL131121 VIH131121 VSD131121 WBZ131121 WLV131121 WVR131121 J196657 JF196657 TB196657 ACX196657 AMT196657 AWP196657 BGL196657 BQH196657 CAD196657 CJZ196657 CTV196657 DDR196657 DNN196657 DXJ196657 EHF196657 ERB196657 FAX196657 FKT196657 FUP196657 GEL196657 GOH196657 GYD196657 HHZ196657 HRV196657 IBR196657 ILN196657 IVJ196657 JFF196657 JPB196657 JYX196657 KIT196657 KSP196657 LCL196657 LMH196657 LWD196657 MFZ196657 MPV196657 MZR196657 NJN196657 NTJ196657 ODF196657 ONB196657 OWX196657 PGT196657 PQP196657 QAL196657 QKH196657 QUD196657 RDZ196657 RNV196657 RXR196657 SHN196657 SRJ196657 TBF196657 TLB196657 TUX196657 UET196657 UOP196657 UYL196657 VIH196657 VSD196657 WBZ196657 WLV196657 WVR196657 J262193 JF262193 TB262193 ACX262193 AMT262193 AWP262193 BGL262193 BQH262193 CAD262193 CJZ262193 CTV262193 DDR262193 DNN262193 DXJ262193 EHF262193 ERB262193 FAX262193 FKT262193 FUP262193 GEL262193 GOH262193 GYD262193 HHZ262193 HRV262193 IBR262193 ILN262193 IVJ262193 JFF262193 JPB262193 JYX262193 KIT262193 KSP262193 LCL262193 LMH262193 LWD262193 MFZ262193 MPV262193 MZR262193 NJN262193 NTJ262193 ODF262193 ONB262193 OWX262193 PGT262193 PQP262193 QAL262193 QKH262193 QUD262193 RDZ262193 RNV262193 RXR262193 SHN262193 SRJ262193 TBF262193 TLB262193 TUX262193 UET262193 UOP262193 UYL262193 VIH262193 VSD262193 WBZ262193 WLV262193 WVR262193 J327729 JF327729 TB327729 ACX327729 AMT327729 AWP327729 BGL327729 BQH327729 CAD327729 CJZ327729 CTV327729 DDR327729 DNN327729 DXJ327729 EHF327729 ERB327729 FAX327729 FKT327729 FUP327729 GEL327729 GOH327729 GYD327729 HHZ327729 HRV327729 IBR327729 ILN327729 IVJ327729 JFF327729 JPB327729 JYX327729 KIT327729 KSP327729 LCL327729 LMH327729 LWD327729 MFZ327729 MPV327729 MZR327729 NJN327729 NTJ327729 ODF327729 ONB327729 OWX327729 PGT327729 PQP327729 QAL327729 QKH327729 QUD327729 RDZ327729 RNV327729 RXR327729 SHN327729 SRJ327729 TBF327729 TLB327729 TUX327729 UET327729 UOP327729 UYL327729 VIH327729 VSD327729 WBZ327729 WLV327729 WVR327729 J393265 JF393265 TB393265 ACX393265 AMT393265 AWP393265 BGL393265 BQH393265 CAD393265 CJZ393265 CTV393265 DDR393265 DNN393265 DXJ393265 EHF393265 ERB393265 FAX393265 FKT393265 FUP393265 GEL393265 GOH393265 GYD393265 HHZ393265 HRV393265 IBR393265 ILN393265 IVJ393265 JFF393265 JPB393265 JYX393265 KIT393265 KSP393265 LCL393265 LMH393265 LWD393265 MFZ393265 MPV393265 MZR393265 NJN393265 NTJ393265 ODF393265 ONB393265 OWX393265 PGT393265 PQP393265 QAL393265 QKH393265 QUD393265 RDZ393265 RNV393265 RXR393265 SHN393265 SRJ393265 TBF393265 TLB393265 TUX393265 UET393265 UOP393265 UYL393265 VIH393265 VSD393265 WBZ393265 WLV393265 WVR393265 J458801 JF458801 TB458801 ACX458801 AMT458801 AWP458801 BGL458801 BQH458801 CAD458801 CJZ458801 CTV458801 DDR458801 DNN458801 DXJ458801 EHF458801 ERB458801 FAX458801 FKT458801 FUP458801 GEL458801 GOH458801 GYD458801 HHZ458801 HRV458801 IBR458801 ILN458801 IVJ458801 JFF458801 JPB458801 JYX458801 KIT458801 KSP458801 LCL458801 LMH458801 LWD458801 MFZ458801 MPV458801 MZR458801 NJN458801 NTJ458801 ODF458801 ONB458801 OWX458801 PGT458801 PQP458801 QAL458801 QKH458801 QUD458801 RDZ458801 RNV458801 RXR458801 SHN458801 SRJ458801 TBF458801 TLB458801 TUX458801 UET458801 UOP458801 UYL458801 VIH458801 VSD458801 WBZ458801 WLV458801 WVR458801 J524337 JF524337 TB524337 ACX524337 AMT524337 AWP524337 BGL524337 BQH524337 CAD524337 CJZ524337 CTV524337 DDR524337 DNN524337 DXJ524337 EHF524337 ERB524337 FAX524337 FKT524337 FUP524337 GEL524337 GOH524337 GYD524337 HHZ524337 HRV524337 IBR524337 ILN524337 IVJ524337 JFF524337 JPB524337 JYX524337 KIT524337 KSP524337 LCL524337 LMH524337 LWD524337 MFZ524337 MPV524337 MZR524337 NJN524337 NTJ524337 ODF524337 ONB524337 OWX524337 PGT524337 PQP524337 QAL524337 QKH524337 QUD524337 RDZ524337 RNV524337 RXR524337 SHN524337 SRJ524337 TBF524337 TLB524337 TUX524337 UET524337 UOP524337 UYL524337 VIH524337 VSD524337 WBZ524337 WLV524337 WVR524337 J589873 JF589873 TB589873 ACX589873 AMT589873 AWP589873 BGL589873 BQH589873 CAD589873 CJZ589873 CTV589873 DDR589873 DNN589873 DXJ589873 EHF589873 ERB589873 FAX589873 FKT589873 FUP589873 GEL589873 GOH589873 GYD589873 HHZ589873 HRV589873 IBR589873 ILN589873 IVJ589873 JFF589873 JPB589873 JYX589873 KIT589873 KSP589873 LCL589873 LMH589873 LWD589873 MFZ589873 MPV589873 MZR589873 NJN589873 NTJ589873 ODF589873 ONB589873 OWX589873 PGT589873 PQP589873 QAL589873 QKH589873 QUD589873 RDZ589873 RNV589873 RXR589873 SHN589873 SRJ589873 TBF589873 TLB589873 TUX589873 UET589873 UOP589873 UYL589873 VIH589873 VSD589873 WBZ589873 WLV589873 WVR589873 J655409 JF655409 TB655409 ACX655409 AMT655409 AWP655409 BGL655409 BQH655409 CAD655409 CJZ655409 CTV655409 DDR655409 DNN655409 DXJ655409 EHF655409 ERB655409 FAX655409 FKT655409 FUP655409 GEL655409 GOH655409 GYD655409 HHZ655409 HRV655409 IBR655409 ILN655409 IVJ655409 JFF655409 JPB655409 JYX655409 KIT655409 KSP655409 LCL655409 LMH655409 LWD655409 MFZ655409 MPV655409 MZR655409 NJN655409 NTJ655409 ODF655409 ONB655409 OWX655409 PGT655409 PQP655409 QAL655409 QKH655409 QUD655409 RDZ655409 RNV655409 RXR655409 SHN655409 SRJ655409 TBF655409 TLB655409 TUX655409 UET655409 UOP655409 UYL655409 VIH655409 VSD655409 WBZ655409 WLV655409 WVR655409 J720945 JF720945 TB720945 ACX720945 AMT720945 AWP720945 BGL720945 BQH720945 CAD720945 CJZ720945 CTV720945 DDR720945 DNN720945 DXJ720945 EHF720945 ERB720945 FAX720945 FKT720945 FUP720945 GEL720945 GOH720945 GYD720945 HHZ720945 HRV720945 IBR720945 ILN720945 IVJ720945 JFF720945 JPB720945 JYX720945 KIT720945 KSP720945 LCL720945 LMH720945 LWD720945 MFZ720945 MPV720945 MZR720945 NJN720945 NTJ720945 ODF720945 ONB720945 OWX720945 PGT720945 PQP720945 QAL720945 QKH720945 QUD720945 RDZ720945 RNV720945 RXR720945 SHN720945 SRJ720945 TBF720945 TLB720945 TUX720945 UET720945 UOP720945 UYL720945 VIH720945 VSD720945 WBZ720945 WLV720945 WVR720945 J786481 JF786481 TB786481 ACX786481 AMT786481 AWP786481 BGL786481 BQH786481 CAD786481 CJZ786481 CTV786481 DDR786481 DNN786481 DXJ786481 EHF786481 ERB786481 FAX786481 FKT786481 FUP786481 GEL786481 GOH786481 GYD786481 HHZ786481 HRV786481 IBR786481 ILN786481 IVJ786481 JFF786481 JPB786481 JYX786481 KIT786481 KSP786481 LCL786481 LMH786481 LWD786481 MFZ786481 MPV786481 MZR786481 NJN786481 NTJ786481 ODF786481 ONB786481 OWX786481 PGT786481 PQP786481 QAL786481 QKH786481 QUD786481 RDZ786481 RNV786481 RXR786481 SHN786481 SRJ786481 TBF786481 TLB786481 TUX786481 UET786481 UOP786481 UYL786481 VIH786481 VSD786481 WBZ786481 WLV786481 WVR786481 J852017 JF852017 TB852017 ACX852017 AMT852017 AWP852017 BGL852017 BQH852017 CAD852017 CJZ852017 CTV852017 DDR852017 DNN852017 DXJ852017 EHF852017 ERB852017 FAX852017 FKT852017 FUP852017 GEL852017 GOH852017 GYD852017 HHZ852017 HRV852017 IBR852017 ILN852017 IVJ852017 JFF852017 JPB852017 JYX852017 KIT852017 KSP852017 LCL852017 LMH852017 LWD852017 MFZ852017 MPV852017 MZR852017 NJN852017 NTJ852017 ODF852017 ONB852017 OWX852017 PGT852017 PQP852017 QAL852017 QKH852017 QUD852017 RDZ852017 RNV852017 RXR852017 SHN852017 SRJ852017 TBF852017 TLB852017 TUX852017 UET852017 UOP852017 UYL852017 VIH852017 VSD852017 WBZ852017 WLV852017 WVR852017 J917553 JF917553 TB917553 ACX917553 AMT917553 AWP917553 BGL917553 BQH917553 CAD917553 CJZ917553 CTV917553 DDR917553 DNN917553 DXJ917553 EHF917553 ERB917553 FAX917553 FKT917553 FUP917553 GEL917553 GOH917553 GYD917553 HHZ917553 HRV917553 IBR917553 ILN917553 IVJ917553 JFF917553 JPB917553 JYX917553 KIT917553 KSP917553 LCL917553 LMH917553 LWD917553 MFZ917553 MPV917553 MZR917553 NJN917553 NTJ917553 ODF917553 ONB917553 OWX917553 PGT917553 PQP917553 QAL917553 QKH917553 QUD917553 RDZ917553 RNV917553 RXR917553 SHN917553 SRJ917553 TBF917553 TLB917553 TUX917553 UET917553 UOP917553 UYL917553 VIH917553 VSD917553 WBZ917553 WLV917553 WVR917553 J983089 JF983089 TB983089 ACX983089 AMT983089 AWP983089 BGL983089 BQH983089 CAD983089 CJZ983089 CTV983089 DDR983089 DNN983089 DXJ983089 EHF983089 ERB983089 FAX983089 FKT983089 FUP983089 GEL983089 GOH983089 GYD983089 HHZ983089 HRV983089 IBR983089 ILN983089 IVJ983089 JFF983089 JPB983089 JYX983089 KIT983089 KSP983089 LCL983089 LMH983089 LWD983089 MFZ983089 MPV983089 MZR983089 NJN983089 NTJ983089 ODF983089 ONB983089 OWX983089 PGT983089 PQP983089 QAL983089 QKH983089 QUD983089 RDZ983089 RNV983089 RXR983089 SHN983089 SRJ983089 TBF983089 TLB983089 TUX983089 UET983089 UOP983089 UYL983089 VIH983089 VSD983089 WBZ983089 WLV983089 WVR983089 J51" xr:uid="{E2B6528E-AB45-4456-B707-E019C603B7F5}"/>
    <dataValidation allowBlank="1" showInputMessage="1" showErrorMessage="1" promptTitle="Vrd,max" prompt="This is the maximum Vrd,max (applicable when cot.theta = 1.0)._x000a_It gives an upper bound on Vrd." sqref="J52 JF45:JF46 TB45:TB46 ACX45:ACX46 AMT45:AMT46 AWP45:AWP46 BGL45:BGL46 BQH45:BQH46 CAD45:CAD46 CJZ45:CJZ46 CTV45:CTV46 DDR45:DDR46 DNN45:DNN46 DXJ45:DXJ46 EHF45:EHF46 ERB45:ERB46 FAX45:FAX46 FKT45:FKT46 FUP45:FUP46 GEL45:GEL46 GOH45:GOH46 GYD45:GYD46 HHZ45:HHZ46 HRV45:HRV46 IBR45:IBR46 ILN45:ILN46 IVJ45:IVJ46 JFF45:JFF46 JPB45:JPB46 JYX45:JYX46 KIT45:KIT46 KSP45:KSP46 LCL45:LCL46 LMH45:LMH46 LWD45:LWD46 MFZ45:MFZ46 MPV45:MPV46 MZR45:MZR46 NJN45:NJN46 NTJ45:NTJ46 ODF45:ODF46 ONB45:ONB46 OWX45:OWX46 PGT45:PGT46 PQP45:PQP46 QAL45:QAL46 QKH45:QKH46 QUD45:QUD46 RDZ45:RDZ46 RNV45:RNV46 RXR45:RXR46 SHN45:SHN46 SRJ45:SRJ46 TBF45:TBF46 TLB45:TLB46 TUX45:TUX46 UET45:UET46 UOP45:UOP46 UYL45:UYL46 VIH45:VIH46 VSD45:VSD46 WBZ45:WBZ46 WLV45:WLV46 WVR45:WVR46 J65586 JF65586 TB65586 ACX65586 AMT65586 AWP65586 BGL65586 BQH65586 CAD65586 CJZ65586 CTV65586 DDR65586 DNN65586 DXJ65586 EHF65586 ERB65586 FAX65586 FKT65586 FUP65586 GEL65586 GOH65586 GYD65586 HHZ65586 HRV65586 IBR65586 ILN65586 IVJ65586 JFF65586 JPB65586 JYX65586 KIT65586 KSP65586 LCL65586 LMH65586 LWD65586 MFZ65586 MPV65586 MZR65586 NJN65586 NTJ65586 ODF65586 ONB65586 OWX65586 PGT65586 PQP65586 QAL65586 QKH65586 QUD65586 RDZ65586 RNV65586 RXR65586 SHN65586 SRJ65586 TBF65586 TLB65586 TUX65586 UET65586 UOP65586 UYL65586 VIH65586 VSD65586 WBZ65586 WLV65586 WVR65586 J131122 JF131122 TB131122 ACX131122 AMT131122 AWP131122 BGL131122 BQH131122 CAD131122 CJZ131122 CTV131122 DDR131122 DNN131122 DXJ131122 EHF131122 ERB131122 FAX131122 FKT131122 FUP131122 GEL131122 GOH131122 GYD131122 HHZ131122 HRV131122 IBR131122 ILN131122 IVJ131122 JFF131122 JPB131122 JYX131122 KIT131122 KSP131122 LCL131122 LMH131122 LWD131122 MFZ131122 MPV131122 MZR131122 NJN131122 NTJ131122 ODF131122 ONB131122 OWX131122 PGT131122 PQP131122 QAL131122 QKH131122 QUD131122 RDZ131122 RNV131122 RXR131122 SHN131122 SRJ131122 TBF131122 TLB131122 TUX131122 UET131122 UOP131122 UYL131122 VIH131122 VSD131122 WBZ131122 WLV131122 WVR131122 J196658 JF196658 TB196658 ACX196658 AMT196658 AWP196658 BGL196658 BQH196658 CAD196658 CJZ196658 CTV196658 DDR196658 DNN196658 DXJ196658 EHF196658 ERB196658 FAX196658 FKT196658 FUP196658 GEL196658 GOH196658 GYD196658 HHZ196658 HRV196658 IBR196658 ILN196658 IVJ196658 JFF196658 JPB196658 JYX196658 KIT196658 KSP196658 LCL196658 LMH196658 LWD196658 MFZ196658 MPV196658 MZR196658 NJN196658 NTJ196658 ODF196658 ONB196658 OWX196658 PGT196658 PQP196658 QAL196658 QKH196658 QUD196658 RDZ196658 RNV196658 RXR196658 SHN196658 SRJ196658 TBF196658 TLB196658 TUX196658 UET196658 UOP196658 UYL196658 VIH196658 VSD196658 WBZ196658 WLV196658 WVR196658 J262194 JF262194 TB262194 ACX262194 AMT262194 AWP262194 BGL262194 BQH262194 CAD262194 CJZ262194 CTV262194 DDR262194 DNN262194 DXJ262194 EHF262194 ERB262194 FAX262194 FKT262194 FUP262194 GEL262194 GOH262194 GYD262194 HHZ262194 HRV262194 IBR262194 ILN262194 IVJ262194 JFF262194 JPB262194 JYX262194 KIT262194 KSP262194 LCL262194 LMH262194 LWD262194 MFZ262194 MPV262194 MZR262194 NJN262194 NTJ262194 ODF262194 ONB262194 OWX262194 PGT262194 PQP262194 QAL262194 QKH262194 QUD262194 RDZ262194 RNV262194 RXR262194 SHN262194 SRJ262194 TBF262194 TLB262194 TUX262194 UET262194 UOP262194 UYL262194 VIH262194 VSD262194 WBZ262194 WLV262194 WVR262194 J327730 JF327730 TB327730 ACX327730 AMT327730 AWP327730 BGL327730 BQH327730 CAD327730 CJZ327730 CTV327730 DDR327730 DNN327730 DXJ327730 EHF327730 ERB327730 FAX327730 FKT327730 FUP327730 GEL327730 GOH327730 GYD327730 HHZ327730 HRV327730 IBR327730 ILN327730 IVJ327730 JFF327730 JPB327730 JYX327730 KIT327730 KSP327730 LCL327730 LMH327730 LWD327730 MFZ327730 MPV327730 MZR327730 NJN327730 NTJ327730 ODF327730 ONB327730 OWX327730 PGT327730 PQP327730 QAL327730 QKH327730 QUD327730 RDZ327730 RNV327730 RXR327730 SHN327730 SRJ327730 TBF327730 TLB327730 TUX327730 UET327730 UOP327730 UYL327730 VIH327730 VSD327730 WBZ327730 WLV327730 WVR327730 J393266 JF393266 TB393266 ACX393266 AMT393266 AWP393266 BGL393266 BQH393266 CAD393266 CJZ393266 CTV393266 DDR393266 DNN393266 DXJ393266 EHF393266 ERB393266 FAX393266 FKT393266 FUP393266 GEL393266 GOH393266 GYD393266 HHZ393266 HRV393266 IBR393266 ILN393266 IVJ393266 JFF393266 JPB393266 JYX393266 KIT393266 KSP393266 LCL393266 LMH393266 LWD393266 MFZ393266 MPV393266 MZR393266 NJN393266 NTJ393266 ODF393266 ONB393266 OWX393266 PGT393266 PQP393266 QAL393266 QKH393266 QUD393266 RDZ393266 RNV393266 RXR393266 SHN393266 SRJ393266 TBF393266 TLB393266 TUX393266 UET393266 UOP393266 UYL393266 VIH393266 VSD393266 WBZ393266 WLV393266 WVR393266 J458802 JF458802 TB458802 ACX458802 AMT458802 AWP458802 BGL458802 BQH458802 CAD458802 CJZ458802 CTV458802 DDR458802 DNN458802 DXJ458802 EHF458802 ERB458802 FAX458802 FKT458802 FUP458802 GEL458802 GOH458802 GYD458802 HHZ458802 HRV458802 IBR458802 ILN458802 IVJ458802 JFF458802 JPB458802 JYX458802 KIT458802 KSP458802 LCL458802 LMH458802 LWD458802 MFZ458802 MPV458802 MZR458802 NJN458802 NTJ458802 ODF458802 ONB458802 OWX458802 PGT458802 PQP458802 QAL458802 QKH458802 QUD458802 RDZ458802 RNV458802 RXR458802 SHN458802 SRJ458802 TBF458802 TLB458802 TUX458802 UET458802 UOP458802 UYL458802 VIH458802 VSD458802 WBZ458802 WLV458802 WVR458802 J524338 JF524338 TB524338 ACX524338 AMT524338 AWP524338 BGL524338 BQH524338 CAD524338 CJZ524338 CTV524338 DDR524338 DNN524338 DXJ524338 EHF524338 ERB524338 FAX524338 FKT524338 FUP524338 GEL524338 GOH524338 GYD524338 HHZ524338 HRV524338 IBR524338 ILN524338 IVJ524338 JFF524338 JPB524338 JYX524338 KIT524338 KSP524338 LCL524338 LMH524338 LWD524338 MFZ524338 MPV524338 MZR524338 NJN524338 NTJ524338 ODF524338 ONB524338 OWX524338 PGT524338 PQP524338 QAL524338 QKH524338 QUD524338 RDZ524338 RNV524338 RXR524338 SHN524338 SRJ524338 TBF524338 TLB524338 TUX524338 UET524338 UOP524338 UYL524338 VIH524338 VSD524338 WBZ524338 WLV524338 WVR524338 J589874 JF589874 TB589874 ACX589874 AMT589874 AWP589874 BGL589874 BQH589874 CAD589874 CJZ589874 CTV589874 DDR589874 DNN589874 DXJ589874 EHF589874 ERB589874 FAX589874 FKT589874 FUP589874 GEL589874 GOH589874 GYD589874 HHZ589874 HRV589874 IBR589874 ILN589874 IVJ589874 JFF589874 JPB589874 JYX589874 KIT589874 KSP589874 LCL589874 LMH589874 LWD589874 MFZ589874 MPV589874 MZR589874 NJN589874 NTJ589874 ODF589874 ONB589874 OWX589874 PGT589874 PQP589874 QAL589874 QKH589874 QUD589874 RDZ589874 RNV589874 RXR589874 SHN589874 SRJ589874 TBF589874 TLB589874 TUX589874 UET589874 UOP589874 UYL589874 VIH589874 VSD589874 WBZ589874 WLV589874 WVR589874 J655410 JF655410 TB655410 ACX655410 AMT655410 AWP655410 BGL655410 BQH655410 CAD655410 CJZ655410 CTV655410 DDR655410 DNN655410 DXJ655410 EHF655410 ERB655410 FAX655410 FKT655410 FUP655410 GEL655410 GOH655410 GYD655410 HHZ655410 HRV655410 IBR655410 ILN655410 IVJ655410 JFF655410 JPB655410 JYX655410 KIT655410 KSP655410 LCL655410 LMH655410 LWD655410 MFZ655410 MPV655410 MZR655410 NJN655410 NTJ655410 ODF655410 ONB655410 OWX655410 PGT655410 PQP655410 QAL655410 QKH655410 QUD655410 RDZ655410 RNV655410 RXR655410 SHN655410 SRJ655410 TBF655410 TLB655410 TUX655410 UET655410 UOP655410 UYL655410 VIH655410 VSD655410 WBZ655410 WLV655410 WVR655410 J720946 JF720946 TB720946 ACX720946 AMT720946 AWP720946 BGL720946 BQH720946 CAD720946 CJZ720946 CTV720946 DDR720946 DNN720946 DXJ720946 EHF720946 ERB720946 FAX720946 FKT720946 FUP720946 GEL720946 GOH720946 GYD720946 HHZ720946 HRV720946 IBR720946 ILN720946 IVJ720946 JFF720946 JPB720946 JYX720946 KIT720946 KSP720946 LCL720946 LMH720946 LWD720946 MFZ720946 MPV720946 MZR720946 NJN720946 NTJ720946 ODF720946 ONB720946 OWX720946 PGT720946 PQP720946 QAL720946 QKH720946 QUD720946 RDZ720946 RNV720946 RXR720946 SHN720946 SRJ720946 TBF720946 TLB720946 TUX720946 UET720946 UOP720946 UYL720946 VIH720946 VSD720946 WBZ720946 WLV720946 WVR720946 J786482 JF786482 TB786482 ACX786482 AMT786482 AWP786482 BGL786482 BQH786482 CAD786482 CJZ786482 CTV786482 DDR786482 DNN786482 DXJ786482 EHF786482 ERB786482 FAX786482 FKT786482 FUP786482 GEL786482 GOH786482 GYD786482 HHZ786482 HRV786482 IBR786482 ILN786482 IVJ786482 JFF786482 JPB786482 JYX786482 KIT786482 KSP786482 LCL786482 LMH786482 LWD786482 MFZ786482 MPV786482 MZR786482 NJN786482 NTJ786482 ODF786482 ONB786482 OWX786482 PGT786482 PQP786482 QAL786482 QKH786482 QUD786482 RDZ786482 RNV786482 RXR786482 SHN786482 SRJ786482 TBF786482 TLB786482 TUX786482 UET786482 UOP786482 UYL786482 VIH786482 VSD786482 WBZ786482 WLV786482 WVR786482 J852018 JF852018 TB852018 ACX852018 AMT852018 AWP852018 BGL852018 BQH852018 CAD852018 CJZ852018 CTV852018 DDR852018 DNN852018 DXJ852018 EHF852018 ERB852018 FAX852018 FKT852018 FUP852018 GEL852018 GOH852018 GYD852018 HHZ852018 HRV852018 IBR852018 ILN852018 IVJ852018 JFF852018 JPB852018 JYX852018 KIT852018 KSP852018 LCL852018 LMH852018 LWD852018 MFZ852018 MPV852018 MZR852018 NJN852018 NTJ852018 ODF852018 ONB852018 OWX852018 PGT852018 PQP852018 QAL852018 QKH852018 QUD852018 RDZ852018 RNV852018 RXR852018 SHN852018 SRJ852018 TBF852018 TLB852018 TUX852018 UET852018 UOP852018 UYL852018 VIH852018 VSD852018 WBZ852018 WLV852018 WVR852018 J917554 JF917554 TB917554 ACX917554 AMT917554 AWP917554 BGL917554 BQH917554 CAD917554 CJZ917554 CTV917554 DDR917554 DNN917554 DXJ917554 EHF917554 ERB917554 FAX917554 FKT917554 FUP917554 GEL917554 GOH917554 GYD917554 HHZ917554 HRV917554 IBR917554 ILN917554 IVJ917554 JFF917554 JPB917554 JYX917554 KIT917554 KSP917554 LCL917554 LMH917554 LWD917554 MFZ917554 MPV917554 MZR917554 NJN917554 NTJ917554 ODF917554 ONB917554 OWX917554 PGT917554 PQP917554 QAL917554 QKH917554 QUD917554 RDZ917554 RNV917554 RXR917554 SHN917554 SRJ917554 TBF917554 TLB917554 TUX917554 UET917554 UOP917554 UYL917554 VIH917554 VSD917554 WBZ917554 WLV917554 WVR917554 J983090 JF983090 TB983090 ACX983090 AMT983090 AWP983090 BGL983090 BQH983090 CAD983090 CJZ983090 CTV983090 DDR983090 DNN983090 DXJ983090 EHF983090 ERB983090 FAX983090 FKT983090 FUP983090 GEL983090 GOH983090 GYD983090 HHZ983090 HRV983090 IBR983090 ILN983090 IVJ983090 JFF983090 JPB983090 JYX983090 KIT983090 KSP983090 LCL983090 LMH983090 LWD983090 MFZ983090 MPV983090 MZR983090 NJN983090 NTJ983090 ODF983090 ONB983090 OWX983090 PGT983090 PQP983090 QAL983090 QKH983090 QUD983090 RDZ983090 RNV983090 RXR983090 SHN983090 SRJ983090 TBF983090 TLB983090 TUX983090 UET983090 UOP983090 UYL983090 VIH983090 VSD983090 WBZ983090 WLV983090 WVR983090 J45" xr:uid="{99FD6097-457E-403A-A70B-82D382C6C431}"/>
    <dataValidation allowBlank="1" showInputMessage="1" showErrorMessage="1" promptTitle="v1" prompt="To UK NA, v1 = v.(1 - cos.alpha):_x000a__x000a_For discreet links, alpha = 90deg --&gt; v1 = v_x000a__x000a_For helical links, we assume alpha &gt; 90deg (unfavourable condition for Vrd,s). It is therefore conservative to take v1 = v" sqref="C32 IY32 SU32 ACQ32 AMM32 AWI32 BGE32 BQA32 BZW32 CJS32 CTO32 DDK32 DNG32 DXC32 EGY32 EQU32 FAQ32 FKM32 FUI32 GEE32 GOA32 GXW32 HHS32 HRO32 IBK32 ILG32 IVC32 JEY32 JOU32 JYQ32 KIM32 KSI32 LCE32 LMA32 LVW32 MFS32 MPO32 MZK32 NJG32 NTC32 OCY32 OMU32 OWQ32 PGM32 PQI32 QAE32 QKA32 QTW32 RDS32 RNO32 RXK32 SHG32 SRC32 TAY32 TKU32 TUQ32 UEM32 UOI32 UYE32 VIA32 VRW32 WBS32 WLO32 WVK32 C65573 IY65573 SU65573 ACQ65573 AMM65573 AWI65573 BGE65573 BQA65573 BZW65573 CJS65573 CTO65573 DDK65573 DNG65573 DXC65573 EGY65573 EQU65573 FAQ65573 FKM65573 FUI65573 GEE65573 GOA65573 GXW65573 HHS65573 HRO65573 IBK65573 ILG65573 IVC65573 JEY65573 JOU65573 JYQ65573 KIM65573 KSI65573 LCE65573 LMA65573 LVW65573 MFS65573 MPO65573 MZK65573 NJG65573 NTC65573 OCY65573 OMU65573 OWQ65573 PGM65573 PQI65573 QAE65573 QKA65573 QTW65573 RDS65573 RNO65573 RXK65573 SHG65573 SRC65573 TAY65573 TKU65573 TUQ65573 UEM65573 UOI65573 UYE65573 VIA65573 VRW65573 WBS65573 WLO65573 WVK65573 C131109 IY131109 SU131109 ACQ131109 AMM131109 AWI131109 BGE131109 BQA131109 BZW131109 CJS131109 CTO131109 DDK131109 DNG131109 DXC131109 EGY131109 EQU131109 FAQ131109 FKM131109 FUI131109 GEE131109 GOA131109 GXW131109 HHS131109 HRO131109 IBK131109 ILG131109 IVC131109 JEY131109 JOU131109 JYQ131109 KIM131109 KSI131109 LCE131109 LMA131109 LVW131109 MFS131109 MPO131109 MZK131109 NJG131109 NTC131109 OCY131109 OMU131109 OWQ131109 PGM131109 PQI131109 QAE131109 QKA131109 QTW131109 RDS131109 RNO131109 RXK131109 SHG131109 SRC131109 TAY131109 TKU131109 TUQ131109 UEM131109 UOI131109 UYE131109 VIA131109 VRW131109 WBS131109 WLO131109 WVK131109 C196645 IY196645 SU196645 ACQ196645 AMM196645 AWI196645 BGE196645 BQA196645 BZW196645 CJS196645 CTO196645 DDK196645 DNG196645 DXC196645 EGY196645 EQU196645 FAQ196645 FKM196645 FUI196645 GEE196645 GOA196645 GXW196645 HHS196645 HRO196645 IBK196645 ILG196645 IVC196645 JEY196645 JOU196645 JYQ196645 KIM196645 KSI196645 LCE196645 LMA196645 LVW196645 MFS196645 MPO196645 MZK196645 NJG196645 NTC196645 OCY196645 OMU196645 OWQ196645 PGM196645 PQI196645 QAE196645 QKA196645 QTW196645 RDS196645 RNO196645 RXK196645 SHG196645 SRC196645 TAY196645 TKU196645 TUQ196645 UEM196645 UOI196645 UYE196645 VIA196645 VRW196645 WBS196645 WLO196645 WVK196645 C262181 IY262181 SU262181 ACQ262181 AMM262181 AWI262181 BGE262181 BQA262181 BZW262181 CJS262181 CTO262181 DDK262181 DNG262181 DXC262181 EGY262181 EQU262181 FAQ262181 FKM262181 FUI262181 GEE262181 GOA262181 GXW262181 HHS262181 HRO262181 IBK262181 ILG262181 IVC262181 JEY262181 JOU262181 JYQ262181 KIM262181 KSI262181 LCE262181 LMA262181 LVW262181 MFS262181 MPO262181 MZK262181 NJG262181 NTC262181 OCY262181 OMU262181 OWQ262181 PGM262181 PQI262181 QAE262181 QKA262181 QTW262181 RDS262181 RNO262181 RXK262181 SHG262181 SRC262181 TAY262181 TKU262181 TUQ262181 UEM262181 UOI262181 UYE262181 VIA262181 VRW262181 WBS262181 WLO262181 WVK262181 C327717 IY327717 SU327717 ACQ327717 AMM327717 AWI327717 BGE327717 BQA327717 BZW327717 CJS327717 CTO327717 DDK327717 DNG327717 DXC327717 EGY327717 EQU327717 FAQ327717 FKM327717 FUI327717 GEE327717 GOA327717 GXW327717 HHS327717 HRO327717 IBK327717 ILG327717 IVC327717 JEY327717 JOU327717 JYQ327717 KIM327717 KSI327717 LCE327717 LMA327717 LVW327717 MFS327717 MPO327717 MZK327717 NJG327717 NTC327717 OCY327717 OMU327717 OWQ327717 PGM327717 PQI327717 QAE327717 QKA327717 QTW327717 RDS327717 RNO327717 RXK327717 SHG327717 SRC327717 TAY327717 TKU327717 TUQ327717 UEM327717 UOI327717 UYE327717 VIA327717 VRW327717 WBS327717 WLO327717 WVK327717 C393253 IY393253 SU393253 ACQ393253 AMM393253 AWI393253 BGE393253 BQA393253 BZW393253 CJS393253 CTO393253 DDK393253 DNG393253 DXC393253 EGY393253 EQU393253 FAQ393253 FKM393253 FUI393253 GEE393253 GOA393253 GXW393253 HHS393253 HRO393253 IBK393253 ILG393253 IVC393253 JEY393253 JOU393253 JYQ393253 KIM393253 KSI393253 LCE393253 LMA393253 LVW393253 MFS393253 MPO393253 MZK393253 NJG393253 NTC393253 OCY393253 OMU393253 OWQ393253 PGM393253 PQI393253 QAE393253 QKA393253 QTW393253 RDS393253 RNO393253 RXK393253 SHG393253 SRC393253 TAY393253 TKU393253 TUQ393253 UEM393253 UOI393253 UYE393253 VIA393253 VRW393253 WBS393253 WLO393253 WVK393253 C458789 IY458789 SU458789 ACQ458789 AMM458789 AWI458789 BGE458789 BQA458789 BZW458789 CJS458789 CTO458789 DDK458789 DNG458789 DXC458789 EGY458789 EQU458789 FAQ458789 FKM458789 FUI458789 GEE458789 GOA458789 GXW458789 HHS458789 HRO458789 IBK458789 ILG458789 IVC458789 JEY458789 JOU458789 JYQ458789 KIM458789 KSI458789 LCE458789 LMA458789 LVW458789 MFS458789 MPO458789 MZK458789 NJG458789 NTC458789 OCY458789 OMU458789 OWQ458789 PGM458789 PQI458789 QAE458789 QKA458789 QTW458789 RDS458789 RNO458789 RXK458789 SHG458789 SRC458789 TAY458789 TKU458789 TUQ458789 UEM458789 UOI458789 UYE458789 VIA458789 VRW458789 WBS458789 WLO458789 WVK458789 C524325 IY524325 SU524325 ACQ524325 AMM524325 AWI524325 BGE524325 BQA524325 BZW524325 CJS524325 CTO524325 DDK524325 DNG524325 DXC524325 EGY524325 EQU524325 FAQ524325 FKM524325 FUI524325 GEE524325 GOA524325 GXW524325 HHS524325 HRO524325 IBK524325 ILG524325 IVC524325 JEY524325 JOU524325 JYQ524325 KIM524325 KSI524325 LCE524325 LMA524325 LVW524325 MFS524325 MPO524325 MZK524325 NJG524325 NTC524325 OCY524325 OMU524325 OWQ524325 PGM524325 PQI524325 QAE524325 QKA524325 QTW524325 RDS524325 RNO524325 RXK524325 SHG524325 SRC524325 TAY524325 TKU524325 TUQ524325 UEM524325 UOI524325 UYE524325 VIA524325 VRW524325 WBS524325 WLO524325 WVK524325 C589861 IY589861 SU589861 ACQ589861 AMM589861 AWI589861 BGE589861 BQA589861 BZW589861 CJS589861 CTO589861 DDK589861 DNG589861 DXC589861 EGY589861 EQU589861 FAQ589861 FKM589861 FUI589861 GEE589861 GOA589861 GXW589861 HHS589861 HRO589861 IBK589861 ILG589861 IVC589861 JEY589861 JOU589861 JYQ589861 KIM589861 KSI589861 LCE589861 LMA589861 LVW589861 MFS589861 MPO589861 MZK589861 NJG589861 NTC589861 OCY589861 OMU589861 OWQ589861 PGM589861 PQI589861 QAE589861 QKA589861 QTW589861 RDS589861 RNO589861 RXK589861 SHG589861 SRC589861 TAY589861 TKU589861 TUQ589861 UEM589861 UOI589861 UYE589861 VIA589861 VRW589861 WBS589861 WLO589861 WVK589861 C655397 IY655397 SU655397 ACQ655397 AMM655397 AWI655397 BGE655397 BQA655397 BZW655397 CJS655397 CTO655397 DDK655397 DNG655397 DXC655397 EGY655397 EQU655397 FAQ655397 FKM655397 FUI655397 GEE655397 GOA655397 GXW655397 HHS655397 HRO655397 IBK655397 ILG655397 IVC655397 JEY655397 JOU655397 JYQ655397 KIM655397 KSI655397 LCE655397 LMA655397 LVW655397 MFS655397 MPO655397 MZK655397 NJG655397 NTC655397 OCY655397 OMU655397 OWQ655397 PGM655397 PQI655397 QAE655397 QKA655397 QTW655397 RDS655397 RNO655397 RXK655397 SHG655397 SRC655397 TAY655397 TKU655397 TUQ655397 UEM655397 UOI655397 UYE655397 VIA655397 VRW655397 WBS655397 WLO655397 WVK655397 C720933 IY720933 SU720933 ACQ720933 AMM720933 AWI720933 BGE720933 BQA720933 BZW720933 CJS720933 CTO720933 DDK720933 DNG720933 DXC720933 EGY720933 EQU720933 FAQ720933 FKM720933 FUI720933 GEE720933 GOA720933 GXW720933 HHS720933 HRO720933 IBK720933 ILG720933 IVC720933 JEY720933 JOU720933 JYQ720933 KIM720933 KSI720933 LCE720933 LMA720933 LVW720933 MFS720933 MPO720933 MZK720933 NJG720933 NTC720933 OCY720933 OMU720933 OWQ720933 PGM720933 PQI720933 QAE720933 QKA720933 QTW720933 RDS720933 RNO720933 RXK720933 SHG720933 SRC720933 TAY720933 TKU720933 TUQ720933 UEM720933 UOI720933 UYE720933 VIA720933 VRW720933 WBS720933 WLO720933 WVK720933 C786469 IY786469 SU786469 ACQ786469 AMM786469 AWI786469 BGE786469 BQA786469 BZW786469 CJS786469 CTO786469 DDK786469 DNG786469 DXC786469 EGY786469 EQU786469 FAQ786469 FKM786469 FUI786469 GEE786469 GOA786469 GXW786469 HHS786469 HRO786469 IBK786469 ILG786469 IVC786469 JEY786469 JOU786469 JYQ786469 KIM786469 KSI786469 LCE786469 LMA786469 LVW786469 MFS786469 MPO786469 MZK786469 NJG786469 NTC786469 OCY786469 OMU786469 OWQ786469 PGM786469 PQI786469 QAE786469 QKA786469 QTW786469 RDS786469 RNO786469 RXK786469 SHG786469 SRC786469 TAY786469 TKU786469 TUQ786469 UEM786469 UOI786469 UYE786469 VIA786469 VRW786469 WBS786469 WLO786469 WVK786469 C852005 IY852005 SU852005 ACQ852005 AMM852005 AWI852005 BGE852005 BQA852005 BZW852005 CJS852005 CTO852005 DDK852005 DNG852005 DXC852005 EGY852005 EQU852005 FAQ852005 FKM852005 FUI852005 GEE852005 GOA852005 GXW852005 HHS852005 HRO852005 IBK852005 ILG852005 IVC852005 JEY852005 JOU852005 JYQ852005 KIM852005 KSI852005 LCE852005 LMA852005 LVW852005 MFS852005 MPO852005 MZK852005 NJG852005 NTC852005 OCY852005 OMU852005 OWQ852005 PGM852005 PQI852005 QAE852005 QKA852005 QTW852005 RDS852005 RNO852005 RXK852005 SHG852005 SRC852005 TAY852005 TKU852005 TUQ852005 UEM852005 UOI852005 UYE852005 VIA852005 VRW852005 WBS852005 WLO852005 WVK852005 C917541 IY917541 SU917541 ACQ917541 AMM917541 AWI917541 BGE917541 BQA917541 BZW917541 CJS917541 CTO917541 DDK917541 DNG917541 DXC917541 EGY917541 EQU917541 FAQ917541 FKM917541 FUI917541 GEE917541 GOA917541 GXW917541 HHS917541 HRO917541 IBK917541 ILG917541 IVC917541 JEY917541 JOU917541 JYQ917541 KIM917541 KSI917541 LCE917541 LMA917541 LVW917541 MFS917541 MPO917541 MZK917541 NJG917541 NTC917541 OCY917541 OMU917541 OWQ917541 PGM917541 PQI917541 QAE917541 QKA917541 QTW917541 RDS917541 RNO917541 RXK917541 SHG917541 SRC917541 TAY917541 TKU917541 TUQ917541 UEM917541 UOI917541 UYE917541 VIA917541 VRW917541 WBS917541 WLO917541 WVK917541 C983077 IY983077 SU983077 ACQ983077 AMM983077 AWI983077 BGE983077 BQA983077 BZW983077 CJS983077 CTO983077 DDK983077 DNG983077 DXC983077 EGY983077 EQU983077 FAQ983077 FKM983077 FUI983077 GEE983077 GOA983077 GXW983077 HHS983077 HRO983077 IBK983077 ILG983077 IVC983077 JEY983077 JOU983077 JYQ983077 KIM983077 KSI983077 LCE983077 LMA983077 LVW983077 MFS983077 MPO983077 MZK983077 NJG983077 NTC983077 OCY983077 OMU983077 OWQ983077 PGM983077 PQI983077 QAE983077 QKA983077 QTW983077 RDS983077 RNO983077 RXK983077 SHG983077 SRC983077 TAY983077 TKU983077 TUQ983077 UEM983077 UOI983077 UYE983077 VIA983077 VRW983077 WBS983077 WLO983077 WVK983077" xr:uid="{4517515D-4A0F-42AB-8DD7-1FA144D1B05C}"/>
  </dataValidations>
  <pageMargins left="0.86614173228346458" right="0.78740157480314965" top="0.70866141732283472" bottom="0.39370078740157483" header="0.55118110236220474" footer="0.19685039370078741"/>
  <pageSetup paperSize="9" scale="70" orientation="portrait" r:id="rId1"/>
  <headerFooter>
    <oddFooter>&amp;L&amp;8&amp;Z&amp;F
&amp;F&amp;R&amp;8&amp;T &amp;D</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6C1EA-847C-455E-B14F-DA32ED6FC99A}">
  <sheetPr>
    <tabColor theme="5" tint="0.39997558519241921"/>
    <pageSetUpPr fitToPage="1"/>
  </sheetPr>
  <dimension ref="A1:R116"/>
  <sheetViews>
    <sheetView showGridLines="0" view="pageBreakPreview" topLeftCell="A29" zoomScale="115" zoomScaleNormal="100" zoomScaleSheetLayoutView="115" workbookViewId="0">
      <selection activeCell="J55" activeCellId="1" sqref="J48 J55"/>
    </sheetView>
  </sheetViews>
  <sheetFormatPr defaultColWidth="9.140625" defaultRowHeight="12.75"/>
  <cols>
    <col min="1" max="1" width="11" style="4" customWidth="1"/>
    <col min="2" max="3" width="12.5703125" style="4" customWidth="1"/>
    <col min="4" max="4" width="11" style="4" customWidth="1"/>
    <col min="5" max="5" width="8.42578125" style="4" customWidth="1"/>
    <col min="6" max="6" width="11.42578125" style="4" customWidth="1"/>
    <col min="7" max="7" width="1.85546875" style="4" customWidth="1"/>
    <col min="8" max="8" width="8.42578125" style="4" customWidth="1"/>
    <col min="9" max="9" width="11.42578125" style="4" customWidth="1"/>
    <col min="10" max="11" width="10.42578125" style="4" customWidth="1"/>
    <col min="12" max="12" width="10.5703125" style="4" customWidth="1"/>
    <col min="13" max="13" width="10" style="4" customWidth="1"/>
    <col min="14" max="14" width="11" style="4" bestFit="1" customWidth="1"/>
    <col min="15" max="15" width="12" style="4" customWidth="1"/>
    <col min="16" max="16" width="11.140625" style="4" customWidth="1"/>
    <col min="17" max="17" width="9.5703125" style="4" customWidth="1"/>
    <col min="18" max="18" width="10.42578125" style="4" customWidth="1"/>
    <col min="19" max="19" width="8.5703125" style="4" customWidth="1"/>
    <col min="20" max="20" width="11" style="4" customWidth="1"/>
    <col min="21" max="21" width="13.42578125" style="4" bestFit="1" customWidth="1"/>
    <col min="22" max="22" width="9.42578125" style="4" customWidth="1"/>
    <col min="23" max="23" width="7.5703125" style="4" customWidth="1"/>
    <col min="24" max="24" width="11.42578125" style="4" customWidth="1"/>
    <col min="25" max="25" width="9.42578125" style="4" customWidth="1"/>
    <col min="26" max="26" width="11.42578125" style="4" customWidth="1"/>
    <col min="27" max="27" width="13.42578125" style="4" bestFit="1" customWidth="1"/>
    <col min="28" max="28" width="5.5703125" style="4" bestFit="1" customWidth="1"/>
    <col min="29" max="29" width="19.5703125" style="4" bestFit="1" customWidth="1"/>
    <col min="30" max="30" width="1.42578125" style="4" customWidth="1"/>
    <col min="31" max="31" width="13.42578125" style="4" bestFit="1" customWidth="1"/>
    <col min="32" max="32" width="8.5703125" style="4" bestFit="1" customWidth="1"/>
    <col min="33" max="33" width="8.85546875" style="4" bestFit="1" customWidth="1"/>
    <col min="34" max="256" width="9.140625" style="4"/>
    <col min="257" max="257" width="11" style="4" customWidth="1"/>
    <col min="258" max="259" width="12.5703125" style="4" customWidth="1"/>
    <col min="260" max="260" width="11" style="4" customWidth="1"/>
    <col min="261" max="261" width="8.42578125" style="4" customWidth="1"/>
    <col min="262" max="262" width="11.42578125" style="4" customWidth="1"/>
    <col min="263" max="263" width="1.85546875" style="4" customWidth="1"/>
    <col min="264" max="264" width="8.42578125" style="4" customWidth="1"/>
    <col min="265" max="265" width="11.42578125" style="4" customWidth="1"/>
    <col min="266" max="267" width="10.42578125" style="4" customWidth="1"/>
    <col min="268" max="268" width="10.5703125" style="4" customWidth="1"/>
    <col min="269" max="269" width="10" style="4" customWidth="1"/>
    <col min="270" max="270" width="11" style="4" bestFit="1" customWidth="1"/>
    <col min="271" max="271" width="12" style="4" customWidth="1"/>
    <col min="272" max="272" width="11.140625" style="4" customWidth="1"/>
    <col min="273" max="273" width="9.5703125" style="4" customWidth="1"/>
    <col min="274" max="274" width="10.42578125" style="4" customWidth="1"/>
    <col min="275" max="275" width="8.5703125" style="4" customWidth="1"/>
    <col min="276" max="276" width="11" style="4" customWidth="1"/>
    <col min="277" max="277" width="13.42578125" style="4" bestFit="1" customWidth="1"/>
    <col min="278" max="278" width="9.42578125" style="4" customWidth="1"/>
    <col min="279" max="279" width="7.5703125" style="4" customWidth="1"/>
    <col min="280" max="280" width="11.42578125" style="4" customWidth="1"/>
    <col min="281" max="281" width="9.42578125" style="4" customWidth="1"/>
    <col min="282" max="282" width="11.42578125" style="4" customWidth="1"/>
    <col min="283" max="283" width="13.42578125" style="4" bestFit="1" customWidth="1"/>
    <col min="284" max="284" width="5.5703125" style="4" bestFit="1" customWidth="1"/>
    <col min="285" max="285" width="19.5703125" style="4" bestFit="1" customWidth="1"/>
    <col min="286" max="286" width="1.42578125" style="4" customWidth="1"/>
    <col min="287" max="287" width="13.42578125" style="4" bestFit="1" customWidth="1"/>
    <col min="288" max="288" width="8.5703125" style="4" bestFit="1" customWidth="1"/>
    <col min="289" max="289" width="8.85546875" style="4" bestFit="1" customWidth="1"/>
    <col min="290" max="512" width="9.140625" style="4"/>
    <col min="513" max="513" width="11" style="4" customWidth="1"/>
    <col min="514" max="515" width="12.5703125" style="4" customWidth="1"/>
    <col min="516" max="516" width="11" style="4" customWidth="1"/>
    <col min="517" max="517" width="8.42578125" style="4" customWidth="1"/>
    <col min="518" max="518" width="11.42578125" style="4" customWidth="1"/>
    <col min="519" max="519" width="1.85546875" style="4" customWidth="1"/>
    <col min="520" max="520" width="8.42578125" style="4" customWidth="1"/>
    <col min="521" max="521" width="11.42578125" style="4" customWidth="1"/>
    <col min="522" max="523" width="10.42578125" style="4" customWidth="1"/>
    <col min="524" max="524" width="10.5703125" style="4" customWidth="1"/>
    <col min="525" max="525" width="10" style="4" customWidth="1"/>
    <col min="526" max="526" width="11" style="4" bestFit="1" customWidth="1"/>
    <col min="527" max="527" width="12" style="4" customWidth="1"/>
    <col min="528" max="528" width="11.140625" style="4" customWidth="1"/>
    <col min="529" max="529" width="9.5703125" style="4" customWidth="1"/>
    <col min="530" max="530" width="10.42578125" style="4" customWidth="1"/>
    <col min="531" max="531" width="8.5703125" style="4" customWidth="1"/>
    <col min="532" max="532" width="11" style="4" customWidth="1"/>
    <col min="533" max="533" width="13.42578125" style="4" bestFit="1" customWidth="1"/>
    <col min="534" max="534" width="9.42578125" style="4" customWidth="1"/>
    <col min="535" max="535" width="7.5703125" style="4" customWidth="1"/>
    <col min="536" max="536" width="11.42578125" style="4" customWidth="1"/>
    <col min="537" max="537" width="9.42578125" style="4" customWidth="1"/>
    <col min="538" max="538" width="11.42578125" style="4" customWidth="1"/>
    <col min="539" max="539" width="13.42578125" style="4" bestFit="1" customWidth="1"/>
    <col min="540" max="540" width="5.5703125" style="4" bestFit="1" customWidth="1"/>
    <col min="541" max="541" width="19.5703125" style="4" bestFit="1" customWidth="1"/>
    <col min="542" max="542" width="1.42578125" style="4" customWidth="1"/>
    <col min="543" max="543" width="13.42578125" style="4" bestFit="1" customWidth="1"/>
    <col min="544" max="544" width="8.5703125" style="4" bestFit="1" customWidth="1"/>
    <col min="545" max="545" width="8.85546875" style="4" bestFit="1" customWidth="1"/>
    <col min="546" max="768" width="9.140625" style="4"/>
    <col min="769" max="769" width="11" style="4" customWidth="1"/>
    <col min="770" max="771" width="12.5703125" style="4" customWidth="1"/>
    <col min="772" max="772" width="11" style="4" customWidth="1"/>
    <col min="773" max="773" width="8.42578125" style="4" customWidth="1"/>
    <col min="774" max="774" width="11.42578125" style="4" customWidth="1"/>
    <col min="775" max="775" width="1.85546875" style="4" customWidth="1"/>
    <col min="776" max="776" width="8.42578125" style="4" customWidth="1"/>
    <col min="777" max="777" width="11.42578125" style="4" customWidth="1"/>
    <col min="778" max="779" width="10.42578125" style="4" customWidth="1"/>
    <col min="780" max="780" width="10.5703125" style="4" customWidth="1"/>
    <col min="781" max="781" width="10" style="4" customWidth="1"/>
    <col min="782" max="782" width="11" style="4" bestFit="1" customWidth="1"/>
    <col min="783" max="783" width="12" style="4" customWidth="1"/>
    <col min="784" max="784" width="11.140625" style="4" customWidth="1"/>
    <col min="785" max="785" width="9.5703125" style="4" customWidth="1"/>
    <col min="786" max="786" width="10.42578125" style="4" customWidth="1"/>
    <col min="787" max="787" width="8.5703125" style="4" customWidth="1"/>
    <col min="788" max="788" width="11" style="4" customWidth="1"/>
    <col min="789" max="789" width="13.42578125" style="4" bestFit="1" customWidth="1"/>
    <col min="790" max="790" width="9.42578125" style="4" customWidth="1"/>
    <col min="791" max="791" width="7.5703125" style="4" customWidth="1"/>
    <col min="792" max="792" width="11.42578125" style="4" customWidth="1"/>
    <col min="793" max="793" width="9.42578125" style="4" customWidth="1"/>
    <col min="794" max="794" width="11.42578125" style="4" customWidth="1"/>
    <col min="795" max="795" width="13.42578125" style="4" bestFit="1" customWidth="1"/>
    <col min="796" max="796" width="5.5703125" style="4" bestFit="1" customWidth="1"/>
    <col min="797" max="797" width="19.5703125" style="4" bestFit="1" customWidth="1"/>
    <col min="798" max="798" width="1.42578125" style="4" customWidth="1"/>
    <col min="799" max="799" width="13.42578125" style="4" bestFit="1" customWidth="1"/>
    <col min="800" max="800" width="8.5703125" style="4" bestFit="1" customWidth="1"/>
    <col min="801" max="801" width="8.85546875" style="4" bestFit="1" customWidth="1"/>
    <col min="802" max="1024" width="9.140625" style="4"/>
    <col min="1025" max="1025" width="11" style="4" customWidth="1"/>
    <col min="1026" max="1027" width="12.5703125" style="4" customWidth="1"/>
    <col min="1028" max="1028" width="11" style="4" customWidth="1"/>
    <col min="1029" max="1029" width="8.42578125" style="4" customWidth="1"/>
    <col min="1030" max="1030" width="11.42578125" style="4" customWidth="1"/>
    <col min="1031" max="1031" width="1.85546875" style="4" customWidth="1"/>
    <col min="1032" max="1032" width="8.42578125" style="4" customWidth="1"/>
    <col min="1033" max="1033" width="11.42578125" style="4" customWidth="1"/>
    <col min="1034" max="1035" width="10.42578125" style="4" customWidth="1"/>
    <col min="1036" max="1036" width="10.5703125" style="4" customWidth="1"/>
    <col min="1037" max="1037" width="10" style="4" customWidth="1"/>
    <col min="1038" max="1038" width="11" style="4" bestFit="1" customWidth="1"/>
    <col min="1039" max="1039" width="12" style="4" customWidth="1"/>
    <col min="1040" max="1040" width="11.140625" style="4" customWidth="1"/>
    <col min="1041" max="1041" width="9.5703125" style="4" customWidth="1"/>
    <col min="1042" max="1042" width="10.42578125" style="4" customWidth="1"/>
    <col min="1043" max="1043" width="8.5703125" style="4" customWidth="1"/>
    <col min="1044" max="1044" width="11" style="4" customWidth="1"/>
    <col min="1045" max="1045" width="13.42578125" style="4" bestFit="1" customWidth="1"/>
    <col min="1046" max="1046" width="9.42578125" style="4" customWidth="1"/>
    <col min="1047" max="1047" width="7.5703125" style="4" customWidth="1"/>
    <col min="1048" max="1048" width="11.42578125" style="4" customWidth="1"/>
    <col min="1049" max="1049" width="9.42578125" style="4" customWidth="1"/>
    <col min="1050" max="1050" width="11.42578125" style="4" customWidth="1"/>
    <col min="1051" max="1051" width="13.42578125" style="4" bestFit="1" customWidth="1"/>
    <col min="1052" max="1052" width="5.5703125" style="4" bestFit="1" customWidth="1"/>
    <col min="1053" max="1053" width="19.5703125" style="4" bestFit="1" customWidth="1"/>
    <col min="1054" max="1054" width="1.42578125" style="4" customWidth="1"/>
    <col min="1055" max="1055" width="13.42578125" style="4" bestFit="1" customWidth="1"/>
    <col min="1056" max="1056" width="8.5703125" style="4" bestFit="1" customWidth="1"/>
    <col min="1057" max="1057" width="8.85546875" style="4" bestFit="1" customWidth="1"/>
    <col min="1058" max="1280" width="9.140625" style="4"/>
    <col min="1281" max="1281" width="11" style="4" customWidth="1"/>
    <col min="1282" max="1283" width="12.5703125" style="4" customWidth="1"/>
    <col min="1284" max="1284" width="11" style="4" customWidth="1"/>
    <col min="1285" max="1285" width="8.42578125" style="4" customWidth="1"/>
    <col min="1286" max="1286" width="11.42578125" style="4" customWidth="1"/>
    <col min="1287" max="1287" width="1.85546875" style="4" customWidth="1"/>
    <col min="1288" max="1288" width="8.42578125" style="4" customWidth="1"/>
    <col min="1289" max="1289" width="11.42578125" style="4" customWidth="1"/>
    <col min="1290" max="1291" width="10.42578125" style="4" customWidth="1"/>
    <col min="1292" max="1292" width="10.5703125" style="4" customWidth="1"/>
    <col min="1293" max="1293" width="10" style="4" customWidth="1"/>
    <col min="1294" max="1294" width="11" style="4" bestFit="1" customWidth="1"/>
    <col min="1295" max="1295" width="12" style="4" customWidth="1"/>
    <col min="1296" max="1296" width="11.140625" style="4" customWidth="1"/>
    <col min="1297" max="1297" width="9.5703125" style="4" customWidth="1"/>
    <col min="1298" max="1298" width="10.42578125" style="4" customWidth="1"/>
    <col min="1299" max="1299" width="8.5703125" style="4" customWidth="1"/>
    <col min="1300" max="1300" width="11" style="4" customWidth="1"/>
    <col min="1301" max="1301" width="13.42578125" style="4" bestFit="1" customWidth="1"/>
    <col min="1302" max="1302" width="9.42578125" style="4" customWidth="1"/>
    <col min="1303" max="1303" width="7.5703125" style="4" customWidth="1"/>
    <col min="1304" max="1304" width="11.42578125" style="4" customWidth="1"/>
    <col min="1305" max="1305" width="9.42578125" style="4" customWidth="1"/>
    <col min="1306" max="1306" width="11.42578125" style="4" customWidth="1"/>
    <col min="1307" max="1307" width="13.42578125" style="4" bestFit="1" customWidth="1"/>
    <col min="1308" max="1308" width="5.5703125" style="4" bestFit="1" customWidth="1"/>
    <col min="1309" max="1309" width="19.5703125" style="4" bestFit="1" customWidth="1"/>
    <col min="1310" max="1310" width="1.42578125" style="4" customWidth="1"/>
    <col min="1311" max="1311" width="13.42578125" style="4" bestFit="1" customWidth="1"/>
    <col min="1312" max="1312" width="8.5703125" style="4" bestFit="1" customWidth="1"/>
    <col min="1313" max="1313" width="8.85546875" style="4" bestFit="1" customWidth="1"/>
    <col min="1314" max="1536" width="9.140625" style="4"/>
    <col min="1537" max="1537" width="11" style="4" customWidth="1"/>
    <col min="1538" max="1539" width="12.5703125" style="4" customWidth="1"/>
    <col min="1540" max="1540" width="11" style="4" customWidth="1"/>
    <col min="1541" max="1541" width="8.42578125" style="4" customWidth="1"/>
    <col min="1542" max="1542" width="11.42578125" style="4" customWidth="1"/>
    <col min="1543" max="1543" width="1.85546875" style="4" customWidth="1"/>
    <col min="1544" max="1544" width="8.42578125" style="4" customWidth="1"/>
    <col min="1545" max="1545" width="11.42578125" style="4" customWidth="1"/>
    <col min="1546" max="1547" width="10.42578125" style="4" customWidth="1"/>
    <col min="1548" max="1548" width="10.5703125" style="4" customWidth="1"/>
    <col min="1549" max="1549" width="10" style="4" customWidth="1"/>
    <col min="1550" max="1550" width="11" style="4" bestFit="1" customWidth="1"/>
    <col min="1551" max="1551" width="12" style="4" customWidth="1"/>
    <col min="1552" max="1552" width="11.140625" style="4" customWidth="1"/>
    <col min="1553" max="1553" width="9.5703125" style="4" customWidth="1"/>
    <col min="1554" max="1554" width="10.42578125" style="4" customWidth="1"/>
    <col min="1555" max="1555" width="8.5703125" style="4" customWidth="1"/>
    <col min="1556" max="1556" width="11" style="4" customWidth="1"/>
    <col min="1557" max="1557" width="13.42578125" style="4" bestFit="1" customWidth="1"/>
    <col min="1558" max="1558" width="9.42578125" style="4" customWidth="1"/>
    <col min="1559" max="1559" width="7.5703125" style="4" customWidth="1"/>
    <col min="1560" max="1560" width="11.42578125" style="4" customWidth="1"/>
    <col min="1561" max="1561" width="9.42578125" style="4" customWidth="1"/>
    <col min="1562" max="1562" width="11.42578125" style="4" customWidth="1"/>
    <col min="1563" max="1563" width="13.42578125" style="4" bestFit="1" customWidth="1"/>
    <col min="1564" max="1564" width="5.5703125" style="4" bestFit="1" customWidth="1"/>
    <col min="1565" max="1565" width="19.5703125" style="4" bestFit="1" customWidth="1"/>
    <col min="1566" max="1566" width="1.42578125" style="4" customWidth="1"/>
    <col min="1567" max="1567" width="13.42578125" style="4" bestFit="1" customWidth="1"/>
    <col min="1568" max="1568" width="8.5703125" style="4" bestFit="1" customWidth="1"/>
    <col min="1569" max="1569" width="8.85546875" style="4" bestFit="1" customWidth="1"/>
    <col min="1570" max="1792" width="9.140625" style="4"/>
    <col min="1793" max="1793" width="11" style="4" customWidth="1"/>
    <col min="1794" max="1795" width="12.5703125" style="4" customWidth="1"/>
    <col min="1796" max="1796" width="11" style="4" customWidth="1"/>
    <col min="1797" max="1797" width="8.42578125" style="4" customWidth="1"/>
    <col min="1798" max="1798" width="11.42578125" style="4" customWidth="1"/>
    <col min="1799" max="1799" width="1.85546875" style="4" customWidth="1"/>
    <col min="1800" max="1800" width="8.42578125" style="4" customWidth="1"/>
    <col min="1801" max="1801" width="11.42578125" style="4" customWidth="1"/>
    <col min="1802" max="1803" width="10.42578125" style="4" customWidth="1"/>
    <col min="1804" max="1804" width="10.5703125" style="4" customWidth="1"/>
    <col min="1805" max="1805" width="10" style="4" customWidth="1"/>
    <col min="1806" max="1806" width="11" style="4" bestFit="1" customWidth="1"/>
    <col min="1807" max="1807" width="12" style="4" customWidth="1"/>
    <col min="1808" max="1808" width="11.140625" style="4" customWidth="1"/>
    <col min="1809" max="1809" width="9.5703125" style="4" customWidth="1"/>
    <col min="1810" max="1810" width="10.42578125" style="4" customWidth="1"/>
    <col min="1811" max="1811" width="8.5703125" style="4" customWidth="1"/>
    <col min="1812" max="1812" width="11" style="4" customWidth="1"/>
    <col min="1813" max="1813" width="13.42578125" style="4" bestFit="1" customWidth="1"/>
    <col min="1814" max="1814" width="9.42578125" style="4" customWidth="1"/>
    <col min="1815" max="1815" width="7.5703125" style="4" customWidth="1"/>
    <col min="1816" max="1816" width="11.42578125" style="4" customWidth="1"/>
    <col min="1817" max="1817" width="9.42578125" style="4" customWidth="1"/>
    <col min="1818" max="1818" width="11.42578125" style="4" customWidth="1"/>
    <col min="1819" max="1819" width="13.42578125" style="4" bestFit="1" customWidth="1"/>
    <col min="1820" max="1820" width="5.5703125" style="4" bestFit="1" customWidth="1"/>
    <col min="1821" max="1821" width="19.5703125" style="4" bestFit="1" customWidth="1"/>
    <col min="1822" max="1822" width="1.42578125" style="4" customWidth="1"/>
    <col min="1823" max="1823" width="13.42578125" style="4" bestFit="1" customWidth="1"/>
    <col min="1824" max="1824" width="8.5703125" style="4" bestFit="1" customWidth="1"/>
    <col min="1825" max="1825" width="8.85546875" style="4" bestFit="1" customWidth="1"/>
    <col min="1826" max="2048" width="9.140625" style="4"/>
    <col min="2049" max="2049" width="11" style="4" customWidth="1"/>
    <col min="2050" max="2051" width="12.5703125" style="4" customWidth="1"/>
    <col min="2052" max="2052" width="11" style="4" customWidth="1"/>
    <col min="2053" max="2053" width="8.42578125" style="4" customWidth="1"/>
    <col min="2054" max="2054" width="11.42578125" style="4" customWidth="1"/>
    <col min="2055" max="2055" width="1.85546875" style="4" customWidth="1"/>
    <col min="2056" max="2056" width="8.42578125" style="4" customWidth="1"/>
    <col min="2057" max="2057" width="11.42578125" style="4" customWidth="1"/>
    <col min="2058" max="2059" width="10.42578125" style="4" customWidth="1"/>
    <col min="2060" max="2060" width="10.5703125" style="4" customWidth="1"/>
    <col min="2061" max="2061" width="10" style="4" customWidth="1"/>
    <col min="2062" max="2062" width="11" style="4" bestFit="1" customWidth="1"/>
    <col min="2063" max="2063" width="12" style="4" customWidth="1"/>
    <col min="2064" max="2064" width="11.140625" style="4" customWidth="1"/>
    <col min="2065" max="2065" width="9.5703125" style="4" customWidth="1"/>
    <col min="2066" max="2066" width="10.42578125" style="4" customWidth="1"/>
    <col min="2067" max="2067" width="8.5703125" style="4" customWidth="1"/>
    <col min="2068" max="2068" width="11" style="4" customWidth="1"/>
    <col min="2069" max="2069" width="13.42578125" style="4" bestFit="1" customWidth="1"/>
    <col min="2070" max="2070" width="9.42578125" style="4" customWidth="1"/>
    <col min="2071" max="2071" width="7.5703125" style="4" customWidth="1"/>
    <col min="2072" max="2072" width="11.42578125" style="4" customWidth="1"/>
    <col min="2073" max="2073" width="9.42578125" style="4" customWidth="1"/>
    <col min="2074" max="2074" width="11.42578125" style="4" customWidth="1"/>
    <col min="2075" max="2075" width="13.42578125" style="4" bestFit="1" customWidth="1"/>
    <col min="2076" max="2076" width="5.5703125" style="4" bestFit="1" customWidth="1"/>
    <col min="2077" max="2077" width="19.5703125" style="4" bestFit="1" customWidth="1"/>
    <col min="2078" max="2078" width="1.42578125" style="4" customWidth="1"/>
    <col min="2079" max="2079" width="13.42578125" style="4" bestFit="1" customWidth="1"/>
    <col min="2080" max="2080" width="8.5703125" style="4" bestFit="1" customWidth="1"/>
    <col min="2081" max="2081" width="8.85546875" style="4" bestFit="1" customWidth="1"/>
    <col min="2082" max="2304" width="9.140625" style="4"/>
    <col min="2305" max="2305" width="11" style="4" customWidth="1"/>
    <col min="2306" max="2307" width="12.5703125" style="4" customWidth="1"/>
    <col min="2308" max="2308" width="11" style="4" customWidth="1"/>
    <col min="2309" max="2309" width="8.42578125" style="4" customWidth="1"/>
    <col min="2310" max="2310" width="11.42578125" style="4" customWidth="1"/>
    <col min="2311" max="2311" width="1.85546875" style="4" customWidth="1"/>
    <col min="2312" max="2312" width="8.42578125" style="4" customWidth="1"/>
    <col min="2313" max="2313" width="11.42578125" style="4" customWidth="1"/>
    <col min="2314" max="2315" width="10.42578125" style="4" customWidth="1"/>
    <col min="2316" max="2316" width="10.5703125" style="4" customWidth="1"/>
    <col min="2317" max="2317" width="10" style="4" customWidth="1"/>
    <col min="2318" max="2318" width="11" style="4" bestFit="1" customWidth="1"/>
    <col min="2319" max="2319" width="12" style="4" customWidth="1"/>
    <col min="2320" max="2320" width="11.140625" style="4" customWidth="1"/>
    <col min="2321" max="2321" width="9.5703125" style="4" customWidth="1"/>
    <col min="2322" max="2322" width="10.42578125" style="4" customWidth="1"/>
    <col min="2323" max="2323" width="8.5703125" style="4" customWidth="1"/>
    <col min="2324" max="2324" width="11" style="4" customWidth="1"/>
    <col min="2325" max="2325" width="13.42578125" style="4" bestFit="1" customWidth="1"/>
    <col min="2326" max="2326" width="9.42578125" style="4" customWidth="1"/>
    <col min="2327" max="2327" width="7.5703125" style="4" customWidth="1"/>
    <col min="2328" max="2328" width="11.42578125" style="4" customWidth="1"/>
    <col min="2329" max="2329" width="9.42578125" style="4" customWidth="1"/>
    <col min="2330" max="2330" width="11.42578125" style="4" customWidth="1"/>
    <col min="2331" max="2331" width="13.42578125" style="4" bestFit="1" customWidth="1"/>
    <col min="2332" max="2332" width="5.5703125" style="4" bestFit="1" customWidth="1"/>
    <col min="2333" max="2333" width="19.5703125" style="4" bestFit="1" customWidth="1"/>
    <col min="2334" max="2334" width="1.42578125" style="4" customWidth="1"/>
    <col min="2335" max="2335" width="13.42578125" style="4" bestFit="1" customWidth="1"/>
    <col min="2336" max="2336" width="8.5703125" style="4" bestFit="1" customWidth="1"/>
    <col min="2337" max="2337" width="8.85546875" style="4" bestFit="1" customWidth="1"/>
    <col min="2338" max="2560" width="9.140625" style="4"/>
    <col min="2561" max="2561" width="11" style="4" customWidth="1"/>
    <col min="2562" max="2563" width="12.5703125" style="4" customWidth="1"/>
    <col min="2564" max="2564" width="11" style="4" customWidth="1"/>
    <col min="2565" max="2565" width="8.42578125" style="4" customWidth="1"/>
    <col min="2566" max="2566" width="11.42578125" style="4" customWidth="1"/>
    <col min="2567" max="2567" width="1.85546875" style="4" customWidth="1"/>
    <col min="2568" max="2568" width="8.42578125" style="4" customWidth="1"/>
    <col min="2569" max="2569" width="11.42578125" style="4" customWidth="1"/>
    <col min="2570" max="2571" width="10.42578125" style="4" customWidth="1"/>
    <col min="2572" max="2572" width="10.5703125" style="4" customWidth="1"/>
    <col min="2573" max="2573" width="10" style="4" customWidth="1"/>
    <col min="2574" max="2574" width="11" style="4" bestFit="1" customWidth="1"/>
    <col min="2575" max="2575" width="12" style="4" customWidth="1"/>
    <col min="2576" max="2576" width="11.140625" style="4" customWidth="1"/>
    <col min="2577" max="2577" width="9.5703125" style="4" customWidth="1"/>
    <col min="2578" max="2578" width="10.42578125" style="4" customWidth="1"/>
    <col min="2579" max="2579" width="8.5703125" style="4" customWidth="1"/>
    <col min="2580" max="2580" width="11" style="4" customWidth="1"/>
    <col min="2581" max="2581" width="13.42578125" style="4" bestFit="1" customWidth="1"/>
    <col min="2582" max="2582" width="9.42578125" style="4" customWidth="1"/>
    <col min="2583" max="2583" width="7.5703125" style="4" customWidth="1"/>
    <col min="2584" max="2584" width="11.42578125" style="4" customWidth="1"/>
    <col min="2585" max="2585" width="9.42578125" style="4" customWidth="1"/>
    <col min="2586" max="2586" width="11.42578125" style="4" customWidth="1"/>
    <col min="2587" max="2587" width="13.42578125" style="4" bestFit="1" customWidth="1"/>
    <col min="2588" max="2588" width="5.5703125" style="4" bestFit="1" customWidth="1"/>
    <col min="2589" max="2589" width="19.5703125" style="4" bestFit="1" customWidth="1"/>
    <col min="2590" max="2590" width="1.42578125" style="4" customWidth="1"/>
    <col min="2591" max="2591" width="13.42578125" style="4" bestFit="1" customWidth="1"/>
    <col min="2592" max="2592" width="8.5703125" style="4" bestFit="1" customWidth="1"/>
    <col min="2593" max="2593" width="8.85546875" style="4" bestFit="1" customWidth="1"/>
    <col min="2594" max="2816" width="9.140625" style="4"/>
    <col min="2817" max="2817" width="11" style="4" customWidth="1"/>
    <col min="2818" max="2819" width="12.5703125" style="4" customWidth="1"/>
    <col min="2820" max="2820" width="11" style="4" customWidth="1"/>
    <col min="2821" max="2821" width="8.42578125" style="4" customWidth="1"/>
    <col min="2822" max="2822" width="11.42578125" style="4" customWidth="1"/>
    <col min="2823" max="2823" width="1.85546875" style="4" customWidth="1"/>
    <col min="2824" max="2824" width="8.42578125" style="4" customWidth="1"/>
    <col min="2825" max="2825" width="11.42578125" style="4" customWidth="1"/>
    <col min="2826" max="2827" width="10.42578125" style="4" customWidth="1"/>
    <col min="2828" max="2828" width="10.5703125" style="4" customWidth="1"/>
    <col min="2829" max="2829" width="10" style="4" customWidth="1"/>
    <col min="2830" max="2830" width="11" style="4" bestFit="1" customWidth="1"/>
    <col min="2831" max="2831" width="12" style="4" customWidth="1"/>
    <col min="2832" max="2832" width="11.140625" style="4" customWidth="1"/>
    <col min="2833" max="2833" width="9.5703125" style="4" customWidth="1"/>
    <col min="2834" max="2834" width="10.42578125" style="4" customWidth="1"/>
    <col min="2835" max="2835" width="8.5703125" style="4" customWidth="1"/>
    <col min="2836" max="2836" width="11" style="4" customWidth="1"/>
    <col min="2837" max="2837" width="13.42578125" style="4" bestFit="1" customWidth="1"/>
    <col min="2838" max="2838" width="9.42578125" style="4" customWidth="1"/>
    <col min="2839" max="2839" width="7.5703125" style="4" customWidth="1"/>
    <col min="2840" max="2840" width="11.42578125" style="4" customWidth="1"/>
    <col min="2841" max="2841" width="9.42578125" style="4" customWidth="1"/>
    <col min="2842" max="2842" width="11.42578125" style="4" customWidth="1"/>
    <col min="2843" max="2843" width="13.42578125" style="4" bestFit="1" customWidth="1"/>
    <col min="2844" max="2844" width="5.5703125" style="4" bestFit="1" customWidth="1"/>
    <col min="2845" max="2845" width="19.5703125" style="4" bestFit="1" customWidth="1"/>
    <col min="2846" max="2846" width="1.42578125" style="4" customWidth="1"/>
    <col min="2847" max="2847" width="13.42578125" style="4" bestFit="1" customWidth="1"/>
    <col min="2848" max="2848" width="8.5703125" style="4" bestFit="1" customWidth="1"/>
    <col min="2849" max="2849" width="8.85546875" style="4" bestFit="1" customWidth="1"/>
    <col min="2850" max="3072" width="9.140625" style="4"/>
    <col min="3073" max="3073" width="11" style="4" customWidth="1"/>
    <col min="3074" max="3075" width="12.5703125" style="4" customWidth="1"/>
    <col min="3076" max="3076" width="11" style="4" customWidth="1"/>
    <col min="3077" max="3077" width="8.42578125" style="4" customWidth="1"/>
    <col min="3078" max="3078" width="11.42578125" style="4" customWidth="1"/>
    <col min="3079" max="3079" width="1.85546875" style="4" customWidth="1"/>
    <col min="3080" max="3080" width="8.42578125" style="4" customWidth="1"/>
    <col min="3081" max="3081" width="11.42578125" style="4" customWidth="1"/>
    <col min="3082" max="3083" width="10.42578125" style="4" customWidth="1"/>
    <col min="3084" max="3084" width="10.5703125" style="4" customWidth="1"/>
    <col min="3085" max="3085" width="10" style="4" customWidth="1"/>
    <col min="3086" max="3086" width="11" style="4" bestFit="1" customWidth="1"/>
    <col min="3087" max="3087" width="12" style="4" customWidth="1"/>
    <col min="3088" max="3088" width="11.140625" style="4" customWidth="1"/>
    <col min="3089" max="3089" width="9.5703125" style="4" customWidth="1"/>
    <col min="3090" max="3090" width="10.42578125" style="4" customWidth="1"/>
    <col min="3091" max="3091" width="8.5703125" style="4" customWidth="1"/>
    <col min="3092" max="3092" width="11" style="4" customWidth="1"/>
    <col min="3093" max="3093" width="13.42578125" style="4" bestFit="1" customWidth="1"/>
    <col min="3094" max="3094" width="9.42578125" style="4" customWidth="1"/>
    <col min="3095" max="3095" width="7.5703125" style="4" customWidth="1"/>
    <col min="3096" max="3096" width="11.42578125" style="4" customWidth="1"/>
    <col min="3097" max="3097" width="9.42578125" style="4" customWidth="1"/>
    <col min="3098" max="3098" width="11.42578125" style="4" customWidth="1"/>
    <col min="3099" max="3099" width="13.42578125" style="4" bestFit="1" customWidth="1"/>
    <col min="3100" max="3100" width="5.5703125" style="4" bestFit="1" customWidth="1"/>
    <col min="3101" max="3101" width="19.5703125" style="4" bestFit="1" customWidth="1"/>
    <col min="3102" max="3102" width="1.42578125" style="4" customWidth="1"/>
    <col min="3103" max="3103" width="13.42578125" style="4" bestFit="1" customWidth="1"/>
    <col min="3104" max="3104" width="8.5703125" style="4" bestFit="1" customWidth="1"/>
    <col min="3105" max="3105" width="8.85546875" style="4" bestFit="1" customWidth="1"/>
    <col min="3106" max="3328" width="9.140625" style="4"/>
    <col min="3329" max="3329" width="11" style="4" customWidth="1"/>
    <col min="3330" max="3331" width="12.5703125" style="4" customWidth="1"/>
    <col min="3332" max="3332" width="11" style="4" customWidth="1"/>
    <col min="3333" max="3333" width="8.42578125" style="4" customWidth="1"/>
    <col min="3334" max="3334" width="11.42578125" style="4" customWidth="1"/>
    <col min="3335" max="3335" width="1.85546875" style="4" customWidth="1"/>
    <col min="3336" max="3336" width="8.42578125" style="4" customWidth="1"/>
    <col min="3337" max="3337" width="11.42578125" style="4" customWidth="1"/>
    <col min="3338" max="3339" width="10.42578125" style="4" customWidth="1"/>
    <col min="3340" max="3340" width="10.5703125" style="4" customWidth="1"/>
    <col min="3341" max="3341" width="10" style="4" customWidth="1"/>
    <col min="3342" max="3342" width="11" style="4" bestFit="1" customWidth="1"/>
    <col min="3343" max="3343" width="12" style="4" customWidth="1"/>
    <col min="3344" max="3344" width="11.140625" style="4" customWidth="1"/>
    <col min="3345" max="3345" width="9.5703125" style="4" customWidth="1"/>
    <col min="3346" max="3346" width="10.42578125" style="4" customWidth="1"/>
    <col min="3347" max="3347" width="8.5703125" style="4" customWidth="1"/>
    <col min="3348" max="3348" width="11" style="4" customWidth="1"/>
    <col min="3349" max="3349" width="13.42578125" style="4" bestFit="1" customWidth="1"/>
    <col min="3350" max="3350" width="9.42578125" style="4" customWidth="1"/>
    <col min="3351" max="3351" width="7.5703125" style="4" customWidth="1"/>
    <col min="3352" max="3352" width="11.42578125" style="4" customWidth="1"/>
    <col min="3353" max="3353" width="9.42578125" style="4" customWidth="1"/>
    <col min="3354" max="3354" width="11.42578125" style="4" customWidth="1"/>
    <col min="3355" max="3355" width="13.42578125" style="4" bestFit="1" customWidth="1"/>
    <col min="3356" max="3356" width="5.5703125" style="4" bestFit="1" customWidth="1"/>
    <col min="3357" max="3357" width="19.5703125" style="4" bestFit="1" customWidth="1"/>
    <col min="3358" max="3358" width="1.42578125" style="4" customWidth="1"/>
    <col min="3359" max="3359" width="13.42578125" style="4" bestFit="1" customWidth="1"/>
    <col min="3360" max="3360" width="8.5703125" style="4" bestFit="1" customWidth="1"/>
    <col min="3361" max="3361" width="8.85546875" style="4" bestFit="1" customWidth="1"/>
    <col min="3362" max="3584" width="9.140625" style="4"/>
    <col min="3585" max="3585" width="11" style="4" customWidth="1"/>
    <col min="3586" max="3587" width="12.5703125" style="4" customWidth="1"/>
    <col min="3588" max="3588" width="11" style="4" customWidth="1"/>
    <col min="3589" max="3589" width="8.42578125" style="4" customWidth="1"/>
    <col min="3590" max="3590" width="11.42578125" style="4" customWidth="1"/>
    <col min="3591" max="3591" width="1.85546875" style="4" customWidth="1"/>
    <col min="3592" max="3592" width="8.42578125" style="4" customWidth="1"/>
    <col min="3593" max="3593" width="11.42578125" style="4" customWidth="1"/>
    <col min="3594" max="3595" width="10.42578125" style="4" customWidth="1"/>
    <col min="3596" max="3596" width="10.5703125" style="4" customWidth="1"/>
    <col min="3597" max="3597" width="10" style="4" customWidth="1"/>
    <col min="3598" max="3598" width="11" style="4" bestFit="1" customWidth="1"/>
    <col min="3599" max="3599" width="12" style="4" customWidth="1"/>
    <col min="3600" max="3600" width="11.140625" style="4" customWidth="1"/>
    <col min="3601" max="3601" width="9.5703125" style="4" customWidth="1"/>
    <col min="3602" max="3602" width="10.42578125" style="4" customWidth="1"/>
    <col min="3603" max="3603" width="8.5703125" style="4" customWidth="1"/>
    <col min="3604" max="3604" width="11" style="4" customWidth="1"/>
    <col min="3605" max="3605" width="13.42578125" style="4" bestFit="1" customWidth="1"/>
    <col min="3606" max="3606" width="9.42578125" style="4" customWidth="1"/>
    <col min="3607" max="3607" width="7.5703125" style="4" customWidth="1"/>
    <col min="3608" max="3608" width="11.42578125" style="4" customWidth="1"/>
    <col min="3609" max="3609" width="9.42578125" style="4" customWidth="1"/>
    <col min="3610" max="3610" width="11.42578125" style="4" customWidth="1"/>
    <col min="3611" max="3611" width="13.42578125" style="4" bestFit="1" customWidth="1"/>
    <col min="3612" max="3612" width="5.5703125" style="4" bestFit="1" customWidth="1"/>
    <col min="3613" max="3613" width="19.5703125" style="4" bestFit="1" customWidth="1"/>
    <col min="3614" max="3614" width="1.42578125" style="4" customWidth="1"/>
    <col min="3615" max="3615" width="13.42578125" style="4" bestFit="1" customWidth="1"/>
    <col min="3616" max="3616" width="8.5703125" style="4" bestFit="1" customWidth="1"/>
    <col min="3617" max="3617" width="8.85546875" style="4" bestFit="1" customWidth="1"/>
    <col min="3618" max="3840" width="9.140625" style="4"/>
    <col min="3841" max="3841" width="11" style="4" customWidth="1"/>
    <col min="3842" max="3843" width="12.5703125" style="4" customWidth="1"/>
    <col min="3844" max="3844" width="11" style="4" customWidth="1"/>
    <col min="3845" max="3845" width="8.42578125" style="4" customWidth="1"/>
    <col min="3846" max="3846" width="11.42578125" style="4" customWidth="1"/>
    <col min="3847" max="3847" width="1.85546875" style="4" customWidth="1"/>
    <col min="3848" max="3848" width="8.42578125" style="4" customWidth="1"/>
    <col min="3849" max="3849" width="11.42578125" style="4" customWidth="1"/>
    <col min="3850" max="3851" width="10.42578125" style="4" customWidth="1"/>
    <col min="3852" max="3852" width="10.5703125" style="4" customWidth="1"/>
    <col min="3853" max="3853" width="10" style="4" customWidth="1"/>
    <col min="3854" max="3854" width="11" style="4" bestFit="1" customWidth="1"/>
    <col min="3855" max="3855" width="12" style="4" customWidth="1"/>
    <col min="3856" max="3856" width="11.140625" style="4" customWidth="1"/>
    <col min="3857" max="3857" width="9.5703125" style="4" customWidth="1"/>
    <col min="3858" max="3858" width="10.42578125" style="4" customWidth="1"/>
    <col min="3859" max="3859" width="8.5703125" style="4" customWidth="1"/>
    <col min="3860" max="3860" width="11" style="4" customWidth="1"/>
    <col min="3861" max="3861" width="13.42578125" style="4" bestFit="1" customWidth="1"/>
    <col min="3862" max="3862" width="9.42578125" style="4" customWidth="1"/>
    <col min="3863" max="3863" width="7.5703125" style="4" customWidth="1"/>
    <col min="3864" max="3864" width="11.42578125" style="4" customWidth="1"/>
    <col min="3865" max="3865" width="9.42578125" style="4" customWidth="1"/>
    <col min="3866" max="3866" width="11.42578125" style="4" customWidth="1"/>
    <col min="3867" max="3867" width="13.42578125" style="4" bestFit="1" customWidth="1"/>
    <col min="3868" max="3868" width="5.5703125" style="4" bestFit="1" customWidth="1"/>
    <col min="3869" max="3869" width="19.5703125" style="4" bestFit="1" customWidth="1"/>
    <col min="3870" max="3870" width="1.42578125" style="4" customWidth="1"/>
    <col min="3871" max="3871" width="13.42578125" style="4" bestFit="1" customWidth="1"/>
    <col min="3872" max="3872" width="8.5703125" style="4" bestFit="1" customWidth="1"/>
    <col min="3873" max="3873" width="8.85546875" style="4" bestFit="1" customWidth="1"/>
    <col min="3874" max="4096" width="9.140625" style="4"/>
    <col min="4097" max="4097" width="11" style="4" customWidth="1"/>
    <col min="4098" max="4099" width="12.5703125" style="4" customWidth="1"/>
    <col min="4100" max="4100" width="11" style="4" customWidth="1"/>
    <col min="4101" max="4101" width="8.42578125" style="4" customWidth="1"/>
    <col min="4102" max="4102" width="11.42578125" style="4" customWidth="1"/>
    <col min="4103" max="4103" width="1.85546875" style="4" customWidth="1"/>
    <col min="4104" max="4104" width="8.42578125" style="4" customWidth="1"/>
    <col min="4105" max="4105" width="11.42578125" style="4" customWidth="1"/>
    <col min="4106" max="4107" width="10.42578125" style="4" customWidth="1"/>
    <col min="4108" max="4108" width="10.5703125" style="4" customWidth="1"/>
    <col min="4109" max="4109" width="10" style="4" customWidth="1"/>
    <col min="4110" max="4110" width="11" style="4" bestFit="1" customWidth="1"/>
    <col min="4111" max="4111" width="12" style="4" customWidth="1"/>
    <col min="4112" max="4112" width="11.140625" style="4" customWidth="1"/>
    <col min="4113" max="4113" width="9.5703125" style="4" customWidth="1"/>
    <col min="4114" max="4114" width="10.42578125" style="4" customWidth="1"/>
    <col min="4115" max="4115" width="8.5703125" style="4" customWidth="1"/>
    <col min="4116" max="4116" width="11" style="4" customWidth="1"/>
    <col min="4117" max="4117" width="13.42578125" style="4" bestFit="1" customWidth="1"/>
    <col min="4118" max="4118" width="9.42578125" style="4" customWidth="1"/>
    <col min="4119" max="4119" width="7.5703125" style="4" customWidth="1"/>
    <col min="4120" max="4120" width="11.42578125" style="4" customWidth="1"/>
    <col min="4121" max="4121" width="9.42578125" style="4" customWidth="1"/>
    <col min="4122" max="4122" width="11.42578125" style="4" customWidth="1"/>
    <col min="4123" max="4123" width="13.42578125" style="4" bestFit="1" customWidth="1"/>
    <col min="4124" max="4124" width="5.5703125" style="4" bestFit="1" customWidth="1"/>
    <col min="4125" max="4125" width="19.5703125" style="4" bestFit="1" customWidth="1"/>
    <col min="4126" max="4126" width="1.42578125" style="4" customWidth="1"/>
    <col min="4127" max="4127" width="13.42578125" style="4" bestFit="1" customWidth="1"/>
    <col min="4128" max="4128" width="8.5703125" style="4" bestFit="1" customWidth="1"/>
    <col min="4129" max="4129" width="8.85546875" style="4" bestFit="1" customWidth="1"/>
    <col min="4130" max="4352" width="9.140625" style="4"/>
    <col min="4353" max="4353" width="11" style="4" customWidth="1"/>
    <col min="4354" max="4355" width="12.5703125" style="4" customWidth="1"/>
    <col min="4356" max="4356" width="11" style="4" customWidth="1"/>
    <col min="4357" max="4357" width="8.42578125" style="4" customWidth="1"/>
    <col min="4358" max="4358" width="11.42578125" style="4" customWidth="1"/>
    <col min="4359" max="4359" width="1.85546875" style="4" customWidth="1"/>
    <col min="4360" max="4360" width="8.42578125" style="4" customWidth="1"/>
    <col min="4361" max="4361" width="11.42578125" style="4" customWidth="1"/>
    <col min="4362" max="4363" width="10.42578125" style="4" customWidth="1"/>
    <col min="4364" max="4364" width="10.5703125" style="4" customWidth="1"/>
    <col min="4365" max="4365" width="10" style="4" customWidth="1"/>
    <col min="4366" max="4366" width="11" style="4" bestFit="1" customWidth="1"/>
    <col min="4367" max="4367" width="12" style="4" customWidth="1"/>
    <col min="4368" max="4368" width="11.140625" style="4" customWidth="1"/>
    <col min="4369" max="4369" width="9.5703125" style="4" customWidth="1"/>
    <col min="4370" max="4370" width="10.42578125" style="4" customWidth="1"/>
    <col min="4371" max="4371" width="8.5703125" style="4" customWidth="1"/>
    <col min="4372" max="4372" width="11" style="4" customWidth="1"/>
    <col min="4373" max="4373" width="13.42578125" style="4" bestFit="1" customWidth="1"/>
    <col min="4374" max="4374" width="9.42578125" style="4" customWidth="1"/>
    <col min="4375" max="4375" width="7.5703125" style="4" customWidth="1"/>
    <col min="4376" max="4376" width="11.42578125" style="4" customWidth="1"/>
    <col min="4377" max="4377" width="9.42578125" style="4" customWidth="1"/>
    <col min="4378" max="4378" width="11.42578125" style="4" customWidth="1"/>
    <col min="4379" max="4379" width="13.42578125" style="4" bestFit="1" customWidth="1"/>
    <col min="4380" max="4380" width="5.5703125" style="4" bestFit="1" customWidth="1"/>
    <col min="4381" max="4381" width="19.5703125" style="4" bestFit="1" customWidth="1"/>
    <col min="4382" max="4382" width="1.42578125" style="4" customWidth="1"/>
    <col min="4383" max="4383" width="13.42578125" style="4" bestFit="1" customWidth="1"/>
    <col min="4384" max="4384" width="8.5703125" style="4" bestFit="1" customWidth="1"/>
    <col min="4385" max="4385" width="8.85546875" style="4" bestFit="1" customWidth="1"/>
    <col min="4386" max="4608" width="9.140625" style="4"/>
    <col min="4609" max="4609" width="11" style="4" customWidth="1"/>
    <col min="4610" max="4611" width="12.5703125" style="4" customWidth="1"/>
    <col min="4612" max="4612" width="11" style="4" customWidth="1"/>
    <col min="4613" max="4613" width="8.42578125" style="4" customWidth="1"/>
    <col min="4614" max="4614" width="11.42578125" style="4" customWidth="1"/>
    <col min="4615" max="4615" width="1.85546875" style="4" customWidth="1"/>
    <col min="4616" max="4616" width="8.42578125" style="4" customWidth="1"/>
    <col min="4617" max="4617" width="11.42578125" style="4" customWidth="1"/>
    <col min="4618" max="4619" width="10.42578125" style="4" customWidth="1"/>
    <col min="4620" max="4620" width="10.5703125" style="4" customWidth="1"/>
    <col min="4621" max="4621" width="10" style="4" customWidth="1"/>
    <col min="4622" max="4622" width="11" style="4" bestFit="1" customWidth="1"/>
    <col min="4623" max="4623" width="12" style="4" customWidth="1"/>
    <col min="4624" max="4624" width="11.140625" style="4" customWidth="1"/>
    <col min="4625" max="4625" width="9.5703125" style="4" customWidth="1"/>
    <col min="4626" max="4626" width="10.42578125" style="4" customWidth="1"/>
    <col min="4627" max="4627" width="8.5703125" style="4" customWidth="1"/>
    <col min="4628" max="4628" width="11" style="4" customWidth="1"/>
    <col min="4629" max="4629" width="13.42578125" style="4" bestFit="1" customWidth="1"/>
    <col min="4630" max="4630" width="9.42578125" style="4" customWidth="1"/>
    <col min="4631" max="4631" width="7.5703125" style="4" customWidth="1"/>
    <col min="4632" max="4632" width="11.42578125" style="4" customWidth="1"/>
    <col min="4633" max="4633" width="9.42578125" style="4" customWidth="1"/>
    <col min="4634" max="4634" width="11.42578125" style="4" customWidth="1"/>
    <col min="4635" max="4635" width="13.42578125" style="4" bestFit="1" customWidth="1"/>
    <col min="4636" max="4636" width="5.5703125" style="4" bestFit="1" customWidth="1"/>
    <col min="4637" max="4637" width="19.5703125" style="4" bestFit="1" customWidth="1"/>
    <col min="4638" max="4638" width="1.42578125" style="4" customWidth="1"/>
    <col min="4639" max="4639" width="13.42578125" style="4" bestFit="1" customWidth="1"/>
    <col min="4640" max="4640" width="8.5703125" style="4" bestFit="1" customWidth="1"/>
    <col min="4641" max="4641" width="8.85546875" style="4" bestFit="1" customWidth="1"/>
    <col min="4642" max="4864" width="9.140625" style="4"/>
    <col min="4865" max="4865" width="11" style="4" customWidth="1"/>
    <col min="4866" max="4867" width="12.5703125" style="4" customWidth="1"/>
    <col min="4868" max="4868" width="11" style="4" customWidth="1"/>
    <col min="4869" max="4869" width="8.42578125" style="4" customWidth="1"/>
    <col min="4870" max="4870" width="11.42578125" style="4" customWidth="1"/>
    <col min="4871" max="4871" width="1.85546875" style="4" customWidth="1"/>
    <col min="4872" max="4872" width="8.42578125" style="4" customWidth="1"/>
    <col min="4873" max="4873" width="11.42578125" style="4" customWidth="1"/>
    <col min="4874" max="4875" width="10.42578125" style="4" customWidth="1"/>
    <col min="4876" max="4876" width="10.5703125" style="4" customWidth="1"/>
    <col min="4877" max="4877" width="10" style="4" customWidth="1"/>
    <col min="4878" max="4878" width="11" style="4" bestFit="1" customWidth="1"/>
    <col min="4879" max="4879" width="12" style="4" customWidth="1"/>
    <col min="4880" max="4880" width="11.140625" style="4" customWidth="1"/>
    <col min="4881" max="4881" width="9.5703125" style="4" customWidth="1"/>
    <col min="4882" max="4882" width="10.42578125" style="4" customWidth="1"/>
    <col min="4883" max="4883" width="8.5703125" style="4" customWidth="1"/>
    <col min="4884" max="4884" width="11" style="4" customWidth="1"/>
    <col min="4885" max="4885" width="13.42578125" style="4" bestFit="1" customWidth="1"/>
    <col min="4886" max="4886" width="9.42578125" style="4" customWidth="1"/>
    <col min="4887" max="4887" width="7.5703125" style="4" customWidth="1"/>
    <col min="4888" max="4888" width="11.42578125" style="4" customWidth="1"/>
    <col min="4889" max="4889" width="9.42578125" style="4" customWidth="1"/>
    <col min="4890" max="4890" width="11.42578125" style="4" customWidth="1"/>
    <col min="4891" max="4891" width="13.42578125" style="4" bestFit="1" customWidth="1"/>
    <col min="4892" max="4892" width="5.5703125" style="4" bestFit="1" customWidth="1"/>
    <col min="4893" max="4893" width="19.5703125" style="4" bestFit="1" customWidth="1"/>
    <col min="4894" max="4894" width="1.42578125" style="4" customWidth="1"/>
    <col min="4895" max="4895" width="13.42578125" style="4" bestFit="1" customWidth="1"/>
    <col min="4896" max="4896" width="8.5703125" style="4" bestFit="1" customWidth="1"/>
    <col min="4897" max="4897" width="8.85546875" style="4" bestFit="1" customWidth="1"/>
    <col min="4898" max="5120" width="9.140625" style="4"/>
    <col min="5121" max="5121" width="11" style="4" customWidth="1"/>
    <col min="5122" max="5123" width="12.5703125" style="4" customWidth="1"/>
    <col min="5124" max="5124" width="11" style="4" customWidth="1"/>
    <col min="5125" max="5125" width="8.42578125" style="4" customWidth="1"/>
    <col min="5126" max="5126" width="11.42578125" style="4" customWidth="1"/>
    <col min="5127" max="5127" width="1.85546875" style="4" customWidth="1"/>
    <col min="5128" max="5128" width="8.42578125" style="4" customWidth="1"/>
    <col min="5129" max="5129" width="11.42578125" style="4" customWidth="1"/>
    <col min="5130" max="5131" width="10.42578125" style="4" customWidth="1"/>
    <col min="5132" max="5132" width="10.5703125" style="4" customWidth="1"/>
    <col min="5133" max="5133" width="10" style="4" customWidth="1"/>
    <col min="5134" max="5134" width="11" style="4" bestFit="1" customWidth="1"/>
    <col min="5135" max="5135" width="12" style="4" customWidth="1"/>
    <col min="5136" max="5136" width="11.140625" style="4" customWidth="1"/>
    <col min="5137" max="5137" width="9.5703125" style="4" customWidth="1"/>
    <col min="5138" max="5138" width="10.42578125" style="4" customWidth="1"/>
    <col min="5139" max="5139" width="8.5703125" style="4" customWidth="1"/>
    <col min="5140" max="5140" width="11" style="4" customWidth="1"/>
    <col min="5141" max="5141" width="13.42578125" style="4" bestFit="1" customWidth="1"/>
    <col min="5142" max="5142" width="9.42578125" style="4" customWidth="1"/>
    <col min="5143" max="5143" width="7.5703125" style="4" customWidth="1"/>
    <col min="5144" max="5144" width="11.42578125" style="4" customWidth="1"/>
    <col min="5145" max="5145" width="9.42578125" style="4" customWidth="1"/>
    <col min="5146" max="5146" width="11.42578125" style="4" customWidth="1"/>
    <col min="5147" max="5147" width="13.42578125" style="4" bestFit="1" customWidth="1"/>
    <col min="5148" max="5148" width="5.5703125" style="4" bestFit="1" customWidth="1"/>
    <col min="5149" max="5149" width="19.5703125" style="4" bestFit="1" customWidth="1"/>
    <col min="5150" max="5150" width="1.42578125" style="4" customWidth="1"/>
    <col min="5151" max="5151" width="13.42578125" style="4" bestFit="1" customWidth="1"/>
    <col min="5152" max="5152" width="8.5703125" style="4" bestFit="1" customWidth="1"/>
    <col min="5153" max="5153" width="8.85546875" style="4" bestFit="1" customWidth="1"/>
    <col min="5154" max="5376" width="9.140625" style="4"/>
    <col min="5377" max="5377" width="11" style="4" customWidth="1"/>
    <col min="5378" max="5379" width="12.5703125" style="4" customWidth="1"/>
    <col min="5380" max="5380" width="11" style="4" customWidth="1"/>
    <col min="5381" max="5381" width="8.42578125" style="4" customWidth="1"/>
    <col min="5382" max="5382" width="11.42578125" style="4" customWidth="1"/>
    <col min="5383" max="5383" width="1.85546875" style="4" customWidth="1"/>
    <col min="5384" max="5384" width="8.42578125" style="4" customWidth="1"/>
    <col min="5385" max="5385" width="11.42578125" style="4" customWidth="1"/>
    <col min="5386" max="5387" width="10.42578125" style="4" customWidth="1"/>
    <col min="5388" max="5388" width="10.5703125" style="4" customWidth="1"/>
    <col min="5389" max="5389" width="10" style="4" customWidth="1"/>
    <col min="5390" max="5390" width="11" style="4" bestFit="1" customWidth="1"/>
    <col min="5391" max="5391" width="12" style="4" customWidth="1"/>
    <col min="5392" max="5392" width="11.140625" style="4" customWidth="1"/>
    <col min="5393" max="5393" width="9.5703125" style="4" customWidth="1"/>
    <col min="5394" max="5394" width="10.42578125" style="4" customWidth="1"/>
    <col min="5395" max="5395" width="8.5703125" style="4" customWidth="1"/>
    <col min="5396" max="5396" width="11" style="4" customWidth="1"/>
    <col min="5397" max="5397" width="13.42578125" style="4" bestFit="1" customWidth="1"/>
    <col min="5398" max="5398" width="9.42578125" style="4" customWidth="1"/>
    <col min="5399" max="5399" width="7.5703125" style="4" customWidth="1"/>
    <col min="5400" max="5400" width="11.42578125" style="4" customWidth="1"/>
    <col min="5401" max="5401" width="9.42578125" style="4" customWidth="1"/>
    <col min="5402" max="5402" width="11.42578125" style="4" customWidth="1"/>
    <col min="5403" max="5403" width="13.42578125" style="4" bestFit="1" customWidth="1"/>
    <col min="5404" max="5404" width="5.5703125" style="4" bestFit="1" customWidth="1"/>
    <col min="5405" max="5405" width="19.5703125" style="4" bestFit="1" customWidth="1"/>
    <col min="5406" max="5406" width="1.42578125" style="4" customWidth="1"/>
    <col min="5407" max="5407" width="13.42578125" style="4" bestFit="1" customWidth="1"/>
    <col min="5408" max="5408" width="8.5703125" style="4" bestFit="1" customWidth="1"/>
    <col min="5409" max="5409" width="8.85546875" style="4" bestFit="1" customWidth="1"/>
    <col min="5410" max="5632" width="9.140625" style="4"/>
    <col min="5633" max="5633" width="11" style="4" customWidth="1"/>
    <col min="5634" max="5635" width="12.5703125" style="4" customWidth="1"/>
    <col min="5636" max="5636" width="11" style="4" customWidth="1"/>
    <col min="5637" max="5637" width="8.42578125" style="4" customWidth="1"/>
    <col min="5638" max="5638" width="11.42578125" style="4" customWidth="1"/>
    <col min="5639" max="5639" width="1.85546875" style="4" customWidth="1"/>
    <col min="5640" max="5640" width="8.42578125" style="4" customWidth="1"/>
    <col min="5641" max="5641" width="11.42578125" style="4" customWidth="1"/>
    <col min="5642" max="5643" width="10.42578125" style="4" customWidth="1"/>
    <col min="5644" max="5644" width="10.5703125" style="4" customWidth="1"/>
    <col min="5645" max="5645" width="10" style="4" customWidth="1"/>
    <col min="5646" max="5646" width="11" style="4" bestFit="1" customWidth="1"/>
    <col min="5647" max="5647" width="12" style="4" customWidth="1"/>
    <col min="5648" max="5648" width="11.140625" style="4" customWidth="1"/>
    <col min="5649" max="5649" width="9.5703125" style="4" customWidth="1"/>
    <col min="5650" max="5650" width="10.42578125" style="4" customWidth="1"/>
    <col min="5651" max="5651" width="8.5703125" style="4" customWidth="1"/>
    <col min="5652" max="5652" width="11" style="4" customWidth="1"/>
    <col min="5653" max="5653" width="13.42578125" style="4" bestFit="1" customWidth="1"/>
    <col min="5654" max="5654" width="9.42578125" style="4" customWidth="1"/>
    <col min="5655" max="5655" width="7.5703125" style="4" customWidth="1"/>
    <col min="5656" max="5656" width="11.42578125" style="4" customWidth="1"/>
    <col min="5657" max="5657" width="9.42578125" style="4" customWidth="1"/>
    <col min="5658" max="5658" width="11.42578125" style="4" customWidth="1"/>
    <col min="5659" max="5659" width="13.42578125" style="4" bestFit="1" customWidth="1"/>
    <col min="5660" max="5660" width="5.5703125" style="4" bestFit="1" customWidth="1"/>
    <col min="5661" max="5661" width="19.5703125" style="4" bestFit="1" customWidth="1"/>
    <col min="5662" max="5662" width="1.42578125" style="4" customWidth="1"/>
    <col min="5663" max="5663" width="13.42578125" style="4" bestFit="1" customWidth="1"/>
    <col min="5664" max="5664" width="8.5703125" style="4" bestFit="1" customWidth="1"/>
    <col min="5665" max="5665" width="8.85546875" style="4" bestFit="1" customWidth="1"/>
    <col min="5666" max="5888" width="9.140625" style="4"/>
    <col min="5889" max="5889" width="11" style="4" customWidth="1"/>
    <col min="5890" max="5891" width="12.5703125" style="4" customWidth="1"/>
    <col min="5892" max="5892" width="11" style="4" customWidth="1"/>
    <col min="5893" max="5893" width="8.42578125" style="4" customWidth="1"/>
    <col min="5894" max="5894" width="11.42578125" style="4" customWidth="1"/>
    <col min="5895" max="5895" width="1.85546875" style="4" customWidth="1"/>
    <col min="5896" max="5896" width="8.42578125" style="4" customWidth="1"/>
    <col min="5897" max="5897" width="11.42578125" style="4" customWidth="1"/>
    <col min="5898" max="5899" width="10.42578125" style="4" customWidth="1"/>
    <col min="5900" max="5900" width="10.5703125" style="4" customWidth="1"/>
    <col min="5901" max="5901" width="10" style="4" customWidth="1"/>
    <col min="5902" max="5902" width="11" style="4" bestFit="1" customWidth="1"/>
    <col min="5903" max="5903" width="12" style="4" customWidth="1"/>
    <col min="5904" max="5904" width="11.140625" style="4" customWidth="1"/>
    <col min="5905" max="5905" width="9.5703125" style="4" customWidth="1"/>
    <col min="5906" max="5906" width="10.42578125" style="4" customWidth="1"/>
    <col min="5907" max="5907" width="8.5703125" style="4" customWidth="1"/>
    <col min="5908" max="5908" width="11" style="4" customWidth="1"/>
    <col min="5909" max="5909" width="13.42578125" style="4" bestFit="1" customWidth="1"/>
    <col min="5910" max="5910" width="9.42578125" style="4" customWidth="1"/>
    <col min="5911" max="5911" width="7.5703125" style="4" customWidth="1"/>
    <col min="5912" max="5912" width="11.42578125" style="4" customWidth="1"/>
    <col min="5913" max="5913" width="9.42578125" style="4" customWidth="1"/>
    <col min="5914" max="5914" width="11.42578125" style="4" customWidth="1"/>
    <col min="5915" max="5915" width="13.42578125" style="4" bestFit="1" customWidth="1"/>
    <col min="5916" max="5916" width="5.5703125" style="4" bestFit="1" customWidth="1"/>
    <col min="5917" max="5917" width="19.5703125" style="4" bestFit="1" customWidth="1"/>
    <col min="5918" max="5918" width="1.42578125" style="4" customWidth="1"/>
    <col min="5919" max="5919" width="13.42578125" style="4" bestFit="1" customWidth="1"/>
    <col min="5920" max="5920" width="8.5703125" style="4" bestFit="1" customWidth="1"/>
    <col min="5921" max="5921" width="8.85546875" style="4" bestFit="1" customWidth="1"/>
    <col min="5922" max="6144" width="9.140625" style="4"/>
    <col min="6145" max="6145" width="11" style="4" customWidth="1"/>
    <col min="6146" max="6147" width="12.5703125" style="4" customWidth="1"/>
    <col min="6148" max="6148" width="11" style="4" customWidth="1"/>
    <col min="6149" max="6149" width="8.42578125" style="4" customWidth="1"/>
    <col min="6150" max="6150" width="11.42578125" style="4" customWidth="1"/>
    <col min="6151" max="6151" width="1.85546875" style="4" customWidth="1"/>
    <col min="6152" max="6152" width="8.42578125" style="4" customWidth="1"/>
    <col min="6153" max="6153" width="11.42578125" style="4" customWidth="1"/>
    <col min="6154" max="6155" width="10.42578125" style="4" customWidth="1"/>
    <col min="6156" max="6156" width="10.5703125" style="4" customWidth="1"/>
    <col min="6157" max="6157" width="10" style="4" customWidth="1"/>
    <col min="6158" max="6158" width="11" style="4" bestFit="1" customWidth="1"/>
    <col min="6159" max="6159" width="12" style="4" customWidth="1"/>
    <col min="6160" max="6160" width="11.140625" style="4" customWidth="1"/>
    <col min="6161" max="6161" width="9.5703125" style="4" customWidth="1"/>
    <col min="6162" max="6162" width="10.42578125" style="4" customWidth="1"/>
    <col min="6163" max="6163" width="8.5703125" style="4" customWidth="1"/>
    <col min="6164" max="6164" width="11" style="4" customWidth="1"/>
    <col min="6165" max="6165" width="13.42578125" style="4" bestFit="1" customWidth="1"/>
    <col min="6166" max="6166" width="9.42578125" style="4" customWidth="1"/>
    <col min="6167" max="6167" width="7.5703125" style="4" customWidth="1"/>
    <col min="6168" max="6168" width="11.42578125" style="4" customWidth="1"/>
    <col min="6169" max="6169" width="9.42578125" style="4" customWidth="1"/>
    <col min="6170" max="6170" width="11.42578125" style="4" customWidth="1"/>
    <col min="6171" max="6171" width="13.42578125" style="4" bestFit="1" customWidth="1"/>
    <col min="6172" max="6172" width="5.5703125" style="4" bestFit="1" customWidth="1"/>
    <col min="6173" max="6173" width="19.5703125" style="4" bestFit="1" customWidth="1"/>
    <col min="6174" max="6174" width="1.42578125" style="4" customWidth="1"/>
    <col min="6175" max="6175" width="13.42578125" style="4" bestFit="1" customWidth="1"/>
    <col min="6176" max="6176" width="8.5703125" style="4" bestFit="1" customWidth="1"/>
    <col min="6177" max="6177" width="8.85546875" style="4" bestFit="1" customWidth="1"/>
    <col min="6178" max="6400" width="9.140625" style="4"/>
    <col min="6401" max="6401" width="11" style="4" customWidth="1"/>
    <col min="6402" max="6403" width="12.5703125" style="4" customWidth="1"/>
    <col min="6404" max="6404" width="11" style="4" customWidth="1"/>
    <col min="6405" max="6405" width="8.42578125" style="4" customWidth="1"/>
    <col min="6406" max="6406" width="11.42578125" style="4" customWidth="1"/>
    <col min="6407" max="6407" width="1.85546875" style="4" customWidth="1"/>
    <col min="6408" max="6408" width="8.42578125" style="4" customWidth="1"/>
    <col min="6409" max="6409" width="11.42578125" style="4" customWidth="1"/>
    <col min="6410" max="6411" width="10.42578125" style="4" customWidth="1"/>
    <col min="6412" max="6412" width="10.5703125" style="4" customWidth="1"/>
    <col min="6413" max="6413" width="10" style="4" customWidth="1"/>
    <col min="6414" max="6414" width="11" style="4" bestFit="1" customWidth="1"/>
    <col min="6415" max="6415" width="12" style="4" customWidth="1"/>
    <col min="6416" max="6416" width="11.140625" style="4" customWidth="1"/>
    <col min="6417" max="6417" width="9.5703125" style="4" customWidth="1"/>
    <col min="6418" max="6418" width="10.42578125" style="4" customWidth="1"/>
    <col min="6419" max="6419" width="8.5703125" style="4" customWidth="1"/>
    <col min="6420" max="6420" width="11" style="4" customWidth="1"/>
    <col min="6421" max="6421" width="13.42578125" style="4" bestFit="1" customWidth="1"/>
    <col min="6422" max="6422" width="9.42578125" style="4" customWidth="1"/>
    <col min="6423" max="6423" width="7.5703125" style="4" customWidth="1"/>
    <col min="6424" max="6424" width="11.42578125" style="4" customWidth="1"/>
    <col min="6425" max="6425" width="9.42578125" style="4" customWidth="1"/>
    <col min="6426" max="6426" width="11.42578125" style="4" customWidth="1"/>
    <col min="6427" max="6427" width="13.42578125" style="4" bestFit="1" customWidth="1"/>
    <col min="6428" max="6428" width="5.5703125" style="4" bestFit="1" customWidth="1"/>
    <col min="6429" max="6429" width="19.5703125" style="4" bestFit="1" customWidth="1"/>
    <col min="6430" max="6430" width="1.42578125" style="4" customWidth="1"/>
    <col min="6431" max="6431" width="13.42578125" style="4" bestFit="1" customWidth="1"/>
    <col min="6432" max="6432" width="8.5703125" style="4" bestFit="1" customWidth="1"/>
    <col min="6433" max="6433" width="8.85546875" style="4" bestFit="1" customWidth="1"/>
    <col min="6434" max="6656" width="9.140625" style="4"/>
    <col min="6657" max="6657" width="11" style="4" customWidth="1"/>
    <col min="6658" max="6659" width="12.5703125" style="4" customWidth="1"/>
    <col min="6660" max="6660" width="11" style="4" customWidth="1"/>
    <col min="6661" max="6661" width="8.42578125" style="4" customWidth="1"/>
    <col min="6662" max="6662" width="11.42578125" style="4" customWidth="1"/>
    <col min="6663" max="6663" width="1.85546875" style="4" customWidth="1"/>
    <col min="6664" max="6664" width="8.42578125" style="4" customWidth="1"/>
    <col min="6665" max="6665" width="11.42578125" style="4" customWidth="1"/>
    <col min="6666" max="6667" width="10.42578125" style="4" customWidth="1"/>
    <col min="6668" max="6668" width="10.5703125" style="4" customWidth="1"/>
    <col min="6669" max="6669" width="10" style="4" customWidth="1"/>
    <col min="6670" max="6670" width="11" style="4" bestFit="1" customWidth="1"/>
    <col min="6671" max="6671" width="12" style="4" customWidth="1"/>
    <col min="6672" max="6672" width="11.140625" style="4" customWidth="1"/>
    <col min="6673" max="6673" width="9.5703125" style="4" customWidth="1"/>
    <col min="6674" max="6674" width="10.42578125" style="4" customWidth="1"/>
    <col min="6675" max="6675" width="8.5703125" style="4" customWidth="1"/>
    <col min="6676" max="6676" width="11" style="4" customWidth="1"/>
    <col min="6677" max="6677" width="13.42578125" style="4" bestFit="1" customWidth="1"/>
    <col min="6678" max="6678" width="9.42578125" style="4" customWidth="1"/>
    <col min="6679" max="6679" width="7.5703125" style="4" customWidth="1"/>
    <col min="6680" max="6680" width="11.42578125" style="4" customWidth="1"/>
    <col min="6681" max="6681" width="9.42578125" style="4" customWidth="1"/>
    <col min="6682" max="6682" width="11.42578125" style="4" customWidth="1"/>
    <col min="6683" max="6683" width="13.42578125" style="4" bestFit="1" customWidth="1"/>
    <col min="6684" max="6684" width="5.5703125" style="4" bestFit="1" customWidth="1"/>
    <col min="6685" max="6685" width="19.5703125" style="4" bestFit="1" customWidth="1"/>
    <col min="6686" max="6686" width="1.42578125" style="4" customWidth="1"/>
    <col min="6687" max="6687" width="13.42578125" style="4" bestFit="1" customWidth="1"/>
    <col min="6688" max="6688" width="8.5703125" style="4" bestFit="1" customWidth="1"/>
    <col min="6689" max="6689" width="8.85546875" style="4" bestFit="1" customWidth="1"/>
    <col min="6690" max="6912" width="9.140625" style="4"/>
    <col min="6913" max="6913" width="11" style="4" customWidth="1"/>
    <col min="6914" max="6915" width="12.5703125" style="4" customWidth="1"/>
    <col min="6916" max="6916" width="11" style="4" customWidth="1"/>
    <col min="6917" max="6917" width="8.42578125" style="4" customWidth="1"/>
    <col min="6918" max="6918" width="11.42578125" style="4" customWidth="1"/>
    <col min="6919" max="6919" width="1.85546875" style="4" customWidth="1"/>
    <col min="6920" max="6920" width="8.42578125" style="4" customWidth="1"/>
    <col min="6921" max="6921" width="11.42578125" style="4" customWidth="1"/>
    <col min="6922" max="6923" width="10.42578125" style="4" customWidth="1"/>
    <col min="6924" max="6924" width="10.5703125" style="4" customWidth="1"/>
    <col min="6925" max="6925" width="10" style="4" customWidth="1"/>
    <col min="6926" max="6926" width="11" style="4" bestFit="1" customWidth="1"/>
    <col min="6927" max="6927" width="12" style="4" customWidth="1"/>
    <col min="6928" max="6928" width="11.140625" style="4" customWidth="1"/>
    <col min="6929" max="6929" width="9.5703125" style="4" customWidth="1"/>
    <col min="6930" max="6930" width="10.42578125" style="4" customWidth="1"/>
    <col min="6931" max="6931" width="8.5703125" style="4" customWidth="1"/>
    <col min="6932" max="6932" width="11" style="4" customWidth="1"/>
    <col min="6933" max="6933" width="13.42578125" style="4" bestFit="1" customWidth="1"/>
    <col min="6934" max="6934" width="9.42578125" style="4" customWidth="1"/>
    <col min="6935" max="6935" width="7.5703125" style="4" customWidth="1"/>
    <col min="6936" max="6936" width="11.42578125" style="4" customWidth="1"/>
    <col min="6937" max="6937" width="9.42578125" style="4" customWidth="1"/>
    <col min="6938" max="6938" width="11.42578125" style="4" customWidth="1"/>
    <col min="6939" max="6939" width="13.42578125" style="4" bestFit="1" customWidth="1"/>
    <col min="6940" max="6940" width="5.5703125" style="4" bestFit="1" customWidth="1"/>
    <col min="6941" max="6941" width="19.5703125" style="4" bestFit="1" customWidth="1"/>
    <col min="6942" max="6942" width="1.42578125" style="4" customWidth="1"/>
    <col min="6943" max="6943" width="13.42578125" style="4" bestFit="1" customWidth="1"/>
    <col min="6944" max="6944" width="8.5703125" style="4" bestFit="1" customWidth="1"/>
    <col min="6945" max="6945" width="8.85546875" style="4" bestFit="1" customWidth="1"/>
    <col min="6946" max="7168" width="9.140625" style="4"/>
    <col min="7169" max="7169" width="11" style="4" customWidth="1"/>
    <col min="7170" max="7171" width="12.5703125" style="4" customWidth="1"/>
    <col min="7172" max="7172" width="11" style="4" customWidth="1"/>
    <col min="7173" max="7173" width="8.42578125" style="4" customWidth="1"/>
    <col min="7174" max="7174" width="11.42578125" style="4" customWidth="1"/>
    <col min="7175" max="7175" width="1.85546875" style="4" customWidth="1"/>
    <col min="7176" max="7176" width="8.42578125" style="4" customWidth="1"/>
    <col min="7177" max="7177" width="11.42578125" style="4" customWidth="1"/>
    <col min="7178" max="7179" width="10.42578125" style="4" customWidth="1"/>
    <col min="7180" max="7180" width="10.5703125" style="4" customWidth="1"/>
    <col min="7181" max="7181" width="10" style="4" customWidth="1"/>
    <col min="7182" max="7182" width="11" style="4" bestFit="1" customWidth="1"/>
    <col min="7183" max="7183" width="12" style="4" customWidth="1"/>
    <col min="7184" max="7184" width="11.140625" style="4" customWidth="1"/>
    <col min="7185" max="7185" width="9.5703125" style="4" customWidth="1"/>
    <col min="7186" max="7186" width="10.42578125" style="4" customWidth="1"/>
    <col min="7187" max="7187" width="8.5703125" style="4" customWidth="1"/>
    <col min="7188" max="7188" width="11" style="4" customWidth="1"/>
    <col min="7189" max="7189" width="13.42578125" style="4" bestFit="1" customWidth="1"/>
    <col min="7190" max="7190" width="9.42578125" style="4" customWidth="1"/>
    <col min="7191" max="7191" width="7.5703125" style="4" customWidth="1"/>
    <col min="7192" max="7192" width="11.42578125" style="4" customWidth="1"/>
    <col min="7193" max="7193" width="9.42578125" style="4" customWidth="1"/>
    <col min="7194" max="7194" width="11.42578125" style="4" customWidth="1"/>
    <col min="7195" max="7195" width="13.42578125" style="4" bestFit="1" customWidth="1"/>
    <col min="7196" max="7196" width="5.5703125" style="4" bestFit="1" customWidth="1"/>
    <col min="7197" max="7197" width="19.5703125" style="4" bestFit="1" customWidth="1"/>
    <col min="7198" max="7198" width="1.42578125" style="4" customWidth="1"/>
    <col min="7199" max="7199" width="13.42578125" style="4" bestFit="1" customWidth="1"/>
    <col min="7200" max="7200" width="8.5703125" style="4" bestFit="1" customWidth="1"/>
    <col min="7201" max="7201" width="8.85546875" style="4" bestFit="1" customWidth="1"/>
    <col min="7202" max="7424" width="9.140625" style="4"/>
    <col min="7425" max="7425" width="11" style="4" customWidth="1"/>
    <col min="7426" max="7427" width="12.5703125" style="4" customWidth="1"/>
    <col min="7428" max="7428" width="11" style="4" customWidth="1"/>
    <col min="7429" max="7429" width="8.42578125" style="4" customWidth="1"/>
    <col min="7430" max="7430" width="11.42578125" style="4" customWidth="1"/>
    <col min="7431" max="7431" width="1.85546875" style="4" customWidth="1"/>
    <col min="7432" max="7432" width="8.42578125" style="4" customWidth="1"/>
    <col min="7433" max="7433" width="11.42578125" style="4" customWidth="1"/>
    <col min="7434" max="7435" width="10.42578125" style="4" customWidth="1"/>
    <col min="7436" max="7436" width="10.5703125" style="4" customWidth="1"/>
    <col min="7437" max="7437" width="10" style="4" customWidth="1"/>
    <col min="7438" max="7438" width="11" style="4" bestFit="1" customWidth="1"/>
    <col min="7439" max="7439" width="12" style="4" customWidth="1"/>
    <col min="7440" max="7440" width="11.140625" style="4" customWidth="1"/>
    <col min="7441" max="7441" width="9.5703125" style="4" customWidth="1"/>
    <col min="7442" max="7442" width="10.42578125" style="4" customWidth="1"/>
    <col min="7443" max="7443" width="8.5703125" style="4" customWidth="1"/>
    <col min="7444" max="7444" width="11" style="4" customWidth="1"/>
    <col min="7445" max="7445" width="13.42578125" style="4" bestFit="1" customWidth="1"/>
    <col min="7446" max="7446" width="9.42578125" style="4" customWidth="1"/>
    <col min="7447" max="7447" width="7.5703125" style="4" customWidth="1"/>
    <col min="7448" max="7448" width="11.42578125" style="4" customWidth="1"/>
    <col min="7449" max="7449" width="9.42578125" style="4" customWidth="1"/>
    <col min="7450" max="7450" width="11.42578125" style="4" customWidth="1"/>
    <col min="7451" max="7451" width="13.42578125" style="4" bestFit="1" customWidth="1"/>
    <col min="7452" max="7452" width="5.5703125" style="4" bestFit="1" customWidth="1"/>
    <col min="7453" max="7453" width="19.5703125" style="4" bestFit="1" customWidth="1"/>
    <col min="7454" max="7454" width="1.42578125" style="4" customWidth="1"/>
    <col min="7455" max="7455" width="13.42578125" style="4" bestFit="1" customWidth="1"/>
    <col min="7456" max="7456" width="8.5703125" style="4" bestFit="1" customWidth="1"/>
    <col min="7457" max="7457" width="8.85546875" style="4" bestFit="1" customWidth="1"/>
    <col min="7458" max="7680" width="9.140625" style="4"/>
    <col min="7681" max="7681" width="11" style="4" customWidth="1"/>
    <col min="7682" max="7683" width="12.5703125" style="4" customWidth="1"/>
    <col min="7684" max="7684" width="11" style="4" customWidth="1"/>
    <col min="7685" max="7685" width="8.42578125" style="4" customWidth="1"/>
    <col min="7686" max="7686" width="11.42578125" style="4" customWidth="1"/>
    <col min="7687" max="7687" width="1.85546875" style="4" customWidth="1"/>
    <col min="7688" max="7688" width="8.42578125" style="4" customWidth="1"/>
    <col min="7689" max="7689" width="11.42578125" style="4" customWidth="1"/>
    <col min="7690" max="7691" width="10.42578125" style="4" customWidth="1"/>
    <col min="7692" max="7692" width="10.5703125" style="4" customWidth="1"/>
    <col min="7693" max="7693" width="10" style="4" customWidth="1"/>
    <col min="7694" max="7694" width="11" style="4" bestFit="1" customWidth="1"/>
    <col min="7695" max="7695" width="12" style="4" customWidth="1"/>
    <col min="7696" max="7696" width="11.140625" style="4" customWidth="1"/>
    <col min="7697" max="7697" width="9.5703125" style="4" customWidth="1"/>
    <col min="7698" max="7698" width="10.42578125" style="4" customWidth="1"/>
    <col min="7699" max="7699" width="8.5703125" style="4" customWidth="1"/>
    <col min="7700" max="7700" width="11" style="4" customWidth="1"/>
    <col min="7701" max="7701" width="13.42578125" style="4" bestFit="1" customWidth="1"/>
    <col min="7702" max="7702" width="9.42578125" style="4" customWidth="1"/>
    <col min="7703" max="7703" width="7.5703125" style="4" customWidth="1"/>
    <col min="7704" max="7704" width="11.42578125" style="4" customWidth="1"/>
    <col min="7705" max="7705" width="9.42578125" style="4" customWidth="1"/>
    <col min="7706" max="7706" width="11.42578125" style="4" customWidth="1"/>
    <col min="7707" max="7707" width="13.42578125" style="4" bestFit="1" customWidth="1"/>
    <col min="7708" max="7708" width="5.5703125" style="4" bestFit="1" customWidth="1"/>
    <col min="7709" max="7709" width="19.5703125" style="4" bestFit="1" customWidth="1"/>
    <col min="7710" max="7710" width="1.42578125" style="4" customWidth="1"/>
    <col min="7711" max="7711" width="13.42578125" style="4" bestFit="1" customWidth="1"/>
    <col min="7712" max="7712" width="8.5703125" style="4" bestFit="1" customWidth="1"/>
    <col min="7713" max="7713" width="8.85546875" style="4" bestFit="1" customWidth="1"/>
    <col min="7714" max="7936" width="9.140625" style="4"/>
    <col min="7937" max="7937" width="11" style="4" customWidth="1"/>
    <col min="7938" max="7939" width="12.5703125" style="4" customWidth="1"/>
    <col min="7940" max="7940" width="11" style="4" customWidth="1"/>
    <col min="7941" max="7941" width="8.42578125" style="4" customWidth="1"/>
    <col min="7942" max="7942" width="11.42578125" style="4" customWidth="1"/>
    <col min="7943" max="7943" width="1.85546875" style="4" customWidth="1"/>
    <col min="7944" max="7944" width="8.42578125" style="4" customWidth="1"/>
    <col min="7945" max="7945" width="11.42578125" style="4" customWidth="1"/>
    <col min="7946" max="7947" width="10.42578125" style="4" customWidth="1"/>
    <col min="7948" max="7948" width="10.5703125" style="4" customWidth="1"/>
    <col min="7949" max="7949" width="10" style="4" customWidth="1"/>
    <col min="7950" max="7950" width="11" style="4" bestFit="1" customWidth="1"/>
    <col min="7951" max="7951" width="12" style="4" customWidth="1"/>
    <col min="7952" max="7952" width="11.140625" style="4" customWidth="1"/>
    <col min="7953" max="7953" width="9.5703125" style="4" customWidth="1"/>
    <col min="7954" max="7954" width="10.42578125" style="4" customWidth="1"/>
    <col min="7955" max="7955" width="8.5703125" style="4" customWidth="1"/>
    <col min="7956" max="7956" width="11" style="4" customWidth="1"/>
    <col min="7957" max="7957" width="13.42578125" style="4" bestFit="1" customWidth="1"/>
    <col min="7958" max="7958" width="9.42578125" style="4" customWidth="1"/>
    <col min="7959" max="7959" width="7.5703125" style="4" customWidth="1"/>
    <col min="7960" max="7960" width="11.42578125" style="4" customWidth="1"/>
    <col min="7961" max="7961" width="9.42578125" style="4" customWidth="1"/>
    <col min="7962" max="7962" width="11.42578125" style="4" customWidth="1"/>
    <col min="7963" max="7963" width="13.42578125" style="4" bestFit="1" customWidth="1"/>
    <col min="7964" max="7964" width="5.5703125" style="4" bestFit="1" customWidth="1"/>
    <col min="7965" max="7965" width="19.5703125" style="4" bestFit="1" customWidth="1"/>
    <col min="7966" max="7966" width="1.42578125" style="4" customWidth="1"/>
    <col min="7967" max="7967" width="13.42578125" style="4" bestFit="1" customWidth="1"/>
    <col min="7968" max="7968" width="8.5703125" style="4" bestFit="1" customWidth="1"/>
    <col min="7969" max="7969" width="8.85546875" style="4" bestFit="1" customWidth="1"/>
    <col min="7970" max="8192" width="9.140625" style="4"/>
    <col min="8193" max="8193" width="11" style="4" customWidth="1"/>
    <col min="8194" max="8195" width="12.5703125" style="4" customWidth="1"/>
    <col min="8196" max="8196" width="11" style="4" customWidth="1"/>
    <col min="8197" max="8197" width="8.42578125" style="4" customWidth="1"/>
    <col min="8198" max="8198" width="11.42578125" style="4" customWidth="1"/>
    <col min="8199" max="8199" width="1.85546875" style="4" customWidth="1"/>
    <col min="8200" max="8200" width="8.42578125" style="4" customWidth="1"/>
    <col min="8201" max="8201" width="11.42578125" style="4" customWidth="1"/>
    <col min="8202" max="8203" width="10.42578125" style="4" customWidth="1"/>
    <col min="8204" max="8204" width="10.5703125" style="4" customWidth="1"/>
    <col min="8205" max="8205" width="10" style="4" customWidth="1"/>
    <col min="8206" max="8206" width="11" style="4" bestFit="1" customWidth="1"/>
    <col min="8207" max="8207" width="12" style="4" customWidth="1"/>
    <col min="8208" max="8208" width="11.140625" style="4" customWidth="1"/>
    <col min="8209" max="8209" width="9.5703125" style="4" customWidth="1"/>
    <col min="8210" max="8210" width="10.42578125" style="4" customWidth="1"/>
    <col min="8211" max="8211" width="8.5703125" style="4" customWidth="1"/>
    <col min="8212" max="8212" width="11" style="4" customWidth="1"/>
    <col min="8213" max="8213" width="13.42578125" style="4" bestFit="1" customWidth="1"/>
    <col min="8214" max="8214" width="9.42578125" style="4" customWidth="1"/>
    <col min="8215" max="8215" width="7.5703125" style="4" customWidth="1"/>
    <col min="8216" max="8216" width="11.42578125" style="4" customWidth="1"/>
    <col min="8217" max="8217" width="9.42578125" style="4" customWidth="1"/>
    <col min="8218" max="8218" width="11.42578125" style="4" customWidth="1"/>
    <col min="8219" max="8219" width="13.42578125" style="4" bestFit="1" customWidth="1"/>
    <col min="8220" max="8220" width="5.5703125" style="4" bestFit="1" customWidth="1"/>
    <col min="8221" max="8221" width="19.5703125" style="4" bestFit="1" customWidth="1"/>
    <col min="8222" max="8222" width="1.42578125" style="4" customWidth="1"/>
    <col min="8223" max="8223" width="13.42578125" style="4" bestFit="1" customWidth="1"/>
    <col min="8224" max="8224" width="8.5703125" style="4" bestFit="1" customWidth="1"/>
    <col min="8225" max="8225" width="8.85546875" style="4" bestFit="1" customWidth="1"/>
    <col min="8226" max="8448" width="9.140625" style="4"/>
    <col min="8449" max="8449" width="11" style="4" customWidth="1"/>
    <col min="8450" max="8451" width="12.5703125" style="4" customWidth="1"/>
    <col min="8452" max="8452" width="11" style="4" customWidth="1"/>
    <col min="8453" max="8453" width="8.42578125" style="4" customWidth="1"/>
    <col min="8454" max="8454" width="11.42578125" style="4" customWidth="1"/>
    <col min="8455" max="8455" width="1.85546875" style="4" customWidth="1"/>
    <col min="8456" max="8456" width="8.42578125" style="4" customWidth="1"/>
    <col min="8457" max="8457" width="11.42578125" style="4" customWidth="1"/>
    <col min="8458" max="8459" width="10.42578125" style="4" customWidth="1"/>
    <col min="8460" max="8460" width="10.5703125" style="4" customWidth="1"/>
    <col min="8461" max="8461" width="10" style="4" customWidth="1"/>
    <col min="8462" max="8462" width="11" style="4" bestFit="1" customWidth="1"/>
    <col min="8463" max="8463" width="12" style="4" customWidth="1"/>
    <col min="8464" max="8464" width="11.140625" style="4" customWidth="1"/>
    <col min="8465" max="8465" width="9.5703125" style="4" customWidth="1"/>
    <col min="8466" max="8466" width="10.42578125" style="4" customWidth="1"/>
    <col min="8467" max="8467" width="8.5703125" style="4" customWidth="1"/>
    <col min="8468" max="8468" width="11" style="4" customWidth="1"/>
    <col min="8469" max="8469" width="13.42578125" style="4" bestFit="1" customWidth="1"/>
    <col min="8470" max="8470" width="9.42578125" style="4" customWidth="1"/>
    <col min="8471" max="8471" width="7.5703125" style="4" customWidth="1"/>
    <col min="8472" max="8472" width="11.42578125" style="4" customWidth="1"/>
    <col min="8473" max="8473" width="9.42578125" style="4" customWidth="1"/>
    <col min="8474" max="8474" width="11.42578125" style="4" customWidth="1"/>
    <col min="8475" max="8475" width="13.42578125" style="4" bestFit="1" customWidth="1"/>
    <col min="8476" max="8476" width="5.5703125" style="4" bestFit="1" customWidth="1"/>
    <col min="8477" max="8477" width="19.5703125" style="4" bestFit="1" customWidth="1"/>
    <col min="8478" max="8478" width="1.42578125" style="4" customWidth="1"/>
    <col min="8479" max="8479" width="13.42578125" style="4" bestFit="1" customWidth="1"/>
    <col min="8480" max="8480" width="8.5703125" style="4" bestFit="1" customWidth="1"/>
    <col min="8481" max="8481" width="8.85546875" style="4" bestFit="1" customWidth="1"/>
    <col min="8482" max="8704" width="9.140625" style="4"/>
    <col min="8705" max="8705" width="11" style="4" customWidth="1"/>
    <col min="8706" max="8707" width="12.5703125" style="4" customWidth="1"/>
    <col min="8708" max="8708" width="11" style="4" customWidth="1"/>
    <col min="8709" max="8709" width="8.42578125" style="4" customWidth="1"/>
    <col min="8710" max="8710" width="11.42578125" style="4" customWidth="1"/>
    <col min="8711" max="8711" width="1.85546875" style="4" customWidth="1"/>
    <col min="8712" max="8712" width="8.42578125" style="4" customWidth="1"/>
    <col min="8713" max="8713" width="11.42578125" style="4" customWidth="1"/>
    <col min="8714" max="8715" width="10.42578125" style="4" customWidth="1"/>
    <col min="8716" max="8716" width="10.5703125" style="4" customWidth="1"/>
    <col min="8717" max="8717" width="10" style="4" customWidth="1"/>
    <col min="8718" max="8718" width="11" style="4" bestFit="1" customWidth="1"/>
    <col min="8719" max="8719" width="12" style="4" customWidth="1"/>
    <col min="8720" max="8720" width="11.140625" style="4" customWidth="1"/>
    <col min="8721" max="8721" width="9.5703125" style="4" customWidth="1"/>
    <col min="8722" max="8722" width="10.42578125" style="4" customWidth="1"/>
    <col min="8723" max="8723" width="8.5703125" style="4" customWidth="1"/>
    <col min="8724" max="8724" width="11" style="4" customWidth="1"/>
    <col min="8725" max="8725" width="13.42578125" style="4" bestFit="1" customWidth="1"/>
    <col min="8726" max="8726" width="9.42578125" style="4" customWidth="1"/>
    <col min="8727" max="8727" width="7.5703125" style="4" customWidth="1"/>
    <col min="8728" max="8728" width="11.42578125" style="4" customWidth="1"/>
    <col min="8729" max="8729" width="9.42578125" style="4" customWidth="1"/>
    <col min="8730" max="8730" width="11.42578125" style="4" customWidth="1"/>
    <col min="8731" max="8731" width="13.42578125" style="4" bestFit="1" customWidth="1"/>
    <col min="8732" max="8732" width="5.5703125" style="4" bestFit="1" customWidth="1"/>
    <col min="8733" max="8733" width="19.5703125" style="4" bestFit="1" customWidth="1"/>
    <col min="8734" max="8734" width="1.42578125" style="4" customWidth="1"/>
    <col min="8735" max="8735" width="13.42578125" style="4" bestFit="1" customWidth="1"/>
    <col min="8736" max="8736" width="8.5703125" style="4" bestFit="1" customWidth="1"/>
    <col min="8737" max="8737" width="8.85546875" style="4" bestFit="1" customWidth="1"/>
    <col min="8738" max="8960" width="9.140625" style="4"/>
    <col min="8961" max="8961" width="11" style="4" customWidth="1"/>
    <col min="8962" max="8963" width="12.5703125" style="4" customWidth="1"/>
    <col min="8964" max="8964" width="11" style="4" customWidth="1"/>
    <col min="8965" max="8965" width="8.42578125" style="4" customWidth="1"/>
    <col min="8966" max="8966" width="11.42578125" style="4" customWidth="1"/>
    <col min="8967" max="8967" width="1.85546875" style="4" customWidth="1"/>
    <col min="8968" max="8968" width="8.42578125" style="4" customWidth="1"/>
    <col min="8969" max="8969" width="11.42578125" style="4" customWidth="1"/>
    <col min="8970" max="8971" width="10.42578125" style="4" customWidth="1"/>
    <col min="8972" max="8972" width="10.5703125" style="4" customWidth="1"/>
    <col min="8973" max="8973" width="10" style="4" customWidth="1"/>
    <col min="8974" max="8974" width="11" style="4" bestFit="1" customWidth="1"/>
    <col min="8975" max="8975" width="12" style="4" customWidth="1"/>
    <col min="8976" max="8976" width="11.140625" style="4" customWidth="1"/>
    <col min="8977" max="8977" width="9.5703125" style="4" customWidth="1"/>
    <col min="8978" max="8978" width="10.42578125" style="4" customWidth="1"/>
    <col min="8979" max="8979" width="8.5703125" style="4" customWidth="1"/>
    <col min="8980" max="8980" width="11" style="4" customWidth="1"/>
    <col min="8981" max="8981" width="13.42578125" style="4" bestFit="1" customWidth="1"/>
    <col min="8982" max="8982" width="9.42578125" style="4" customWidth="1"/>
    <col min="8983" max="8983" width="7.5703125" style="4" customWidth="1"/>
    <col min="8984" max="8984" width="11.42578125" style="4" customWidth="1"/>
    <col min="8985" max="8985" width="9.42578125" style="4" customWidth="1"/>
    <col min="8986" max="8986" width="11.42578125" style="4" customWidth="1"/>
    <col min="8987" max="8987" width="13.42578125" style="4" bestFit="1" customWidth="1"/>
    <col min="8988" max="8988" width="5.5703125" style="4" bestFit="1" customWidth="1"/>
    <col min="8989" max="8989" width="19.5703125" style="4" bestFit="1" customWidth="1"/>
    <col min="8990" max="8990" width="1.42578125" style="4" customWidth="1"/>
    <col min="8991" max="8991" width="13.42578125" style="4" bestFit="1" customWidth="1"/>
    <col min="8992" max="8992" width="8.5703125" style="4" bestFit="1" customWidth="1"/>
    <col min="8993" max="8993" width="8.85546875" style="4" bestFit="1" customWidth="1"/>
    <col min="8994" max="9216" width="9.140625" style="4"/>
    <col min="9217" max="9217" width="11" style="4" customWidth="1"/>
    <col min="9218" max="9219" width="12.5703125" style="4" customWidth="1"/>
    <col min="9220" max="9220" width="11" style="4" customWidth="1"/>
    <col min="9221" max="9221" width="8.42578125" style="4" customWidth="1"/>
    <col min="9222" max="9222" width="11.42578125" style="4" customWidth="1"/>
    <col min="9223" max="9223" width="1.85546875" style="4" customWidth="1"/>
    <col min="9224" max="9224" width="8.42578125" style="4" customWidth="1"/>
    <col min="9225" max="9225" width="11.42578125" style="4" customWidth="1"/>
    <col min="9226" max="9227" width="10.42578125" style="4" customWidth="1"/>
    <col min="9228" max="9228" width="10.5703125" style="4" customWidth="1"/>
    <col min="9229" max="9229" width="10" style="4" customWidth="1"/>
    <col min="9230" max="9230" width="11" style="4" bestFit="1" customWidth="1"/>
    <col min="9231" max="9231" width="12" style="4" customWidth="1"/>
    <col min="9232" max="9232" width="11.140625" style="4" customWidth="1"/>
    <col min="9233" max="9233" width="9.5703125" style="4" customWidth="1"/>
    <col min="9234" max="9234" width="10.42578125" style="4" customWidth="1"/>
    <col min="9235" max="9235" width="8.5703125" style="4" customWidth="1"/>
    <col min="9236" max="9236" width="11" style="4" customWidth="1"/>
    <col min="9237" max="9237" width="13.42578125" style="4" bestFit="1" customWidth="1"/>
    <col min="9238" max="9238" width="9.42578125" style="4" customWidth="1"/>
    <col min="9239" max="9239" width="7.5703125" style="4" customWidth="1"/>
    <col min="9240" max="9240" width="11.42578125" style="4" customWidth="1"/>
    <col min="9241" max="9241" width="9.42578125" style="4" customWidth="1"/>
    <col min="9242" max="9242" width="11.42578125" style="4" customWidth="1"/>
    <col min="9243" max="9243" width="13.42578125" style="4" bestFit="1" customWidth="1"/>
    <col min="9244" max="9244" width="5.5703125" style="4" bestFit="1" customWidth="1"/>
    <col min="9245" max="9245" width="19.5703125" style="4" bestFit="1" customWidth="1"/>
    <col min="9246" max="9246" width="1.42578125" style="4" customWidth="1"/>
    <col min="9247" max="9247" width="13.42578125" style="4" bestFit="1" customWidth="1"/>
    <col min="9248" max="9248" width="8.5703125" style="4" bestFit="1" customWidth="1"/>
    <col min="9249" max="9249" width="8.85546875" style="4" bestFit="1" customWidth="1"/>
    <col min="9250" max="9472" width="9.140625" style="4"/>
    <col min="9473" max="9473" width="11" style="4" customWidth="1"/>
    <col min="9474" max="9475" width="12.5703125" style="4" customWidth="1"/>
    <col min="9476" max="9476" width="11" style="4" customWidth="1"/>
    <col min="9477" max="9477" width="8.42578125" style="4" customWidth="1"/>
    <col min="9478" max="9478" width="11.42578125" style="4" customWidth="1"/>
    <col min="9479" max="9479" width="1.85546875" style="4" customWidth="1"/>
    <col min="9480" max="9480" width="8.42578125" style="4" customWidth="1"/>
    <col min="9481" max="9481" width="11.42578125" style="4" customWidth="1"/>
    <col min="9482" max="9483" width="10.42578125" style="4" customWidth="1"/>
    <col min="9484" max="9484" width="10.5703125" style="4" customWidth="1"/>
    <col min="9485" max="9485" width="10" style="4" customWidth="1"/>
    <col min="9486" max="9486" width="11" style="4" bestFit="1" customWidth="1"/>
    <col min="9487" max="9487" width="12" style="4" customWidth="1"/>
    <col min="9488" max="9488" width="11.140625" style="4" customWidth="1"/>
    <col min="9489" max="9489" width="9.5703125" style="4" customWidth="1"/>
    <col min="9490" max="9490" width="10.42578125" style="4" customWidth="1"/>
    <col min="9491" max="9491" width="8.5703125" style="4" customWidth="1"/>
    <col min="9492" max="9492" width="11" style="4" customWidth="1"/>
    <col min="9493" max="9493" width="13.42578125" style="4" bestFit="1" customWidth="1"/>
    <col min="9494" max="9494" width="9.42578125" style="4" customWidth="1"/>
    <col min="9495" max="9495" width="7.5703125" style="4" customWidth="1"/>
    <col min="9496" max="9496" width="11.42578125" style="4" customWidth="1"/>
    <col min="9497" max="9497" width="9.42578125" style="4" customWidth="1"/>
    <col min="9498" max="9498" width="11.42578125" style="4" customWidth="1"/>
    <col min="9499" max="9499" width="13.42578125" style="4" bestFit="1" customWidth="1"/>
    <col min="9500" max="9500" width="5.5703125" style="4" bestFit="1" customWidth="1"/>
    <col min="9501" max="9501" width="19.5703125" style="4" bestFit="1" customWidth="1"/>
    <col min="9502" max="9502" width="1.42578125" style="4" customWidth="1"/>
    <col min="9503" max="9503" width="13.42578125" style="4" bestFit="1" customWidth="1"/>
    <col min="9504" max="9504" width="8.5703125" style="4" bestFit="1" customWidth="1"/>
    <col min="9505" max="9505" width="8.85546875" style="4" bestFit="1" customWidth="1"/>
    <col min="9506" max="9728" width="9.140625" style="4"/>
    <col min="9729" max="9729" width="11" style="4" customWidth="1"/>
    <col min="9730" max="9731" width="12.5703125" style="4" customWidth="1"/>
    <col min="9732" max="9732" width="11" style="4" customWidth="1"/>
    <col min="9733" max="9733" width="8.42578125" style="4" customWidth="1"/>
    <col min="9734" max="9734" width="11.42578125" style="4" customWidth="1"/>
    <col min="9735" max="9735" width="1.85546875" style="4" customWidth="1"/>
    <col min="9736" max="9736" width="8.42578125" style="4" customWidth="1"/>
    <col min="9737" max="9737" width="11.42578125" style="4" customWidth="1"/>
    <col min="9738" max="9739" width="10.42578125" style="4" customWidth="1"/>
    <col min="9740" max="9740" width="10.5703125" style="4" customWidth="1"/>
    <col min="9741" max="9741" width="10" style="4" customWidth="1"/>
    <col min="9742" max="9742" width="11" style="4" bestFit="1" customWidth="1"/>
    <col min="9743" max="9743" width="12" style="4" customWidth="1"/>
    <col min="9744" max="9744" width="11.140625" style="4" customWidth="1"/>
    <col min="9745" max="9745" width="9.5703125" style="4" customWidth="1"/>
    <col min="9746" max="9746" width="10.42578125" style="4" customWidth="1"/>
    <col min="9747" max="9747" width="8.5703125" style="4" customWidth="1"/>
    <col min="9748" max="9748" width="11" style="4" customWidth="1"/>
    <col min="9749" max="9749" width="13.42578125" style="4" bestFit="1" customWidth="1"/>
    <col min="9750" max="9750" width="9.42578125" style="4" customWidth="1"/>
    <col min="9751" max="9751" width="7.5703125" style="4" customWidth="1"/>
    <col min="9752" max="9752" width="11.42578125" style="4" customWidth="1"/>
    <col min="9753" max="9753" width="9.42578125" style="4" customWidth="1"/>
    <col min="9754" max="9754" width="11.42578125" style="4" customWidth="1"/>
    <col min="9755" max="9755" width="13.42578125" style="4" bestFit="1" customWidth="1"/>
    <col min="9756" max="9756" width="5.5703125" style="4" bestFit="1" customWidth="1"/>
    <col min="9757" max="9757" width="19.5703125" style="4" bestFit="1" customWidth="1"/>
    <col min="9758" max="9758" width="1.42578125" style="4" customWidth="1"/>
    <col min="9759" max="9759" width="13.42578125" style="4" bestFit="1" customWidth="1"/>
    <col min="9760" max="9760" width="8.5703125" style="4" bestFit="1" customWidth="1"/>
    <col min="9761" max="9761" width="8.85546875" style="4" bestFit="1" customWidth="1"/>
    <col min="9762" max="9984" width="9.140625" style="4"/>
    <col min="9985" max="9985" width="11" style="4" customWidth="1"/>
    <col min="9986" max="9987" width="12.5703125" style="4" customWidth="1"/>
    <col min="9988" max="9988" width="11" style="4" customWidth="1"/>
    <col min="9989" max="9989" width="8.42578125" style="4" customWidth="1"/>
    <col min="9990" max="9990" width="11.42578125" style="4" customWidth="1"/>
    <col min="9991" max="9991" width="1.85546875" style="4" customWidth="1"/>
    <col min="9992" max="9992" width="8.42578125" style="4" customWidth="1"/>
    <col min="9993" max="9993" width="11.42578125" style="4" customWidth="1"/>
    <col min="9994" max="9995" width="10.42578125" style="4" customWidth="1"/>
    <col min="9996" max="9996" width="10.5703125" style="4" customWidth="1"/>
    <col min="9997" max="9997" width="10" style="4" customWidth="1"/>
    <col min="9998" max="9998" width="11" style="4" bestFit="1" customWidth="1"/>
    <col min="9999" max="9999" width="12" style="4" customWidth="1"/>
    <col min="10000" max="10000" width="11.140625" style="4" customWidth="1"/>
    <col min="10001" max="10001" width="9.5703125" style="4" customWidth="1"/>
    <col min="10002" max="10002" width="10.42578125" style="4" customWidth="1"/>
    <col min="10003" max="10003" width="8.5703125" style="4" customWidth="1"/>
    <col min="10004" max="10004" width="11" style="4" customWidth="1"/>
    <col min="10005" max="10005" width="13.42578125" style="4" bestFit="1" customWidth="1"/>
    <col min="10006" max="10006" width="9.42578125" style="4" customWidth="1"/>
    <col min="10007" max="10007" width="7.5703125" style="4" customWidth="1"/>
    <col min="10008" max="10008" width="11.42578125" style="4" customWidth="1"/>
    <col min="10009" max="10009" width="9.42578125" style="4" customWidth="1"/>
    <col min="10010" max="10010" width="11.42578125" style="4" customWidth="1"/>
    <col min="10011" max="10011" width="13.42578125" style="4" bestFit="1" customWidth="1"/>
    <col min="10012" max="10012" width="5.5703125" style="4" bestFit="1" customWidth="1"/>
    <col min="10013" max="10013" width="19.5703125" style="4" bestFit="1" customWidth="1"/>
    <col min="10014" max="10014" width="1.42578125" style="4" customWidth="1"/>
    <col min="10015" max="10015" width="13.42578125" style="4" bestFit="1" customWidth="1"/>
    <col min="10016" max="10016" width="8.5703125" style="4" bestFit="1" customWidth="1"/>
    <col min="10017" max="10017" width="8.85546875" style="4" bestFit="1" customWidth="1"/>
    <col min="10018" max="10240" width="9.140625" style="4"/>
    <col min="10241" max="10241" width="11" style="4" customWidth="1"/>
    <col min="10242" max="10243" width="12.5703125" style="4" customWidth="1"/>
    <col min="10244" max="10244" width="11" style="4" customWidth="1"/>
    <col min="10245" max="10245" width="8.42578125" style="4" customWidth="1"/>
    <col min="10246" max="10246" width="11.42578125" style="4" customWidth="1"/>
    <col min="10247" max="10247" width="1.85546875" style="4" customWidth="1"/>
    <col min="10248" max="10248" width="8.42578125" style="4" customWidth="1"/>
    <col min="10249" max="10249" width="11.42578125" style="4" customWidth="1"/>
    <col min="10250" max="10251" width="10.42578125" style="4" customWidth="1"/>
    <col min="10252" max="10252" width="10.5703125" style="4" customWidth="1"/>
    <col min="10253" max="10253" width="10" style="4" customWidth="1"/>
    <col min="10254" max="10254" width="11" style="4" bestFit="1" customWidth="1"/>
    <col min="10255" max="10255" width="12" style="4" customWidth="1"/>
    <col min="10256" max="10256" width="11.140625" style="4" customWidth="1"/>
    <col min="10257" max="10257" width="9.5703125" style="4" customWidth="1"/>
    <col min="10258" max="10258" width="10.42578125" style="4" customWidth="1"/>
    <col min="10259" max="10259" width="8.5703125" style="4" customWidth="1"/>
    <col min="10260" max="10260" width="11" style="4" customWidth="1"/>
    <col min="10261" max="10261" width="13.42578125" style="4" bestFit="1" customWidth="1"/>
    <col min="10262" max="10262" width="9.42578125" style="4" customWidth="1"/>
    <col min="10263" max="10263" width="7.5703125" style="4" customWidth="1"/>
    <col min="10264" max="10264" width="11.42578125" style="4" customWidth="1"/>
    <col min="10265" max="10265" width="9.42578125" style="4" customWidth="1"/>
    <col min="10266" max="10266" width="11.42578125" style="4" customWidth="1"/>
    <col min="10267" max="10267" width="13.42578125" style="4" bestFit="1" customWidth="1"/>
    <col min="10268" max="10268" width="5.5703125" style="4" bestFit="1" customWidth="1"/>
    <col min="10269" max="10269" width="19.5703125" style="4" bestFit="1" customWidth="1"/>
    <col min="10270" max="10270" width="1.42578125" style="4" customWidth="1"/>
    <col min="10271" max="10271" width="13.42578125" style="4" bestFit="1" customWidth="1"/>
    <col min="10272" max="10272" width="8.5703125" style="4" bestFit="1" customWidth="1"/>
    <col min="10273" max="10273" width="8.85546875" style="4" bestFit="1" customWidth="1"/>
    <col min="10274" max="10496" width="9.140625" style="4"/>
    <col min="10497" max="10497" width="11" style="4" customWidth="1"/>
    <col min="10498" max="10499" width="12.5703125" style="4" customWidth="1"/>
    <col min="10500" max="10500" width="11" style="4" customWidth="1"/>
    <col min="10501" max="10501" width="8.42578125" style="4" customWidth="1"/>
    <col min="10502" max="10502" width="11.42578125" style="4" customWidth="1"/>
    <col min="10503" max="10503" width="1.85546875" style="4" customWidth="1"/>
    <col min="10504" max="10504" width="8.42578125" style="4" customWidth="1"/>
    <col min="10505" max="10505" width="11.42578125" style="4" customWidth="1"/>
    <col min="10506" max="10507" width="10.42578125" style="4" customWidth="1"/>
    <col min="10508" max="10508" width="10.5703125" style="4" customWidth="1"/>
    <col min="10509" max="10509" width="10" style="4" customWidth="1"/>
    <col min="10510" max="10510" width="11" style="4" bestFit="1" customWidth="1"/>
    <col min="10511" max="10511" width="12" style="4" customWidth="1"/>
    <col min="10512" max="10512" width="11.140625" style="4" customWidth="1"/>
    <col min="10513" max="10513" width="9.5703125" style="4" customWidth="1"/>
    <col min="10514" max="10514" width="10.42578125" style="4" customWidth="1"/>
    <col min="10515" max="10515" width="8.5703125" style="4" customWidth="1"/>
    <col min="10516" max="10516" width="11" style="4" customWidth="1"/>
    <col min="10517" max="10517" width="13.42578125" style="4" bestFit="1" customWidth="1"/>
    <col min="10518" max="10518" width="9.42578125" style="4" customWidth="1"/>
    <col min="10519" max="10519" width="7.5703125" style="4" customWidth="1"/>
    <col min="10520" max="10520" width="11.42578125" style="4" customWidth="1"/>
    <col min="10521" max="10521" width="9.42578125" style="4" customWidth="1"/>
    <col min="10522" max="10522" width="11.42578125" style="4" customWidth="1"/>
    <col min="10523" max="10523" width="13.42578125" style="4" bestFit="1" customWidth="1"/>
    <col min="10524" max="10524" width="5.5703125" style="4" bestFit="1" customWidth="1"/>
    <col min="10525" max="10525" width="19.5703125" style="4" bestFit="1" customWidth="1"/>
    <col min="10526" max="10526" width="1.42578125" style="4" customWidth="1"/>
    <col min="10527" max="10527" width="13.42578125" style="4" bestFit="1" customWidth="1"/>
    <col min="10528" max="10528" width="8.5703125" style="4" bestFit="1" customWidth="1"/>
    <col min="10529" max="10529" width="8.85546875" style="4" bestFit="1" customWidth="1"/>
    <col min="10530" max="10752" width="9.140625" style="4"/>
    <col min="10753" max="10753" width="11" style="4" customWidth="1"/>
    <col min="10754" max="10755" width="12.5703125" style="4" customWidth="1"/>
    <col min="10756" max="10756" width="11" style="4" customWidth="1"/>
    <col min="10757" max="10757" width="8.42578125" style="4" customWidth="1"/>
    <col min="10758" max="10758" width="11.42578125" style="4" customWidth="1"/>
    <col min="10759" max="10759" width="1.85546875" style="4" customWidth="1"/>
    <col min="10760" max="10760" width="8.42578125" style="4" customWidth="1"/>
    <col min="10761" max="10761" width="11.42578125" style="4" customWidth="1"/>
    <col min="10762" max="10763" width="10.42578125" style="4" customWidth="1"/>
    <col min="10764" max="10764" width="10.5703125" style="4" customWidth="1"/>
    <col min="10765" max="10765" width="10" style="4" customWidth="1"/>
    <col min="10766" max="10766" width="11" style="4" bestFit="1" customWidth="1"/>
    <col min="10767" max="10767" width="12" style="4" customWidth="1"/>
    <col min="10768" max="10768" width="11.140625" style="4" customWidth="1"/>
    <col min="10769" max="10769" width="9.5703125" style="4" customWidth="1"/>
    <col min="10770" max="10770" width="10.42578125" style="4" customWidth="1"/>
    <col min="10771" max="10771" width="8.5703125" style="4" customWidth="1"/>
    <col min="10772" max="10772" width="11" style="4" customWidth="1"/>
    <col min="10773" max="10773" width="13.42578125" style="4" bestFit="1" customWidth="1"/>
    <col min="10774" max="10774" width="9.42578125" style="4" customWidth="1"/>
    <col min="10775" max="10775" width="7.5703125" style="4" customWidth="1"/>
    <col min="10776" max="10776" width="11.42578125" style="4" customWidth="1"/>
    <col min="10777" max="10777" width="9.42578125" style="4" customWidth="1"/>
    <col min="10778" max="10778" width="11.42578125" style="4" customWidth="1"/>
    <col min="10779" max="10779" width="13.42578125" style="4" bestFit="1" customWidth="1"/>
    <col min="10780" max="10780" width="5.5703125" style="4" bestFit="1" customWidth="1"/>
    <col min="10781" max="10781" width="19.5703125" style="4" bestFit="1" customWidth="1"/>
    <col min="10782" max="10782" width="1.42578125" style="4" customWidth="1"/>
    <col min="10783" max="10783" width="13.42578125" style="4" bestFit="1" customWidth="1"/>
    <col min="10784" max="10784" width="8.5703125" style="4" bestFit="1" customWidth="1"/>
    <col min="10785" max="10785" width="8.85546875" style="4" bestFit="1" customWidth="1"/>
    <col min="10786" max="11008" width="9.140625" style="4"/>
    <col min="11009" max="11009" width="11" style="4" customWidth="1"/>
    <col min="11010" max="11011" width="12.5703125" style="4" customWidth="1"/>
    <col min="11012" max="11012" width="11" style="4" customWidth="1"/>
    <col min="11013" max="11013" width="8.42578125" style="4" customWidth="1"/>
    <col min="11014" max="11014" width="11.42578125" style="4" customWidth="1"/>
    <col min="11015" max="11015" width="1.85546875" style="4" customWidth="1"/>
    <col min="11016" max="11016" width="8.42578125" style="4" customWidth="1"/>
    <col min="11017" max="11017" width="11.42578125" style="4" customWidth="1"/>
    <col min="11018" max="11019" width="10.42578125" style="4" customWidth="1"/>
    <col min="11020" max="11020" width="10.5703125" style="4" customWidth="1"/>
    <col min="11021" max="11021" width="10" style="4" customWidth="1"/>
    <col min="11022" max="11022" width="11" style="4" bestFit="1" customWidth="1"/>
    <col min="11023" max="11023" width="12" style="4" customWidth="1"/>
    <col min="11024" max="11024" width="11.140625" style="4" customWidth="1"/>
    <col min="11025" max="11025" width="9.5703125" style="4" customWidth="1"/>
    <col min="11026" max="11026" width="10.42578125" style="4" customWidth="1"/>
    <col min="11027" max="11027" width="8.5703125" style="4" customWidth="1"/>
    <col min="11028" max="11028" width="11" style="4" customWidth="1"/>
    <col min="11029" max="11029" width="13.42578125" style="4" bestFit="1" customWidth="1"/>
    <col min="11030" max="11030" width="9.42578125" style="4" customWidth="1"/>
    <col min="11031" max="11031" width="7.5703125" style="4" customWidth="1"/>
    <col min="11032" max="11032" width="11.42578125" style="4" customWidth="1"/>
    <col min="11033" max="11033" width="9.42578125" style="4" customWidth="1"/>
    <col min="11034" max="11034" width="11.42578125" style="4" customWidth="1"/>
    <col min="11035" max="11035" width="13.42578125" style="4" bestFit="1" customWidth="1"/>
    <col min="11036" max="11036" width="5.5703125" style="4" bestFit="1" customWidth="1"/>
    <col min="11037" max="11037" width="19.5703125" style="4" bestFit="1" customWidth="1"/>
    <col min="11038" max="11038" width="1.42578125" style="4" customWidth="1"/>
    <col min="11039" max="11039" width="13.42578125" style="4" bestFit="1" customWidth="1"/>
    <col min="11040" max="11040" width="8.5703125" style="4" bestFit="1" customWidth="1"/>
    <col min="11041" max="11041" width="8.85546875" style="4" bestFit="1" customWidth="1"/>
    <col min="11042" max="11264" width="9.140625" style="4"/>
    <col min="11265" max="11265" width="11" style="4" customWidth="1"/>
    <col min="11266" max="11267" width="12.5703125" style="4" customWidth="1"/>
    <col min="11268" max="11268" width="11" style="4" customWidth="1"/>
    <col min="11269" max="11269" width="8.42578125" style="4" customWidth="1"/>
    <col min="11270" max="11270" width="11.42578125" style="4" customWidth="1"/>
    <col min="11271" max="11271" width="1.85546875" style="4" customWidth="1"/>
    <col min="11272" max="11272" width="8.42578125" style="4" customWidth="1"/>
    <col min="11273" max="11273" width="11.42578125" style="4" customWidth="1"/>
    <col min="11274" max="11275" width="10.42578125" style="4" customWidth="1"/>
    <col min="11276" max="11276" width="10.5703125" style="4" customWidth="1"/>
    <col min="11277" max="11277" width="10" style="4" customWidth="1"/>
    <col min="11278" max="11278" width="11" style="4" bestFit="1" customWidth="1"/>
    <col min="11279" max="11279" width="12" style="4" customWidth="1"/>
    <col min="11280" max="11280" width="11.140625" style="4" customWidth="1"/>
    <col min="11281" max="11281" width="9.5703125" style="4" customWidth="1"/>
    <col min="11282" max="11282" width="10.42578125" style="4" customWidth="1"/>
    <col min="11283" max="11283" width="8.5703125" style="4" customWidth="1"/>
    <col min="11284" max="11284" width="11" style="4" customWidth="1"/>
    <col min="11285" max="11285" width="13.42578125" style="4" bestFit="1" customWidth="1"/>
    <col min="11286" max="11286" width="9.42578125" style="4" customWidth="1"/>
    <col min="11287" max="11287" width="7.5703125" style="4" customWidth="1"/>
    <col min="11288" max="11288" width="11.42578125" style="4" customWidth="1"/>
    <col min="11289" max="11289" width="9.42578125" style="4" customWidth="1"/>
    <col min="11290" max="11290" width="11.42578125" style="4" customWidth="1"/>
    <col min="11291" max="11291" width="13.42578125" style="4" bestFit="1" customWidth="1"/>
    <col min="11292" max="11292" width="5.5703125" style="4" bestFit="1" customWidth="1"/>
    <col min="11293" max="11293" width="19.5703125" style="4" bestFit="1" customWidth="1"/>
    <col min="11294" max="11294" width="1.42578125" style="4" customWidth="1"/>
    <col min="11295" max="11295" width="13.42578125" style="4" bestFit="1" customWidth="1"/>
    <col min="11296" max="11296" width="8.5703125" style="4" bestFit="1" customWidth="1"/>
    <col min="11297" max="11297" width="8.85546875" style="4" bestFit="1" customWidth="1"/>
    <col min="11298" max="11520" width="9.140625" style="4"/>
    <col min="11521" max="11521" width="11" style="4" customWidth="1"/>
    <col min="11522" max="11523" width="12.5703125" style="4" customWidth="1"/>
    <col min="11524" max="11524" width="11" style="4" customWidth="1"/>
    <col min="11525" max="11525" width="8.42578125" style="4" customWidth="1"/>
    <col min="11526" max="11526" width="11.42578125" style="4" customWidth="1"/>
    <col min="11527" max="11527" width="1.85546875" style="4" customWidth="1"/>
    <col min="11528" max="11528" width="8.42578125" style="4" customWidth="1"/>
    <col min="11529" max="11529" width="11.42578125" style="4" customWidth="1"/>
    <col min="11530" max="11531" width="10.42578125" style="4" customWidth="1"/>
    <col min="11532" max="11532" width="10.5703125" style="4" customWidth="1"/>
    <col min="11533" max="11533" width="10" style="4" customWidth="1"/>
    <col min="11534" max="11534" width="11" style="4" bestFit="1" customWidth="1"/>
    <col min="11535" max="11535" width="12" style="4" customWidth="1"/>
    <col min="11536" max="11536" width="11.140625" style="4" customWidth="1"/>
    <col min="11537" max="11537" width="9.5703125" style="4" customWidth="1"/>
    <col min="11538" max="11538" width="10.42578125" style="4" customWidth="1"/>
    <col min="11539" max="11539" width="8.5703125" style="4" customWidth="1"/>
    <col min="11540" max="11540" width="11" style="4" customWidth="1"/>
    <col min="11541" max="11541" width="13.42578125" style="4" bestFit="1" customWidth="1"/>
    <col min="11542" max="11542" width="9.42578125" style="4" customWidth="1"/>
    <col min="11543" max="11543" width="7.5703125" style="4" customWidth="1"/>
    <col min="11544" max="11544" width="11.42578125" style="4" customWidth="1"/>
    <col min="11545" max="11545" width="9.42578125" style="4" customWidth="1"/>
    <col min="11546" max="11546" width="11.42578125" style="4" customWidth="1"/>
    <col min="11547" max="11547" width="13.42578125" style="4" bestFit="1" customWidth="1"/>
    <col min="11548" max="11548" width="5.5703125" style="4" bestFit="1" customWidth="1"/>
    <col min="11549" max="11549" width="19.5703125" style="4" bestFit="1" customWidth="1"/>
    <col min="11550" max="11550" width="1.42578125" style="4" customWidth="1"/>
    <col min="11551" max="11551" width="13.42578125" style="4" bestFit="1" customWidth="1"/>
    <col min="11552" max="11552" width="8.5703125" style="4" bestFit="1" customWidth="1"/>
    <col min="11553" max="11553" width="8.85546875" style="4" bestFit="1" customWidth="1"/>
    <col min="11554" max="11776" width="9.140625" style="4"/>
    <col min="11777" max="11777" width="11" style="4" customWidth="1"/>
    <col min="11778" max="11779" width="12.5703125" style="4" customWidth="1"/>
    <col min="11780" max="11780" width="11" style="4" customWidth="1"/>
    <col min="11781" max="11781" width="8.42578125" style="4" customWidth="1"/>
    <col min="11782" max="11782" width="11.42578125" style="4" customWidth="1"/>
    <col min="11783" max="11783" width="1.85546875" style="4" customWidth="1"/>
    <col min="11784" max="11784" width="8.42578125" style="4" customWidth="1"/>
    <col min="11785" max="11785" width="11.42578125" style="4" customWidth="1"/>
    <col min="11786" max="11787" width="10.42578125" style="4" customWidth="1"/>
    <col min="11788" max="11788" width="10.5703125" style="4" customWidth="1"/>
    <col min="11789" max="11789" width="10" style="4" customWidth="1"/>
    <col min="11790" max="11790" width="11" style="4" bestFit="1" customWidth="1"/>
    <col min="11791" max="11791" width="12" style="4" customWidth="1"/>
    <col min="11792" max="11792" width="11.140625" style="4" customWidth="1"/>
    <col min="11793" max="11793" width="9.5703125" style="4" customWidth="1"/>
    <col min="11794" max="11794" width="10.42578125" style="4" customWidth="1"/>
    <col min="11795" max="11795" width="8.5703125" style="4" customWidth="1"/>
    <col min="11796" max="11796" width="11" style="4" customWidth="1"/>
    <col min="11797" max="11797" width="13.42578125" style="4" bestFit="1" customWidth="1"/>
    <col min="11798" max="11798" width="9.42578125" style="4" customWidth="1"/>
    <col min="11799" max="11799" width="7.5703125" style="4" customWidth="1"/>
    <col min="11800" max="11800" width="11.42578125" style="4" customWidth="1"/>
    <col min="11801" max="11801" width="9.42578125" style="4" customWidth="1"/>
    <col min="11802" max="11802" width="11.42578125" style="4" customWidth="1"/>
    <col min="11803" max="11803" width="13.42578125" style="4" bestFit="1" customWidth="1"/>
    <col min="11804" max="11804" width="5.5703125" style="4" bestFit="1" customWidth="1"/>
    <col min="11805" max="11805" width="19.5703125" style="4" bestFit="1" customWidth="1"/>
    <col min="11806" max="11806" width="1.42578125" style="4" customWidth="1"/>
    <col min="11807" max="11807" width="13.42578125" style="4" bestFit="1" customWidth="1"/>
    <col min="11808" max="11808" width="8.5703125" style="4" bestFit="1" customWidth="1"/>
    <col min="11809" max="11809" width="8.85546875" style="4" bestFit="1" customWidth="1"/>
    <col min="11810" max="12032" width="9.140625" style="4"/>
    <col min="12033" max="12033" width="11" style="4" customWidth="1"/>
    <col min="12034" max="12035" width="12.5703125" style="4" customWidth="1"/>
    <col min="12036" max="12036" width="11" style="4" customWidth="1"/>
    <col min="12037" max="12037" width="8.42578125" style="4" customWidth="1"/>
    <col min="12038" max="12038" width="11.42578125" style="4" customWidth="1"/>
    <col min="12039" max="12039" width="1.85546875" style="4" customWidth="1"/>
    <col min="12040" max="12040" width="8.42578125" style="4" customWidth="1"/>
    <col min="12041" max="12041" width="11.42578125" style="4" customWidth="1"/>
    <col min="12042" max="12043" width="10.42578125" style="4" customWidth="1"/>
    <col min="12044" max="12044" width="10.5703125" style="4" customWidth="1"/>
    <col min="12045" max="12045" width="10" style="4" customWidth="1"/>
    <col min="12046" max="12046" width="11" style="4" bestFit="1" customWidth="1"/>
    <col min="12047" max="12047" width="12" style="4" customWidth="1"/>
    <col min="12048" max="12048" width="11.140625" style="4" customWidth="1"/>
    <col min="12049" max="12049" width="9.5703125" style="4" customWidth="1"/>
    <col min="12050" max="12050" width="10.42578125" style="4" customWidth="1"/>
    <col min="12051" max="12051" width="8.5703125" style="4" customWidth="1"/>
    <col min="12052" max="12052" width="11" style="4" customWidth="1"/>
    <col min="12053" max="12053" width="13.42578125" style="4" bestFit="1" customWidth="1"/>
    <col min="12054" max="12054" width="9.42578125" style="4" customWidth="1"/>
    <col min="12055" max="12055" width="7.5703125" style="4" customWidth="1"/>
    <col min="12056" max="12056" width="11.42578125" style="4" customWidth="1"/>
    <col min="12057" max="12057" width="9.42578125" style="4" customWidth="1"/>
    <col min="12058" max="12058" width="11.42578125" style="4" customWidth="1"/>
    <col min="12059" max="12059" width="13.42578125" style="4" bestFit="1" customWidth="1"/>
    <col min="12060" max="12060" width="5.5703125" style="4" bestFit="1" customWidth="1"/>
    <col min="12061" max="12061" width="19.5703125" style="4" bestFit="1" customWidth="1"/>
    <col min="12062" max="12062" width="1.42578125" style="4" customWidth="1"/>
    <col min="12063" max="12063" width="13.42578125" style="4" bestFit="1" customWidth="1"/>
    <col min="12064" max="12064" width="8.5703125" style="4" bestFit="1" customWidth="1"/>
    <col min="12065" max="12065" width="8.85546875" style="4" bestFit="1" customWidth="1"/>
    <col min="12066" max="12288" width="9.140625" style="4"/>
    <col min="12289" max="12289" width="11" style="4" customWidth="1"/>
    <col min="12290" max="12291" width="12.5703125" style="4" customWidth="1"/>
    <col min="12292" max="12292" width="11" style="4" customWidth="1"/>
    <col min="12293" max="12293" width="8.42578125" style="4" customWidth="1"/>
    <col min="12294" max="12294" width="11.42578125" style="4" customWidth="1"/>
    <col min="12295" max="12295" width="1.85546875" style="4" customWidth="1"/>
    <col min="12296" max="12296" width="8.42578125" style="4" customWidth="1"/>
    <col min="12297" max="12297" width="11.42578125" style="4" customWidth="1"/>
    <col min="12298" max="12299" width="10.42578125" style="4" customWidth="1"/>
    <col min="12300" max="12300" width="10.5703125" style="4" customWidth="1"/>
    <col min="12301" max="12301" width="10" style="4" customWidth="1"/>
    <col min="12302" max="12302" width="11" style="4" bestFit="1" customWidth="1"/>
    <col min="12303" max="12303" width="12" style="4" customWidth="1"/>
    <col min="12304" max="12304" width="11.140625" style="4" customWidth="1"/>
    <col min="12305" max="12305" width="9.5703125" style="4" customWidth="1"/>
    <col min="12306" max="12306" width="10.42578125" style="4" customWidth="1"/>
    <col min="12307" max="12307" width="8.5703125" style="4" customWidth="1"/>
    <col min="12308" max="12308" width="11" style="4" customWidth="1"/>
    <col min="12309" max="12309" width="13.42578125" style="4" bestFit="1" customWidth="1"/>
    <col min="12310" max="12310" width="9.42578125" style="4" customWidth="1"/>
    <col min="12311" max="12311" width="7.5703125" style="4" customWidth="1"/>
    <col min="12312" max="12312" width="11.42578125" style="4" customWidth="1"/>
    <col min="12313" max="12313" width="9.42578125" style="4" customWidth="1"/>
    <col min="12314" max="12314" width="11.42578125" style="4" customWidth="1"/>
    <col min="12315" max="12315" width="13.42578125" style="4" bestFit="1" customWidth="1"/>
    <col min="12316" max="12316" width="5.5703125" style="4" bestFit="1" customWidth="1"/>
    <col min="12317" max="12317" width="19.5703125" style="4" bestFit="1" customWidth="1"/>
    <col min="12318" max="12318" width="1.42578125" style="4" customWidth="1"/>
    <col min="12319" max="12319" width="13.42578125" style="4" bestFit="1" customWidth="1"/>
    <col min="12320" max="12320" width="8.5703125" style="4" bestFit="1" customWidth="1"/>
    <col min="12321" max="12321" width="8.85546875" style="4" bestFit="1" customWidth="1"/>
    <col min="12322" max="12544" width="9.140625" style="4"/>
    <col min="12545" max="12545" width="11" style="4" customWidth="1"/>
    <col min="12546" max="12547" width="12.5703125" style="4" customWidth="1"/>
    <col min="12548" max="12548" width="11" style="4" customWidth="1"/>
    <col min="12549" max="12549" width="8.42578125" style="4" customWidth="1"/>
    <col min="12550" max="12550" width="11.42578125" style="4" customWidth="1"/>
    <col min="12551" max="12551" width="1.85546875" style="4" customWidth="1"/>
    <col min="12552" max="12552" width="8.42578125" style="4" customWidth="1"/>
    <col min="12553" max="12553" width="11.42578125" style="4" customWidth="1"/>
    <col min="12554" max="12555" width="10.42578125" style="4" customWidth="1"/>
    <col min="12556" max="12556" width="10.5703125" style="4" customWidth="1"/>
    <col min="12557" max="12557" width="10" style="4" customWidth="1"/>
    <col min="12558" max="12558" width="11" style="4" bestFit="1" customWidth="1"/>
    <col min="12559" max="12559" width="12" style="4" customWidth="1"/>
    <col min="12560" max="12560" width="11.140625" style="4" customWidth="1"/>
    <col min="12561" max="12561" width="9.5703125" style="4" customWidth="1"/>
    <col min="12562" max="12562" width="10.42578125" style="4" customWidth="1"/>
    <col min="12563" max="12563" width="8.5703125" style="4" customWidth="1"/>
    <col min="12564" max="12564" width="11" style="4" customWidth="1"/>
    <col min="12565" max="12565" width="13.42578125" style="4" bestFit="1" customWidth="1"/>
    <col min="12566" max="12566" width="9.42578125" style="4" customWidth="1"/>
    <col min="12567" max="12567" width="7.5703125" style="4" customWidth="1"/>
    <col min="12568" max="12568" width="11.42578125" style="4" customWidth="1"/>
    <col min="12569" max="12569" width="9.42578125" style="4" customWidth="1"/>
    <col min="12570" max="12570" width="11.42578125" style="4" customWidth="1"/>
    <col min="12571" max="12571" width="13.42578125" style="4" bestFit="1" customWidth="1"/>
    <col min="12572" max="12572" width="5.5703125" style="4" bestFit="1" customWidth="1"/>
    <col min="12573" max="12573" width="19.5703125" style="4" bestFit="1" customWidth="1"/>
    <col min="12574" max="12574" width="1.42578125" style="4" customWidth="1"/>
    <col min="12575" max="12575" width="13.42578125" style="4" bestFit="1" customWidth="1"/>
    <col min="12576" max="12576" width="8.5703125" style="4" bestFit="1" customWidth="1"/>
    <col min="12577" max="12577" width="8.85546875" style="4" bestFit="1" customWidth="1"/>
    <col min="12578" max="12800" width="9.140625" style="4"/>
    <col min="12801" max="12801" width="11" style="4" customWidth="1"/>
    <col min="12802" max="12803" width="12.5703125" style="4" customWidth="1"/>
    <col min="12804" max="12804" width="11" style="4" customWidth="1"/>
    <col min="12805" max="12805" width="8.42578125" style="4" customWidth="1"/>
    <col min="12806" max="12806" width="11.42578125" style="4" customWidth="1"/>
    <col min="12807" max="12807" width="1.85546875" style="4" customWidth="1"/>
    <col min="12808" max="12808" width="8.42578125" style="4" customWidth="1"/>
    <col min="12809" max="12809" width="11.42578125" style="4" customWidth="1"/>
    <col min="12810" max="12811" width="10.42578125" style="4" customWidth="1"/>
    <col min="12812" max="12812" width="10.5703125" style="4" customWidth="1"/>
    <col min="12813" max="12813" width="10" style="4" customWidth="1"/>
    <col min="12814" max="12814" width="11" style="4" bestFit="1" customWidth="1"/>
    <col min="12815" max="12815" width="12" style="4" customWidth="1"/>
    <col min="12816" max="12816" width="11.140625" style="4" customWidth="1"/>
    <col min="12817" max="12817" width="9.5703125" style="4" customWidth="1"/>
    <col min="12818" max="12818" width="10.42578125" style="4" customWidth="1"/>
    <col min="12819" max="12819" width="8.5703125" style="4" customWidth="1"/>
    <col min="12820" max="12820" width="11" style="4" customWidth="1"/>
    <col min="12821" max="12821" width="13.42578125" style="4" bestFit="1" customWidth="1"/>
    <col min="12822" max="12822" width="9.42578125" style="4" customWidth="1"/>
    <col min="12823" max="12823" width="7.5703125" style="4" customWidth="1"/>
    <col min="12824" max="12824" width="11.42578125" style="4" customWidth="1"/>
    <col min="12825" max="12825" width="9.42578125" style="4" customWidth="1"/>
    <col min="12826" max="12826" width="11.42578125" style="4" customWidth="1"/>
    <col min="12827" max="12827" width="13.42578125" style="4" bestFit="1" customWidth="1"/>
    <col min="12828" max="12828" width="5.5703125" style="4" bestFit="1" customWidth="1"/>
    <col min="12829" max="12829" width="19.5703125" style="4" bestFit="1" customWidth="1"/>
    <col min="12830" max="12830" width="1.42578125" style="4" customWidth="1"/>
    <col min="12831" max="12831" width="13.42578125" style="4" bestFit="1" customWidth="1"/>
    <col min="12832" max="12832" width="8.5703125" style="4" bestFit="1" customWidth="1"/>
    <col min="12833" max="12833" width="8.85546875" style="4" bestFit="1" customWidth="1"/>
    <col min="12834" max="13056" width="9.140625" style="4"/>
    <col min="13057" max="13057" width="11" style="4" customWidth="1"/>
    <col min="13058" max="13059" width="12.5703125" style="4" customWidth="1"/>
    <col min="13060" max="13060" width="11" style="4" customWidth="1"/>
    <col min="13061" max="13061" width="8.42578125" style="4" customWidth="1"/>
    <col min="13062" max="13062" width="11.42578125" style="4" customWidth="1"/>
    <col min="13063" max="13063" width="1.85546875" style="4" customWidth="1"/>
    <col min="13064" max="13064" width="8.42578125" style="4" customWidth="1"/>
    <col min="13065" max="13065" width="11.42578125" style="4" customWidth="1"/>
    <col min="13066" max="13067" width="10.42578125" style="4" customWidth="1"/>
    <col min="13068" max="13068" width="10.5703125" style="4" customWidth="1"/>
    <col min="13069" max="13069" width="10" style="4" customWidth="1"/>
    <col min="13070" max="13070" width="11" style="4" bestFit="1" customWidth="1"/>
    <col min="13071" max="13071" width="12" style="4" customWidth="1"/>
    <col min="13072" max="13072" width="11.140625" style="4" customWidth="1"/>
    <col min="13073" max="13073" width="9.5703125" style="4" customWidth="1"/>
    <col min="13074" max="13074" width="10.42578125" style="4" customWidth="1"/>
    <col min="13075" max="13075" width="8.5703125" style="4" customWidth="1"/>
    <col min="13076" max="13076" width="11" style="4" customWidth="1"/>
    <col min="13077" max="13077" width="13.42578125" style="4" bestFit="1" customWidth="1"/>
    <col min="13078" max="13078" width="9.42578125" style="4" customWidth="1"/>
    <col min="13079" max="13079" width="7.5703125" style="4" customWidth="1"/>
    <col min="13080" max="13080" width="11.42578125" style="4" customWidth="1"/>
    <col min="13081" max="13081" width="9.42578125" style="4" customWidth="1"/>
    <col min="13082" max="13082" width="11.42578125" style="4" customWidth="1"/>
    <col min="13083" max="13083" width="13.42578125" style="4" bestFit="1" customWidth="1"/>
    <col min="13084" max="13084" width="5.5703125" style="4" bestFit="1" customWidth="1"/>
    <col min="13085" max="13085" width="19.5703125" style="4" bestFit="1" customWidth="1"/>
    <col min="13086" max="13086" width="1.42578125" style="4" customWidth="1"/>
    <col min="13087" max="13087" width="13.42578125" style="4" bestFit="1" customWidth="1"/>
    <col min="13088" max="13088" width="8.5703125" style="4" bestFit="1" customWidth="1"/>
    <col min="13089" max="13089" width="8.85546875" style="4" bestFit="1" customWidth="1"/>
    <col min="13090" max="13312" width="9.140625" style="4"/>
    <col min="13313" max="13313" width="11" style="4" customWidth="1"/>
    <col min="13314" max="13315" width="12.5703125" style="4" customWidth="1"/>
    <col min="13316" max="13316" width="11" style="4" customWidth="1"/>
    <col min="13317" max="13317" width="8.42578125" style="4" customWidth="1"/>
    <col min="13318" max="13318" width="11.42578125" style="4" customWidth="1"/>
    <col min="13319" max="13319" width="1.85546875" style="4" customWidth="1"/>
    <col min="13320" max="13320" width="8.42578125" style="4" customWidth="1"/>
    <col min="13321" max="13321" width="11.42578125" style="4" customWidth="1"/>
    <col min="13322" max="13323" width="10.42578125" style="4" customWidth="1"/>
    <col min="13324" max="13324" width="10.5703125" style="4" customWidth="1"/>
    <col min="13325" max="13325" width="10" style="4" customWidth="1"/>
    <col min="13326" max="13326" width="11" style="4" bestFit="1" customWidth="1"/>
    <col min="13327" max="13327" width="12" style="4" customWidth="1"/>
    <col min="13328" max="13328" width="11.140625" style="4" customWidth="1"/>
    <col min="13329" max="13329" width="9.5703125" style="4" customWidth="1"/>
    <col min="13330" max="13330" width="10.42578125" style="4" customWidth="1"/>
    <col min="13331" max="13331" width="8.5703125" style="4" customWidth="1"/>
    <col min="13332" max="13332" width="11" style="4" customWidth="1"/>
    <col min="13333" max="13333" width="13.42578125" style="4" bestFit="1" customWidth="1"/>
    <col min="13334" max="13334" width="9.42578125" style="4" customWidth="1"/>
    <col min="13335" max="13335" width="7.5703125" style="4" customWidth="1"/>
    <col min="13336" max="13336" width="11.42578125" style="4" customWidth="1"/>
    <col min="13337" max="13337" width="9.42578125" style="4" customWidth="1"/>
    <col min="13338" max="13338" width="11.42578125" style="4" customWidth="1"/>
    <col min="13339" max="13339" width="13.42578125" style="4" bestFit="1" customWidth="1"/>
    <col min="13340" max="13340" width="5.5703125" style="4" bestFit="1" customWidth="1"/>
    <col min="13341" max="13341" width="19.5703125" style="4" bestFit="1" customWidth="1"/>
    <col min="13342" max="13342" width="1.42578125" style="4" customWidth="1"/>
    <col min="13343" max="13343" width="13.42578125" style="4" bestFit="1" customWidth="1"/>
    <col min="13344" max="13344" width="8.5703125" style="4" bestFit="1" customWidth="1"/>
    <col min="13345" max="13345" width="8.85546875" style="4" bestFit="1" customWidth="1"/>
    <col min="13346" max="13568" width="9.140625" style="4"/>
    <col min="13569" max="13569" width="11" style="4" customWidth="1"/>
    <col min="13570" max="13571" width="12.5703125" style="4" customWidth="1"/>
    <col min="13572" max="13572" width="11" style="4" customWidth="1"/>
    <col min="13573" max="13573" width="8.42578125" style="4" customWidth="1"/>
    <col min="13574" max="13574" width="11.42578125" style="4" customWidth="1"/>
    <col min="13575" max="13575" width="1.85546875" style="4" customWidth="1"/>
    <col min="13576" max="13576" width="8.42578125" style="4" customWidth="1"/>
    <col min="13577" max="13577" width="11.42578125" style="4" customWidth="1"/>
    <col min="13578" max="13579" width="10.42578125" style="4" customWidth="1"/>
    <col min="13580" max="13580" width="10.5703125" style="4" customWidth="1"/>
    <col min="13581" max="13581" width="10" style="4" customWidth="1"/>
    <col min="13582" max="13582" width="11" style="4" bestFit="1" customWidth="1"/>
    <col min="13583" max="13583" width="12" style="4" customWidth="1"/>
    <col min="13584" max="13584" width="11.140625" style="4" customWidth="1"/>
    <col min="13585" max="13585" width="9.5703125" style="4" customWidth="1"/>
    <col min="13586" max="13586" width="10.42578125" style="4" customWidth="1"/>
    <col min="13587" max="13587" width="8.5703125" style="4" customWidth="1"/>
    <col min="13588" max="13588" width="11" style="4" customWidth="1"/>
    <col min="13589" max="13589" width="13.42578125" style="4" bestFit="1" customWidth="1"/>
    <col min="13590" max="13590" width="9.42578125" style="4" customWidth="1"/>
    <col min="13591" max="13591" width="7.5703125" style="4" customWidth="1"/>
    <col min="13592" max="13592" width="11.42578125" style="4" customWidth="1"/>
    <col min="13593" max="13593" width="9.42578125" style="4" customWidth="1"/>
    <col min="13594" max="13594" width="11.42578125" style="4" customWidth="1"/>
    <col min="13595" max="13595" width="13.42578125" style="4" bestFit="1" customWidth="1"/>
    <col min="13596" max="13596" width="5.5703125" style="4" bestFit="1" customWidth="1"/>
    <col min="13597" max="13597" width="19.5703125" style="4" bestFit="1" customWidth="1"/>
    <col min="13598" max="13598" width="1.42578125" style="4" customWidth="1"/>
    <col min="13599" max="13599" width="13.42578125" style="4" bestFit="1" customWidth="1"/>
    <col min="13600" max="13600" width="8.5703125" style="4" bestFit="1" customWidth="1"/>
    <col min="13601" max="13601" width="8.85546875" style="4" bestFit="1" customWidth="1"/>
    <col min="13602" max="13824" width="9.140625" style="4"/>
    <col min="13825" max="13825" width="11" style="4" customWidth="1"/>
    <col min="13826" max="13827" width="12.5703125" style="4" customWidth="1"/>
    <col min="13828" max="13828" width="11" style="4" customWidth="1"/>
    <col min="13829" max="13829" width="8.42578125" style="4" customWidth="1"/>
    <col min="13830" max="13830" width="11.42578125" style="4" customWidth="1"/>
    <col min="13831" max="13831" width="1.85546875" style="4" customWidth="1"/>
    <col min="13832" max="13832" width="8.42578125" style="4" customWidth="1"/>
    <col min="13833" max="13833" width="11.42578125" style="4" customWidth="1"/>
    <col min="13834" max="13835" width="10.42578125" style="4" customWidth="1"/>
    <col min="13836" max="13836" width="10.5703125" style="4" customWidth="1"/>
    <col min="13837" max="13837" width="10" style="4" customWidth="1"/>
    <col min="13838" max="13838" width="11" style="4" bestFit="1" customWidth="1"/>
    <col min="13839" max="13839" width="12" style="4" customWidth="1"/>
    <col min="13840" max="13840" width="11.140625" style="4" customWidth="1"/>
    <col min="13841" max="13841" width="9.5703125" style="4" customWidth="1"/>
    <col min="13842" max="13842" width="10.42578125" style="4" customWidth="1"/>
    <col min="13843" max="13843" width="8.5703125" style="4" customWidth="1"/>
    <col min="13844" max="13844" width="11" style="4" customWidth="1"/>
    <col min="13845" max="13845" width="13.42578125" style="4" bestFit="1" customWidth="1"/>
    <col min="13846" max="13846" width="9.42578125" style="4" customWidth="1"/>
    <col min="13847" max="13847" width="7.5703125" style="4" customWidth="1"/>
    <col min="13848" max="13848" width="11.42578125" style="4" customWidth="1"/>
    <col min="13849" max="13849" width="9.42578125" style="4" customWidth="1"/>
    <col min="13850" max="13850" width="11.42578125" style="4" customWidth="1"/>
    <col min="13851" max="13851" width="13.42578125" style="4" bestFit="1" customWidth="1"/>
    <col min="13852" max="13852" width="5.5703125" style="4" bestFit="1" customWidth="1"/>
    <col min="13853" max="13853" width="19.5703125" style="4" bestFit="1" customWidth="1"/>
    <col min="13854" max="13854" width="1.42578125" style="4" customWidth="1"/>
    <col min="13855" max="13855" width="13.42578125" style="4" bestFit="1" customWidth="1"/>
    <col min="13856" max="13856" width="8.5703125" style="4" bestFit="1" customWidth="1"/>
    <col min="13857" max="13857" width="8.85546875" style="4" bestFit="1" customWidth="1"/>
    <col min="13858" max="14080" width="9.140625" style="4"/>
    <col min="14081" max="14081" width="11" style="4" customWidth="1"/>
    <col min="14082" max="14083" width="12.5703125" style="4" customWidth="1"/>
    <col min="14084" max="14084" width="11" style="4" customWidth="1"/>
    <col min="14085" max="14085" width="8.42578125" style="4" customWidth="1"/>
    <col min="14086" max="14086" width="11.42578125" style="4" customWidth="1"/>
    <col min="14087" max="14087" width="1.85546875" style="4" customWidth="1"/>
    <col min="14088" max="14088" width="8.42578125" style="4" customWidth="1"/>
    <col min="14089" max="14089" width="11.42578125" style="4" customWidth="1"/>
    <col min="14090" max="14091" width="10.42578125" style="4" customWidth="1"/>
    <col min="14092" max="14092" width="10.5703125" style="4" customWidth="1"/>
    <col min="14093" max="14093" width="10" style="4" customWidth="1"/>
    <col min="14094" max="14094" width="11" style="4" bestFit="1" customWidth="1"/>
    <col min="14095" max="14095" width="12" style="4" customWidth="1"/>
    <col min="14096" max="14096" width="11.140625" style="4" customWidth="1"/>
    <col min="14097" max="14097" width="9.5703125" style="4" customWidth="1"/>
    <col min="14098" max="14098" width="10.42578125" style="4" customWidth="1"/>
    <col min="14099" max="14099" width="8.5703125" style="4" customWidth="1"/>
    <col min="14100" max="14100" width="11" style="4" customWidth="1"/>
    <col min="14101" max="14101" width="13.42578125" style="4" bestFit="1" customWidth="1"/>
    <col min="14102" max="14102" width="9.42578125" style="4" customWidth="1"/>
    <col min="14103" max="14103" width="7.5703125" style="4" customWidth="1"/>
    <col min="14104" max="14104" width="11.42578125" style="4" customWidth="1"/>
    <col min="14105" max="14105" width="9.42578125" style="4" customWidth="1"/>
    <col min="14106" max="14106" width="11.42578125" style="4" customWidth="1"/>
    <col min="14107" max="14107" width="13.42578125" style="4" bestFit="1" customWidth="1"/>
    <col min="14108" max="14108" width="5.5703125" style="4" bestFit="1" customWidth="1"/>
    <col min="14109" max="14109" width="19.5703125" style="4" bestFit="1" customWidth="1"/>
    <col min="14110" max="14110" width="1.42578125" style="4" customWidth="1"/>
    <col min="14111" max="14111" width="13.42578125" style="4" bestFit="1" customWidth="1"/>
    <col min="14112" max="14112" width="8.5703125" style="4" bestFit="1" customWidth="1"/>
    <col min="14113" max="14113" width="8.85546875" style="4" bestFit="1" customWidth="1"/>
    <col min="14114" max="14336" width="9.140625" style="4"/>
    <col min="14337" max="14337" width="11" style="4" customWidth="1"/>
    <col min="14338" max="14339" width="12.5703125" style="4" customWidth="1"/>
    <col min="14340" max="14340" width="11" style="4" customWidth="1"/>
    <col min="14341" max="14341" width="8.42578125" style="4" customWidth="1"/>
    <col min="14342" max="14342" width="11.42578125" style="4" customWidth="1"/>
    <col min="14343" max="14343" width="1.85546875" style="4" customWidth="1"/>
    <col min="14344" max="14344" width="8.42578125" style="4" customWidth="1"/>
    <col min="14345" max="14345" width="11.42578125" style="4" customWidth="1"/>
    <col min="14346" max="14347" width="10.42578125" style="4" customWidth="1"/>
    <col min="14348" max="14348" width="10.5703125" style="4" customWidth="1"/>
    <col min="14349" max="14349" width="10" style="4" customWidth="1"/>
    <col min="14350" max="14350" width="11" style="4" bestFit="1" customWidth="1"/>
    <col min="14351" max="14351" width="12" style="4" customWidth="1"/>
    <col min="14352" max="14352" width="11.140625" style="4" customWidth="1"/>
    <col min="14353" max="14353" width="9.5703125" style="4" customWidth="1"/>
    <col min="14354" max="14354" width="10.42578125" style="4" customWidth="1"/>
    <col min="14355" max="14355" width="8.5703125" style="4" customWidth="1"/>
    <col min="14356" max="14356" width="11" style="4" customWidth="1"/>
    <col min="14357" max="14357" width="13.42578125" style="4" bestFit="1" customWidth="1"/>
    <col min="14358" max="14358" width="9.42578125" style="4" customWidth="1"/>
    <col min="14359" max="14359" width="7.5703125" style="4" customWidth="1"/>
    <col min="14360" max="14360" width="11.42578125" style="4" customWidth="1"/>
    <col min="14361" max="14361" width="9.42578125" style="4" customWidth="1"/>
    <col min="14362" max="14362" width="11.42578125" style="4" customWidth="1"/>
    <col min="14363" max="14363" width="13.42578125" style="4" bestFit="1" customWidth="1"/>
    <col min="14364" max="14364" width="5.5703125" style="4" bestFit="1" customWidth="1"/>
    <col min="14365" max="14365" width="19.5703125" style="4" bestFit="1" customWidth="1"/>
    <col min="14366" max="14366" width="1.42578125" style="4" customWidth="1"/>
    <col min="14367" max="14367" width="13.42578125" style="4" bestFit="1" customWidth="1"/>
    <col min="14368" max="14368" width="8.5703125" style="4" bestFit="1" customWidth="1"/>
    <col min="14369" max="14369" width="8.85546875" style="4" bestFit="1" customWidth="1"/>
    <col min="14370" max="14592" width="9.140625" style="4"/>
    <col min="14593" max="14593" width="11" style="4" customWidth="1"/>
    <col min="14594" max="14595" width="12.5703125" style="4" customWidth="1"/>
    <col min="14596" max="14596" width="11" style="4" customWidth="1"/>
    <col min="14597" max="14597" width="8.42578125" style="4" customWidth="1"/>
    <col min="14598" max="14598" width="11.42578125" style="4" customWidth="1"/>
    <col min="14599" max="14599" width="1.85546875" style="4" customWidth="1"/>
    <col min="14600" max="14600" width="8.42578125" style="4" customWidth="1"/>
    <col min="14601" max="14601" width="11.42578125" style="4" customWidth="1"/>
    <col min="14602" max="14603" width="10.42578125" style="4" customWidth="1"/>
    <col min="14604" max="14604" width="10.5703125" style="4" customWidth="1"/>
    <col min="14605" max="14605" width="10" style="4" customWidth="1"/>
    <col min="14606" max="14606" width="11" style="4" bestFit="1" customWidth="1"/>
    <col min="14607" max="14607" width="12" style="4" customWidth="1"/>
    <col min="14608" max="14608" width="11.140625" style="4" customWidth="1"/>
    <col min="14609" max="14609" width="9.5703125" style="4" customWidth="1"/>
    <col min="14610" max="14610" width="10.42578125" style="4" customWidth="1"/>
    <col min="14611" max="14611" width="8.5703125" style="4" customWidth="1"/>
    <col min="14612" max="14612" width="11" style="4" customWidth="1"/>
    <col min="14613" max="14613" width="13.42578125" style="4" bestFit="1" customWidth="1"/>
    <col min="14614" max="14614" width="9.42578125" style="4" customWidth="1"/>
    <col min="14615" max="14615" width="7.5703125" style="4" customWidth="1"/>
    <col min="14616" max="14616" width="11.42578125" style="4" customWidth="1"/>
    <col min="14617" max="14617" width="9.42578125" style="4" customWidth="1"/>
    <col min="14618" max="14618" width="11.42578125" style="4" customWidth="1"/>
    <col min="14619" max="14619" width="13.42578125" style="4" bestFit="1" customWidth="1"/>
    <col min="14620" max="14620" width="5.5703125" style="4" bestFit="1" customWidth="1"/>
    <col min="14621" max="14621" width="19.5703125" style="4" bestFit="1" customWidth="1"/>
    <col min="14622" max="14622" width="1.42578125" style="4" customWidth="1"/>
    <col min="14623" max="14623" width="13.42578125" style="4" bestFit="1" customWidth="1"/>
    <col min="14624" max="14624" width="8.5703125" style="4" bestFit="1" customWidth="1"/>
    <col min="14625" max="14625" width="8.85546875" style="4" bestFit="1" customWidth="1"/>
    <col min="14626" max="14848" width="9.140625" style="4"/>
    <col min="14849" max="14849" width="11" style="4" customWidth="1"/>
    <col min="14850" max="14851" width="12.5703125" style="4" customWidth="1"/>
    <col min="14852" max="14852" width="11" style="4" customWidth="1"/>
    <col min="14853" max="14853" width="8.42578125" style="4" customWidth="1"/>
    <col min="14854" max="14854" width="11.42578125" style="4" customWidth="1"/>
    <col min="14855" max="14855" width="1.85546875" style="4" customWidth="1"/>
    <col min="14856" max="14856" width="8.42578125" style="4" customWidth="1"/>
    <col min="14857" max="14857" width="11.42578125" style="4" customWidth="1"/>
    <col min="14858" max="14859" width="10.42578125" style="4" customWidth="1"/>
    <col min="14860" max="14860" width="10.5703125" style="4" customWidth="1"/>
    <col min="14861" max="14861" width="10" style="4" customWidth="1"/>
    <col min="14862" max="14862" width="11" style="4" bestFit="1" customWidth="1"/>
    <col min="14863" max="14863" width="12" style="4" customWidth="1"/>
    <col min="14864" max="14864" width="11.140625" style="4" customWidth="1"/>
    <col min="14865" max="14865" width="9.5703125" style="4" customWidth="1"/>
    <col min="14866" max="14866" width="10.42578125" style="4" customWidth="1"/>
    <col min="14867" max="14867" width="8.5703125" style="4" customWidth="1"/>
    <col min="14868" max="14868" width="11" style="4" customWidth="1"/>
    <col min="14869" max="14869" width="13.42578125" style="4" bestFit="1" customWidth="1"/>
    <col min="14870" max="14870" width="9.42578125" style="4" customWidth="1"/>
    <col min="14871" max="14871" width="7.5703125" style="4" customWidth="1"/>
    <col min="14872" max="14872" width="11.42578125" style="4" customWidth="1"/>
    <col min="14873" max="14873" width="9.42578125" style="4" customWidth="1"/>
    <col min="14874" max="14874" width="11.42578125" style="4" customWidth="1"/>
    <col min="14875" max="14875" width="13.42578125" style="4" bestFit="1" customWidth="1"/>
    <col min="14876" max="14876" width="5.5703125" style="4" bestFit="1" customWidth="1"/>
    <col min="14877" max="14877" width="19.5703125" style="4" bestFit="1" customWidth="1"/>
    <col min="14878" max="14878" width="1.42578125" style="4" customWidth="1"/>
    <col min="14879" max="14879" width="13.42578125" style="4" bestFit="1" customWidth="1"/>
    <col min="14880" max="14880" width="8.5703125" style="4" bestFit="1" customWidth="1"/>
    <col min="14881" max="14881" width="8.85546875" style="4" bestFit="1" customWidth="1"/>
    <col min="14882" max="15104" width="9.140625" style="4"/>
    <col min="15105" max="15105" width="11" style="4" customWidth="1"/>
    <col min="15106" max="15107" width="12.5703125" style="4" customWidth="1"/>
    <col min="15108" max="15108" width="11" style="4" customWidth="1"/>
    <col min="15109" max="15109" width="8.42578125" style="4" customWidth="1"/>
    <col min="15110" max="15110" width="11.42578125" style="4" customWidth="1"/>
    <col min="15111" max="15111" width="1.85546875" style="4" customWidth="1"/>
    <col min="15112" max="15112" width="8.42578125" style="4" customWidth="1"/>
    <col min="15113" max="15113" width="11.42578125" style="4" customWidth="1"/>
    <col min="15114" max="15115" width="10.42578125" style="4" customWidth="1"/>
    <col min="15116" max="15116" width="10.5703125" style="4" customWidth="1"/>
    <col min="15117" max="15117" width="10" style="4" customWidth="1"/>
    <col min="15118" max="15118" width="11" style="4" bestFit="1" customWidth="1"/>
    <col min="15119" max="15119" width="12" style="4" customWidth="1"/>
    <col min="15120" max="15120" width="11.140625" style="4" customWidth="1"/>
    <col min="15121" max="15121" width="9.5703125" style="4" customWidth="1"/>
    <col min="15122" max="15122" width="10.42578125" style="4" customWidth="1"/>
    <col min="15123" max="15123" width="8.5703125" style="4" customWidth="1"/>
    <col min="15124" max="15124" width="11" style="4" customWidth="1"/>
    <col min="15125" max="15125" width="13.42578125" style="4" bestFit="1" customWidth="1"/>
    <col min="15126" max="15126" width="9.42578125" style="4" customWidth="1"/>
    <col min="15127" max="15127" width="7.5703125" style="4" customWidth="1"/>
    <col min="15128" max="15128" width="11.42578125" style="4" customWidth="1"/>
    <col min="15129" max="15129" width="9.42578125" style="4" customWidth="1"/>
    <col min="15130" max="15130" width="11.42578125" style="4" customWidth="1"/>
    <col min="15131" max="15131" width="13.42578125" style="4" bestFit="1" customWidth="1"/>
    <col min="15132" max="15132" width="5.5703125" style="4" bestFit="1" customWidth="1"/>
    <col min="15133" max="15133" width="19.5703125" style="4" bestFit="1" customWidth="1"/>
    <col min="15134" max="15134" width="1.42578125" style="4" customWidth="1"/>
    <col min="15135" max="15135" width="13.42578125" style="4" bestFit="1" customWidth="1"/>
    <col min="15136" max="15136" width="8.5703125" style="4" bestFit="1" customWidth="1"/>
    <col min="15137" max="15137" width="8.85546875" style="4" bestFit="1" customWidth="1"/>
    <col min="15138" max="15360" width="9.140625" style="4"/>
    <col min="15361" max="15361" width="11" style="4" customWidth="1"/>
    <col min="15362" max="15363" width="12.5703125" style="4" customWidth="1"/>
    <col min="15364" max="15364" width="11" style="4" customWidth="1"/>
    <col min="15365" max="15365" width="8.42578125" style="4" customWidth="1"/>
    <col min="15366" max="15366" width="11.42578125" style="4" customWidth="1"/>
    <col min="15367" max="15367" width="1.85546875" style="4" customWidth="1"/>
    <col min="15368" max="15368" width="8.42578125" style="4" customWidth="1"/>
    <col min="15369" max="15369" width="11.42578125" style="4" customWidth="1"/>
    <col min="15370" max="15371" width="10.42578125" style="4" customWidth="1"/>
    <col min="15372" max="15372" width="10.5703125" style="4" customWidth="1"/>
    <col min="15373" max="15373" width="10" style="4" customWidth="1"/>
    <col min="15374" max="15374" width="11" style="4" bestFit="1" customWidth="1"/>
    <col min="15375" max="15375" width="12" style="4" customWidth="1"/>
    <col min="15376" max="15376" width="11.140625" style="4" customWidth="1"/>
    <col min="15377" max="15377" width="9.5703125" style="4" customWidth="1"/>
    <col min="15378" max="15378" width="10.42578125" style="4" customWidth="1"/>
    <col min="15379" max="15379" width="8.5703125" style="4" customWidth="1"/>
    <col min="15380" max="15380" width="11" style="4" customWidth="1"/>
    <col min="15381" max="15381" width="13.42578125" style="4" bestFit="1" customWidth="1"/>
    <col min="15382" max="15382" width="9.42578125" style="4" customWidth="1"/>
    <col min="15383" max="15383" width="7.5703125" style="4" customWidth="1"/>
    <col min="15384" max="15384" width="11.42578125" style="4" customWidth="1"/>
    <col min="15385" max="15385" width="9.42578125" style="4" customWidth="1"/>
    <col min="15386" max="15386" width="11.42578125" style="4" customWidth="1"/>
    <col min="15387" max="15387" width="13.42578125" style="4" bestFit="1" customWidth="1"/>
    <col min="15388" max="15388" width="5.5703125" style="4" bestFit="1" customWidth="1"/>
    <col min="15389" max="15389" width="19.5703125" style="4" bestFit="1" customWidth="1"/>
    <col min="15390" max="15390" width="1.42578125" style="4" customWidth="1"/>
    <col min="15391" max="15391" width="13.42578125" style="4" bestFit="1" customWidth="1"/>
    <col min="15392" max="15392" width="8.5703125" style="4" bestFit="1" customWidth="1"/>
    <col min="15393" max="15393" width="8.85546875" style="4" bestFit="1" customWidth="1"/>
    <col min="15394" max="15616" width="9.140625" style="4"/>
    <col min="15617" max="15617" width="11" style="4" customWidth="1"/>
    <col min="15618" max="15619" width="12.5703125" style="4" customWidth="1"/>
    <col min="15620" max="15620" width="11" style="4" customWidth="1"/>
    <col min="15621" max="15621" width="8.42578125" style="4" customWidth="1"/>
    <col min="15622" max="15622" width="11.42578125" style="4" customWidth="1"/>
    <col min="15623" max="15623" width="1.85546875" style="4" customWidth="1"/>
    <col min="15624" max="15624" width="8.42578125" style="4" customWidth="1"/>
    <col min="15625" max="15625" width="11.42578125" style="4" customWidth="1"/>
    <col min="15626" max="15627" width="10.42578125" style="4" customWidth="1"/>
    <col min="15628" max="15628" width="10.5703125" style="4" customWidth="1"/>
    <col min="15629" max="15629" width="10" style="4" customWidth="1"/>
    <col min="15630" max="15630" width="11" style="4" bestFit="1" customWidth="1"/>
    <col min="15631" max="15631" width="12" style="4" customWidth="1"/>
    <col min="15632" max="15632" width="11.140625" style="4" customWidth="1"/>
    <col min="15633" max="15633" width="9.5703125" style="4" customWidth="1"/>
    <col min="15634" max="15634" width="10.42578125" style="4" customWidth="1"/>
    <col min="15635" max="15635" width="8.5703125" style="4" customWidth="1"/>
    <col min="15636" max="15636" width="11" style="4" customWidth="1"/>
    <col min="15637" max="15637" width="13.42578125" style="4" bestFit="1" customWidth="1"/>
    <col min="15638" max="15638" width="9.42578125" style="4" customWidth="1"/>
    <col min="15639" max="15639" width="7.5703125" style="4" customWidth="1"/>
    <col min="15640" max="15640" width="11.42578125" style="4" customWidth="1"/>
    <col min="15641" max="15641" width="9.42578125" style="4" customWidth="1"/>
    <col min="15642" max="15642" width="11.42578125" style="4" customWidth="1"/>
    <col min="15643" max="15643" width="13.42578125" style="4" bestFit="1" customWidth="1"/>
    <col min="15644" max="15644" width="5.5703125" style="4" bestFit="1" customWidth="1"/>
    <col min="15645" max="15645" width="19.5703125" style="4" bestFit="1" customWidth="1"/>
    <col min="15646" max="15646" width="1.42578125" style="4" customWidth="1"/>
    <col min="15647" max="15647" width="13.42578125" style="4" bestFit="1" customWidth="1"/>
    <col min="15648" max="15648" width="8.5703125" style="4" bestFit="1" customWidth="1"/>
    <col min="15649" max="15649" width="8.85546875" style="4" bestFit="1" customWidth="1"/>
    <col min="15650" max="15872" width="9.140625" style="4"/>
    <col min="15873" max="15873" width="11" style="4" customWidth="1"/>
    <col min="15874" max="15875" width="12.5703125" style="4" customWidth="1"/>
    <col min="15876" max="15876" width="11" style="4" customWidth="1"/>
    <col min="15877" max="15877" width="8.42578125" style="4" customWidth="1"/>
    <col min="15878" max="15878" width="11.42578125" style="4" customWidth="1"/>
    <col min="15879" max="15879" width="1.85546875" style="4" customWidth="1"/>
    <col min="15880" max="15880" width="8.42578125" style="4" customWidth="1"/>
    <col min="15881" max="15881" width="11.42578125" style="4" customWidth="1"/>
    <col min="15882" max="15883" width="10.42578125" style="4" customWidth="1"/>
    <col min="15884" max="15884" width="10.5703125" style="4" customWidth="1"/>
    <col min="15885" max="15885" width="10" style="4" customWidth="1"/>
    <col min="15886" max="15886" width="11" style="4" bestFit="1" customWidth="1"/>
    <col min="15887" max="15887" width="12" style="4" customWidth="1"/>
    <col min="15888" max="15888" width="11.140625" style="4" customWidth="1"/>
    <col min="15889" max="15889" width="9.5703125" style="4" customWidth="1"/>
    <col min="15890" max="15890" width="10.42578125" style="4" customWidth="1"/>
    <col min="15891" max="15891" width="8.5703125" style="4" customWidth="1"/>
    <col min="15892" max="15892" width="11" style="4" customWidth="1"/>
    <col min="15893" max="15893" width="13.42578125" style="4" bestFit="1" customWidth="1"/>
    <col min="15894" max="15894" width="9.42578125" style="4" customWidth="1"/>
    <col min="15895" max="15895" width="7.5703125" style="4" customWidth="1"/>
    <col min="15896" max="15896" width="11.42578125" style="4" customWidth="1"/>
    <col min="15897" max="15897" width="9.42578125" style="4" customWidth="1"/>
    <col min="15898" max="15898" width="11.42578125" style="4" customWidth="1"/>
    <col min="15899" max="15899" width="13.42578125" style="4" bestFit="1" customWidth="1"/>
    <col min="15900" max="15900" width="5.5703125" style="4" bestFit="1" customWidth="1"/>
    <col min="15901" max="15901" width="19.5703125" style="4" bestFit="1" customWidth="1"/>
    <col min="15902" max="15902" width="1.42578125" style="4" customWidth="1"/>
    <col min="15903" max="15903" width="13.42578125" style="4" bestFit="1" customWidth="1"/>
    <col min="15904" max="15904" width="8.5703125" style="4" bestFit="1" customWidth="1"/>
    <col min="15905" max="15905" width="8.85546875" style="4" bestFit="1" customWidth="1"/>
    <col min="15906" max="16128" width="9.140625" style="4"/>
    <col min="16129" max="16129" width="11" style="4" customWidth="1"/>
    <col min="16130" max="16131" width="12.5703125" style="4" customWidth="1"/>
    <col min="16132" max="16132" width="11" style="4" customWidth="1"/>
    <col min="16133" max="16133" width="8.42578125" style="4" customWidth="1"/>
    <col min="16134" max="16134" width="11.42578125" style="4" customWidth="1"/>
    <col min="16135" max="16135" width="1.85546875" style="4" customWidth="1"/>
    <col min="16136" max="16136" width="8.42578125" style="4" customWidth="1"/>
    <col min="16137" max="16137" width="11.42578125" style="4" customWidth="1"/>
    <col min="16138" max="16139" width="10.42578125" style="4" customWidth="1"/>
    <col min="16140" max="16140" width="10.5703125" style="4" customWidth="1"/>
    <col min="16141" max="16141" width="10" style="4" customWidth="1"/>
    <col min="16142" max="16142" width="11" style="4" bestFit="1" customWidth="1"/>
    <col min="16143" max="16143" width="12" style="4" customWidth="1"/>
    <col min="16144" max="16144" width="11.140625" style="4" customWidth="1"/>
    <col min="16145" max="16145" width="9.5703125" style="4" customWidth="1"/>
    <col min="16146" max="16146" width="10.42578125" style="4" customWidth="1"/>
    <col min="16147" max="16147" width="8.5703125" style="4" customWidth="1"/>
    <col min="16148" max="16148" width="11" style="4" customWidth="1"/>
    <col min="16149" max="16149" width="13.42578125" style="4" bestFit="1" customWidth="1"/>
    <col min="16150" max="16150" width="9.42578125" style="4" customWidth="1"/>
    <col min="16151" max="16151" width="7.5703125" style="4" customWidth="1"/>
    <col min="16152" max="16152" width="11.42578125" style="4" customWidth="1"/>
    <col min="16153" max="16153" width="9.42578125" style="4" customWidth="1"/>
    <col min="16154" max="16154" width="11.42578125" style="4" customWidth="1"/>
    <col min="16155" max="16155" width="13.42578125" style="4" bestFit="1" customWidth="1"/>
    <col min="16156" max="16156" width="5.5703125" style="4" bestFit="1" customWidth="1"/>
    <col min="16157" max="16157" width="19.5703125" style="4" bestFit="1" customWidth="1"/>
    <col min="16158" max="16158" width="1.42578125" style="4" customWidth="1"/>
    <col min="16159" max="16159" width="13.42578125" style="4" bestFit="1" customWidth="1"/>
    <col min="16160" max="16160" width="8.5703125" style="4" bestFit="1" customWidth="1"/>
    <col min="16161" max="16161" width="8.85546875" style="4" bestFit="1" customWidth="1"/>
    <col min="16162" max="16384" width="9.140625" style="4"/>
  </cols>
  <sheetData>
    <row r="1" spans="1:14" ht="4.5" customHeight="1">
      <c r="A1"/>
      <c r="B1"/>
      <c r="C1"/>
      <c r="D1"/>
      <c r="E1"/>
      <c r="F1"/>
      <c r="G1"/>
      <c r="H1"/>
      <c r="I1"/>
      <c r="J1"/>
      <c r="K1"/>
      <c r="L1"/>
      <c r="M1"/>
    </row>
    <row r="2" spans="1:14" ht="27" customHeight="1">
      <c r="A2"/>
      <c r="B2"/>
      <c r="C2"/>
      <c r="D2"/>
      <c r="E2"/>
      <c r="F2"/>
      <c r="G2"/>
      <c r="H2"/>
      <c r="I2"/>
      <c r="J2"/>
      <c r="K2"/>
      <c r="L2"/>
      <c r="M2"/>
    </row>
    <row r="3" spans="1:14" ht="4.5" customHeight="1">
      <c r="A3"/>
      <c r="B3"/>
      <c r="C3"/>
      <c r="D3"/>
      <c r="E3"/>
      <c r="F3"/>
      <c r="G3"/>
      <c r="H3"/>
      <c r="I3"/>
      <c r="J3"/>
      <c r="K3"/>
      <c r="L3"/>
      <c r="M3"/>
    </row>
    <row r="4" spans="1:14" ht="15">
      <c r="A4"/>
      <c r="B4"/>
      <c r="C4"/>
      <c r="D4"/>
      <c r="E4"/>
      <c r="F4"/>
      <c r="G4"/>
      <c r="H4"/>
      <c r="I4"/>
      <c r="J4"/>
      <c r="K4"/>
      <c r="L4"/>
      <c r="M4"/>
    </row>
    <row r="5" spans="1:14" ht="4.5" customHeight="1">
      <c r="A5"/>
      <c r="B5"/>
      <c r="C5"/>
      <c r="D5"/>
      <c r="E5"/>
      <c r="F5"/>
      <c r="G5"/>
      <c r="H5"/>
      <c r="I5"/>
      <c r="J5"/>
      <c r="K5"/>
      <c r="L5"/>
      <c r="M5"/>
    </row>
    <row r="6" spans="1:14" ht="15">
      <c r="A6"/>
      <c r="B6"/>
      <c r="C6"/>
      <c r="D6"/>
      <c r="E6"/>
      <c r="F6"/>
      <c r="G6"/>
      <c r="H6"/>
      <c r="I6"/>
      <c r="J6"/>
      <c r="K6"/>
      <c r="L6"/>
      <c r="M6"/>
    </row>
    <row r="7" spans="1:14" ht="4.5" customHeight="1">
      <c r="A7"/>
      <c r="B7"/>
      <c r="C7"/>
      <c r="D7"/>
      <c r="E7"/>
      <c r="F7"/>
      <c r="G7"/>
      <c r="H7"/>
      <c r="I7"/>
      <c r="J7"/>
      <c r="K7"/>
      <c r="L7"/>
      <c r="M7"/>
    </row>
    <row r="8" spans="1:14" s="6" customFormat="1" ht="27.75" customHeight="1">
      <c r="A8"/>
      <c r="B8"/>
      <c r="C8"/>
      <c r="D8"/>
      <c r="E8"/>
      <c r="F8"/>
      <c r="G8"/>
      <c r="H8"/>
      <c r="I8"/>
      <c r="J8"/>
      <c r="K8"/>
      <c r="L8"/>
      <c r="M8"/>
    </row>
    <row r="9" spans="1:14" ht="18.75">
      <c r="A9" s="1"/>
      <c r="B9"/>
      <c r="C9"/>
      <c r="D9"/>
      <c r="E9"/>
      <c r="F9"/>
      <c r="G9"/>
      <c r="H9"/>
      <c r="I9"/>
      <c r="J9"/>
      <c r="K9"/>
      <c r="L9"/>
      <c r="M9"/>
    </row>
    <row r="10" spans="1:14" ht="15">
      <c r="A10" s="2" t="str">
        <f ca="1">MID(CELL("filename",A1),FIND("]",CELL("filename",A1))+1,256)</f>
        <v>NR</v>
      </c>
      <c r="B10"/>
      <c r="C10" s="135">
        <f>C46</f>
        <v>0</v>
      </c>
      <c r="D10" s="135" t="s">
        <v>4</v>
      </c>
      <c r="E10"/>
      <c r="F10"/>
      <c r="G10"/>
      <c r="H10"/>
      <c r="I10"/>
      <c r="J10"/>
      <c r="K10"/>
      <c r="L10"/>
      <c r="M10"/>
    </row>
    <row r="11" spans="1:14" ht="13.5" thickBot="1">
      <c r="H11" s="85"/>
    </row>
    <row r="12" spans="1:14">
      <c r="A12" s="7" t="s">
        <v>5</v>
      </c>
      <c r="B12" s="8" t="s">
        <v>6</v>
      </c>
      <c r="C12" s="9" t="s">
        <v>7</v>
      </c>
      <c r="D12" s="10" t="s">
        <v>8</v>
      </c>
      <c r="N12" s="11"/>
    </row>
    <row r="13" spans="1:14" ht="13.5" thickBot="1">
      <c r="A13" s="12" t="s">
        <v>9</v>
      </c>
      <c r="B13" s="13" t="s">
        <v>10</v>
      </c>
      <c r="C13" s="14" t="s">
        <v>11</v>
      </c>
      <c r="D13" s="15" t="s">
        <v>12</v>
      </c>
    </row>
    <row r="14" spans="1:14">
      <c r="A14" s="16"/>
      <c r="B14" s="16"/>
    </row>
    <row r="15" spans="1:14" ht="30" customHeight="1">
      <c r="A15" s="143" t="s">
        <v>13</v>
      </c>
      <c r="B15" s="143"/>
      <c r="C15" s="143"/>
      <c r="D15" s="143"/>
      <c r="E15" s="143"/>
      <c r="F15" s="143"/>
      <c r="H15" s="17" t="s">
        <v>14</v>
      </c>
      <c r="I15" s="18"/>
      <c r="J15" s="18"/>
      <c r="K15" s="18"/>
      <c r="L15" s="19"/>
    </row>
    <row r="16" spans="1:14" ht="45" customHeight="1">
      <c r="A16" s="143" t="s">
        <v>15</v>
      </c>
      <c r="B16" s="143"/>
      <c r="C16" s="143"/>
      <c r="D16" s="143"/>
      <c r="E16" s="143"/>
      <c r="F16" s="143"/>
      <c r="H16" s="20"/>
      <c r="L16" s="21"/>
    </row>
    <row r="17" spans="1:18">
      <c r="A17" s="16"/>
      <c r="B17" s="16"/>
      <c r="H17" s="20"/>
      <c r="L17" s="21"/>
    </row>
    <row r="18" spans="1:18" s="28" customFormat="1">
      <c r="A18" s="22" t="s">
        <v>16</v>
      </c>
      <c r="B18" s="23"/>
      <c r="C18" s="24"/>
      <c r="D18" s="24"/>
      <c r="E18" s="24"/>
      <c r="F18" s="25" t="s">
        <v>17</v>
      </c>
      <c r="G18" s="26"/>
      <c r="H18" s="27"/>
      <c r="L18" s="29"/>
      <c r="N18" s="4"/>
      <c r="O18" s="4"/>
      <c r="P18" s="4"/>
      <c r="Q18" s="4"/>
      <c r="R18" s="4"/>
    </row>
    <row r="19" spans="1:18" s="28" customFormat="1">
      <c r="A19" s="30" t="s">
        <v>18</v>
      </c>
      <c r="B19" s="31"/>
      <c r="C19" s="32"/>
      <c r="D19" s="33"/>
      <c r="E19" s="33"/>
      <c r="F19" s="29"/>
      <c r="H19" s="27"/>
      <c r="L19" s="29"/>
      <c r="N19" s="4"/>
      <c r="O19" s="4"/>
      <c r="P19" s="4"/>
      <c r="Q19" s="4"/>
      <c r="R19" s="4"/>
    </row>
    <row r="20" spans="1:18" s="28" customFormat="1">
      <c r="A20" s="34"/>
      <c r="B20" s="35" t="s">
        <v>19</v>
      </c>
      <c r="C20" s="36">
        <v>1130</v>
      </c>
      <c r="D20" s="37" t="s">
        <v>20</v>
      </c>
      <c r="E20" s="38">
        <f>C20/1000</f>
        <v>1.1299999999999999</v>
      </c>
      <c r="F20" s="39" t="s">
        <v>4</v>
      </c>
      <c r="G20" s="26"/>
      <c r="H20" s="27"/>
      <c r="L20" s="29"/>
      <c r="P20" s="4"/>
      <c r="Q20" s="4"/>
      <c r="R20" s="4"/>
    </row>
    <row r="21" spans="1:18" s="28" customFormat="1">
      <c r="A21" s="34"/>
      <c r="B21" s="35" t="s">
        <v>21</v>
      </c>
      <c r="C21" s="40">
        <v>115</v>
      </c>
      <c r="D21" s="37" t="s">
        <v>20</v>
      </c>
      <c r="E21" s="38">
        <f>C21/1000</f>
        <v>0.115</v>
      </c>
      <c r="F21" s="39" t="s">
        <v>4</v>
      </c>
      <c r="G21" s="26"/>
      <c r="H21" s="27"/>
      <c r="L21" s="29"/>
      <c r="P21" s="4"/>
      <c r="Q21" s="4"/>
      <c r="R21" s="4"/>
    </row>
    <row r="22" spans="1:18" s="28" customFormat="1" ht="15.75">
      <c r="A22" s="34"/>
      <c r="B22" s="35" t="s">
        <v>22</v>
      </c>
      <c r="C22" s="41">
        <f>(PI()*C20^2/4)</f>
        <v>1002874.9148422017</v>
      </c>
      <c r="D22" s="37" t="s">
        <v>23</v>
      </c>
      <c r="E22" s="38">
        <f>PI()*E20^2/4</f>
        <v>1.0028749148422014</v>
      </c>
      <c r="F22" s="39" t="s">
        <v>24</v>
      </c>
      <c r="G22" s="26"/>
      <c r="H22" s="27"/>
      <c r="L22" s="29"/>
      <c r="P22" s="4"/>
      <c r="Q22" s="4"/>
      <c r="R22" s="4"/>
    </row>
    <row r="23" spans="1:18" s="28" customFormat="1" ht="15.75">
      <c r="A23" s="34"/>
      <c r="B23" s="35" t="s">
        <v>25</v>
      </c>
      <c r="C23" s="42">
        <f>C20-2*C21-2*C48-C40</f>
        <v>828</v>
      </c>
      <c r="D23" s="37" t="s">
        <v>20</v>
      </c>
      <c r="E23" s="38">
        <f>E20-2*E21-2*E48-E40</f>
        <v>0.82799999999999985</v>
      </c>
      <c r="F23" s="39" t="s">
        <v>4</v>
      </c>
      <c r="G23" s="26"/>
      <c r="H23" s="27"/>
      <c r="L23" s="29"/>
      <c r="P23" s="4"/>
      <c r="Q23" s="4"/>
      <c r="R23" s="4"/>
    </row>
    <row r="24" spans="1:18" s="28" customFormat="1" ht="15.75">
      <c r="A24" s="34"/>
      <c r="B24" s="35" t="s">
        <v>26</v>
      </c>
      <c r="C24" s="42">
        <f>C20-2*C21-C48</f>
        <v>884</v>
      </c>
      <c r="D24" s="37" t="s">
        <v>20</v>
      </c>
      <c r="E24" s="38">
        <f>E20-2*E21-E48</f>
        <v>0.8839999999999999</v>
      </c>
      <c r="F24" s="39" t="s">
        <v>4</v>
      </c>
      <c r="G24" s="26"/>
      <c r="H24" s="27"/>
      <c r="L24" s="29"/>
      <c r="P24" s="4"/>
      <c r="Q24" s="4"/>
      <c r="R24" s="4"/>
    </row>
    <row r="25" spans="1:18" s="28" customFormat="1">
      <c r="A25" s="27"/>
      <c r="F25" s="29"/>
      <c r="G25" s="26"/>
      <c r="H25" s="27"/>
      <c r="L25" s="29"/>
      <c r="O25" s="4"/>
      <c r="P25" s="4"/>
      <c r="Q25" s="4"/>
      <c r="R25" s="4"/>
    </row>
    <row r="26" spans="1:18" s="28" customFormat="1" ht="15.75">
      <c r="A26" s="34"/>
      <c r="B26" s="35" t="s">
        <v>27</v>
      </c>
      <c r="C26" s="40">
        <v>40</v>
      </c>
      <c r="D26" s="37" t="s">
        <v>28</v>
      </c>
      <c r="F26" s="29"/>
      <c r="G26" s="26"/>
      <c r="H26" s="27"/>
      <c r="L26" s="29"/>
      <c r="O26" s="4"/>
      <c r="P26" s="4"/>
      <c r="Q26" s="4"/>
      <c r="R26" s="4"/>
    </row>
    <row r="27" spans="1:18" s="28" customFormat="1" ht="15.75">
      <c r="A27" s="34"/>
      <c r="B27" s="35" t="s">
        <v>29</v>
      </c>
      <c r="C27" s="43">
        <v>1.65</v>
      </c>
      <c r="D27" s="44" t="str">
        <f>IF(C27&gt;1.5,"…allowing for cast against ground","")</f>
        <v>…allowing for cast against ground</v>
      </c>
      <c r="E27" s="33"/>
      <c r="F27" s="45" t="s">
        <v>30</v>
      </c>
      <c r="G27" s="26"/>
      <c r="H27" s="27"/>
      <c r="L27" s="29"/>
      <c r="O27" s="4"/>
      <c r="P27" s="4"/>
      <c r="Q27" s="4"/>
      <c r="R27" s="4"/>
    </row>
    <row r="28" spans="1:18" s="28" customFormat="1" ht="15.75">
      <c r="A28" s="34"/>
      <c r="B28" s="35" t="s">
        <v>31</v>
      </c>
      <c r="C28" s="46">
        <f>1.75+MAX(0,0.55*(C26-50)/40)</f>
        <v>1.75</v>
      </c>
      <c r="D28" s="37" t="s">
        <v>32</v>
      </c>
      <c r="F28" s="45" t="s">
        <v>33</v>
      </c>
      <c r="G28" s="26"/>
      <c r="H28" s="27"/>
      <c r="L28" s="29"/>
      <c r="O28" s="4"/>
      <c r="P28" s="4"/>
      <c r="Q28" s="4"/>
      <c r="R28" s="4"/>
    </row>
    <row r="29" spans="1:18" s="28" customFormat="1" ht="15.75">
      <c r="A29" s="34"/>
      <c r="B29" s="35" t="s">
        <v>34</v>
      </c>
      <c r="C29" s="46">
        <f>(0.85*C26/C27)/C28</f>
        <v>11.774891774891774</v>
      </c>
      <c r="D29" s="37" t="s">
        <v>35</v>
      </c>
      <c r="F29" s="45" t="s">
        <v>36</v>
      </c>
      <c r="G29" s="26"/>
      <c r="H29" s="47"/>
      <c r="I29" s="48"/>
      <c r="J29" s="48"/>
      <c r="K29" s="48"/>
      <c r="L29" s="49"/>
    </row>
    <row r="30" spans="1:18" s="28" customFormat="1" ht="13.5">
      <c r="A30" s="34"/>
      <c r="B30" s="35" t="s">
        <v>37</v>
      </c>
      <c r="C30" s="43">
        <v>1</v>
      </c>
      <c r="D30" s="37"/>
      <c r="F30" s="45" t="s">
        <v>38</v>
      </c>
      <c r="G30" s="26"/>
    </row>
    <row r="31" spans="1:18" s="28" customFormat="1" ht="13.5">
      <c r="A31" s="34"/>
      <c r="B31" s="50" t="s">
        <v>39</v>
      </c>
      <c r="C31" s="46">
        <f>C30*C26/C27</f>
        <v>24.242424242424242</v>
      </c>
      <c r="D31" s="37" t="s">
        <v>28</v>
      </c>
      <c r="F31" s="45" t="s">
        <v>38</v>
      </c>
      <c r="G31" s="26"/>
      <c r="H31" s="22" t="s">
        <v>40</v>
      </c>
      <c r="I31" s="24"/>
      <c r="J31" s="24"/>
      <c r="K31" s="24"/>
      <c r="L31" s="25" t="s">
        <v>17</v>
      </c>
    </row>
    <row r="32" spans="1:18" s="28" customFormat="1" ht="13.5">
      <c r="A32" s="34"/>
      <c r="B32" s="35" t="s">
        <v>41</v>
      </c>
      <c r="C32" s="46">
        <f>0.6*(1-C26/250)*C31</f>
        <v>12.218181818181819</v>
      </c>
      <c r="D32" s="37" t="s">
        <v>28</v>
      </c>
      <c r="F32" s="45" t="s">
        <v>42</v>
      </c>
      <c r="G32" s="26"/>
      <c r="H32" s="30" t="s">
        <v>43</v>
      </c>
      <c r="L32" s="29"/>
    </row>
    <row r="33" spans="1:14" s="28" customFormat="1" ht="15.75">
      <c r="A33" s="34"/>
      <c r="F33" s="29"/>
      <c r="G33" s="26"/>
      <c r="H33" s="27"/>
      <c r="I33" s="35" t="s">
        <v>44</v>
      </c>
      <c r="J33" s="52">
        <f>MIN(1,2.5*(1-C56)+18*E43*(C56-0.6))</f>
        <v>0.64743597775863415</v>
      </c>
      <c r="L33" s="29"/>
    </row>
    <row r="34" spans="1:14" s="28" customFormat="1" ht="15.75">
      <c r="A34" s="34"/>
      <c r="B34" s="35" t="s">
        <v>45</v>
      </c>
      <c r="C34" s="53">
        <v>500</v>
      </c>
      <c r="D34" s="37" t="s">
        <v>28</v>
      </c>
      <c r="F34" s="45" t="s">
        <v>46</v>
      </c>
      <c r="G34" s="26"/>
      <c r="H34" s="27"/>
      <c r="I34" s="35" t="s">
        <v>47</v>
      </c>
      <c r="J34" s="52">
        <f>MIN(1,2.5*(1-C56)+MIN(2.25,1.5+37.5*E43)*(C56-0.6))</f>
        <v>0.95500000000000007</v>
      </c>
      <c r="L34" s="29"/>
      <c r="N34" s="51"/>
    </row>
    <row r="35" spans="1:14" s="28" customFormat="1" ht="15.75">
      <c r="A35" s="34"/>
      <c r="B35" s="35" t="s">
        <v>48</v>
      </c>
      <c r="C35" s="53">
        <v>200</v>
      </c>
      <c r="D35" s="37" t="s">
        <v>35</v>
      </c>
      <c r="E35" s="33"/>
      <c r="F35" s="45" t="s">
        <v>49</v>
      </c>
      <c r="G35" s="26"/>
      <c r="H35" s="27"/>
      <c r="I35" s="35" t="s">
        <v>50</v>
      </c>
      <c r="J35" s="52">
        <f>MIN(1,2.5*(1-C56)+MIN(2,100*E43)*(C56-0.6))</f>
        <v>0.91</v>
      </c>
      <c r="L35" s="29"/>
    </row>
    <row r="36" spans="1:14" s="28" customFormat="1" ht="15.75" customHeight="1">
      <c r="A36" s="34"/>
      <c r="B36" s="35" t="s">
        <v>51</v>
      </c>
      <c r="C36" s="53">
        <v>1.1499999999999999</v>
      </c>
      <c r="F36" s="45" t="s">
        <v>30</v>
      </c>
      <c r="G36" s="26"/>
      <c r="H36" s="27"/>
      <c r="L36" s="29"/>
    </row>
    <row r="37" spans="1:14" s="28" customFormat="1" ht="15.75">
      <c r="A37" s="34"/>
      <c r="B37" s="35" t="s">
        <v>52</v>
      </c>
      <c r="C37" s="54">
        <f>C34/C36</f>
        <v>434.78260869565219</v>
      </c>
      <c r="D37" s="37" t="s">
        <v>28</v>
      </c>
      <c r="F37" s="45" t="s">
        <v>53</v>
      </c>
      <c r="G37" s="26"/>
      <c r="H37" s="30" t="s">
        <v>54</v>
      </c>
      <c r="L37" s="29"/>
    </row>
    <row r="38" spans="1:14" s="28" customFormat="1" ht="15.75">
      <c r="A38" s="27"/>
      <c r="F38" s="29"/>
      <c r="G38" s="26"/>
      <c r="H38" s="27"/>
      <c r="I38" s="35" t="s">
        <v>55</v>
      </c>
      <c r="J38" s="52">
        <f>MIN(0.65,0.4+(E23/E20)/(1.3-LOG(E43*C35/C29)))*E24</f>
        <v>0.5746</v>
      </c>
      <c r="K38" s="37" t="s">
        <v>4</v>
      </c>
      <c r="L38" s="29"/>
    </row>
    <row r="39" spans="1:14" s="28" customFormat="1" ht="15.75">
      <c r="A39" s="30" t="s">
        <v>56</v>
      </c>
      <c r="B39" s="31"/>
      <c r="D39" s="37"/>
      <c r="E39" s="33"/>
      <c r="F39" s="45"/>
      <c r="G39" s="26"/>
      <c r="H39" s="27"/>
      <c r="I39" s="35" t="s">
        <v>57</v>
      </c>
      <c r="J39" s="52">
        <f>MAX(0.4,(1.3+0.2*LOG(C35*E43/C29))*(E23/E20-0.3)+0.6*(1-E23/E20))*E22</f>
        <v>0.69967529506395743</v>
      </c>
      <c r="K39" s="37" t="s">
        <v>58</v>
      </c>
      <c r="L39" s="29"/>
      <c r="M39" s="139"/>
    </row>
    <row r="40" spans="1:14" s="28" customFormat="1" ht="15.75" customHeight="1">
      <c r="A40" s="27"/>
      <c r="B40" s="35" t="s">
        <v>59</v>
      </c>
      <c r="C40" s="136">
        <v>40</v>
      </c>
      <c r="D40" s="37" t="s">
        <v>20</v>
      </c>
      <c r="E40" s="38">
        <f>C40/1000</f>
        <v>0.04</v>
      </c>
      <c r="F40" s="39" t="s">
        <v>4</v>
      </c>
      <c r="G40" s="26"/>
      <c r="H40" s="27"/>
      <c r="I40" s="35" t="s">
        <v>60</v>
      </c>
      <c r="J40" s="52">
        <f>0.9*(1-(1-E23/E20)^(2.5+0.6*LOG(E43*C35/C29)))</f>
        <v>0.85813213499339613</v>
      </c>
      <c r="L40" s="29"/>
    </row>
    <row r="41" spans="1:14" s="28" customFormat="1" ht="15.75">
      <c r="A41" s="27"/>
      <c r="B41" s="35" t="s">
        <v>61</v>
      </c>
      <c r="C41" s="40">
        <v>24</v>
      </c>
      <c r="D41" s="37"/>
      <c r="E41" s="58"/>
      <c r="F41" s="39"/>
      <c r="G41" s="26"/>
      <c r="H41" s="27"/>
      <c r="L41" s="29"/>
    </row>
    <row r="42" spans="1:14" s="28" customFormat="1" ht="15.75">
      <c r="A42" s="27"/>
      <c r="B42" s="35" t="s">
        <v>62</v>
      </c>
      <c r="C42" s="42">
        <f>PI()*C40^2/4*C41</f>
        <v>30159.289474462013</v>
      </c>
      <c r="D42" s="37" t="s">
        <v>63</v>
      </c>
      <c r="E42" s="38">
        <f>PI()*E40^2/4*C41</f>
        <v>3.0159289474462014E-2</v>
      </c>
      <c r="F42" s="39" t="s">
        <v>64</v>
      </c>
      <c r="G42" s="26"/>
      <c r="H42" s="30" t="s">
        <v>65</v>
      </c>
      <c r="L42" s="29"/>
    </row>
    <row r="43" spans="1:14" s="28" customFormat="1" ht="15.75">
      <c r="A43" s="55"/>
      <c r="B43" s="35" t="s">
        <v>66</v>
      </c>
      <c r="C43" s="56">
        <f>E43*100</f>
        <v>3.0072832641553773</v>
      </c>
      <c r="D43" s="37" t="s">
        <v>67</v>
      </c>
      <c r="E43" s="38">
        <f>(E42)/(E22)</f>
        <v>3.0072832641553773E-2</v>
      </c>
      <c r="F43" s="39"/>
      <c r="G43" s="26"/>
      <c r="H43" s="92" t="s">
        <v>68</v>
      </c>
      <c r="L43" s="29"/>
    </row>
    <row r="44" spans="1:14" s="28" customFormat="1" ht="15.75">
      <c r="A44" s="27"/>
      <c r="E44" s="58"/>
      <c r="F44" s="39"/>
      <c r="G44" s="26"/>
      <c r="H44" s="27"/>
      <c r="I44" s="35" t="s">
        <v>69</v>
      </c>
      <c r="J44" s="57">
        <f>2*E50*J38*C37*IF(E47=1,J35*(1-E49/(J40*PI()*E24))/SQRT(1+(E49/(PI()*E24))^2),J34)*1000</f>
        <v>639.6018931047231</v>
      </c>
      <c r="K44" s="37" t="s">
        <v>70</v>
      </c>
      <c r="L44" s="45" t="s">
        <v>71</v>
      </c>
    </row>
    <row r="45" spans="1:14" s="28" customFormat="1" ht="16.5" thickBot="1">
      <c r="A45" s="30" t="s">
        <v>72</v>
      </c>
      <c r="B45" s="31"/>
      <c r="D45" s="59"/>
      <c r="E45" s="58"/>
      <c r="F45" s="39"/>
      <c r="G45" s="26"/>
      <c r="H45" s="27"/>
      <c r="I45" s="35" t="s">
        <v>73</v>
      </c>
      <c r="J45" s="57">
        <f>C59*J33*J39*C32/2*1000</f>
        <v>2780.8401430025856</v>
      </c>
      <c r="K45" s="37" t="s">
        <v>70</v>
      </c>
      <c r="L45" s="45" t="s">
        <v>74</v>
      </c>
    </row>
    <row r="46" spans="1:14" s="28" customFormat="1" ht="15.75">
      <c r="A46" s="59"/>
      <c r="B46" s="35" t="s">
        <v>75</v>
      </c>
      <c r="C46" s="61">
        <v>0</v>
      </c>
      <c r="D46" s="59" t="s">
        <v>76</v>
      </c>
      <c r="E46" s="58"/>
      <c r="F46" s="39"/>
      <c r="G46" s="26"/>
      <c r="H46" s="27"/>
      <c r="I46" s="35" t="s">
        <v>77</v>
      </c>
      <c r="J46" s="60">
        <f>IF(J45&lt;J44,1,IF(J44&lt;0,1,MIN(IF(C57&lt;0,1.25,2.5),SQRT(2*J45/J44-1))))</f>
        <v>2.5</v>
      </c>
      <c r="L46" s="29"/>
    </row>
    <row r="47" spans="1:14" s="28" customFormat="1" ht="15.75">
      <c r="A47" s="27"/>
      <c r="B47" s="35" t="s">
        <v>78</v>
      </c>
      <c r="C47" s="126" t="s">
        <v>228</v>
      </c>
      <c r="E47" s="62">
        <f>IF(C47="Spiral",1,0)</f>
        <v>0</v>
      </c>
      <c r="F47" s="39"/>
      <c r="G47" s="26"/>
      <c r="H47" s="27"/>
      <c r="I47" s="35" t="s">
        <v>79</v>
      </c>
      <c r="J47" s="90">
        <f>MIN(2*J45/(J46+1/J46),2*E50*J38*C37*J46*IF(E47=1,J35*(1-E49/(J40*PI()*E24*J46))/SQRT(1+(E49/(PI()*E24))^2),J34)*1000)</f>
        <v>1599.0047327618079</v>
      </c>
      <c r="K47" s="37" t="s">
        <v>70</v>
      </c>
      <c r="L47" s="29"/>
    </row>
    <row r="48" spans="1:14" s="28" customFormat="1" ht="15.75" customHeight="1">
      <c r="A48" s="27"/>
      <c r="B48" s="35" t="s">
        <v>80</v>
      </c>
      <c r="C48" s="63">
        <v>16</v>
      </c>
      <c r="D48" s="37" t="s">
        <v>20</v>
      </c>
      <c r="E48" s="38">
        <f>C48/1000</f>
        <v>1.6E-2</v>
      </c>
      <c r="F48" s="39" t="s">
        <v>4</v>
      </c>
      <c r="G48" s="26"/>
      <c r="H48" s="27"/>
      <c r="I48" s="35" t="s">
        <v>81</v>
      </c>
      <c r="J48" s="91">
        <f>C55/J47</f>
        <v>0.85701596061469243</v>
      </c>
      <c r="K48" s="66" t="str">
        <f>IF(J48&gt;1,"FAIL","Pass")</f>
        <v>Pass</v>
      </c>
      <c r="L48" s="29"/>
    </row>
    <row r="49" spans="1:13" s="28" customFormat="1" ht="13.5" thickBot="1">
      <c r="A49" s="27"/>
      <c r="B49" s="35" t="str">
        <f>IF(E47=1,"Spiral pitch, p =", "Link spacing, s =")</f>
        <v>Link spacing, s =</v>
      </c>
      <c r="C49" s="64">
        <v>150</v>
      </c>
      <c r="D49" s="37" t="s">
        <v>20</v>
      </c>
      <c r="E49" s="38">
        <f>C49/1000</f>
        <v>0.15</v>
      </c>
      <c r="F49" s="39" t="s">
        <v>4</v>
      </c>
      <c r="G49" s="26"/>
      <c r="H49" s="27"/>
      <c r="I49" s="28" t="s">
        <v>82</v>
      </c>
      <c r="J49" s="28">
        <f>J47*0.75</f>
        <v>1199.253549571356</v>
      </c>
      <c r="K49" s="28" t="s">
        <v>70</v>
      </c>
      <c r="L49" s="29"/>
    </row>
    <row r="50" spans="1:13" s="28" customFormat="1" ht="15.75">
      <c r="A50" s="27"/>
      <c r="B50" s="35" t="str">
        <f>IF(E47=1,"Asw / p =","Asw / s =")</f>
        <v>Asw / s =</v>
      </c>
      <c r="C50" s="42">
        <f>(C48^2*PI()/4)/E49</f>
        <v>1340.4128655316451</v>
      </c>
      <c r="D50" s="37" t="s">
        <v>83</v>
      </c>
      <c r="E50" s="67">
        <f>(E48^2*PI()/4)/E49</f>
        <v>1.3404128655316451E-3</v>
      </c>
      <c r="F50" s="39" t="s">
        <v>84</v>
      </c>
      <c r="G50" s="26"/>
      <c r="H50" s="92" t="s">
        <v>85</v>
      </c>
      <c r="L50" s="29"/>
    </row>
    <row r="51" spans="1:13" s="28" customFormat="1" ht="15.75">
      <c r="A51" s="27"/>
      <c r="E51" s="38"/>
      <c r="F51" s="68" t="str">
        <f>IF(E47=1,IF(C49&gt;0.4*C24*J46,"Spiral pitch, P exceeds limit of 0.4Dw.cotθ = "&amp;ROUND(0.4*C24*J46,0)&amp;"mm. Result not valid",""),"")</f>
        <v/>
      </c>
      <c r="G51" s="26"/>
      <c r="H51" s="27"/>
      <c r="I51" s="35" t="s">
        <v>69</v>
      </c>
      <c r="J51" s="57">
        <f>2*E50*J38*C37*IF(E47=1,J35*(1-E49/(J40*PI()*E24))/SQRT(1+(E49/(PI()*E24))^2),J34)*1000</f>
        <v>639.6018931047231</v>
      </c>
      <c r="K51" s="37" t="s">
        <v>70</v>
      </c>
      <c r="L51" s="45" t="s">
        <v>71</v>
      </c>
    </row>
    <row r="52" spans="1:13" s="28" customFormat="1" ht="15.75">
      <c r="A52" s="27"/>
      <c r="F52" s="68" t="str">
        <f>IF(C26&gt;50,"fck &gt; 50. Check the max allowable link spacing using the UK NA cl 9.5.3(3)",IF(C49&gt;MIN(20*C40,C20,400),"Link spacing or pitch exceeds limit set by EN1992-1-1 cl 9.5.3(3) = "&amp;ROUND(MIN(20*C40,C20,400),0)&amp;"mm","Link spacing satisfies limit set by EN1992-1-1 cl 9.5.3(3)"))</f>
        <v>Link spacing satisfies limit set by EN1992-1-1 cl 9.5.3(3)</v>
      </c>
      <c r="G52" s="26"/>
      <c r="H52" s="27"/>
      <c r="I52" s="35" t="s">
        <v>73</v>
      </c>
      <c r="J52" s="57">
        <f>C63*J33*J39*C32/2*1000</f>
        <v>2921.210068801845</v>
      </c>
      <c r="K52" s="37" t="s">
        <v>70</v>
      </c>
      <c r="L52" s="45" t="s">
        <v>74</v>
      </c>
    </row>
    <row r="53" spans="1:13" s="28" customFormat="1" ht="15">
      <c r="A53" s="27"/>
      <c r="F53" s="69" t="str">
        <f>IF(C26&gt;50,"",IF(C49&gt;0.6*MIN(20*C40,C20,400),"Link spacing or pitch exceeds limit set by EN1992-1-1 cl 9.5.3(4) = "&amp;ROUND(0.6*MIN(20*C40,C20,400),0)&amp;"mm",""))</f>
        <v/>
      </c>
      <c r="H53" s="27"/>
      <c r="I53" s="35" t="s">
        <v>77</v>
      </c>
      <c r="J53" s="60">
        <f>IF(J52&lt;J51,1,IF(J51&lt;0,1,MIN(IF(C61&lt;0,1.25,2.5),SQRT(2*J52/J51-1))))</f>
        <v>2.5</v>
      </c>
      <c r="L53" s="29"/>
    </row>
    <row r="54" spans="1:13" s="28" customFormat="1" ht="15.75">
      <c r="A54" s="30" t="s">
        <v>86</v>
      </c>
      <c r="D54" s="37"/>
      <c r="E54" s="38"/>
      <c r="F54" s="39"/>
      <c r="H54" s="27"/>
      <c r="I54" s="35" t="s">
        <v>79</v>
      </c>
      <c r="J54" s="90">
        <f>MIN(2*J52/(J53+1/J53),2*E50*J38*C37*J53*IF(E47=1,J35*(1-E49/(J40*PI()*E24*J53))/SQRT(1+(E49/(PI()*E24))^2),J34)*1000)</f>
        <v>1599.0047327618079</v>
      </c>
      <c r="K54" s="37" t="s">
        <v>70</v>
      </c>
      <c r="L54" s="29"/>
    </row>
    <row r="55" spans="1:13" s="28" customFormat="1" ht="15.75">
      <c r="A55" s="27"/>
      <c r="B55" s="35" t="s">
        <v>87</v>
      </c>
      <c r="C55" s="95">
        <f>SQRT(1361^2+160^2)</f>
        <v>1370.3725770753003</v>
      </c>
      <c r="D55" s="37" t="s">
        <v>70</v>
      </c>
      <c r="E55" s="38">
        <f>C55/1000</f>
        <v>1.3703725770753004</v>
      </c>
      <c r="F55" s="39" t="s">
        <v>88</v>
      </c>
      <c r="G55" s="26"/>
      <c r="H55" s="27"/>
      <c r="I55" s="35" t="s">
        <v>81</v>
      </c>
      <c r="J55" s="91">
        <f>C55/J54</f>
        <v>0.85701596061469243</v>
      </c>
      <c r="K55" s="66" t="str">
        <f>IF(J55&gt;1,"FAIL","Pass")</f>
        <v>Pass</v>
      </c>
      <c r="L55" s="29"/>
    </row>
    <row r="56" spans="1:13" s="28" customFormat="1" ht="15.75">
      <c r="A56" s="27"/>
      <c r="B56" s="35" t="s">
        <v>89</v>
      </c>
      <c r="C56" s="94">
        <v>0.78</v>
      </c>
      <c r="D56" s="37"/>
      <c r="F56" s="71"/>
      <c r="G56" s="26"/>
      <c r="H56" s="47"/>
      <c r="I56" s="48"/>
      <c r="J56" s="48"/>
      <c r="K56" s="48"/>
      <c r="L56" s="49"/>
    </row>
    <row r="57" spans="1:13" s="28" customFormat="1" ht="15.75">
      <c r="A57" s="92" t="s">
        <v>68</v>
      </c>
      <c r="B57" s="35" t="s">
        <v>90</v>
      </c>
      <c r="C57" s="40">
        <v>175</v>
      </c>
      <c r="D57" s="37" t="s">
        <v>91</v>
      </c>
      <c r="E57" s="72"/>
      <c r="F57" s="45"/>
      <c r="G57" s="26"/>
    </row>
    <row r="58" spans="1:13" s="28" customFormat="1" ht="13.5">
      <c r="A58" s="34"/>
      <c r="B58" s="35" t="s">
        <v>92</v>
      </c>
      <c r="C58" s="73">
        <f>E58/((E22-E42)+(E42*C35/C29))</f>
        <v>0.11784670282607482</v>
      </c>
      <c r="D58" s="37" t="s">
        <v>28</v>
      </c>
      <c r="E58" s="38">
        <f>C57/1000</f>
        <v>0.17499999999999999</v>
      </c>
      <c r="F58" s="39" t="s">
        <v>88</v>
      </c>
      <c r="G58" s="26"/>
      <c r="H58" s="22" t="s">
        <v>93</v>
      </c>
      <c r="I58" s="24"/>
      <c r="J58" s="24"/>
      <c r="K58" s="24"/>
      <c r="L58" s="25" t="s">
        <v>17</v>
      </c>
      <c r="M58" s="4"/>
    </row>
    <row r="59" spans="1:13" s="28" customFormat="1" ht="13.5">
      <c r="A59" s="34"/>
      <c r="B59" s="35" t="s">
        <v>94</v>
      </c>
      <c r="C59" s="46">
        <f>IF(C58&lt;0.5*C31,MIN((1+C58/C31),1.25),IF(C58&lt;C31,2.5*(1-C58/C31),"Error: N.Ed too large!"))</f>
        <v>1.0048611764915756</v>
      </c>
      <c r="D59" s="37"/>
      <c r="F59" s="45" t="s">
        <v>42</v>
      </c>
      <c r="G59" s="26"/>
      <c r="H59" s="30" t="s">
        <v>95</v>
      </c>
      <c r="L59" s="45" t="s">
        <v>96</v>
      </c>
      <c r="M59" s="4"/>
    </row>
    <row r="60" spans="1:13" s="28" customFormat="1" ht="15.75">
      <c r="A60" s="34"/>
      <c r="B60" s="35"/>
      <c r="C60" s="73"/>
      <c r="D60" s="37"/>
      <c r="E60" s="38"/>
      <c r="F60" s="39"/>
      <c r="G60" s="26"/>
      <c r="H60" s="27"/>
      <c r="I60" s="35" t="s">
        <v>97</v>
      </c>
      <c r="J60" s="60">
        <f>0.08*SQRT(C26)/C34</f>
        <v>1.0119288512538814E-3</v>
      </c>
      <c r="L60" s="70" t="s">
        <v>98</v>
      </c>
      <c r="M60" s="4"/>
    </row>
    <row r="61" spans="1:13" s="28" customFormat="1" ht="16.5" thickBot="1">
      <c r="A61" s="92" t="s">
        <v>85</v>
      </c>
      <c r="B61" s="35" t="s">
        <v>90</v>
      </c>
      <c r="C61" s="40">
        <v>2001</v>
      </c>
      <c r="D61" s="37" t="s">
        <v>91</v>
      </c>
      <c r="E61" s="72"/>
      <c r="F61" s="45"/>
      <c r="G61" s="26"/>
      <c r="H61" s="27"/>
      <c r="I61" s="35" t="s">
        <v>99</v>
      </c>
      <c r="J61" s="60">
        <f>MIN((IF(J46=1,J44,J47/J46)/(C37*1000))/(J39*J33),(IF(J53=1,J51,J54/J53)/(C37*1000))/(J39*J33))</f>
        <v>3.2474629698408678E-3</v>
      </c>
      <c r="L61" s="70" t="s">
        <v>100</v>
      </c>
      <c r="M61" s="4"/>
    </row>
    <row r="62" spans="1:13" s="28" customFormat="1" ht="16.5" thickBot="1">
      <c r="A62" s="27"/>
      <c r="B62" s="35" t="s">
        <v>92</v>
      </c>
      <c r="C62" s="73">
        <f>E62/((E22-E42)+(E42*C35/C29))</f>
        <v>1.3474928705998612</v>
      </c>
      <c r="D62" s="37" t="s">
        <v>28</v>
      </c>
      <c r="E62" s="38">
        <f>C61/1000</f>
        <v>2.0009999999999999</v>
      </c>
      <c r="F62" s="39" t="s">
        <v>88</v>
      </c>
      <c r="G62" s="26"/>
      <c r="H62" s="27"/>
      <c r="I62" s="35" t="s">
        <v>101</v>
      </c>
      <c r="J62" s="65">
        <f>J61/J60</f>
        <v>3.2091811255474485</v>
      </c>
      <c r="K62" s="66" t="str">
        <f>IF(J62&lt;1,"FAIL","Pass")</f>
        <v>Pass</v>
      </c>
      <c r="L62" s="29"/>
      <c r="M62" s="4"/>
    </row>
    <row r="63" spans="1:13" s="28" customFormat="1" ht="13.5">
      <c r="A63" s="93"/>
      <c r="B63" s="35" t="s">
        <v>94</v>
      </c>
      <c r="C63" s="46">
        <f>IF(C62&lt;0.5*C31,MIN((1+C62/C31),1.25),IF(C62&lt;C31,2.5*(1-C62/C31),"Error: N.Ed too large!"))</f>
        <v>1.0555840809122443</v>
      </c>
      <c r="D63" s="37"/>
      <c r="F63" s="45" t="s">
        <v>42</v>
      </c>
      <c r="H63" s="27"/>
      <c r="L63" s="29"/>
      <c r="M63" s="4"/>
    </row>
    <row r="64" spans="1:13" s="28" customFormat="1">
      <c r="A64" s="47"/>
      <c r="B64" s="48"/>
      <c r="C64" s="48"/>
      <c r="D64" s="48"/>
      <c r="E64" s="48"/>
      <c r="F64" s="49"/>
      <c r="G64" s="26"/>
      <c r="H64" s="74"/>
      <c r="I64" s="48"/>
      <c r="J64" s="75"/>
      <c r="K64" s="75"/>
      <c r="L64" s="76"/>
      <c r="M64" s="4"/>
    </row>
    <row r="65" spans="1:14" s="28" customFormat="1">
      <c r="A65" s="4"/>
      <c r="C65" s="4"/>
      <c r="E65" s="4"/>
      <c r="G65" s="4"/>
      <c r="I65" s="4"/>
      <c r="J65" s="4"/>
      <c r="K65" s="4"/>
      <c r="L65" s="4"/>
      <c r="M65" s="4"/>
      <c r="N65" s="4"/>
    </row>
    <row r="66" spans="1:14" s="28" customFormat="1">
      <c r="A66" s="4"/>
      <c r="B66" s="4"/>
      <c r="C66" s="4"/>
      <c r="D66" s="4"/>
      <c r="E66" s="4"/>
      <c r="F66" s="4"/>
      <c r="G66" s="4"/>
      <c r="H66" s="4"/>
      <c r="I66" s="4"/>
      <c r="J66" s="4"/>
      <c r="K66" s="4"/>
      <c r="L66" s="4"/>
      <c r="M66" s="4"/>
      <c r="N66" s="4"/>
    </row>
    <row r="67" spans="1:14">
      <c r="B67" s="4" t="s">
        <v>102</v>
      </c>
      <c r="D67" s="4">
        <f>0.5*C55*(IF(J48&gt;J55,J46,J53))</f>
        <v>1712.9657213441255</v>
      </c>
      <c r="E67" s="4" t="s">
        <v>70</v>
      </c>
    </row>
    <row r="68" spans="1:14" ht="12" customHeight="1"/>
    <row r="69" spans="1:14">
      <c r="A69" s="27"/>
      <c r="B69" s="28"/>
      <c r="C69" s="28"/>
      <c r="D69" s="28"/>
      <c r="E69" s="33"/>
      <c r="F69" s="28"/>
      <c r="H69" s="28"/>
    </row>
    <row r="70" spans="1:14">
      <c r="G70" s="28"/>
      <c r="H70" s="28"/>
    </row>
    <row r="71" spans="1:14">
      <c r="E71" s="77"/>
      <c r="G71" s="28"/>
      <c r="H71" s="28"/>
    </row>
    <row r="72" spans="1:14">
      <c r="G72" s="28"/>
      <c r="H72" s="28"/>
    </row>
    <row r="73" spans="1:14" ht="15">
      <c r="A73" s="78"/>
      <c r="B73" s="78"/>
      <c r="C73" s="28"/>
      <c r="D73" s="28"/>
      <c r="G73" s="28"/>
      <c r="H73" s="28"/>
    </row>
    <row r="74" spans="1:14">
      <c r="E74" s="28"/>
      <c r="G74" s="28"/>
      <c r="H74" s="28"/>
    </row>
    <row r="75" spans="1:14">
      <c r="E75" s="142"/>
      <c r="G75" s="28"/>
      <c r="H75" s="28"/>
    </row>
    <row r="76" spans="1:14">
      <c r="E76" s="142"/>
      <c r="G76" s="28"/>
      <c r="H76" s="28"/>
    </row>
    <row r="77" spans="1:14" ht="15.75" customHeight="1">
      <c r="E77" s="142"/>
      <c r="G77" s="28"/>
      <c r="H77" s="28"/>
    </row>
    <row r="78" spans="1:14">
      <c r="E78" s="142"/>
      <c r="G78" s="28"/>
      <c r="H78" s="28"/>
    </row>
    <row r="79" spans="1:14" ht="15.75" customHeight="1">
      <c r="E79" s="142"/>
      <c r="G79" s="28"/>
      <c r="H79" s="28"/>
    </row>
    <row r="80" spans="1:14">
      <c r="E80" s="142"/>
      <c r="G80" s="28"/>
      <c r="H80" s="28"/>
    </row>
    <row r="81" spans="1:13">
      <c r="E81" s="142"/>
      <c r="G81" s="28"/>
      <c r="H81" s="28"/>
    </row>
    <row r="82" spans="1:13">
      <c r="E82" s="142"/>
      <c r="G82" s="28"/>
      <c r="H82" s="28"/>
    </row>
    <row r="83" spans="1:13">
      <c r="E83" s="142"/>
      <c r="G83" s="28"/>
      <c r="H83" s="28"/>
      <c r="I83" s="28"/>
      <c r="J83" s="28"/>
      <c r="K83" s="79"/>
      <c r="L83" s="28"/>
    </row>
    <row r="84" spans="1:13">
      <c r="A84" s="80"/>
      <c r="B84" s="80"/>
      <c r="C84" s="28"/>
      <c r="D84" s="28"/>
      <c r="E84" s="142"/>
      <c r="G84" s="28"/>
      <c r="H84" s="28"/>
      <c r="I84" s="28"/>
      <c r="J84" s="28"/>
      <c r="K84" s="28"/>
      <c r="L84" s="81"/>
    </row>
    <row r="85" spans="1:13">
      <c r="A85" s="82"/>
      <c r="B85" s="82"/>
      <c r="C85" s="83"/>
      <c r="D85" s="28"/>
      <c r="E85" s="28"/>
      <c r="G85" s="28"/>
      <c r="H85" s="28"/>
      <c r="L85" s="28"/>
      <c r="M85" s="28"/>
    </row>
    <row r="86" spans="1:13" ht="15">
      <c r="A86" s="84"/>
      <c r="B86" s="84"/>
      <c r="C86" s="83"/>
      <c r="D86" s="28"/>
      <c r="E86" s="28"/>
      <c r="G86" s="28"/>
      <c r="H86" s="28"/>
      <c r="M86" s="28"/>
    </row>
    <row r="87" spans="1:13">
      <c r="A87" s="82"/>
      <c r="B87" s="82"/>
      <c r="C87" s="83"/>
      <c r="D87" s="28"/>
      <c r="E87" s="28"/>
      <c r="G87" s="28"/>
      <c r="H87" s="28"/>
      <c r="I87" s="28"/>
      <c r="J87" s="28"/>
      <c r="K87" s="28"/>
      <c r="M87" s="28"/>
    </row>
    <row r="88" spans="1:13">
      <c r="E88" s="28"/>
      <c r="G88" s="28"/>
      <c r="H88" s="28"/>
      <c r="L88" s="28"/>
      <c r="M88" s="28"/>
    </row>
    <row r="89" spans="1:13">
      <c r="E89" s="28"/>
      <c r="G89" s="28"/>
      <c r="H89" s="28"/>
      <c r="M89" s="28"/>
    </row>
    <row r="90" spans="1:13">
      <c r="E90" s="28"/>
      <c r="G90" s="28"/>
      <c r="H90" s="28"/>
      <c r="L90" s="28"/>
      <c r="M90" s="28"/>
    </row>
    <row r="91" spans="1:13">
      <c r="E91" s="28"/>
      <c r="G91" s="28"/>
      <c r="H91" s="28"/>
      <c r="K91" s="28"/>
      <c r="L91" s="28"/>
    </row>
    <row r="92" spans="1:13">
      <c r="E92" s="28"/>
      <c r="G92" s="28"/>
      <c r="H92" s="28"/>
      <c r="K92" s="28"/>
      <c r="M92" s="28"/>
    </row>
    <row r="93" spans="1:13">
      <c r="E93" s="28"/>
      <c r="G93" s="28"/>
      <c r="H93" s="28"/>
      <c r="M93" s="28"/>
    </row>
    <row r="94" spans="1:13">
      <c r="E94" s="28"/>
      <c r="G94" s="28"/>
    </row>
    <row r="95" spans="1:13">
      <c r="E95" s="28"/>
    </row>
    <row r="96" spans="1:13">
      <c r="E96" s="28"/>
      <c r="K96" s="28"/>
    </row>
    <row r="97" spans="1:13">
      <c r="E97" s="28"/>
      <c r="H97" s="28"/>
      <c r="K97" s="28"/>
    </row>
    <row r="98" spans="1:13">
      <c r="E98" s="28"/>
      <c r="G98" s="28"/>
      <c r="H98" s="28"/>
      <c r="K98" s="28"/>
    </row>
    <row r="99" spans="1:13">
      <c r="E99" s="28"/>
      <c r="G99" s="28"/>
      <c r="H99" s="28"/>
      <c r="M99" s="28"/>
    </row>
    <row r="100" spans="1:13">
      <c r="E100" s="28"/>
      <c r="G100" s="28"/>
      <c r="K100" s="28"/>
      <c r="M100" s="28"/>
    </row>
    <row r="101" spans="1:13">
      <c r="A101" s="85"/>
      <c r="B101" s="85"/>
      <c r="C101" s="86"/>
      <c r="E101" s="28"/>
      <c r="K101" s="28"/>
      <c r="M101" s="28"/>
    </row>
    <row r="102" spans="1:13">
      <c r="D102" s="83"/>
      <c r="M102" s="28"/>
    </row>
    <row r="103" spans="1:13">
      <c r="I103" s="87"/>
    </row>
    <row r="104" spans="1:13">
      <c r="M104" s="28"/>
    </row>
    <row r="111" spans="1:13">
      <c r="A111" s="85"/>
      <c r="B111" s="85"/>
    </row>
    <row r="115" spans="7:8">
      <c r="H115" s="88"/>
    </row>
    <row r="116" spans="7:8">
      <c r="G116" s="88" t="s">
        <v>103</v>
      </c>
    </row>
  </sheetData>
  <dataConsolidate link="1"/>
  <mergeCells count="6">
    <mergeCell ref="E83:E84"/>
    <mergeCell ref="A15:F15"/>
    <mergeCell ref="A16:F16"/>
    <mergeCell ref="E75:E77"/>
    <mergeCell ref="E78:E80"/>
    <mergeCell ref="E81:E82"/>
  </mergeCells>
  <conditionalFormatting sqref="H6 J6 B6 B8 B4 H4 H2">
    <cfRule type="cellIs" dxfId="171" priority="14" stopIfTrue="1" operator="equal">
      <formula>0</formula>
    </cfRule>
  </conditionalFormatting>
  <conditionalFormatting sqref="B6">
    <cfRule type="cellIs" dxfId="170" priority="13" stopIfTrue="1" operator="equal">
      <formula>0</formula>
    </cfRule>
  </conditionalFormatting>
  <conditionalFormatting sqref="H6 J6 H4">
    <cfRule type="cellIs" dxfId="169" priority="12" stopIfTrue="1" operator="equal">
      <formula>0</formula>
    </cfRule>
  </conditionalFormatting>
  <conditionalFormatting sqref="J48">
    <cfRule type="cellIs" dxfId="168" priority="10" stopIfTrue="1" operator="greaterThan">
      <formula>1</formula>
    </cfRule>
    <cfRule type="cellIs" dxfId="167" priority="11" stopIfTrue="1" operator="lessThanOrEqual">
      <formula>1</formula>
    </cfRule>
  </conditionalFormatting>
  <conditionalFormatting sqref="J62">
    <cfRule type="cellIs" dxfId="166" priority="8" stopIfTrue="1" operator="lessThan">
      <formula>1</formula>
    </cfRule>
    <cfRule type="cellIs" dxfId="165" priority="9" stopIfTrue="1" operator="greaterThanOrEqual">
      <formula>1</formula>
    </cfRule>
  </conditionalFormatting>
  <conditionalFormatting sqref="K48 K62">
    <cfRule type="cellIs" dxfId="164" priority="6" stopIfTrue="1" operator="equal">
      <formula>"FAIL"</formula>
    </cfRule>
    <cfRule type="cellIs" dxfId="163" priority="7" stopIfTrue="1" operator="equal">
      <formula>"Pass"</formula>
    </cfRule>
  </conditionalFormatting>
  <conditionalFormatting sqref="F52">
    <cfRule type="cellIs" dxfId="162" priority="5" stopIfTrue="1" operator="equal">
      <formula>"Link spacing satisfies limit set by EN1992-1-1 cl 9.5.3(3)"</formula>
    </cfRule>
  </conditionalFormatting>
  <conditionalFormatting sqref="K55">
    <cfRule type="cellIs" dxfId="161" priority="3" stopIfTrue="1" operator="equal">
      <formula>"FAIL"</formula>
    </cfRule>
    <cfRule type="cellIs" dxfId="160" priority="4" stopIfTrue="1" operator="equal">
      <formula>"Pass"</formula>
    </cfRule>
  </conditionalFormatting>
  <conditionalFormatting sqref="J55">
    <cfRule type="cellIs" dxfId="159" priority="1" stopIfTrue="1" operator="greaterThan">
      <formula>1</formula>
    </cfRule>
    <cfRule type="cellIs" dxfId="158" priority="2" stopIfTrue="1" operator="lessThanOrEqual">
      <formula>1</formula>
    </cfRule>
  </conditionalFormatting>
  <dataValidations count="10">
    <dataValidation allowBlank="1" showInputMessage="1" showErrorMessage="1" promptTitle="v1" prompt="To UK NA, v1 = v.(1 - cos.alpha):_x000a__x000a_For discreet links, alpha = 90deg --&gt; v1 = v_x000a__x000a_For helical links, we assume alpha &gt; 90deg (unfavourable condition for Vrd,s). It is therefore conservative to take v1 = v" sqref="C32 IY32 SU32 ACQ32 AMM32 AWI32 BGE32 BQA32 BZW32 CJS32 CTO32 DDK32 DNG32 DXC32 EGY32 EQU32 FAQ32 FKM32 FUI32 GEE32 GOA32 GXW32 HHS32 HRO32 IBK32 ILG32 IVC32 JEY32 JOU32 JYQ32 KIM32 KSI32 LCE32 LMA32 LVW32 MFS32 MPO32 MZK32 NJG32 NTC32 OCY32 OMU32 OWQ32 PGM32 PQI32 QAE32 QKA32 QTW32 RDS32 RNO32 RXK32 SHG32 SRC32 TAY32 TKU32 TUQ32 UEM32 UOI32 UYE32 VIA32 VRW32 WBS32 WLO32 WVK32 C65573 IY65573 SU65573 ACQ65573 AMM65573 AWI65573 BGE65573 BQA65573 BZW65573 CJS65573 CTO65573 DDK65573 DNG65573 DXC65573 EGY65573 EQU65573 FAQ65573 FKM65573 FUI65573 GEE65573 GOA65573 GXW65573 HHS65573 HRO65573 IBK65573 ILG65573 IVC65573 JEY65573 JOU65573 JYQ65573 KIM65573 KSI65573 LCE65573 LMA65573 LVW65573 MFS65573 MPO65573 MZK65573 NJG65573 NTC65573 OCY65573 OMU65573 OWQ65573 PGM65573 PQI65573 QAE65573 QKA65573 QTW65573 RDS65573 RNO65573 RXK65573 SHG65573 SRC65573 TAY65573 TKU65573 TUQ65573 UEM65573 UOI65573 UYE65573 VIA65573 VRW65573 WBS65573 WLO65573 WVK65573 C131109 IY131109 SU131109 ACQ131109 AMM131109 AWI131109 BGE131109 BQA131109 BZW131109 CJS131109 CTO131109 DDK131109 DNG131109 DXC131109 EGY131109 EQU131109 FAQ131109 FKM131109 FUI131109 GEE131109 GOA131109 GXW131109 HHS131109 HRO131109 IBK131109 ILG131109 IVC131109 JEY131109 JOU131109 JYQ131109 KIM131109 KSI131109 LCE131109 LMA131109 LVW131109 MFS131109 MPO131109 MZK131109 NJG131109 NTC131109 OCY131109 OMU131109 OWQ131109 PGM131109 PQI131109 QAE131109 QKA131109 QTW131109 RDS131109 RNO131109 RXK131109 SHG131109 SRC131109 TAY131109 TKU131109 TUQ131109 UEM131109 UOI131109 UYE131109 VIA131109 VRW131109 WBS131109 WLO131109 WVK131109 C196645 IY196645 SU196645 ACQ196645 AMM196645 AWI196645 BGE196645 BQA196645 BZW196645 CJS196645 CTO196645 DDK196645 DNG196645 DXC196645 EGY196645 EQU196645 FAQ196645 FKM196645 FUI196645 GEE196645 GOA196645 GXW196645 HHS196645 HRO196645 IBK196645 ILG196645 IVC196645 JEY196645 JOU196645 JYQ196645 KIM196645 KSI196645 LCE196645 LMA196645 LVW196645 MFS196645 MPO196645 MZK196645 NJG196645 NTC196645 OCY196645 OMU196645 OWQ196645 PGM196645 PQI196645 QAE196645 QKA196645 QTW196645 RDS196645 RNO196645 RXK196645 SHG196645 SRC196645 TAY196645 TKU196645 TUQ196645 UEM196645 UOI196645 UYE196645 VIA196645 VRW196645 WBS196645 WLO196645 WVK196645 C262181 IY262181 SU262181 ACQ262181 AMM262181 AWI262181 BGE262181 BQA262181 BZW262181 CJS262181 CTO262181 DDK262181 DNG262181 DXC262181 EGY262181 EQU262181 FAQ262181 FKM262181 FUI262181 GEE262181 GOA262181 GXW262181 HHS262181 HRO262181 IBK262181 ILG262181 IVC262181 JEY262181 JOU262181 JYQ262181 KIM262181 KSI262181 LCE262181 LMA262181 LVW262181 MFS262181 MPO262181 MZK262181 NJG262181 NTC262181 OCY262181 OMU262181 OWQ262181 PGM262181 PQI262181 QAE262181 QKA262181 QTW262181 RDS262181 RNO262181 RXK262181 SHG262181 SRC262181 TAY262181 TKU262181 TUQ262181 UEM262181 UOI262181 UYE262181 VIA262181 VRW262181 WBS262181 WLO262181 WVK262181 C327717 IY327717 SU327717 ACQ327717 AMM327717 AWI327717 BGE327717 BQA327717 BZW327717 CJS327717 CTO327717 DDK327717 DNG327717 DXC327717 EGY327717 EQU327717 FAQ327717 FKM327717 FUI327717 GEE327717 GOA327717 GXW327717 HHS327717 HRO327717 IBK327717 ILG327717 IVC327717 JEY327717 JOU327717 JYQ327717 KIM327717 KSI327717 LCE327717 LMA327717 LVW327717 MFS327717 MPO327717 MZK327717 NJG327717 NTC327717 OCY327717 OMU327717 OWQ327717 PGM327717 PQI327717 QAE327717 QKA327717 QTW327717 RDS327717 RNO327717 RXK327717 SHG327717 SRC327717 TAY327717 TKU327717 TUQ327717 UEM327717 UOI327717 UYE327717 VIA327717 VRW327717 WBS327717 WLO327717 WVK327717 C393253 IY393253 SU393253 ACQ393253 AMM393253 AWI393253 BGE393253 BQA393253 BZW393253 CJS393253 CTO393253 DDK393253 DNG393253 DXC393253 EGY393253 EQU393253 FAQ393253 FKM393253 FUI393253 GEE393253 GOA393253 GXW393253 HHS393253 HRO393253 IBK393253 ILG393253 IVC393253 JEY393253 JOU393253 JYQ393253 KIM393253 KSI393253 LCE393253 LMA393253 LVW393253 MFS393253 MPO393253 MZK393253 NJG393253 NTC393253 OCY393253 OMU393253 OWQ393253 PGM393253 PQI393253 QAE393253 QKA393253 QTW393253 RDS393253 RNO393253 RXK393253 SHG393253 SRC393253 TAY393253 TKU393253 TUQ393253 UEM393253 UOI393253 UYE393253 VIA393253 VRW393253 WBS393253 WLO393253 WVK393253 C458789 IY458789 SU458789 ACQ458789 AMM458789 AWI458789 BGE458789 BQA458789 BZW458789 CJS458789 CTO458789 DDK458789 DNG458789 DXC458789 EGY458789 EQU458789 FAQ458789 FKM458789 FUI458789 GEE458789 GOA458789 GXW458789 HHS458789 HRO458789 IBK458789 ILG458789 IVC458789 JEY458789 JOU458789 JYQ458789 KIM458789 KSI458789 LCE458789 LMA458789 LVW458789 MFS458789 MPO458789 MZK458789 NJG458789 NTC458789 OCY458789 OMU458789 OWQ458789 PGM458789 PQI458789 QAE458789 QKA458789 QTW458789 RDS458789 RNO458789 RXK458789 SHG458789 SRC458789 TAY458789 TKU458789 TUQ458789 UEM458789 UOI458789 UYE458789 VIA458789 VRW458789 WBS458789 WLO458789 WVK458789 C524325 IY524325 SU524325 ACQ524325 AMM524325 AWI524325 BGE524325 BQA524325 BZW524325 CJS524325 CTO524325 DDK524325 DNG524325 DXC524325 EGY524325 EQU524325 FAQ524325 FKM524325 FUI524325 GEE524325 GOA524325 GXW524325 HHS524325 HRO524325 IBK524325 ILG524325 IVC524325 JEY524325 JOU524325 JYQ524325 KIM524325 KSI524325 LCE524325 LMA524325 LVW524325 MFS524325 MPO524325 MZK524325 NJG524325 NTC524325 OCY524325 OMU524325 OWQ524325 PGM524325 PQI524325 QAE524325 QKA524325 QTW524325 RDS524325 RNO524325 RXK524325 SHG524325 SRC524325 TAY524325 TKU524325 TUQ524325 UEM524325 UOI524325 UYE524325 VIA524325 VRW524325 WBS524325 WLO524325 WVK524325 C589861 IY589861 SU589861 ACQ589861 AMM589861 AWI589861 BGE589861 BQA589861 BZW589861 CJS589861 CTO589861 DDK589861 DNG589861 DXC589861 EGY589861 EQU589861 FAQ589861 FKM589861 FUI589861 GEE589861 GOA589861 GXW589861 HHS589861 HRO589861 IBK589861 ILG589861 IVC589861 JEY589861 JOU589861 JYQ589861 KIM589861 KSI589861 LCE589861 LMA589861 LVW589861 MFS589861 MPO589861 MZK589861 NJG589861 NTC589861 OCY589861 OMU589861 OWQ589861 PGM589861 PQI589861 QAE589861 QKA589861 QTW589861 RDS589861 RNO589861 RXK589861 SHG589861 SRC589861 TAY589861 TKU589861 TUQ589861 UEM589861 UOI589861 UYE589861 VIA589861 VRW589861 WBS589861 WLO589861 WVK589861 C655397 IY655397 SU655397 ACQ655397 AMM655397 AWI655397 BGE655397 BQA655397 BZW655397 CJS655397 CTO655397 DDK655397 DNG655397 DXC655397 EGY655397 EQU655397 FAQ655397 FKM655397 FUI655397 GEE655397 GOA655397 GXW655397 HHS655397 HRO655397 IBK655397 ILG655397 IVC655397 JEY655397 JOU655397 JYQ655397 KIM655397 KSI655397 LCE655397 LMA655397 LVW655397 MFS655397 MPO655397 MZK655397 NJG655397 NTC655397 OCY655397 OMU655397 OWQ655397 PGM655397 PQI655397 QAE655397 QKA655397 QTW655397 RDS655397 RNO655397 RXK655397 SHG655397 SRC655397 TAY655397 TKU655397 TUQ655397 UEM655397 UOI655397 UYE655397 VIA655397 VRW655397 WBS655397 WLO655397 WVK655397 C720933 IY720933 SU720933 ACQ720933 AMM720933 AWI720933 BGE720933 BQA720933 BZW720933 CJS720933 CTO720933 DDK720933 DNG720933 DXC720933 EGY720933 EQU720933 FAQ720933 FKM720933 FUI720933 GEE720933 GOA720933 GXW720933 HHS720933 HRO720933 IBK720933 ILG720933 IVC720933 JEY720933 JOU720933 JYQ720933 KIM720933 KSI720933 LCE720933 LMA720933 LVW720933 MFS720933 MPO720933 MZK720933 NJG720933 NTC720933 OCY720933 OMU720933 OWQ720933 PGM720933 PQI720933 QAE720933 QKA720933 QTW720933 RDS720933 RNO720933 RXK720933 SHG720933 SRC720933 TAY720933 TKU720933 TUQ720933 UEM720933 UOI720933 UYE720933 VIA720933 VRW720933 WBS720933 WLO720933 WVK720933 C786469 IY786469 SU786469 ACQ786469 AMM786469 AWI786469 BGE786469 BQA786469 BZW786469 CJS786469 CTO786469 DDK786469 DNG786469 DXC786469 EGY786469 EQU786469 FAQ786469 FKM786469 FUI786469 GEE786469 GOA786469 GXW786469 HHS786469 HRO786469 IBK786469 ILG786469 IVC786469 JEY786469 JOU786469 JYQ786469 KIM786469 KSI786469 LCE786469 LMA786469 LVW786469 MFS786469 MPO786469 MZK786469 NJG786469 NTC786469 OCY786469 OMU786469 OWQ786469 PGM786469 PQI786469 QAE786469 QKA786469 QTW786469 RDS786469 RNO786469 RXK786469 SHG786469 SRC786469 TAY786469 TKU786469 TUQ786469 UEM786469 UOI786469 UYE786469 VIA786469 VRW786469 WBS786469 WLO786469 WVK786469 C852005 IY852005 SU852005 ACQ852005 AMM852005 AWI852005 BGE852005 BQA852005 BZW852005 CJS852005 CTO852005 DDK852005 DNG852005 DXC852005 EGY852005 EQU852005 FAQ852005 FKM852005 FUI852005 GEE852005 GOA852005 GXW852005 HHS852005 HRO852005 IBK852005 ILG852005 IVC852005 JEY852005 JOU852005 JYQ852005 KIM852005 KSI852005 LCE852005 LMA852005 LVW852005 MFS852005 MPO852005 MZK852005 NJG852005 NTC852005 OCY852005 OMU852005 OWQ852005 PGM852005 PQI852005 QAE852005 QKA852005 QTW852005 RDS852005 RNO852005 RXK852005 SHG852005 SRC852005 TAY852005 TKU852005 TUQ852005 UEM852005 UOI852005 UYE852005 VIA852005 VRW852005 WBS852005 WLO852005 WVK852005 C917541 IY917541 SU917541 ACQ917541 AMM917541 AWI917541 BGE917541 BQA917541 BZW917541 CJS917541 CTO917541 DDK917541 DNG917541 DXC917541 EGY917541 EQU917541 FAQ917541 FKM917541 FUI917541 GEE917541 GOA917541 GXW917541 HHS917541 HRO917541 IBK917541 ILG917541 IVC917541 JEY917541 JOU917541 JYQ917541 KIM917541 KSI917541 LCE917541 LMA917541 LVW917541 MFS917541 MPO917541 MZK917541 NJG917541 NTC917541 OCY917541 OMU917541 OWQ917541 PGM917541 PQI917541 QAE917541 QKA917541 QTW917541 RDS917541 RNO917541 RXK917541 SHG917541 SRC917541 TAY917541 TKU917541 TUQ917541 UEM917541 UOI917541 UYE917541 VIA917541 VRW917541 WBS917541 WLO917541 WVK917541 C983077 IY983077 SU983077 ACQ983077 AMM983077 AWI983077 BGE983077 BQA983077 BZW983077 CJS983077 CTO983077 DDK983077 DNG983077 DXC983077 EGY983077 EQU983077 FAQ983077 FKM983077 FUI983077 GEE983077 GOA983077 GXW983077 HHS983077 HRO983077 IBK983077 ILG983077 IVC983077 JEY983077 JOU983077 JYQ983077 KIM983077 KSI983077 LCE983077 LMA983077 LVW983077 MFS983077 MPO983077 MZK983077 NJG983077 NTC983077 OCY983077 OMU983077 OWQ983077 PGM983077 PQI983077 QAE983077 QKA983077 QTW983077 RDS983077 RNO983077 RXK983077 SHG983077 SRC983077 TAY983077 TKU983077 TUQ983077 UEM983077 UOI983077 UYE983077 VIA983077 VRW983077 WBS983077 WLO983077 WVK983077" xr:uid="{C05F7E23-A984-42A6-96B6-DF4919AB2954}"/>
    <dataValidation allowBlank="1" showInputMessage="1" showErrorMessage="1" promptTitle="Vrd,max" prompt="This is the maximum Vrd,max (applicable when cot.theta = 1.0)._x000a_It gives an upper bound on Vrd." sqref="J52 JF45:JF46 TB45:TB46 ACX45:ACX46 AMT45:AMT46 AWP45:AWP46 BGL45:BGL46 BQH45:BQH46 CAD45:CAD46 CJZ45:CJZ46 CTV45:CTV46 DDR45:DDR46 DNN45:DNN46 DXJ45:DXJ46 EHF45:EHF46 ERB45:ERB46 FAX45:FAX46 FKT45:FKT46 FUP45:FUP46 GEL45:GEL46 GOH45:GOH46 GYD45:GYD46 HHZ45:HHZ46 HRV45:HRV46 IBR45:IBR46 ILN45:ILN46 IVJ45:IVJ46 JFF45:JFF46 JPB45:JPB46 JYX45:JYX46 KIT45:KIT46 KSP45:KSP46 LCL45:LCL46 LMH45:LMH46 LWD45:LWD46 MFZ45:MFZ46 MPV45:MPV46 MZR45:MZR46 NJN45:NJN46 NTJ45:NTJ46 ODF45:ODF46 ONB45:ONB46 OWX45:OWX46 PGT45:PGT46 PQP45:PQP46 QAL45:QAL46 QKH45:QKH46 QUD45:QUD46 RDZ45:RDZ46 RNV45:RNV46 RXR45:RXR46 SHN45:SHN46 SRJ45:SRJ46 TBF45:TBF46 TLB45:TLB46 TUX45:TUX46 UET45:UET46 UOP45:UOP46 UYL45:UYL46 VIH45:VIH46 VSD45:VSD46 WBZ45:WBZ46 WLV45:WLV46 WVR45:WVR46 J65586 JF65586 TB65586 ACX65586 AMT65586 AWP65586 BGL65586 BQH65586 CAD65586 CJZ65586 CTV65586 DDR65586 DNN65586 DXJ65586 EHF65586 ERB65586 FAX65586 FKT65586 FUP65586 GEL65586 GOH65586 GYD65586 HHZ65586 HRV65586 IBR65586 ILN65586 IVJ65586 JFF65586 JPB65586 JYX65586 KIT65586 KSP65586 LCL65586 LMH65586 LWD65586 MFZ65586 MPV65586 MZR65586 NJN65586 NTJ65586 ODF65586 ONB65586 OWX65586 PGT65586 PQP65586 QAL65586 QKH65586 QUD65586 RDZ65586 RNV65586 RXR65586 SHN65586 SRJ65586 TBF65586 TLB65586 TUX65586 UET65586 UOP65586 UYL65586 VIH65586 VSD65586 WBZ65586 WLV65586 WVR65586 J131122 JF131122 TB131122 ACX131122 AMT131122 AWP131122 BGL131122 BQH131122 CAD131122 CJZ131122 CTV131122 DDR131122 DNN131122 DXJ131122 EHF131122 ERB131122 FAX131122 FKT131122 FUP131122 GEL131122 GOH131122 GYD131122 HHZ131122 HRV131122 IBR131122 ILN131122 IVJ131122 JFF131122 JPB131122 JYX131122 KIT131122 KSP131122 LCL131122 LMH131122 LWD131122 MFZ131122 MPV131122 MZR131122 NJN131122 NTJ131122 ODF131122 ONB131122 OWX131122 PGT131122 PQP131122 QAL131122 QKH131122 QUD131122 RDZ131122 RNV131122 RXR131122 SHN131122 SRJ131122 TBF131122 TLB131122 TUX131122 UET131122 UOP131122 UYL131122 VIH131122 VSD131122 WBZ131122 WLV131122 WVR131122 J196658 JF196658 TB196658 ACX196658 AMT196658 AWP196658 BGL196658 BQH196658 CAD196658 CJZ196658 CTV196658 DDR196658 DNN196658 DXJ196658 EHF196658 ERB196658 FAX196658 FKT196658 FUP196658 GEL196658 GOH196658 GYD196658 HHZ196658 HRV196658 IBR196658 ILN196658 IVJ196658 JFF196658 JPB196658 JYX196658 KIT196658 KSP196658 LCL196658 LMH196658 LWD196658 MFZ196658 MPV196658 MZR196658 NJN196658 NTJ196658 ODF196658 ONB196658 OWX196658 PGT196658 PQP196658 QAL196658 QKH196658 QUD196658 RDZ196658 RNV196658 RXR196658 SHN196658 SRJ196658 TBF196658 TLB196658 TUX196658 UET196658 UOP196658 UYL196658 VIH196658 VSD196658 WBZ196658 WLV196658 WVR196658 J262194 JF262194 TB262194 ACX262194 AMT262194 AWP262194 BGL262194 BQH262194 CAD262194 CJZ262194 CTV262194 DDR262194 DNN262194 DXJ262194 EHF262194 ERB262194 FAX262194 FKT262194 FUP262194 GEL262194 GOH262194 GYD262194 HHZ262194 HRV262194 IBR262194 ILN262194 IVJ262194 JFF262194 JPB262194 JYX262194 KIT262194 KSP262194 LCL262194 LMH262194 LWD262194 MFZ262194 MPV262194 MZR262194 NJN262194 NTJ262194 ODF262194 ONB262194 OWX262194 PGT262194 PQP262194 QAL262194 QKH262194 QUD262194 RDZ262194 RNV262194 RXR262194 SHN262194 SRJ262194 TBF262194 TLB262194 TUX262194 UET262194 UOP262194 UYL262194 VIH262194 VSD262194 WBZ262194 WLV262194 WVR262194 J327730 JF327730 TB327730 ACX327730 AMT327730 AWP327730 BGL327730 BQH327730 CAD327730 CJZ327730 CTV327730 DDR327730 DNN327730 DXJ327730 EHF327730 ERB327730 FAX327730 FKT327730 FUP327730 GEL327730 GOH327730 GYD327730 HHZ327730 HRV327730 IBR327730 ILN327730 IVJ327730 JFF327730 JPB327730 JYX327730 KIT327730 KSP327730 LCL327730 LMH327730 LWD327730 MFZ327730 MPV327730 MZR327730 NJN327730 NTJ327730 ODF327730 ONB327730 OWX327730 PGT327730 PQP327730 QAL327730 QKH327730 QUD327730 RDZ327730 RNV327730 RXR327730 SHN327730 SRJ327730 TBF327730 TLB327730 TUX327730 UET327730 UOP327730 UYL327730 VIH327730 VSD327730 WBZ327730 WLV327730 WVR327730 J393266 JF393266 TB393266 ACX393266 AMT393266 AWP393266 BGL393266 BQH393266 CAD393266 CJZ393266 CTV393266 DDR393266 DNN393266 DXJ393266 EHF393266 ERB393266 FAX393266 FKT393266 FUP393266 GEL393266 GOH393266 GYD393266 HHZ393266 HRV393266 IBR393266 ILN393266 IVJ393266 JFF393266 JPB393266 JYX393266 KIT393266 KSP393266 LCL393266 LMH393266 LWD393266 MFZ393266 MPV393266 MZR393266 NJN393266 NTJ393266 ODF393266 ONB393266 OWX393266 PGT393266 PQP393266 QAL393266 QKH393266 QUD393266 RDZ393266 RNV393266 RXR393266 SHN393266 SRJ393266 TBF393266 TLB393266 TUX393266 UET393266 UOP393266 UYL393266 VIH393266 VSD393266 WBZ393266 WLV393266 WVR393266 J458802 JF458802 TB458802 ACX458802 AMT458802 AWP458802 BGL458802 BQH458802 CAD458802 CJZ458802 CTV458802 DDR458802 DNN458802 DXJ458802 EHF458802 ERB458802 FAX458802 FKT458802 FUP458802 GEL458802 GOH458802 GYD458802 HHZ458802 HRV458802 IBR458802 ILN458802 IVJ458802 JFF458802 JPB458802 JYX458802 KIT458802 KSP458802 LCL458802 LMH458802 LWD458802 MFZ458802 MPV458802 MZR458802 NJN458802 NTJ458802 ODF458802 ONB458802 OWX458802 PGT458802 PQP458802 QAL458802 QKH458802 QUD458802 RDZ458802 RNV458802 RXR458802 SHN458802 SRJ458802 TBF458802 TLB458802 TUX458802 UET458802 UOP458802 UYL458802 VIH458802 VSD458802 WBZ458802 WLV458802 WVR458802 J524338 JF524338 TB524338 ACX524338 AMT524338 AWP524338 BGL524338 BQH524338 CAD524338 CJZ524338 CTV524338 DDR524338 DNN524338 DXJ524338 EHF524338 ERB524338 FAX524338 FKT524338 FUP524338 GEL524338 GOH524338 GYD524338 HHZ524338 HRV524338 IBR524338 ILN524338 IVJ524338 JFF524338 JPB524338 JYX524338 KIT524338 KSP524338 LCL524338 LMH524338 LWD524338 MFZ524338 MPV524338 MZR524338 NJN524338 NTJ524338 ODF524338 ONB524338 OWX524338 PGT524338 PQP524338 QAL524338 QKH524338 QUD524338 RDZ524338 RNV524338 RXR524338 SHN524338 SRJ524338 TBF524338 TLB524338 TUX524338 UET524338 UOP524338 UYL524338 VIH524338 VSD524338 WBZ524338 WLV524338 WVR524338 J589874 JF589874 TB589874 ACX589874 AMT589874 AWP589874 BGL589874 BQH589874 CAD589874 CJZ589874 CTV589874 DDR589874 DNN589874 DXJ589874 EHF589874 ERB589874 FAX589874 FKT589874 FUP589874 GEL589874 GOH589874 GYD589874 HHZ589874 HRV589874 IBR589874 ILN589874 IVJ589874 JFF589874 JPB589874 JYX589874 KIT589874 KSP589874 LCL589874 LMH589874 LWD589874 MFZ589874 MPV589874 MZR589874 NJN589874 NTJ589874 ODF589874 ONB589874 OWX589874 PGT589874 PQP589874 QAL589874 QKH589874 QUD589874 RDZ589874 RNV589874 RXR589874 SHN589874 SRJ589874 TBF589874 TLB589874 TUX589874 UET589874 UOP589874 UYL589874 VIH589874 VSD589874 WBZ589874 WLV589874 WVR589874 J655410 JF655410 TB655410 ACX655410 AMT655410 AWP655410 BGL655410 BQH655410 CAD655410 CJZ655410 CTV655410 DDR655410 DNN655410 DXJ655410 EHF655410 ERB655410 FAX655410 FKT655410 FUP655410 GEL655410 GOH655410 GYD655410 HHZ655410 HRV655410 IBR655410 ILN655410 IVJ655410 JFF655410 JPB655410 JYX655410 KIT655410 KSP655410 LCL655410 LMH655410 LWD655410 MFZ655410 MPV655410 MZR655410 NJN655410 NTJ655410 ODF655410 ONB655410 OWX655410 PGT655410 PQP655410 QAL655410 QKH655410 QUD655410 RDZ655410 RNV655410 RXR655410 SHN655410 SRJ655410 TBF655410 TLB655410 TUX655410 UET655410 UOP655410 UYL655410 VIH655410 VSD655410 WBZ655410 WLV655410 WVR655410 J720946 JF720946 TB720946 ACX720946 AMT720946 AWP720946 BGL720946 BQH720946 CAD720946 CJZ720946 CTV720946 DDR720946 DNN720946 DXJ720946 EHF720946 ERB720946 FAX720946 FKT720946 FUP720946 GEL720946 GOH720946 GYD720946 HHZ720946 HRV720946 IBR720946 ILN720946 IVJ720946 JFF720946 JPB720946 JYX720946 KIT720946 KSP720946 LCL720946 LMH720946 LWD720946 MFZ720946 MPV720946 MZR720946 NJN720946 NTJ720946 ODF720946 ONB720946 OWX720946 PGT720946 PQP720946 QAL720946 QKH720946 QUD720946 RDZ720946 RNV720946 RXR720946 SHN720946 SRJ720946 TBF720946 TLB720946 TUX720946 UET720946 UOP720946 UYL720946 VIH720946 VSD720946 WBZ720946 WLV720946 WVR720946 J786482 JF786482 TB786482 ACX786482 AMT786482 AWP786482 BGL786482 BQH786482 CAD786482 CJZ786482 CTV786482 DDR786482 DNN786482 DXJ786482 EHF786482 ERB786482 FAX786482 FKT786482 FUP786482 GEL786482 GOH786482 GYD786482 HHZ786482 HRV786482 IBR786482 ILN786482 IVJ786482 JFF786482 JPB786482 JYX786482 KIT786482 KSP786482 LCL786482 LMH786482 LWD786482 MFZ786482 MPV786482 MZR786482 NJN786482 NTJ786482 ODF786482 ONB786482 OWX786482 PGT786482 PQP786482 QAL786482 QKH786482 QUD786482 RDZ786482 RNV786482 RXR786482 SHN786482 SRJ786482 TBF786482 TLB786482 TUX786482 UET786482 UOP786482 UYL786482 VIH786482 VSD786482 WBZ786482 WLV786482 WVR786482 J852018 JF852018 TB852018 ACX852018 AMT852018 AWP852018 BGL852018 BQH852018 CAD852018 CJZ852018 CTV852018 DDR852018 DNN852018 DXJ852018 EHF852018 ERB852018 FAX852018 FKT852018 FUP852018 GEL852018 GOH852018 GYD852018 HHZ852018 HRV852018 IBR852018 ILN852018 IVJ852018 JFF852018 JPB852018 JYX852018 KIT852018 KSP852018 LCL852018 LMH852018 LWD852018 MFZ852018 MPV852018 MZR852018 NJN852018 NTJ852018 ODF852018 ONB852018 OWX852018 PGT852018 PQP852018 QAL852018 QKH852018 QUD852018 RDZ852018 RNV852018 RXR852018 SHN852018 SRJ852018 TBF852018 TLB852018 TUX852018 UET852018 UOP852018 UYL852018 VIH852018 VSD852018 WBZ852018 WLV852018 WVR852018 J917554 JF917554 TB917554 ACX917554 AMT917554 AWP917554 BGL917554 BQH917554 CAD917554 CJZ917554 CTV917554 DDR917554 DNN917554 DXJ917554 EHF917554 ERB917554 FAX917554 FKT917554 FUP917554 GEL917554 GOH917554 GYD917554 HHZ917554 HRV917554 IBR917554 ILN917554 IVJ917554 JFF917554 JPB917554 JYX917554 KIT917554 KSP917554 LCL917554 LMH917554 LWD917554 MFZ917554 MPV917554 MZR917554 NJN917554 NTJ917554 ODF917554 ONB917554 OWX917554 PGT917554 PQP917554 QAL917554 QKH917554 QUD917554 RDZ917554 RNV917554 RXR917554 SHN917554 SRJ917554 TBF917554 TLB917554 TUX917554 UET917554 UOP917554 UYL917554 VIH917554 VSD917554 WBZ917554 WLV917554 WVR917554 J983090 JF983090 TB983090 ACX983090 AMT983090 AWP983090 BGL983090 BQH983090 CAD983090 CJZ983090 CTV983090 DDR983090 DNN983090 DXJ983090 EHF983090 ERB983090 FAX983090 FKT983090 FUP983090 GEL983090 GOH983090 GYD983090 HHZ983090 HRV983090 IBR983090 ILN983090 IVJ983090 JFF983090 JPB983090 JYX983090 KIT983090 KSP983090 LCL983090 LMH983090 LWD983090 MFZ983090 MPV983090 MZR983090 NJN983090 NTJ983090 ODF983090 ONB983090 OWX983090 PGT983090 PQP983090 QAL983090 QKH983090 QUD983090 RDZ983090 RNV983090 RXR983090 SHN983090 SRJ983090 TBF983090 TLB983090 TUX983090 UET983090 UOP983090 UYL983090 VIH983090 VSD983090 WBZ983090 WLV983090 WVR983090 J45" xr:uid="{AF7DA69E-7093-4EBB-A0FB-2430AFF8D699}"/>
    <dataValidation allowBlank="1" showInputMessage="1" showErrorMessage="1" promptTitle="Vrd,s" prompt="This is the minimum Vrd,s (applicable when cot.theta = 1.0)._x000a_It gives a lower bound on Vrd." sqref="J44 JF44 TB44 ACX44 AMT44 AWP44 BGL44 BQH44 CAD44 CJZ44 CTV44 DDR44 DNN44 DXJ44 EHF44 ERB44 FAX44 FKT44 FUP44 GEL44 GOH44 GYD44 HHZ44 HRV44 IBR44 ILN44 IVJ44 JFF44 JPB44 JYX44 KIT44 KSP44 LCL44 LMH44 LWD44 MFZ44 MPV44 MZR44 NJN44 NTJ44 ODF44 ONB44 OWX44 PGT44 PQP44 QAL44 QKH44 QUD44 RDZ44 RNV44 RXR44 SHN44 SRJ44 TBF44 TLB44 TUX44 UET44 UOP44 UYL44 VIH44 VSD44 WBZ44 WLV44 WVR44 J65585 JF65585 TB65585 ACX65585 AMT65585 AWP65585 BGL65585 BQH65585 CAD65585 CJZ65585 CTV65585 DDR65585 DNN65585 DXJ65585 EHF65585 ERB65585 FAX65585 FKT65585 FUP65585 GEL65585 GOH65585 GYD65585 HHZ65585 HRV65585 IBR65585 ILN65585 IVJ65585 JFF65585 JPB65585 JYX65585 KIT65585 KSP65585 LCL65585 LMH65585 LWD65585 MFZ65585 MPV65585 MZR65585 NJN65585 NTJ65585 ODF65585 ONB65585 OWX65585 PGT65585 PQP65585 QAL65585 QKH65585 QUD65585 RDZ65585 RNV65585 RXR65585 SHN65585 SRJ65585 TBF65585 TLB65585 TUX65585 UET65585 UOP65585 UYL65585 VIH65585 VSD65585 WBZ65585 WLV65585 WVR65585 J131121 JF131121 TB131121 ACX131121 AMT131121 AWP131121 BGL131121 BQH131121 CAD131121 CJZ131121 CTV131121 DDR131121 DNN131121 DXJ131121 EHF131121 ERB131121 FAX131121 FKT131121 FUP131121 GEL131121 GOH131121 GYD131121 HHZ131121 HRV131121 IBR131121 ILN131121 IVJ131121 JFF131121 JPB131121 JYX131121 KIT131121 KSP131121 LCL131121 LMH131121 LWD131121 MFZ131121 MPV131121 MZR131121 NJN131121 NTJ131121 ODF131121 ONB131121 OWX131121 PGT131121 PQP131121 QAL131121 QKH131121 QUD131121 RDZ131121 RNV131121 RXR131121 SHN131121 SRJ131121 TBF131121 TLB131121 TUX131121 UET131121 UOP131121 UYL131121 VIH131121 VSD131121 WBZ131121 WLV131121 WVR131121 J196657 JF196657 TB196657 ACX196657 AMT196657 AWP196657 BGL196657 BQH196657 CAD196657 CJZ196657 CTV196657 DDR196657 DNN196657 DXJ196657 EHF196657 ERB196657 FAX196657 FKT196657 FUP196657 GEL196657 GOH196657 GYD196657 HHZ196657 HRV196657 IBR196657 ILN196657 IVJ196657 JFF196657 JPB196657 JYX196657 KIT196657 KSP196657 LCL196657 LMH196657 LWD196657 MFZ196657 MPV196657 MZR196657 NJN196657 NTJ196657 ODF196657 ONB196657 OWX196657 PGT196657 PQP196657 QAL196657 QKH196657 QUD196657 RDZ196657 RNV196657 RXR196657 SHN196657 SRJ196657 TBF196657 TLB196657 TUX196657 UET196657 UOP196657 UYL196657 VIH196657 VSD196657 WBZ196657 WLV196657 WVR196657 J262193 JF262193 TB262193 ACX262193 AMT262193 AWP262193 BGL262193 BQH262193 CAD262193 CJZ262193 CTV262193 DDR262193 DNN262193 DXJ262193 EHF262193 ERB262193 FAX262193 FKT262193 FUP262193 GEL262193 GOH262193 GYD262193 HHZ262193 HRV262193 IBR262193 ILN262193 IVJ262193 JFF262193 JPB262193 JYX262193 KIT262193 KSP262193 LCL262193 LMH262193 LWD262193 MFZ262193 MPV262193 MZR262193 NJN262193 NTJ262193 ODF262193 ONB262193 OWX262193 PGT262193 PQP262193 QAL262193 QKH262193 QUD262193 RDZ262193 RNV262193 RXR262193 SHN262193 SRJ262193 TBF262193 TLB262193 TUX262193 UET262193 UOP262193 UYL262193 VIH262193 VSD262193 WBZ262193 WLV262193 WVR262193 J327729 JF327729 TB327729 ACX327729 AMT327729 AWP327729 BGL327729 BQH327729 CAD327729 CJZ327729 CTV327729 DDR327729 DNN327729 DXJ327729 EHF327729 ERB327729 FAX327729 FKT327729 FUP327729 GEL327729 GOH327729 GYD327729 HHZ327729 HRV327729 IBR327729 ILN327729 IVJ327729 JFF327729 JPB327729 JYX327729 KIT327729 KSP327729 LCL327729 LMH327729 LWD327729 MFZ327729 MPV327729 MZR327729 NJN327729 NTJ327729 ODF327729 ONB327729 OWX327729 PGT327729 PQP327729 QAL327729 QKH327729 QUD327729 RDZ327729 RNV327729 RXR327729 SHN327729 SRJ327729 TBF327729 TLB327729 TUX327729 UET327729 UOP327729 UYL327729 VIH327729 VSD327729 WBZ327729 WLV327729 WVR327729 J393265 JF393265 TB393265 ACX393265 AMT393265 AWP393265 BGL393265 BQH393265 CAD393265 CJZ393265 CTV393265 DDR393265 DNN393265 DXJ393265 EHF393265 ERB393265 FAX393265 FKT393265 FUP393265 GEL393265 GOH393265 GYD393265 HHZ393265 HRV393265 IBR393265 ILN393265 IVJ393265 JFF393265 JPB393265 JYX393265 KIT393265 KSP393265 LCL393265 LMH393265 LWD393265 MFZ393265 MPV393265 MZR393265 NJN393265 NTJ393265 ODF393265 ONB393265 OWX393265 PGT393265 PQP393265 QAL393265 QKH393265 QUD393265 RDZ393265 RNV393265 RXR393265 SHN393265 SRJ393265 TBF393265 TLB393265 TUX393265 UET393265 UOP393265 UYL393265 VIH393265 VSD393265 WBZ393265 WLV393265 WVR393265 J458801 JF458801 TB458801 ACX458801 AMT458801 AWP458801 BGL458801 BQH458801 CAD458801 CJZ458801 CTV458801 DDR458801 DNN458801 DXJ458801 EHF458801 ERB458801 FAX458801 FKT458801 FUP458801 GEL458801 GOH458801 GYD458801 HHZ458801 HRV458801 IBR458801 ILN458801 IVJ458801 JFF458801 JPB458801 JYX458801 KIT458801 KSP458801 LCL458801 LMH458801 LWD458801 MFZ458801 MPV458801 MZR458801 NJN458801 NTJ458801 ODF458801 ONB458801 OWX458801 PGT458801 PQP458801 QAL458801 QKH458801 QUD458801 RDZ458801 RNV458801 RXR458801 SHN458801 SRJ458801 TBF458801 TLB458801 TUX458801 UET458801 UOP458801 UYL458801 VIH458801 VSD458801 WBZ458801 WLV458801 WVR458801 J524337 JF524337 TB524337 ACX524337 AMT524337 AWP524337 BGL524337 BQH524337 CAD524337 CJZ524337 CTV524337 DDR524337 DNN524337 DXJ524337 EHF524337 ERB524337 FAX524337 FKT524337 FUP524337 GEL524337 GOH524337 GYD524337 HHZ524337 HRV524337 IBR524337 ILN524337 IVJ524337 JFF524337 JPB524337 JYX524337 KIT524337 KSP524337 LCL524337 LMH524337 LWD524337 MFZ524337 MPV524337 MZR524337 NJN524337 NTJ524337 ODF524337 ONB524337 OWX524337 PGT524337 PQP524337 QAL524337 QKH524337 QUD524337 RDZ524337 RNV524337 RXR524337 SHN524337 SRJ524337 TBF524337 TLB524337 TUX524337 UET524337 UOP524337 UYL524337 VIH524337 VSD524337 WBZ524337 WLV524337 WVR524337 J589873 JF589873 TB589873 ACX589873 AMT589873 AWP589873 BGL589873 BQH589873 CAD589873 CJZ589873 CTV589873 DDR589873 DNN589873 DXJ589873 EHF589873 ERB589873 FAX589873 FKT589873 FUP589873 GEL589873 GOH589873 GYD589873 HHZ589873 HRV589873 IBR589873 ILN589873 IVJ589873 JFF589873 JPB589873 JYX589873 KIT589873 KSP589873 LCL589873 LMH589873 LWD589873 MFZ589873 MPV589873 MZR589873 NJN589873 NTJ589873 ODF589873 ONB589873 OWX589873 PGT589873 PQP589873 QAL589873 QKH589873 QUD589873 RDZ589873 RNV589873 RXR589873 SHN589873 SRJ589873 TBF589873 TLB589873 TUX589873 UET589873 UOP589873 UYL589873 VIH589873 VSD589873 WBZ589873 WLV589873 WVR589873 J655409 JF655409 TB655409 ACX655409 AMT655409 AWP655409 BGL655409 BQH655409 CAD655409 CJZ655409 CTV655409 DDR655409 DNN655409 DXJ655409 EHF655409 ERB655409 FAX655409 FKT655409 FUP655409 GEL655409 GOH655409 GYD655409 HHZ655409 HRV655409 IBR655409 ILN655409 IVJ655409 JFF655409 JPB655409 JYX655409 KIT655409 KSP655409 LCL655409 LMH655409 LWD655409 MFZ655409 MPV655409 MZR655409 NJN655409 NTJ655409 ODF655409 ONB655409 OWX655409 PGT655409 PQP655409 QAL655409 QKH655409 QUD655409 RDZ655409 RNV655409 RXR655409 SHN655409 SRJ655409 TBF655409 TLB655409 TUX655409 UET655409 UOP655409 UYL655409 VIH655409 VSD655409 WBZ655409 WLV655409 WVR655409 J720945 JF720945 TB720945 ACX720945 AMT720945 AWP720945 BGL720945 BQH720945 CAD720945 CJZ720945 CTV720945 DDR720945 DNN720945 DXJ720945 EHF720945 ERB720945 FAX720945 FKT720945 FUP720945 GEL720945 GOH720945 GYD720945 HHZ720945 HRV720945 IBR720945 ILN720945 IVJ720945 JFF720945 JPB720945 JYX720945 KIT720945 KSP720945 LCL720945 LMH720945 LWD720945 MFZ720945 MPV720945 MZR720945 NJN720945 NTJ720945 ODF720945 ONB720945 OWX720945 PGT720945 PQP720945 QAL720945 QKH720945 QUD720945 RDZ720945 RNV720945 RXR720945 SHN720945 SRJ720945 TBF720945 TLB720945 TUX720945 UET720945 UOP720945 UYL720945 VIH720945 VSD720945 WBZ720945 WLV720945 WVR720945 J786481 JF786481 TB786481 ACX786481 AMT786481 AWP786481 BGL786481 BQH786481 CAD786481 CJZ786481 CTV786481 DDR786481 DNN786481 DXJ786481 EHF786481 ERB786481 FAX786481 FKT786481 FUP786481 GEL786481 GOH786481 GYD786481 HHZ786481 HRV786481 IBR786481 ILN786481 IVJ786481 JFF786481 JPB786481 JYX786481 KIT786481 KSP786481 LCL786481 LMH786481 LWD786481 MFZ786481 MPV786481 MZR786481 NJN786481 NTJ786481 ODF786481 ONB786481 OWX786481 PGT786481 PQP786481 QAL786481 QKH786481 QUD786481 RDZ786481 RNV786481 RXR786481 SHN786481 SRJ786481 TBF786481 TLB786481 TUX786481 UET786481 UOP786481 UYL786481 VIH786481 VSD786481 WBZ786481 WLV786481 WVR786481 J852017 JF852017 TB852017 ACX852017 AMT852017 AWP852017 BGL852017 BQH852017 CAD852017 CJZ852017 CTV852017 DDR852017 DNN852017 DXJ852017 EHF852017 ERB852017 FAX852017 FKT852017 FUP852017 GEL852017 GOH852017 GYD852017 HHZ852017 HRV852017 IBR852017 ILN852017 IVJ852017 JFF852017 JPB852017 JYX852017 KIT852017 KSP852017 LCL852017 LMH852017 LWD852017 MFZ852017 MPV852017 MZR852017 NJN852017 NTJ852017 ODF852017 ONB852017 OWX852017 PGT852017 PQP852017 QAL852017 QKH852017 QUD852017 RDZ852017 RNV852017 RXR852017 SHN852017 SRJ852017 TBF852017 TLB852017 TUX852017 UET852017 UOP852017 UYL852017 VIH852017 VSD852017 WBZ852017 WLV852017 WVR852017 J917553 JF917553 TB917553 ACX917553 AMT917553 AWP917553 BGL917553 BQH917553 CAD917553 CJZ917553 CTV917553 DDR917553 DNN917553 DXJ917553 EHF917553 ERB917553 FAX917553 FKT917553 FUP917553 GEL917553 GOH917553 GYD917553 HHZ917553 HRV917553 IBR917553 ILN917553 IVJ917553 JFF917553 JPB917553 JYX917553 KIT917553 KSP917553 LCL917553 LMH917553 LWD917553 MFZ917553 MPV917553 MZR917553 NJN917553 NTJ917553 ODF917553 ONB917553 OWX917553 PGT917553 PQP917553 QAL917553 QKH917553 QUD917553 RDZ917553 RNV917553 RXR917553 SHN917553 SRJ917553 TBF917553 TLB917553 TUX917553 UET917553 UOP917553 UYL917553 VIH917553 VSD917553 WBZ917553 WLV917553 WVR917553 J983089 JF983089 TB983089 ACX983089 AMT983089 AWP983089 BGL983089 BQH983089 CAD983089 CJZ983089 CTV983089 DDR983089 DNN983089 DXJ983089 EHF983089 ERB983089 FAX983089 FKT983089 FUP983089 GEL983089 GOH983089 GYD983089 HHZ983089 HRV983089 IBR983089 ILN983089 IVJ983089 JFF983089 JPB983089 JYX983089 KIT983089 KSP983089 LCL983089 LMH983089 LWD983089 MFZ983089 MPV983089 MZR983089 NJN983089 NTJ983089 ODF983089 ONB983089 OWX983089 PGT983089 PQP983089 QAL983089 QKH983089 QUD983089 RDZ983089 RNV983089 RXR983089 SHN983089 SRJ983089 TBF983089 TLB983089 TUX983089 UET983089 UOP983089 UYL983089 VIH983089 VSD983089 WBZ983089 WLV983089 WVR983089 J51" xr:uid="{B8D3D7A6-5689-41AA-BCC2-869F81D0ADCE}"/>
    <dataValidation allowBlank="1" showInputMessage="1" showErrorMessage="1" promptTitle="Alpha.cw" prompt="Calculated based on the state of axial stress caused by Ned, the applied design action, as entered in cell C54 below." sqref="C59 IY33 SU33 ACQ33 AMM33 AWI33 BGE33 BQA33 BZW33 CJS33 CTO33 DDK33 DNG33 DXC33 EGY33 EQU33 FAQ33 FKM33 FUI33 GEE33 GOA33 GXW33 HHS33 HRO33 IBK33 ILG33 IVC33 JEY33 JOU33 JYQ33 KIM33 KSI33 LCE33 LMA33 LVW33 MFS33 MPO33 MZK33 NJG33 NTC33 OCY33 OMU33 OWQ33 PGM33 PQI33 QAE33 QKA33 QTW33 RDS33 RNO33 RXK33 SHG33 SRC33 TAY33 TKU33 TUQ33 UEM33 UOI33 UYE33 VIA33 VRW33 WBS33 WLO33 WVK33 C65574 IY65574 SU65574 ACQ65574 AMM65574 AWI65574 BGE65574 BQA65574 BZW65574 CJS65574 CTO65574 DDK65574 DNG65574 DXC65574 EGY65574 EQU65574 FAQ65574 FKM65574 FUI65574 GEE65574 GOA65574 GXW65574 HHS65574 HRO65574 IBK65574 ILG65574 IVC65574 JEY65574 JOU65574 JYQ65574 KIM65574 KSI65574 LCE65574 LMA65574 LVW65574 MFS65574 MPO65574 MZK65574 NJG65574 NTC65574 OCY65574 OMU65574 OWQ65574 PGM65574 PQI65574 QAE65574 QKA65574 QTW65574 RDS65574 RNO65574 RXK65574 SHG65574 SRC65574 TAY65574 TKU65574 TUQ65574 UEM65574 UOI65574 UYE65574 VIA65574 VRW65574 WBS65574 WLO65574 WVK65574 C131110 IY131110 SU131110 ACQ131110 AMM131110 AWI131110 BGE131110 BQA131110 BZW131110 CJS131110 CTO131110 DDK131110 DNG131110 DXC131110 EGY131110 EQU131110 FAQ131110 FKM131110 FUI131110 GEE131110 GOA131110 GXW131110 HHS131110 HRO131110 IBK131110 ILG131110 IVC131110 JEY131110 JOU131110 JYQ131110 KIM131110 KSI131110 LCE131110 LMA131110 LVW131110 MFS131110 MPO131110 MZK131110 NJG131110 NTC131110 OCY131110 OMU131110 OWQ131110 PGM131110 PQI131110 QAE131110 QKA131110 QTW131110 RDS131110 RNO131110 RXK131110 SHG131110 SRC131110 TAY131110 TKU131110 TUQ131110 UEM131110 UOI131110 UYE131110 VIA131110 VRW131110 WBS131110 WLO131110 WVK131110 C196646 IY196646 SU196646 ACQ196646 AMM196646 AWI196646 BGE196646 BQA196646 BZW196646 CJS196646 CTO196646 DDK196646 DNG196646 DXC196646 EGY196646 EQU196646 FAQ196646 FKM196646 FUI196646 GEE196646 GOA196646 GXW196646 HHS196646 HRO196646 IBK196646 ILG196646 IVC196646 JEY196646 JOU196646 JYQ196646 KIM196646 KSI196646 LCE196646 LMA196646 LVW196646 MFS196646 MPO196646 MZK196646 NJG196646 NTC196646 OCY196646 OMU196646 OWQ196646 PGM196646 PQI196646 QAE196646 QKA196646 QTW196646 RDS196646 RNO196646 RXK196646 SHG196646 SRC196646 TAY196646 TKU196646 TUQ196646 UEM196646 UOI196646 UYE196646 VIA196646 VRW196646 WBS196646 WLO196646 WVK196646 C262182 IY262182 SU262182 ACQ262182 AMM262182 AWI262182 BGE262182 BQA262182 BZW262182 CJS262182 CTO262182 DDK262182 DNG262182 DXC262182 EGY262182 EQU262182 FAQ262182 FKM262182 FUI262182 GEE262182 GOA262182 GXW262182 HHS262182 HRO262182 IBK262182 ILG262182 IVC262182 JEY262182 JOU262182 JYQ262182 KIM262182 KSI262182 LCE262182 LMA262182 LVW262182 MFS262182 MPO262182 MZK262182 NJG262182 NTC262182 OCY262182 OMU262182 OWQ262182 PGM262182 PQI262182 QAE262182 QKA262182 QTW262182 RDS262182 RNO262182 RXK262182 SHG262182 SRC262182 TAY262182 TKU262182 TUQ262182 UEM262182 UOI262182 UYE262182 VIA262182 VRW262182 WBS262182 WLO262182 WVK262182 C327718 IY327718 SU327718 ACQ327718 AMM327718 AWI327718 BGE327718 BQA327718 BZW327718 CJS327718 CTO327718 DDK327718 DNG327718 DXC327718 EGY327718 EQU327718 FAQ327718 FKM327718 FUI327718 GEE327718 GOA327718 GXW327718 HHS327718 HRO327718 IBK327718 ILG327718 IVC327718 JEY327718 JOU327718 JYQ327718 KIM327718 KSI327718 LCE327718 LMA327718 LVW327718 MFS327718 MPO327718 MZK327718 NJG327718 NTC327718 OCY327718 OMU327718 OWQ327718 PGM327718 PQI327718 QAE327718 QKA327718 QTW327718 RDS327718 RNO327718 RXK327718 SHG327718 SRC327718 TAY327718 TKU327718 TUQ327718 UEM327718 UOI327718 UYE327718 VIA327718 VRW327718 WBS327718 WLO327718 WVK327718 C393254 IY393254 SU393254 ACQ393254 AMM393254 AWI393254 BGE393254 BQA393254 BZW393254 CJS393254 CTO393254 DDK393254 DNG393254 DXC393254 EGY393254 EQU393254 FAQ393254 FKM393254 FUI393254 GEE393254 GOA393254 GXW393254 HHS393254 HRO393254 IBK393254 ILG393254 IVC393254 JEY393254 JOU393254 JYQ393254 KIM393254 KSI393254 LCE393254 LMA393254 LVW393254 MFS393254 MPO393254 MZK393254 NJG393254 NTC393254 OCY393254 OMU393254 OWQ393254 PGM393254 PQI393254 QAE393254 QKA393254 QTW393254 RDS393254 RNO393254 RXK393254 SHG393254 SRC393254 TAY393254 TKU393254 TUQ393254 UEM393254 UOI393254 UYE393254 VIA393254 VRW393254 WBS393254 WLO393254 WVK393254 C458790 IY458790 SU458790 ACQ458790 AMM458790 AWI458790 BGE458790 BQA458790 BZW458790 CJS458790 CTO458790 DDK458790 DNG458790 DXC458790 EGY458790 EQU458790 FAQ458790 FKM458790 FUI458790 GEE458790 GOA458790 GXW458790 HHS458790 HRO458790 IBK458790 ILG458790 IVC458790 JEY458790 JOU458790 JYQ458790 KIM458790 KSI458790 LCE458790 LMA458790 LVW458790 MFS458790 MPO458790 MZK458790 NJG458790 NTC458790 OCY458790 OMU458790 OWQ458790 PGM458790 PQI458790 QAE458790 QKA458790 QTW458790 RDS458790 RNO458790 RXK458790 SHG458790 SRC458790 TAY458790 TKU458790 TUQ458790 UEM458790 UOI458790 UYE458790 VIA458790 VRW458790 WBS458790 WLO458790 WVK458790 C524326 IY524326 SU524326 ACQ524326 AMM524326 AWI524326 BGE524326 BQA524326 BZW524326 CJS524326 CTO524326 DDK524326 DNG524326 DXC524326 EGY524326 EQU524326 FAQ524326 FKM524326 FUI524326 GEE524326 GOA524326 GXW524326 HHS524326 HRO524326 IBK524326 ILG524326 IVC524326 JEY524326 JOU524326 JYQ524326 KIM524326 KSI524326 LCE524326 LMA524326 LVW524326 MFS524326 MPO524326 MZK524326 NJG524326 NTC524326 OCY524326 OMU524326 OWQ524326 PGM524326 PQI524326 QAE524326 QKA524326 QTW524326 RDS524326 RNO524326 RXK524326 SHG524326 SRC524326 TAY524326 TKU524326 TUQ524326 UEM524326 UOI524326 UYE524326 VIA524326 VRW524326 WBS524326 WLO524326 WVK524326 C589862 IY589862 SU589862 ACQ589862 AMM589862 AWI589862 BGE589862 BQA589862 BZW589862 CJS589862 CTO589862 DDK589862 DNG589862 DXC589862 EGY589862 EQU589862 FAQ589862 FKM589862 FUI589862 GEE589862 GOA589862 GXW589862 HHS589862 HRO589862 IBK589862 ILG589862 IVC589862 JEY589862 JOU589862 JYQ589862 KIM589862 KSI589862 LCE589862 LMA589862 LVW589862 MFS589862 MPO589862 MZK589862 NJG589862 NTC589862 OCY589862 OMU589862 OWQ589862 PGM589862 PQI589862 QAE589862 QKA589862 QTW589862 RDS589862 RNO589862 RXK589862 SHG589862 SRC589862 TAY589862 TKU589862 TUQ589862 UEM589862 UOI589862 UYE589862 VIA589862 VRW589862 WBS589862 WLO589862 WVK589862 C655398 IY655398 SU655398 ACQ655398 AMM655398 AWI655398 BGE655398 BQA655398 BZW655398 CJS655398 CTO655398 DDK655398 DNG655398 DXC655398 EGY655398 EQU655398 FAQ655398 FKM655398 FUI655398 GEE655398 GOA655398 GXW655398 HHS655398 HRO655398 IBK655398 ILG655398 IVC655398 JEY655398 JOU655398 JYQ655398 KIM655398 KSI655398 LCE655398 LMA655398 LVW655398 MFS655398 MPO655398 MZK655398 NJG655398 NTC655398 OCY655398 OMU655398 OWQ655398 PGM655398 PQI655398 QAE655398 QKA655398 QTW655398 RDS655398 RNO655398 RXK655398 SHG655398 SRC655398 TAY655398 TKU655398 TUQ655398 UEM655398 UOI655398 UYE655398 VIA655398 VRW655398 WBS655398 WLO655398 WVK655398 C720934 IY720934 SU720934 ACQ720934 AMM720934 AWI720934 BGE720934 BQA720934 BZW720934 CJS720934 CTO720934 DDK720934 DNG720934 DXC720934 EGY720934 EQU720934 FAQ720934 FKM720934 FUI720934 GEE720934 GOA720934 GXW720934 HHS720934 HRO720934 IBK720934 ILG720934 IVC720934 JEY720934 JOU720934 JYQ720934 KIM720934 KSI720934 LCE720934 LMA720934 LVW720934 MFS720934 MPO720934 MZK720934 NJG720934 NTC720934 OCY720934 OMU720934 OWQ720934 PGM720934 PQI720934 QAE720934 QKA720934 QTW720934 RDS720934 RNO720934 RXK720934 SHG720934 SRC720934 TAY720934 TKU720934 TUQ720934 UEM720934 UOI720934 UYE720934 VIA720934 VRW720934 WBS720934 WLO720934 WVK720934 C786470 IY786470 SU786470 ACQ786470 AMM786470 AWI786470 BGE786470 BQA786470 BZW786470 CJS786470 CTO786470 DDK786470 DNG786470 DXC786470 EGY786470 EQU786470 FAQ786470 FKM786470 FUI786470 GEE786470 GOA786470 GXW786470 HHS786470 HRO786470 IBK786470 ILG786470 IVC786470 JEY786470 JOU786470 JYQ786470 KIM786470 KSI786470 LCE786470 LMA786470 LVW786470 MFS786470 MPO786470 MZK786470 NJG786470 NTC786470 OCY786470 OMU786470 OWQ786470 PGM786470 PQI786470 QAE786470 QKA786470 QTW786470 RDS786470 RNO786470 RXK786470 SHG786470 SRC786470 TAY786470 TKU786470 TUQ786470 UEM786470 UOI786470 UYE786470 VIA786470 VRW786470 WBS786470 WLO786470 WVK786470 C852006 IY852006 SU852006 ACQ852006 AMM852006 AWI852006 BGE852006 BQA852006 BZW852006 CJS852006 CTO852006 DDK852006 DNG852006 DXC852006 EGY852006 EQU852006 FAQ852006 FKM852006 FUI852006 GEE852006 GOA852006 GXW852006 HHS852006 HRO852006 IBK852006 ILG852006 IVC852006 JEY852006 JOU852006 JYQ852006 KIM852006 KSI852006 LCE852006 LMA852006 LVW852006 MFS852006 MPO852006 MZK852006 NJG852006 NTC852006 OCY852006 OMU852006 OWQ852006 PGM852006 PQI852006 QAE852006 QKA852006 QTW852006 RDS852006 RNO852006 RXK852006 SHG852006 SRC852006 TAY852006 TKU852006 TUQ852006 UEM852006 UOI852006 UYE852006 VIA852006 VRW852006 WBS852006 WLO852006 WVK852006 C917542 IY917542 SU917542 ACQ917542 AMM917542 AWI917542 BGE917542 BQA917542 BZW917542 CJS917542 CTO917542 DDK917542 DNG917542 DXC917542 EGY917542 EQU917542 FAQ917542 FKM917542 FUI917542 GEE917542 GOA917542 GXW917542 HHS917542 HRO917542 IBK917542 ILG917542 IVC917542 JEY917542 JOU917542 JYQ917542 KIM917542 KSI917542 LCE917542 LMA917542 LVW917542 MFS917542 MPO917542 MZK917542 NJG917542 NTC917542 OCY917542 OMU917542 OWQ917542 PGM917542 PQI917542 QAE917542 QKA917542 QTW917542 RDS917542 RNO917542 RXK917542 SHG917542 SRC917542 TAY917542 TKU917542 TUQ917542 UEM917542 UOI917542 UYE917542 VIA917542 VRW917542 WBS917542 WLO917542 WVK917542 C983078 IY983078 SU983078 ACQ983078 AMM983078 AWI983078 BGE983078 BQA983078 BZW983078 CJS983078 CTO983078 DDK983078 DNG983078 DXC983078 EGY983078 EQU983078 FAQ983078 FKM983078 FUI983078 GEE983078 GOA983078 GXW983078 HHS983078 HRO983078 IBK983078 ILG983078 IVC983078 JEY983078 JOU983078 JYQ983078 KIM983078 KSI983078 LCE983078 LMA983078 LVW983078 MFS983078 MPO983078 MZK983078 NJG983078 NTC983078 OCY983078 OMU983078 OWQ983078 PGM983078 PQI983078 QAE983078 QKA983078 QTW983078 RDS983078 RNO983078 RXK983078 SHG983078 SRC983078 TAY983078 TKU983078 TUQ983078 UEM983078 UOI983078 UYE983078 VIA983078 VRW983078 WBS983078 WLO983078 WVK983078 C63" xr:uid="{CA9B14ED-7275-4F87-BF54-5C9B4BDCB677}"/>
    <dataValidation allowBlank="1" showInputMessage="1" showErrorMessage="1" promptTitle="Alpha.cc" prompt="fcd for normal stresses with alpha.cc = 0.85 in accordance with the UK NA to 3.1.6(1)" sqref="C29 IY29 SU29 ACQ29 AMM29 AWI29 BGE29 BQA29 BZW29 CJS29 CTO29 DDK29 DNG29 DXC29 EGY29 EQU29 FAQ29 FKM29 FUI29 GEE29 GOA29 GXW29 HHS29 HRO29 IBK29 ILG29 IVC29 JEY29 JOU29 JYQ29 KIM29 KSI29 LCE29 LMA29 LVW29 MFS29 MPO29 MZK29 NJG29 NTC29 OCY29 OMU29 OWQ29 PGM29 PQI29 QAE29 QKA29 QTW29 RDS29 RNO29 RXK29 SHG29 SRC29 TAY29 TKU29 TUQ29 UEM29 UOI29 UYE29 VIA29 VRW29 WBS29 WLO29 WVK29 C65570 IY65570 SU65570 ACQ65570 AMM65570 AWI65570 BGE65570 BQA65570 BZW65570 CJS65570 CTO65570 DDK65570 DNG65570 DXC65570 EGY65570 EQU65570 FAQ65570 FKM65570 FUI65570 GEE65570 GOA65570 GXW65570 HHS65570 HRO65570 IBK65570 ILG65570 IVC65570 JEY65570 JOU65570 JYQ65570 KIM65570 KSI65570 LCE65570 LMA65570 LVW65570 MFS65570 MPO65570 MZK65570 NJG65570 NTC65570 OCY65570 OMU65570 OWQ65570 PGM65570 PQI65570 QAE65570 QKA65570 QTW65570 RDS65570 RNO65570 RXK65570 SHG65570 SRC65570 TAY65570 TKU65570 TUQ65570 UEM65570 UOI65570 UYE65570 VIA65570 VRW65570 WBS65570 WLO65570 WVK65570 C131106 IY131106 SU131106 ACQ131106 AMM131106 AWI131106 BGE131106 BQA131106 BZW131106 CJS131106 CTO131106 DDK131106 DNG131106 DXC131106 EGY131106 EQU131106 FAQ131106 FKM131106 FUI131106 GEE131106 GOA131106 GXW131106 HHS131106 HRO131106 IBK131106 ILG131106 IVC131106 JEY131106 JOU131106 JYQ131106 KIM131106 KSI131106 LCE131106 LMA131106 LVW131106 MFS131106 MPO131106 MZK131106 NJG131106 NTC131106 OCY131106 OMU131106 OWQ131106 PGM131106 PQI131106 QAE131106 QKA131106 QTW131106 RDS131106 RNO131106 RXK131106 SHG131106 SRC131106 TAY131106 TKU131106 TUQ131106 UEM131106 UOI131106 UYE131106 VIA131106 VRW131106 WBS131106 WLO131106 WVK131106 C196642 IY196642 SU196642 ACQ196642 AMM196642 AWI196642 BGE196642 BQA196642 BZW196642 CJS196642 CTO196642 DDK196642 DNG196642 DXC196642 EGY196642 EQU196642 FAQ196642 FKM196642 FUI196642 GEE196642 GOA196642 GXW196642 HHS196642 HRO196642 IBK196642 ILG196642 IVC196642 JEY196642 JOU196642 JYQ196642 KIM196642 KSI196642 LCE196642 LMA196642 LVW196642 MFS196642 MPO196642 MZK196642 NJG196642 NTC196642 OCY196642 OMU196642 OWQ196642 PGM196642 PQI196642 QAE196642 QKA196642 QTW196642 RDS196642 RNO196642 RXK196642 SHG196642 SRC196642 TAY196642 TKU196642 TUQ196642 UEM196642 UOI196642 UYE196642 VIA196642 VRW196642 WBS196642 WLO196642 WVK196642 C262178 IY262178 SU262178 ACQ262178 AMM262178 AWI262178 BGE262178 BQA262178 BZW262178 CJS262178 CTO262178 DDK262178 DNG262178 DXC262178 EGY262178 EQU262178 FAQ262178 FKM262178 FUI262178 GEE262178 GOA262178 GXW262178 HHS262178 HRO262178 IBK262178 ILG262178 IVC262178 JEY262178 JOU262178 JYQ262178 KIM262178 KSI262178 LCE262178 LMA262178 LVW262178 MFS262178 MPO262178 MZK262178 NJG262178 NTC262178 OCY262178 OMU262178 OWQ262178 PGM262178 PQI262178 QAE262178 QKA262178 QTW262178 RDS262178 RNO262178 RXK262178 SHG262178 SRC262178 TAY262178 TKU262178 TUQ262178 UEM262178 UOI262178 UYE262178 VIA262178 VRW262178 WBS262178 WLO262178 WVK262178 C327714 IY327714 SU327714 ACQ327714 AMM327714 AWI327714 BGE327714 BQA327714 BZW327714 CJS327714 CTO327714 DDK327714 DNG327714 DXC327714 EGY327714 EQU327714 FAQ327714 FKM327714 FUI327714 GEE327714 GOA327714 GXW327714 HHS327714 HRO327714 IBK327714 ILG327714 IVC327714 JEY327714 JOU327714 JYQ327714 KIM327714 KSI327714 LCE327714 LMA327714 LVW327714 MFS327714 MPO327714 MZK327714 NJG327714 NTC327714 OCY327714 OMU327714 OWQ327714 PGM327714 PQI327714 QAE327714 QKA327714 QTW327714 RDS327714 RNO327714 RXK327714 SHG327714 SRC327714 TAY327714 TKU327714 TUQ327714 UEM327714 UOI327714 UYE327714 VIA327714 VRW327714 WBS327714 WLO327714 WVK327714 C393250 IY393250 SU393250 ACQ393250 AMM393250 AWI393250 BGE393250 BQA393250 BZW393250 CJS393250 CTO393250 DDK393250 DNG393250 DXC393250 EGY393250 EQU393250 FAQ393250 FKM393250 FUI393250 GEE393250 GOA393250 GXW393250 HHS393250 HRO393250 IBK393250 ILG393250 IVC393250 JEY393250 JOU393250 JYQ393250 KIM393250 KSI393250 LCE393250 LMA393250 LVW393250 MFS393250 MPO393250 MZK393250 NJG393250 NTC393250 OCY393250 OMU393250 OWQ393250 PGM393250 PQI393250 QAE393250 QKA393250 QTW393250 RDS393250 RNO393250 RXK393250 SHG393250 SRC393250 TAY393250 TKU393250 TUQ393250 UEM393250 UOI393250 UYE393250 VIA393250 VRW393250 WBS393250 WLO393250 WVK393250 C458786 IY458786 SU458786 ACQ458786 AMM458786 AWI458786 BGE458786 BQA458786 BZW458786 CJS458786 CTO458786 DDK458786 DNG458786 DXC458786 EGY458786 EQU458786 FAQ458786 FKM458786 FUI458786 GEE458786 GOA458786 GXW458786 HHS458786 HRO458786 IBK458786 ILG458786 IVC458786 JEY458786 JOU458786 JYQ458786 KIM458786 KSI458786 LCE458786 LMA458786 LVW458786 MFS458786 MPO458786 MZK458786 NJG458786 NTC458786 OCY458786 OMU458786 OWQ458786 PGM458786 PQI458786 QAE458786 QKA458786 QTW458786 RDS458786 RNO458786 RXK458786 SHG458786 SRC458786 TAY458786 TKU458786 TUQ458786 UEM458786 UOI458786 UYE458786 VIA458786 VRW458786 WBS458786 WLO458786 WVK458786 C524322 IY524322 SU524322 ACQ524322 AMM524322 AWI524322 BGE524322 BQA524322 BZW524322 CJS524322 CTO524322 DDK524322 DNG524322 DXC524322 EGY524322 EQU524322 FAQ524322 FKM524322 FUI524322 GEE524322 GOA524322 GXW524322 HHS524322 HRO524322 IBK524322 ILG524322 IVC524322 JEY524322 JOU524322 JYQ524322 KIM524322 KSI524322 LCE524322 LMA524322 LVW524322 MFS524322 MPO524322 MZK524322 NJG524322 NTC524322 OCY524322 OMU524322 OWQ524322 PGM524322 PQI524322 QAE524322 QKA524322 QTW524322 RDS524322 RNO524322 RXK524322 SHG524322 SRC524322 TAY524322 TKU524322 TUQ524322 UEM524322 UOI524322 UYE524322 VIA524322 VRW524322 WBS524322 WLO524322 WVK524322 C589858 IY589858 SU589858 ACQ589858 AMM589858 AWI589858 BGE589858 BQA589858 BZW589858 CJS589858 CTO589858 DDK589858 DNG589858 DXC589858 EGY589858 EQU589858 FAQ589858 FKM589858 FUI589858 GEE589858 GOA589858 GXW589858 HHS589858 HRO589858 IBK589858 ILG589858 IVC589858 JEY589858 JOU589858 JYQ589858 KIM589858 KSI589858 LCE589858 LMA589858 LVW589858 MFS589858 MPO589858 MZK589858 NJG589858 NTC589858 OCY589858 OMU589858 OWQ589858 PGM589858 PQI589858 QAE589858 QKA589858 QTW589858 RDS589858 RNO589858 RXK589858 SHG589858 SRC589858 TAY589858 TKU589858 TUQ589858 UEM589858 UOI589858 UYE589858 VIA589858 VRW589858 WBS589858 WLO589858 WVK589858 C655394 IY655394 SU655394 ACQ655394 AMM655394 AWI655394 BGE655394 BQA655394 BZW655394 CJS655394 CTO655394 DDK655394 DNG655394 DXC655394 EGY655394 EQU655394 FAQ655394 FKM655394 FUI655394 GEE655394 GOA655394 GXW655394 HHS655394 HRO655394 IBK655394 ILG655394 IVC655394 JEY655394 JOU655394 JYQ655394 KIM655394 KSI655394 LCE655394 LMA655394 LVW655394 MFS655394 MPO655394 MZK655394 NJG655394 NTC655394 OCY655394 OMU655394 OWQ655394 PGM655394 PQI655394 QAE655394 QKA655394 QTW655394 RDS655394 RNO655394 RXK655394 SHG655394 SRC655394 TAY655394 TKU655394 TUQ655394 UEM655394 UOI655394 UYE655394 VIA655394 VRW655394 WBS655394 WLO655394 WVK655394 C720930 IY720930 SU720930 ACQ720930 AMM720930 AWI720930 BGE720930 BQA720930 BZW720930 CJS720930 CTO720930 DDK720930 DNG720930 DXC720930 EGY720930 EQU720930 FAQ720930 FKM720930 FUI720930 GEE720930 GOA720930 GXW720930 HHS720930 HRO720930 IBK720930 ILG720930 IVC720930 JEY720930 JOU720930 JYQ720930 KIM720930 KSI720930 LCE720930 LMA720930 LVW720930 MFS720930 MPO720930 MZK720930 NJG720930 NTC720930 OCY720930 OMU720930 OWQ720930 PGM720930 PQI720930 QAE720930 QKA720930 QTW720930 RDS720930 RNO720930 RXK720930 SHG720930 SRC720930 TAY720930 TKU720930 TUQ720930 UEM720930 UOI720930 UYE720930 VIA720930 VRW720930 WBS720930 WLO720930 WVK720930 C786466 IY786466 SU786466 ACQ786466 AMM786466 AWI786466 BGE786466 BQA786466 BZW786466 CJS786466 CTO786466 DDK786466 DNG786466 DXC786466 EGY786466 EQU786466 FAQ786466 FKM786466 FUI786466 GEE786466 GOA786466 GXW786466 HHS786466 HRO786466 IBK786466 ILG786466 IVC786466 JEY786466 JOU786466 JYQ786466 KIM786466 KSI786466 LCE786466 LMA786466 LVW786466 MFS786466 MPO786466 MZK786466 NJG786466 NTC786466 OCY786466 OMU786466 OWQ786466 PGM786466 PQI786466 QAE786466 QKA786466 QTW786466 RDS786466 RNO786466 RXK786466 SHG786466 SRC786466 TAY786466 TKU786466 TUQ786466 UEM786466 UOI786466 UYE786466 VIA786466 VRW786466 WBS786466 WLO786466 WVK786466 C852002 IY852002 SU852002 ACQ852002 AMM852002 AWI852002 BGE852002 BQA852002 BZW852002 CJS852002 CTO852002 DDK852002 DNG852002 DXC852002 EGY852002 EQU852002 FAQ852002 FKM852002 FUI852002 GEE852002 GOA852002 GXW852002 HHS852002 HRO852002 IBK852002 ILG852002 IVC852002 JEY852002 JOU852002 JYQ852002 KIM852002 KSI852002 LCE852002 LMA852002 LVW852002 MFS852002 MPO852002 MZK852002 NJG852002 NTC852002 OCY852002 OMU852002 OWQ852002 PGM852002 PQI852002 QAE852002 QKA852002 QTW852002 RDS852002 RNO852002 RXK852002 SHG852002 SRC852002 TAY852002 TKU852002 TUQ852002 UEM852002 UOI852002 UYE852002 VIA852002 VRW852002 WBS852002 WLO852002 WVK852002 C917538 IY917538 SU917538 ACQ917538 AMM917538 AWI917538 BGE917538 BQA917538 BZW917538 CJS917538 CTO917538 DDK917538 DNG917538 DXC917538 EGY917538 EQU917538 FAQ917538 FKM917538 FUI917538 GEE917538 GOA917538 GXW917538 HHS917538 HRO917538 IBK917538 ILG917538 IVC917538 JEY917538 JOU917538 JYQ917538 KIM917538 KSI917538 LCE917538 LMA917538 LVW917538 MFS917538 MPO917538 MZK917538 NJG917538 NTC917538 OCY917538 OMU917538 OWQ917538 PGM917538 PQI917538 QAE917538 QKA917538 QTW917538 RDS917538 RNO917538 RXK917538 SHG917538 SRC917538 TAY917538 TKU917538 TUQ917538 UEM917538 UOI917538 UYE917538 VIA917538 VRW917538 WBS917538 WLO917538 WVK917538 C983074 IY983074 SU983074 ACQ983074 AMM983074 AWI983074 BGE983074 BQA983074 BZW983074 CJS983074 CTO983074 DDK983074 DNG983074 DXC983074 EGY983074 EQU983074 FAQ983074 FKM983074 FUI983074 GEE983074 GOA983074 GXW983074 HHS983074 HRO983074 IBK983074 ILG983074 IVC983074 JEY983074 JOU983074 JYQ983074 KIM983074 KSI983074 LCE983074 LMA983074 LVW983074 MFS983074 MPO983074 MZK983074 NJG983074 NTC983074 OCY983074 OMU983074 OWQ983074 PGM983074 PQI983074 QAE983074 QKA983074 QTW983074 RDS983074 RNO983074 RXK983074 SHG983074 SRC983074 TAY983074 TKU983074 TUQ983074 UEM983074 UOI983074 UYE983074 VIA983074 VRW983074 WBS983074 WLO983074 WVK983074" xr:uid="{69652762-A790-43AF-BB0A-F0094EEC2501}"/>
    <dataValidation type="list" allowBlank="1" showInputMessage="1" showErrorMessage="1" sqref="C47 IY48 SU48 ACQ48 AMM48 AWI48 BGE48 BQA48 BZW48 CJS48 CTO48 DDK48 DNG48 DXC48 EGY48 EQU48 FAQ48 FKM48 FUI48 GEE48 GOA48 GXW48 HHS48 HRO48 IBK48 ILG48 IVC48 JEY48 JOU48 JYQ48 KIM48 KSI48 LCE48 LMA48 LVW48 MFS48 MPO48 MZK48 NJG48 NTC48 OCY48 OMU48 OWQ48 PGM48 PQI48 QAE48 QKA48 QTW48 RDS48 RNO48 RXK48 SHG48 SRC48 TAY48 TKU48 TUQ48 UEM48 UOI48 UYE48 VIA48 VRW48 WBS48 WLO48 WVK48 C65588 IY65588 SU65588 ACQ65588 AMM65588 AWI65588 BGE65588 BQA65588 BZW65588 CJS65588 CTO65588 DDK65588 DNG65588 DXC65588 EGY65588 EQU65588 FAQ65588 FKM65588 FUI65588 GEE65588 GOA65588 GXW65588 HHS65588 HRO65588 IBK65588 ILG65588 IVC65588 JEY65588 JOU65588 JYQ65588 KIM65588 KSI65588 LCE65588 LMA65588 LVW65588 MFS65588 MPO65588 MZK65588 NJG65588 NTC65588 OCY65588 OMU65588 OWQ65588 PGM65588 PQI65588 QAE65588 QKA65588 QTW65588 RDS65588 RNO65588 RXK65588 SHG65588 SRC65588 TAY65588 TKU65588 TUQ65588 UEM65588 UOI65588 UYE65588 VIA65588 VRW65588 WBS65588 WLO65588 WVK65588 C131124 IY131124 SU131124 ACQ131124 AMM131124 AWI131124 BGE131124 BQA131124 BZW131124 CJS131124 CTO131124 DDK131124 DNG131124 DXC131124 EGY131124 EQU131124 FAQ131124 FKM131124 FUI131124 GEE131124 GOA131124 GXW131124 HHS131124 HRO131124 IBK131124 ILG131124 IVC131124 JEY131124 JOU131124 JYQ131124 KIM131124 KSI131124 LCE131124 LMA131124 LVW131124 MFS131124 MPO131124 MZK131124 NJG131124 NTC131124 OCY131124 OMU131124 OWQ131124 PGM131124 PQI131124 QAE131124 QKA131124 QTW131124 RDS131124 RNO131124 RXK131124 SHG131124 SRC131124 TAY131124 TKU131124 TUQ131124 UEM131124 UOI131124 UYE131124 VIA131124 VRW131124 WBS131124 WLO131124 WVK131124 C196660 IY196660 SU196660 ACQ196660 AMM196660 AWI196660 BGE196660 BQA196660 BZW196660 CJS196660 CTO196660 DDK196660 DNG196660 DXC196660 EGY196660 EQU196660 FAQ196660 FKM196660 FUI196660 GEE196660 GOA196660 GXW196660 HHS196660 HRO196660 IBK196660 ILG196660 IVC196660 JEY196660 JOU196660 JYQ196660 KIM196660 KSI196660 LCE196660 LMA196660 LVW196660 MFS196660 MPO196660 MZK196660 NJG196660 NTC196660 OCY196660 OMU196660 OWQ196660 PGM196660 PQI196660 QAE196660 QKA196660 QTW196660 RDS196660 RNO196660 RXK196660 SHG196660 SRC196660 TAY196660 TKU196660 TUQ196660 UEM196660 UOI196660 UYE196660 VIA196660 VRW196660 WBS196660 WLO196660 WVK196660 C262196 IY262196 SU262196 ACQ262196 AMM262196 AWI262196 BGE262196 BQA262196 BZW262196 CJS262196 CTO262196 DDK262196 DNG262196 DXC262196 EGY262196 EQU262196 FAQ262196 FKM262196 FUI262196 GEE262196 GOA262196 GXW262196 HHS262196 HRO262196 IBK262196 ILG262196 IVC262196 JEY262196 JOU262196 JYQ262196 KIM262196 KSI262196 LCE262196 LMA262196 LVW262196 MFS262196 MPO262196 MZK262196 NJG262196 NTC262196 OCY262196 OMU262196 OWQ262196 PGM262196 PQI262196 QAE262196 QKA262196 QTW262196 RDS262196 RNO262196 RXK262196 SHG262196 SRC262196 TAY262196 TKU262196 TUQ262196 UEM262196 UOI262196 UYE262196 VIA262196 VRW262196 WBS262196 WLO262196 WVK262196 C327732 IY327732 SU327732 ACQ327732 AMM327732 AWI327732 BGE327732 BQA327732 BZW327732 CJS327732 CTO327732 DDK327732 DNG327732 DXC327732 EGY327732 EQU327732 FAQ327732 FKM327732 FUI327732 GEE327732 GOA327732 GXW327732 HHS327732 HRO327732 IBK327732 ILG327732 IVC327732 JEY327732 JOU327732 JYQ327732 KIM327732 KSI327732 LCE327732 LMA327732 LVW327732 MFS327732 MPO327732 MZK327732 NJG327732 NTC327732 OCY327732 OMU327732 OWQ327732 PGM327732 PQI327732 QAE327732 QKA327732 QTW327732 RDS327732 RNO327732 RXK327732 SHG327732 SRC327732 TAY327732 TKU327732 TUQ327732 UEM327732 UOI327732 UYE327732 VIA327732 VRW327732 WBS327732 WLO327732 WVK327732 C393268 IY393268 SU393268 ACQ393268 AMM393268 AWI393268 BGE393268 BQA393268 BZW393268 CJS393268 CTO393268 DDK393268 DNG393268 DXC393268 EGY393268 EQU393268 FAQ393268 FKM393268 FUI393268 GEE393268 GOA393268 GXW393268 HHS393268 HRO393268 IBK393268 ILG393268 IVC393268 JEY393268 JOU393268 JYQ393268 KIM393268 KSI393268 LCE393268 LMA393268 LVW393268 MFS393268 MPO393268 MZK393268 NJG393268 NTC393268 OCY393268 OMU393268 OWQ393268 PGM393268 PQI393268 QAE393268 QKA393268 QTW393268 RDS393268 RNO393268 RXK393268 SHG393268 SRC393268 TAY393268 TKU393268 TUQ393268 UEM393268 UOI393268 UYE393268 VIA393268 VRW393268 WBS393268 WLO393268 WVK393268 C458804 IY458804 SU458804 ACQ458804 AMM458804 AWI458804 BGE458804 BQA458804 BZW458804 CJS458804 CTO458804 DDK458804 DNG458804 DXC458804 EGY458804 EQU458804 FAQ458804 FKM458804 FUI458804 GEE458804 GOA458804 GXW458804 HHS458804 HRO458804 IBK458804 ILG458804 IVC458804 JEY458804 JOU458804 JYQ458804 KIM458804 KSI458804 LCE458804 LMA458804 LVW458804 MFS458804 MPO458804 MZK458804 NJG458804 NTC458804 OCY458804 OMU458804 OWQ458804 PGM458804 PQI458804 QAE458804 QKA458804 QTW458804 RDS458804 RNO458804 RXK458804 SHG458804 SRC458804 TAY458804 TKU458804 TUQ458804 UEM458804 UOI458804 UYE458804 VIA458804 VRW458804 WBS458804 WLO458804 WVK458804 C524340 IY524340 SU524340 ACQ524340 AMM524340 AWI524340 BGE524340 BQA524340 BZW524340 CJS524340 CTO524340 DDK524340 DNG524340 DXC524340 EGY524340 EQU524340 FAQ524340 FKM524340 FUI524340 GEE524340 GOA524340 GXW524340 HHS524340 HRO524340 IBK524340 ILG524340 IVC524340 JEY524340 JOU524340 JYQ524340 KIM524340 KSI524340 LCE524340 LMA524340 LVW524340 MFS524340 MPO524340 MZK524340 NJG524340 NTC524340 OCY524340 OMU524340 OWQ524340 PGM524340 PQI524340 QAE524340 QKA524340 QTW524340 RDS524340 RNO524340 RXK524340 SHG524340 SRC524340 TAY524340 TKU524340 TUQ524340 UEM524340 UOI524340 UYE524340 VIA524340 VRW524340 WBS524340 WLO524340 WVK524340 C589876 IY589876 SU589876 ACQ589876 AMM589876 AWI589876 BGE589876 BQA589876 BZW589876 CJS589876 CTO589876 DDK589876 DNG589876 DXC589876 EGY589876 EQU589876 FAQ589876 FKM589876 FUI589876 GEE589876 GOA589876 GXW589876 HHS589876 HRO589876 IBK589876 ILG589876 IVC589876 JEY589876 JOU589876 JYQ589876 KIM589876 KSI589876 LCE589876 LMA589876 LVW589876 MFS589876 MPO589876 MZK589876 NJG589876 NTC589876 OCY589876 OMU589876 OWQ589876 PGM589876 PQI589876 QAE589876 QKA589876 QTW589876 RDS589876 RNO589876 RXK589876 SHG589876 SRC589876 TAY589876 TKU589876 TUQ589876 UEM589876 UOI589876 UYE589876 VIA589876 VRW589876 WBS589876 WLO589876 WVK589876 C655412 IY655412 SU655412 ACQ655412 AMM655412 AWI655412 BGE655412 BQA655412 BZW655412 CJS655412 CTO655412 DDK655412 DNG655412 DXC655412 EGY655412 EQU655412 FAQ655412 FKM655412 FUI655412 GEE655412 GOA655412 GXW655412 HHS655412 HRO655412 IBK655412 ILG655412 IVC655412 JEY655412 JOU655412 JYQ655412 KIM655412 KSI655412 LCE655412 LMA655412 LVW655412 MFS655412 MPO655412 MZK655412 NJG655412 NTC655412 OCY655412 OMU655412 OWQ655412 PGM655412 PQI655412 QAE655412 QKA655412 QTW655412 RDS655412 RNO655412 RXK655412 SHG655412 SRC655412 TAY655412 TKU655412 TUQ655412 UEM655412 UOI655412 UYE655412 VIA655412 VRW655412 WBS655412 WLO655412 WVK655412 C720948 IY720948 SU720948 ACQ720948 AMM720948 AWI720948 BGE720948 BQA720948 BZW720948 CJS720948 CTO720948 DDK720948 DNG720948 DXC720948 EGY720948 EQU720948 FAQ720948 FKM720948 FUI720948 GEE720948 GOA720948 GXW720948 HHS720948 HRO720948 IBK720948 ILG720948 IVC720948 JEY720948 JOU720948 JYQ720948 KIM720948 KSI720948 LCE720948 LMA720948 LVW720948 MFS720948 MPO720948 MZK720948 NJG720948 NTC720948 OCY720948 OMU720948 OWQ720948 PGM720948 PQI720948 QAE720948 QKA720948 QTW720948 RDS720948 RNO720948 RXK720948 SHG720948 SRC720948 TAY720948 TKU720948 TUQ720948 UEM720948 UOI720948 UYE720948 VIA720948 VRW720948 WBS720948 WLO720948 WVK720948 C786484 IY786484 SU786484 ACQ786484 AMM786484 AWI786484 BGE786484 BQA786484 BZW786484 CJS786484 CTO786484 DDK786484 DNG786484 DXC786484 EGY786484 EQU786484 FAQ786484 FKM786484 FUI786484 GEE786484 GOA786484 GXW786484 HHS786484 HRO786484 IBK786484 ILG786484 IVC786484 JEY786484 JOU786484 JYQ786484 KIM786484 KSI786484 LCE786484 LMA786484 LVW786484 MFS786484 MPO786484 MZK786484 NJG786484 NTC786484 OCY786484 OMU786484 OWQ786484 PGM786484 PQI786484 QAE786484 QKA786484 QTW786484 RDS786484 RNO786484 RXK786484 SHG786484 SRC786484 TAY786484 TKU786484 TUQ786484 UEM786484 UOI786484 UYE786484 VIA786484 VRW786484 WBS786484 WLO786484 WVK786484 C852020 IY852020 SU852020 ACQ852020 AMM852020 AWI852020 BGE852020 BQA852020 BZW852020 CJS852020 CTO852020 DDK852020 DNG852020 DXC852020 EGY852020 EQU852020 FAQ852020 FKM852020 FUI852020 GEE852020 GOA852020 GXW852020 HHS852020 HRO852020 IBK852020 ILG852020 IVC852020 JEY852020 JOU852020 JYQ852020 KIM852020 KSI852020 LCE852020 LMA852020 LVW852020 MFS852020 MPO852020 MZK852020 NJG852020 NTC852020 OCY852020 OMU852020 OWQ852020 PGM852020 PQI852020 QAE852020 QKA852020 QTW852020 RDS852020 RNO852020 RXK852020 SHG852020 SRC852020 TAY852020 TKU852020 TUQ852020 UEM852020 UOI852020 UYE852020 VIA852020 VRW852020 WBS852020 WLO852020 WVK852020 C917556 IY917556 SU917556 ACQ917556 AMM917556 AWI917556 BGE917556 BQA917556 BZW917556 CJS917556 CTO917556 DDK917556 DNG917556 DXC917556 EGY917556 EQU917556 FAQ917556 FKM917556 FUI917556 GEE917556 GOA917556 GXW917556 HHS917556 HRO917556 IBK917556 ILG917556 IVC917556 JEY917556 JOU917556 JYQ917556 KIM917556 KSI917556 LCE917556 LMA917556 LVW917556 MFS917556 MPO917556 MZK917556 NJG917556 NTC917556 OCY917556 OMU917556 OWQ917556 PGM917556 PQI917556 QAE917556 QKA917556 QTW917556 RDS917556 RNO917556 RXK917556 SHG917556 SRC917556 TAY917556 TKU917556 TUQ917556 UEM917556 UOI917556 UYE917556 VIA917556 VRW917556 WBS917556 WLO917556 WVK917556 C983092 IY983092 SU983092 ACQ983092 AMM983092 AWI983092 BGE983092 BQA983092 BZW983092 CJS983092 CTO983092 DDK983092 DNG983092 DXC983092 EGY983092 EQU983092 FAQ983092 FKM983092 FUI983092 GEE983092 GOA983092 GXW983092 HHS983092 HRO983092 IBK983092 ILG983092 IVC983092 JEY983092 JOU983092 JYQ983092 KIM983092 KSI983092 LCE983092 LMA983092 LVW983092 MFS983092 MPO983092 MZK983092 NJG983092 NTC983092 OCY983092 OMU983092 OWQ983092 PGM983092 PQI983092 QAE983092 QKA983092 QTW983092 RDS983092 RNO983092 RXK983092 SHG983092 SRC983092 TAY983092 TKU983092 TUQ983092 UEM983092 UOI983092 UYE983092 VIA983092 VRW983092 WBS983092 WLO983092 WVK983092" xr:uid="{3D5BA4AB-1BB9-4440-A12E-A380B2788624}">
      <formula1>Type</formula1>
    </dataValidation>
    <dataValidation type="list" errorStyle="warning" allowBlank="1" showInputMessage="1" showErrorMessage="1" errorTitle="Non-standard size" error="Non-standard size._x000a_Note, units are in metres" sqref="WVK983086 IY41 SU41 ACQ41 AMM41 AWI41 BGE41 BQA41 BZW41 CJS41 CTO41 DDK41 DNG41 DXC41 EGY41 EQU41 FAQ41 FKM41 FUI41 GEE41 GOA41 GXW41 HHS41 HRO41 IBK41 ILG41 IVC41 JEY41 JOU41 JYQ41 KIM41 KSI41 LCE41 LMA41 LVW41 MFS41 MPO41 MZK41 NJG41 NTC41 OCY41 OMU41 OWQ41 PGM41 PQI41 QAE41 QKA41 QTW41 RDS41 RNO41 RXK41 SHG41 SRC41 TAY41 TKU41 TUQ41 UEM41 UOI41 UYE41 VIA41 VRW41 WBS41 WLO41 WVK41 C65582 IY65582 SU65582 ACQ65582 AMM65582 AWI65582 BGE65582 BQA65582 BZW65582 CJS65582 CTO65582 DDK65582 DNG65582 DXC65582 EGY65582 EQU65582 FAQ65582 FKM65582 FUI65582 GEE65582 GOA65582 GXW65582 HHS65582 HRO65582 IBK65582 ILG65582 IVC65582 JEY65582 JOU65582 JYQ65582 KIM65582 KSI65582 LCE65582 LMA65582 LVW65582 MFS65582 MPO65582 MZK65582 NJG65582 NTC65582 OCY65582 OMU65582 OWQ65582 PGM65582 PQI65582 QAE65582 QKA65582 QTW65582 RDS65582 RNO65582 RXK65582 SHG65582 SRC65582 TAY65582 TKU65582 TUQ65582 UEM65582 UOI65582 UYE65582 VIA65582 VRW65582 WBS65582 WLO65582 WVK65582 C131118 IY131118 SU131118 ACQ131118 AMM131118 AWI131118 BGE131118 BQA131118 BZW131118 CJS131118 CTO131118 DDK131118 DNG131118 DXC131118 EGY131118 EQU131118 FAQ131118 FKM131118 FUI131118 GEE131118 GOA131118 GXW131118 HHS131118 HRO131118 IBK131118 ILG131118 IVC131118 JEY131118 JOU131118 JYQ131118 KIM131118 KSI131118 LCE131118 LMA131118 LVW131118 MFS131118 MPO131118 MZK131118 NJG131118 NTC131118 OCY131118 OMU131118 OWQ131118 PGM131118 PQI131118 QAE131118 QKA131118 QTW131118 RDS131118 RNO131118 RXK131118 SHG131118 SRC131118 TAY131118 TKU131118 TUQ131118 UEM131118 UOI131118 UYE131118 VIA131118 VRW131118 WBS131118 WLO131118 WVK131118 C196654 IY196654 SU196654 ACQ196654 AMM196654 AWI196654 BGE196654 BQA196654 BZW196654 CJS196654 CTO196654 DDK196654 DNG196654 DXC196654 EGY196654 EQU196654 FAQ196654 FKM196654 FUI196654 GEE196654 GOA196654 GXW196654 HHS196654 HRO196654 IBK196654 ILG196654 IVC196654 JEY196654 JOU196654 JYQ196654 KIM196654 KSI196654 LCE196654 LMA196654 LVW196654 MFS196654 MPO196654 MZK196654 NJG196654 NTC196654 OCY196654 OMU196654 OWQ196654 PGM196654 PQI196654 QAE196654 QKA196654 QTW196654 RDS196654 RNO196654 RXK196654 SHG196654 SRC196654 TAY196654 TKU196654 TUQ196654 UEM196654 UOI196654 UYE196654 VIA196654 VRW196654 WBS196654 WLO196654 WVK196654 C262190 IY262190 SU262190 ACQ262190 AMM262190 AWI262190 BGE262190 BQA262190 BZW262190 CJS262190 CTO262190 DDK262190 DNG262190 DXC262190 EGY262190 EQU262190 FAQ262190 FKM262190 FUI262190 GEE262190 GOA262190 GXW262190 HHS262190 HRO262190 IBK262190 ILG262190 IVC262190 JEY262190 JOU262190 JYQ262190 KIM262190 KSI262190 LCE262190 LMA262190 LVW262190 MFS262190 MPO262190 MZK262190 NJG262190 NTC262190 OCY262190 OMU262190 OWQ262190 PGM262190 PQI262190 QAE262190 QKA262190 QTW262190 RDS262190 RNO262190 RXK262190 SHG262190 SRC262190 TAY262190 TKU262190 TUQ262190 UEM262190 UOI262190 UYE262190 VIA262190 VRW262190 WBS262190 WLO262190 WVK262190 C327726 IY327726 SU327726 ACQ327726 AMM327726 AWI327726 BGE327726 BQA327726 BZW327726 CJS327726 CTO327726 DDK327726 DNG327726 DXC327726 EGY327726 EQU327726 FAQ327726 FKM327726 FUI327726 GEE327726 GOA327726 GXW327726 HHS327726 HRO327726 IBK327726 ILG327726 IVC327726 JEY327726 JOU327726 JYQ327726 KIM327726 KSI327726 LCE327726 LMA327726 LVW327726 MFS327726 MPO327726 MZK327726 NJG327726 NTC327726 OCY327726 OMU327726 OWQ327726 PGM327726 PQI327726 QAE327726 QKA327726 QTW327726 RDS327726 RNO327726 RXK327726 SHG327726 SRC327726 TAY327726 TKU327726 TUQ327726 UEM327726 UOI327726 UYE327726 VIA327726 VRW327726 WBS327726 WLO327726 WVK327726 C393262 IY393262 SU393262 ACQ393262 AMM393262 AWI393262 BGE393262 BQA393262 BZW393262 CJS393262 CTO393262 DDK393262 DNG393262 DXC393262 EGY393262 EQU393262 FAQ393262 FKM393262 FUI393262 GEE393262 GOA393262 GXW393262 HHS393262 HRO393262 IBK393262 ILG393262 IVC393262 JEY393262 JOU393262 JYQ393262 KIM393262 KSI393262 LCE393262 LMA393262 LVW393262 MFS393262 MPO393262 MZK393262 NJG393262 NTC393262 OCY393262 OMU393262 OWQ393262 PGM393262 PQI393262 QAE393262 QKA393262 QTW393262 RDS393262 RNO393262 RXK393262 SHG393262 SRC393262 TAY393262 TKU393262 TUQ393262 UEM393262 UOI393262 UYE393262 VIA393262 VRW393262 WBS393262 WLO393262 WVK393262 C458798 IY458798 SU458798 ACQ458798 AMM458798 AWI458798 BGE458798 BQA458798 BZW458798 CJS458798 CTO458798 DDK458798 DNG458798 DXC458798 EGY458798 EQU458798 FAQ458798 FKM458798 FUI458798 GEE458798 GOA458798 GXW458798 HHS458798 HRO458798 IBK458798 ILG458798 IVC458798 JEY458798 JOU458798 JYQ458798 KIM458798 KSI458798 LCE458798 LMA458798 LVW458798 MFS458798 MPO458798 MZK458798 NJG458798 NTC458798 OCY458798 OMU458798 OWQ458798 PGM458798 PQI458798 QAE458798 QKA458798 QTW458798 RDS458798 RNO458798 RXK458798 SHG458798 SRC458798 TAY458798 TKU458798 TUQ458798 UEM458798 UOI458798 UYE458798 VIA458798 VRW458798 WBS458798 WLO458798 WVK458798 C524334 IY524334 SU524334 ACQ524334 AMM524334 AWI524334 BGE524334 BQA524334 BZW524334 CJS524334 CTO524334 DDK524334 DNG524334 DXC524334 EGY524334 EQU524334 FAQ524334 FKM524334 FUI524334 GEE524334 GOA524334 GXW524334 HHS524334 HRO524334 IBK524334 ILG524334 IVC524334 JEY524334 JOU524334 JYQ524334 KIM524334 KSI524334 LCE524334 LMA524334 LVW524334 MFS524334 MPO524334 MZK524334 NJG524334 NTC524334 OCY524334 OMU524334 OWQ524334 PGM524334 PQI524334 QAE524334 QKA524334 QTW524334 RDS524334 RNO524334 RXK524334 SHG524334 SRC524334 TAY524334 TKU524334 TUQ524334 UEM524334 UOI524334 UYE524334 VIA524334 VRW524334 WBS524334 WLO524334 WVK524334 C589870 IY589870 SU589870 ACQ589870 AMM589870 AWI589870 BGE589870 BQA589870 BZW589870 CJS589870 CTO589870 DDK589870 DNG589870 DXC589870 EGY589870 EQU589870 FAQ589870 FKM589870 FUI589870 GEE589870 GOA589870 GXW589870 HHS589870 HRO589870 IBK589870 ILG589870 IVC589870 JEY589870 JOU589870 JYQ589870 KIM589870 KSI589870 LCE589870 LMA589870 LVW589870 MFS589870 MPO589870 MZK589870 NJG589870 NTC589870 OCY589870 OMU589870 OWQ589870 PGM589870 PQI589870 QAE589870 QKA589870 QTW589870 RDS589870 RNO589870 RXK589870 SHG589870 SRC589870 TAY589870 TKU589870 TUQ589870 UEM589870 UOI589870 UYE589870 VIA589870 VRW589870 WBS589870 WLO589870 WVK589870 C655406 IY655406 SU655406 ACQ655406 AMM655406 AWI655406 BGE655406 BQA655406 BZW655406 CJS655406 CTO655406 DDK655406 DNG655406 DXC655406 EGY655406 EQU655406 FAQ655406 FKM655406 FUI655406 GEE655406 GOA655406 GXW655406 HHS655406 HRO655406 IBK655406 ILG655406 IVC655406 JEY655406 JOU655406 JYQ655406 KIM655406 KSI655406 LCE655406 LMA655406 LVW655406 MFS655406 MPO655406 MZK655406 NJG655406 NTC655406 OCY655406 OMU655406 OWQ655406 PGM655406 PQI655406 QAE655406 QKA655406 QTW655406 RDS655406 RNO655406 RXK655406 SHG655406 SRC655406 TAY655406 TKU655406 TUQ655406 UEM655406 UOI655406 UYE655406 VIA655406 VRW655406 WBS655406 WLO655406 WVK655406 C720942 IY720942 SU720942 ACQ720942 AMM720942 AWI720942 BGE720942 BQA720942 BZW720942 CJS720942 CTO720942 DDK720942 DNG720942 DXC720942 EGY720942 EQU720942 FAQ720942 FKM720942 FUI720942 GEE720942 GOA720942 GXW720942 HHS720942 HRO720942 IBK720942 ILG720942 IVC720942 JEY720942 JOU720942 JYQ720942 KIM720942 KSI720942 LCE720942 LMA720942 LVW720942 MFS720942 MPO720942 MZK720942 NJG720942 NTC720942 OCY720942 OMU720942 OWQ720942 PGM720942 PQI720942 QAE720942 QKA720942 QTW720942 RDS720942 RNO720942 RXK720942 SHG720942 SRC720942 TAY720942 TKU720942 TUQ720942 UEM720942 UOI720942 UYE720942 VIA720942 VRW720942 WBS720942 WLO720942 WVK720942 C786478 IY786478 SU786478 ACQ786478 AMM786478 AWI786478 BGE786478 BQA786478 BZW786478 CJS786478 CTO786478 DDK786478 DNG786478 DXC786478 EGY786478 EQU786478 FAQ786478 FKM786478 FUI786478 GEE786478 GOA786478 GXW786478 HHS786478 HRO786478 IBK786478 ILG786478 IVC786478 JEY786478 JOU786478 JYQ786478 KIM786478 KSI786478 LCE786478 LMA786478 LVW786478 MFS786478 MPO786478 MZK786478 NJG786478 NTC786478 OCY786478 OMU786478 OWQ786478 PGM786478 PQI786478 QAE786478 QKA786478 QTW786478 RDS786478 RNO786478 RXK786478 SHG786478 SRC786478 TAY786478 TKU786478 TUQ786478 UEM786478 UOI786478 UYE786478 VIA786478 VRW786478 WBS786478 WLO786478 WVK786478 C852014 IY852014 SU852014 ACQ852014 AMM852014 AWI852014 BGE852014 BQA852014 BZW852014 CJS852014 CTO852014 DDK852014 DNG852014 DXC852014 EGY852014 EQU852014 FAQ852014 FKM852014 FUI852014 GEE852014 GOA852014 GXW852014 HHS852014 HRO852014 IBK852014 ILG852014 IVC852014 JEY852014 JOU852014 JYQ852014 KIM852014 KSI852014 LCE852014 LMA852014 LVW852014 MFS852014 MPO852014 MZK852014 NJG852014 NTC852014 OCY852014 OMU852014 OWQ852014 PGM852014 PQI852014 QAE852014 QKA852014 QTW852014 RDS852014 RNO852014 RXK852014 SHG852014 SRC852014 TAY852014 TKU852014 TUQ852014 UEM852014 UOI852014 UYE852014 VIA852014 VRW852014 WBS852014 WLO852014 WVK852014 C917550 IY917550 SU917550 ACQ917550 AMM917550 AWI917550 BGE917550 BQA917550 BZW917550 CJS917550 CTO917550 DDK917550 DNG917550 DXC917550 EGY917550 EQU917550 FAQ917550 FKM917550 FUI917550 GEE917550 GOA917550 GXW917550 HHS917550 HRO917550 IBK917550 ILG917550 IVC917550 JEY917550 JOU917550 JYQ917550 KIM917550 KSI917550 LCE917550 LMA917550 LVW917550 MFS917550 MPO917550 MZK917550 NJG917550 NTC917550 OCY917550 OMU917550 OWQ917550 PGM917550 PQI917550 QAE917550 QKA917550 QTW917550 RDS917550 RNO917550 RXK917550 SHG917550 SRC917550 TAY917550 TKU917550 TUQ917550 UEM917550 UOI917550 UYE917550 VIA917550 VRW917550 WBS917550 WLO917550 WVK917550 C983086 IY983086 SU983086 ACQ983086 AMM983086 AWI983086 BGE983086 BQA983086 BZW983086 CJS983086 CTO983086 DDK983086 DNG983086 DXC983086 EGY983086 EQU983086 FAQ983086 FKM983086 FUI983086 GEE983086 GOA983086 GXW983086 HHS983086 HRO983086 IBK983086 ILG983086 IVC983086 JEY983086 JOU983086 JYQ983086 KIM983086 KSI983086 LCE983086 LMA983086 LVW983086 MFS983086 MPO983086 MZK983086 NJG983086 NTC983086 OCY983086 OMU983086 OWQ983086 PGM983086 PQI983086 QAE983086 QKA983086 QTW983086 RDS983086 RNO983086 RXK983086 SHG983086 SRC983086 TAY983086 TKU983086 TUQ983086 UEM983086 UOI983086 UYE983086 VIA983086 VRW983086 WBS983086 WLO983086 C40" xr:uid="{DDBF3CB8-D155-4E47-A474-7CD45A9DC22C}">
      <formula1>Bar</formula1>
    </dataValidation>
    <dataValidation type="list" errorStyle="warning" allowBlank="1" showInputMessage="1" showErrorMessage="1" errorTitle="Non-standard size" error="Non-standard size_x000a_Note, units are in metres" sqref="C48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89 IY65589 SU65589 ACQ65589 AMM65589 AWI65589 BGE65589 BQA65589 BZW65589 CJS65589 CTO65589 DDK65589 DNG65589 DXC65589 EGY65589 EQU65589 FAQ65589 FKM65589 FUI65589 GEE65589 GOA65589 GXW65589 HHS65589 HRO65589 IBK65589 ILG65589 IVC65589 JEY65589 JOU65589 JYQ65589 KIM65589 KSI65589 LCE65589 LMA65589 LVW65589 MFS65589 MPO65589 MZK65589 NJG65589 NTC65589 OCY65589 OMU65589 OWQ65589 PGM65589 PQI65589 QAE65589 QKA65589 QTW65589 RDS65589 RNO65589 RXK65589 SHG65589 SRC65589 TAY65589 TKU65589 TUQ65589 UEM65589 UOI65589 UYE65589 VIA65589 VRW65589 WBS65589 WLO65589 WVK65589 C131125 IY131125 SU131125 ACQ131125 AMM131125 AWI131125 BGE131125 BQA131125 BZW131125 CJS131125 CTO131125 DDK131125 DNG131125 DXC131125 EGY131125 EQU131125 FAQ131125 FKM131125 FUI131125 GEE131125 GOA131125 GXW131125 HHS131125 HRO131125 IBK131125 ILG131125 IVC131125 JEY131125 JOU131125 JYQ131125 KIM131125 KSI131125 LCE131125 LMA131125 LVW131125 MFS131125 MPO131125 MZK131125 NJG131125 NTC131125 OCY131125 OMU131125 OWQ131125 PGM131125 PQI131125 QAE131125 QKA131125 QTW131125 RDS131125 RNO131125 RXK131125 SHG131125 SRC131125 TAY131125 TKU131125 TUQ131125 UEM131125 UOI131125 UYE131125 VIA131125 VRW131125 WBS131125 WLO131125 WVK131125 C196661 IY196661 SU196661 ACQ196661 AMM196661 AWI196661 BGE196661 BQA196661 BZW196661 CJS196661 CTO196661 DDK196661 DNG196661 DXC196661 EGY196661 EQU196661 FAQ196661 FKM196661 FUI196661 GEE196661 GOA196661 GXW196661 HHS196661 HRO196661 IBK196661 ILG196661 IVC196661 JEY196661 JOU196661 JYQ196661 KIM196661 KSI196661 LCE196661 LMA196661 LVW196661 MFS196661 MPO196661 MZK196661 NJG196661 NTC196661 OCY196661 OMU196661 OWQ196661 PGM196661 PQI196661 QAE196661 QKA196661 QTW196661 RDS196661 RNO196661 RXK196661 SHG196661 SRC196661 TAY196661 TKU196661 TUQ196661 UEM196661 UOI196661 UYE196661 VIA196661 VRW196661 WBS196661 WLO196661 WVK196661 C262197 IY262197 SU262197 ACQ262197 AMM262197 AWI262197 BGE262197 BQA262197 BZW262197 CJS262197 CTO262197 DDK262197 DNG262197 DXC262197 EGY262197 EQU262197 FAQ262197 FKM262197 FUI262197 GEE262197 GOA262197 GXW262197 HHS262197 HRO262197 IBK262197 ILG262197 IVC262197 JEY262197 JOU262197 JYQ262197 KIM262197 KSI262197 LCE262197 LMA262197 LVW262197 MFS262197 MPO262197 MZK262197 NJG262197 NTC262197 OCY262197 OMU262197 OWQ262197 PGM262197 PQI262197 QAE262197 QKA262197 QTW262197 RDS262197 RNO262197 RXK262197 SHG262197 SRC262197 TAY262197 TKU262197 TUQ262197 UEM262197 UOI262197 UYE262197 VIA262197 VRW262197 WBS262197 WLO262197 WVK262197 C327733 IY327733 SU327733 ACQ327733 AMM327733 AWI327733 BGE327733 BQA327733 BZW327733 CJS327733 CTO327733 DDK327733 DNG327733 DXC327733 EGY327733 EQU327733 FAQ327733 FKM327733 FUI327733 GEE327733 GOA327733 GXW327733 HHS327733 HRO327733 IBK327733 ILG327733 IVC327733 JEY327733 JOU327733 JYQ327733 KIM327733 KSI327733 LCE327733 LMA327733 LVW327733 MFS327733 MPO327733 MZK327733 NJG327733 NTC327733 OCY327733 OMU327733 OWQ327733 PGM327733 PQI327733 QAE327733 QKA327733 QTW327733 RDS327733 RNO327733 RXK327733 SHG327733 SRC327733 TAY327733 TKU327733 TUQ327733 UEM327733 UOI327733 UYE327733 VIA327733 VRW327733 WBS327733 WLO327733 WVK327733 C393269 IY393269 SU393269 ACQ393269 AMM393269 AWI393269 BGE393269 BQA393269 BZW393269 CJS393269 CTO393269 DDK393269 DNG393269 DXC393269 EGY393269 EQU393269 FAQ393269 FKM393269 FUI393269 GEE393269 GOA393269 GXW393269 HHS393269 HRO393269 IBK393269 ILG393269 IVC393269 JEY393269 JOU393269 JYQ393269 KIM393269 KSI393269 LCE393269 LMA393269 LVW393269 MFS393269 MPO393269 MZK393269 NJG393269 NTC393269 OCY393269 OMU393269 OWQ393269 PGM393269 PQI393269 QAE393269 QKA393269 QTW393269 RDS393269 RNO393269 RXK393269 SHG393269 SRC393269 TAY393269 TKU393269 TUQ393269 UEM393269 UOI393269 UYE393269 VIA393269 VRW393269 WBS393269 WLO393269 WVK393269 C458805 IY458805 SU458805 ACQ458805 AMM458805 AWI458805 BGE458805 BQA458805 BZW458805 CJS458805 CTO458805 DDK458805 DNG458805 DXC458805 EGY458805 EQU458805 FAQ458805 FKM458805 FUI458805 GEE458805 GOA458805 GXW458805 HHS458805 HRO458805 IBK458805 ILG458805 IVC458805 JEY458805 JOU458805 JYQ458805 KIM458805 KSI458805 LCE458805 LMA458805 LVW458805 MFS458805 MPO458805 MZK458805 NJG458805 NTC458805 OCY458805 OMU458805 OWQ458805 PGM458805 PQI458805 QAE458805 QKA458805 QTW458805 RDS458805 RNO458805 RXK458805 SHG458805 SRC458805 TAY458805 TKU458805 TUQ458805 UEM458805 UOI458805 UYE458805 VIA458805 VRW458805 WBS458805 WLO458805 WVK458805 C524341 IY524341 SU524341 ACQ524341 AMM524341 AWI524341 BGE524341 BQA524341 BZW524341 CJS524341 CTO524341 DDK524341 DNG524341 DXC524341 EGY524341 EQU524341 FAQ524341 FKM524341 FUI524341 GEE524341 GOA524341 GXW524341 HHS524341 HRO524341 IBK524341 ILG524341 IVC524341 JEY524341 JOU524341 JYQ524341 KIM524341 KSI524341 LCE524341 LMA524341 LVW524341 MFS524341 MPO524341 MZK524341 NJG524341 NTC524341 OCY524341 OMU524341 OWQ524341 PGM524341 PQI524341 QAE524341 QKA524341 QTW524341 RDS524341 RNO524341 RXK524341 SHG524341 SRC524341 TAY524341 TKU524341 TUQ524341 UEM524341 UOI524341 UYE524341 VIA524341 VRW524341 WBS524341 WLO524341 WVK524341 C589877 IY589877 SU589877 ACQ589877 AMM589877 AWI589877 BGE589877 BQA589877 BZW589877 CJS589877 CTO589877 DDK589877 DNG589877 DXC589877 EGY589877 EQU589877 FAQ589877 FKM589877 FUI589877 GEE589877 GOA589877 GXW589877 HHS589877 HRO589877 IBK589877 ILG589877 IVC589877 JEY589877 JOU589877 JYQ589877 KIM589877 KSI589877 LCE589877 LMA589877 LVW589877 MFS589877 MPO589877 MZK589877 NJG589877 NTC589877 OCY589877 OMU589877 OWQ589877 PGM589877 PQI589877 QAE589877 QKA589877 QTW589877 RDS589877 RNO589877 RXK589877 SHG589877 SRC589877 TAY589877 TKU589877 TUQ589877 UEM589877 UOI589877 UYE589877 VIA589877 VRW589877 WBS589877 WLO589877 WVK589877 C655413 IY655413 SU655413 ACQ655413 AMM655413 AWI655413 BGE655413 BQA655413 BZW655413 CJS655413 CTO655413 DDK655413 DNG655413 DXC655413 EGY655413 EQU655413 FAQ655413 FKM655413 FUI655413 GEE655413 GOA655413 GXW655413 HHS655413 HRO655413 IBK655413 ILG655413 IVC655413 JEY655413 JOU655413 JYQ655413 KIM655413 KSI655413 LCE655413 LMA655413 LVW655413 MFS655413 MPO655413 MZK655413 NJG655413 NTC655413 OCY655413 OMU655413 OWQ655413 PGM655413 PQI655413 QAE655413 QKA655413 QTW655413 RDS655413 RNO655413 RXK655413 SHG655413 SRC655413 TAY655413 TKU655413 TUQ655413 UEM655413 UOI655413 UYE655413 VIA655413 VRW655413 WBS655413 WLO655413 WVK655413 C720949 IY720949 SU720949 ACQ720949 AMM720949 AWI720949 BGE720949 BQA720949 BZW720949 CJS720949 CTO720949 DDK720949 DNG720949 DXC720949 EGY720949 EQU720949 FAQ720949 FKM720949 FUI720949 GEE720949 GOA720949 GXW720949 HHS720949 HRO720949 IBK720949 ILG720949 IVC720949 JEY720949 JOU720949 JYQ720949 KIM720949 KSI720949 LCE720949 LMA720949 LVW720949 MFS720949 MPO720949 MZK720949 NJG720949 NTC720949 OCY720949 OMU720949 OWQ720949 PGM720949 PQI720949 QAE720949 QKA720949 QTW720949 RDS720949 RNO720949 RXK720949 SHG720949 SRC720949 TAY720949 TKU720949 TUQ720949 UEM720949 UOI720949 UYE720949 VIA720949 VRW720949 WBS720949 WLO720949 WVK720949 C786485 IY786485 SU786485 ACQ786485 AMM786485 AWI786485 BGE786485 BQA786485 BZW786485 CJS786485 CTO786485 DDK786485 DNG786485 DXC786485 EGY786485 EQU786485 FAQ786485 FKM786485 FUI786485 GEE786485 GOA786485 GXW786485 HHS786485 HRO786485 IBK786485 ILG786485 IVC786485 JEY786485 JOU786485 JYQ786485 KIM786485 KSI786485 LCE786485 LMA786485 LVW786485 MFS786485 MPO786485 MZK786485 NJG786485 NTC786485 OCY786485 OMU786485 OWQ786485 PGM786485 PQI786485 QAE786485 QKA786485 QTW786485 RDS786485 RNO786485 RXK786485 SHG786485 SRC786485 TAY786485 TKU786485 TUQ786485 UEM786485 UOI786485 UYE786485 VIA786485 VRW786485 WBS786485 WLO786485 WVK786485 C852021 IY852021 SU852021 ACQ852021 AMM852021 AWI852021 BGE852021 BQA852021 BZW852021 CJS852021 CTO852021 DDK852021 DNG852021 DXC852021 EGY852021 EQU852021 FAQ852021 FKM852021 FUI852021 GEE852021 GOA852021 GXW852021 HHS852021 HRO852021 IBK852021 ILG852021 IVC852021 JEY852021 JOU852021 JYQ852021 KIM852021 KSI852021 LCE852021 LMA852021 LVW852021 MFS852021 MPO852021 MZK852021 NJG852021 NTC852021 OCY852021 OMU852021 OWQ852021 PGM852021 PQI852021 QAE852021 QKA852021 QTW852021 RDS852021 RNO852021 RXK852021 SHG852021 SRC852021 TAY852021 TKU852021 TUQ852021 UEM852021 UOI852021 UYE852021 VIA852021 VRW852021 WBS852021 WLO852021 WVK852021 C917557 IY917557 SU917557 ACQ917557 AMM917557 AWI917557 BGE917557 BQA917557 BZW917557 CJS917557 CTO917557 DDK917557 DNG917557 DXC917557 EGY917557 EQU917557 FAQ917557 FKM917557 FUI917557 GEE917557 GOA917557 GXW917557 HHS917557 HRO917557 IBK917557 ILG917557 IVC917557 JEY917557 JOU917557 JYQ917557 KIM917557 KSI917557 LCE917557 LMA917557 LVW917557 MFS917557 MPO917557 MZK917557 NJG917557 NTC917557 OCY917557 OMU917557 OWQ917557 PGM917557 PQI917557 QAE917557 QKA917557 QTW917557 RDS917557 RNO917557 RXK917557 SHG917557 SRC917557 TAY917557 TKU917557 TUQ917557 UEM917557 UOI917557 UYE917557 VIA917557 VRW917557 WBS917557 WLO917557 WVK917557 C983093 IY983093 SU983093 ACQ983093 AMM983093 AWI983093 BGE983093 BQA983093 BZW983093 CJS983093 CTO983093 DDK983093 DNG983093 DXC983093 EGY983093 EQU983093 FAQ983093 FKM983093 FUI983093 GEE983093 GOA983093 GXW983093 HHS983093 HRO983093 IBK983093 ILG983093 IVC983093 JEY983093 JOU983093 JYQ983093 KIM983093 KSI983093 LCE983093 LMA983093 LVW983093 MFS983093 MPO983093 MZK983093 NJG983093 NTC983093 OCY983093 OMU983093 OWQ983093 PGM983093 PQI983093 QAE983093 QKA983093 QTW983093 RDS983093 RNO983093 RXK983093 SHG983093 SRC983093 TAY983093 TKU983093 TUQ983093 UEM983093 UOI983093 UYE983093 VIA983093 VRW983093 WBS983093 WLO983093 WVK983093" xr:uid="{10E14B33-D717-4C92-B32F-3BCD4D52B7C4}">
      <formula1>Link</formula1>
    </dataValidation>
    <dataValidation type="list" allowBlank="1" showInputMessage="1" showErrorMessage="1" prompt="1.50 generally._x000a_1.65 typical if cast against ground." sqref="C27 IY27 SU27 ACQ27 AMM27 AWI27 BGE27 BQA27 BZW27 CJS27 CTO27 DDK27 DNG27 DXC27 EGY27 EQU27 FAQ27 FKM27 FUI27 GEE27 GOA27 GXW27 HHS27 HRO27 IBK27 ILG27 IVC27 JEY27 JOU27 JYQ27 KIM27 KSI27 LCE27 LMA27 LVW27 MFS27 MPO27 MZK27 NJG27 NTC27 OCY27 OMU27 OWQ27 PGM27 PQI27 QAE27 QKA27 QTW27 RDS27 RNO27 RXK27 SHG27 SRC27 TAY27 TKU27 TUQ27 UEM27 UOI27 UYE27 VIA27 VRW27 WBS27 WLO27 WVK27 C65568 IY65568 SU65568 ACQ65568 AMM65568 AWI65568 BGE65568 BQA65568 BZW65568 CJS65568 CTO65568 DDK65568 DNG65568 DXC65568 EGY65568 EQU65568 FAQ65568 FKM65568 FUI65568 GEE65568 GOA65568 GXW65568 HHS65568 HRO65568 IBK65568 ILG65568 IVC65568 JEY65568 JOU65568 JYQ65568 KIM65568 KSI65568 LCE65568 LMA65568 LVW65568 MFS65568 MPO65568 MZK65568 NJG65568 NTC65568 OCY65568 OMU65568 OWQ65568 PGM65568 PQI65568 QAE65568 QKA65568 QTW65568 RDS65568 RNO65568 RXK65568 SHG65568 SRC65568 TAY65568 TKU65568 TUQ65568 UEM65568 UOI65568 UYE65568 VIA65568 VRW65568 WBS65568 WLO65568 WVK65568 C131104 IY131104 SU131104 ACQ131104 AMM131104 AWI131104 BGE131104 BQA131104 BZW131104 CJS131104 CTO131104 DDK131104 DNG131104 DXC131104 EGY131104 EQU131104 FAQ131104 FKM131104 FUI131104 GEE131104 GOA131104 GXW131104 HHS131104 HRO131104 IBK131104 ILG131104 IVC131104 JEY131104 JOU131104 JYQ131104 KIM131104 KSI131104 LCE131104 LMA131104 LVW131104 MFS131104 MPO131104 MZK131104 NJG131104 NTC131104 OCY131104 OMU131104 OWQ131104 PGM131104 PQI131104 QAE131104 QKA131104 QTW131104 RDS131104 RNO131104 RXK131104 SHG131104 SRC131104 TAY131104 TKU131104 TUQ131104 UEM131104 UOI131104 UYE131104 VIA131104 VRW131104 WBS131104 WLO131104 WVK131104 C196640 IY196640 SU196640 ACQ196640 AMM196640 AWI196640 BGE196640 BQA196640 BZW196640 CJS196640 CTO196640 DDK196640 DNG196640 DXC196640 EGY196640 EQU196640 FAQ196640 FKM196640 FUI196640 GEE196640 GOA196640 GXW196640 HHS196640 HRO196640 IBK196640 ILG196640 IVC196640 JEY196640 JOU196640 JYQ196640 KIM196640 KSI196640 LCE196640 LMA196640 LVW196640 MFS196640 MPO196640 MZK196640 NJG196640 NTC196640 OCY196640 OMU196640 OWQ196640 PGM196640 PQI196640 QAE196640 QKA196640 QTW196640 RDS196640 RNO196640 RXK196640 SHG196640 SRC196640 TAY196640 TKU196640 TUQ196640 UEM196640 UOI196640 UYE196640 VIA196640 VRW196640 WBS196640 WLO196640 WVK196640 C262176 IY262176 SU262176 ACQ262176 AMM262176 AWI262176 BGE262176 BQA262176 BZW262176 CJS262176 CTO262176 DDK262176 DNG262176 DXC262176 EGY262176 EQU262176 FAQ262176 FKM262176 FUI262176 GEE262176 GOA262176 GXW262176 HHS262176 HRO262176 IBK262176 ILG262176 IVC262176 JEY262176 JOU262176 JYQ262176 KIM262176 KSI262176 LCE262176 LMA262176 LVW262176 MFS262176 MPO262176 MZK262176 NJG262176 NTC262176 OCY262176 OMU262176 OWQ262176 PGM262176 PQI262176 QAE262176 QKA262176 QTW262176 RDS262176 RNO262176 RXK262176 SHG262176 SRC262176 TAY262176 TKU262176 TUQ262176 UEM262176 UOI262176 UYE262176 VIA262176 VRW262176 WBS262176 WLO262176 WVK262176 C327712 IY327712 SU327712 ACQ327712 AMM327712 AWI327712 BGE327712 BQA327712 BZW327712 CJS327712 CTO327712 DDK327712 DNG327712 DXC327712 EGY327712 EQU327712 FAQ327712 FKM327712 FUI327712 GEE327712 GOA327712 GXW327712 HHS327712 HRO327712 IBK327712 ILG327712 IVC327712 JEY327712 JOU327712 JYQ327712 KIM327712 KSI327712 LCE327712 LMA327712 LVW327712 MFS327712 MPO327712 MZK327712 NJG327712 NTC327712 OCY327712 OMU327712 OWQ327712 PGM327712 PQI327712 QAE327712 QKA327712 QTW327712 RDS327712 RNO327712 RXK327712 SHG327712 SRC327712 TAY327712 TKU327712 TUQ327712 UEM327712 UOI327712 UYE327712 VIA327712 VRW327712 WBS327712 WLO327712 WVK327712 C393248 IY393248 SU393248 ACQ393248 AMM393248 AWI393248 BGE393248 BQA393248 BZW393248 CJS393248 CTO393248 DDK393248 DNG393248 DXC393248 EGY393248 EQU393248 FAQ393248 FKM393248 FUI393248 GEE393248 GOA393248 GXW393248 HHS393248 HRO393248 IBK393248 ILG393248 IVC393248 JEY393248 JOU393248 JYQ393248 KIM393248 KSI393248 LCE393248 LMA393248 LVW393248 MFS393248 MPO393248 MZK393248 NJG393248 NTC393248 OCY393248 OMU393248 OWQ393248 PGM393248 PQI393248 QAE393248 QKA393248 QTW393248 RDS393248 RNO393248 RXK393248 SHG393248 SRC393248 TAY393248 TKU393248 TUQ393248 UEM393248 UOI393248 UYE393248 VIA393248 VRW393248 WBS393248 WLO393248 WVK393248 C458784 IY458784 SU458784 ACQ458784 AMM458784 AWI458784 BGE458784 BQA458784 BZW458784 CJS458784 CTO458784 DDK458784 DNG458784 DXC458784 EGY458784 EQU458784 FAQ458784 FKM458784 FUI458784 GEE458784 GOA458784 GXW458784 HHS458784 HRO458784 IBK458784 ILG458784 IVC458784 JEY458784 JOU458784 JYQ458784 KIM458784 KSI458784 LCE458784 LMA458784 LVW458784 MFS458784 MPO458784 MZK458784 NJG458784 NTC458784 OCY458784 OMU458784 OWQ458784 PGM458784 PQI458784 QAE458784 QKA458784 QTW458784 RDS458784 RNO458784 RXK458784 SHG458784 SRC458784 TAY458784 TKU458784 TUQ458784 UEM458784 UOI458784 UYE458784 VIA458784 VRW458784 WBS458784 WLO458784 WVK458784 C524320 IY524320 SU524320 ACQ524320 AMM524320 AWI524320 BGE524320 BQA524320 BZW524320 CJS524320 CTO524320 DDK524320 DNG524320 DXC524320 EGY524320 EQU524320 FAQ524320 FKM524320 FUI524320 GEE524320 GOA524320 GXW524320 HHS524320 HRO524320 IBK524320 ILG524320 IVC524320 JEY524320 JOU524320 JYQ524320 KIM524320 KSI524320 LCE524320 LMA524320 LVW524320 MFS524320 MPO524320 MZK524320 NJG524320 NTC524320 OCY524320 OMU524320 OWQ524320 PGM524320 PQI524320 QAE524320 QKA524320 QTW524320 RDS524320 RNO524320 RXK524320 SHG524320 SRC524320 TAY524320 TKU524320 TUQ524320 UEM524320 UOI524320 UYE524320 VIA524320 VRW524320 WBS524320 WLO524320 WVK524320 C589856 IY589856 SU589856 ACQ589856 AMM589856 AWI589856 BGE589856 BQA589856 BZW589856 CJS589856 CTO589856 DDK589856 DNG589856 DXC589856 EGY589856 EQU589856 FAQ589856 FKM589856 FUI589856 GEE589856 GOA589856 GXW589856 HHS589856 HRO589856 IBK589856 ILG589856 IVC589856 JEY589856 JOU589856 JYQ589856 KIM589856 KSI589856 LCE589856 LMA589856 LVW589856 MFS589856 MPO589856 MZK589856 NJG589856 NTC589856 OCY589856 OMU589856 OWQ589856 PGM589856 PQI589856 QAE589856 QKA589856 QTW589856 RDS589856 RNO589856 RXK589856 SHG589856 SRC589856 TAY589856 TKU589856 TUQ589856 UEM589856 UOI589856 UYE589856 VIA589856 VRW589856 WBS589856 WLO589856 WVK589856 C655392 IY655392 SU655392 ACQ655392 AMM655392 AWI655392 BGE655392 BQA655392 BZW655392 CJS655392 CTO655392 DDK655392 DNG655392 DXC655392 EGY655392 EQU655392 FAQ655392 FKM655392 FUI655392 GEE655392 GOA655392 GXW655392 HHS655392 HRO655392 IBK655392 ILG655392 IVC655392 JEY655392 JOU655392 JYQ655392 KIM655392 KSI655392 LCE655392 LMA655392 LVW655392 MFS655392 MPO655392 MZK655392 NJG655392 NTC655392 OCY655392 OMU655392 OWQ655392 PGM655392 PQI655392 QAE655392 QKA655392 QTW655392 RDS655392 RNO655392 RXK655392 SHG655392 SRC655392 TAY655392 TKU655392 TUQ655392 UEM655392 UOI655392 UYE655392 VIA655392 VRW655392 WBS655392 WLO655392 WVK655392 C720928 IY720928 SU720928 ACQ720928 AMM720928 AWI720928 BGE720928 BQA720928 BZW720928 CJS720928 CTO720928 DDK720928 DNG720928 DXC720928 EGY720928 EQU720928 FAQ720928 FKM720928 FUI720928 GEE720928 GOA720928 GXW720928 HHS720928 HRO720928 IBK720928 ILG720928 IVC720928 JEY720928 JOU720928 JYQ720928 KIM720928 KSI720928 LCE720928 LMA720928 LVW720928 MFS720928 MPO720928 MZK720928 NJG720928 NTC720928 OCY720928 OMU720928 OWQ720928 PGM720928 PQI720928 QAE720928 QKA720928 QTW720928 RDS720928 RNO720928 RXK720928 SHG720928 SRC720928 TAY720928 TKU720928 TUQ720928 UEM720928 UOI720928 UYE720928 VIA720928 VRW720928 WBS720928 WLO720928 WVK720928 C786464 IY786464 SU786464 ACQ786464 AMM786464 AWI786464 BGE786464 BQA786464 BZW786464 CJS786464 CTO786464 DDK786464 DNG786464 DXC786464 EGY786464 EQU786464 FAQ786464 FKM786464 FUI786464 GEE786464 GOA786464 GXW786464 HHS786464 HRO786464 IBK786464 ILG786464 IVC786464 JEY786464 JOU786464 JYQ786464 KIM786464 KSI786464 LCE786464 LMA786464 LVW786464 MFS786464 MPO786464 MZK786464 NJG786464 NTC786464 OCY786464 OMU786464 OWQ786464 PGM786464 PQI786464 QAE786464 QKA786464 QTW786464 RDS786464 RNO786464 RXK786464 SHG786464 SRC786464 TAY786464 TKU786464 TUQ786464 UEM786464 UOI786464 UYE786464 VIA786464 VRW786464 WBS786464 WLO786464 WVK786464 C852000 IY852000 SU852000 ACQ852000 AMM852000 AWI852000 BGE852000 BQA852000 BZW852000 CJS852000 CTO852000 DDK852000 DNG852000 DXC852000 EGY852000 EQU852000 FAQ852000 FKM852000 FUI852000 GEE852000 GOA852000 GXW852000 HHS852000 HRO852000 IBK852000 ILG852000 IVC852000 JEY852000 JOU852000 JYQ852000 KIM852000 KSI852000 LCE852000 LMA852000 LVW852000 MFS852000 MPO852000 MZK852000 NJG852000 NTC852000 OCY852000 OMU852000 OWQ852000 PGM852000 PQI852000 QAE852000 QKA852000 QTW852000 RDS852000 RNO852000 RXK852000 SHG852000 SRC852000 TAY852000 TKU852000 TUQ852000 UEM852000 UOI852000 UYE852000 VIA852000 VRW852000 WBS852000 WLO852000 WVK852000 C917536 IY917536 SU917536 ACQ917536 AMM917536 AWI917536 BGE917536 BQA917536 BZW917536 CJS917536 CTO917536 DDK917536 DNG917536 DXC917536 EGY917536 EQU917536 FAQ917536 FKM917536 FUI917536 GEE917536 GOA917536 GXW917536 HHS917536 HRO917536 IBK917536 ILG917536 IVC917536 JEY917536 JOU917536 JYQ917536 KIM917536 KSI917536 LCE917536 LMA917536 LVW917536 MFS917536 MPO917536 MZK917536 NJG917536 NTC917536 OCY917536 OMU917536 OWQ917536 PGM917536 PQI917536 QAE917536 QKA917536 QTW917536 RDS917536 RNO917536 RXK917536 SHG917536 SRC917536 TAY917536 TKU917536 TUQ917536 UEM917536 UOI917536 UYE917536 VIA917536 VRW917536 WBS917536 WLO917536 WVK917536 C983072 IY983072 SU983072 ACQ983072 AMM983072 AWI983072 BGE983072 BQA983072 BZW983072 CJS983072 CTO983072 DDK983072 DNG983072 DXC983072 EGY983072 EQU983072 FAQ983072 FKM983072 FUI983072 GEE983072 GOA983072 GXW983072 HHS983072 HRO983072 IBK983072 ILG983072 IVC983072 JEY983072 JOU983072 JYQ983072 KIM983072 KSI983072 LCE983072 LMA983072 LVW983072 MFS983072 MPO983072 MZK983072 NJG983072 NTC983072 OCY983072 OMU983072 OWQ983072 PGM983072 PQI983072 QAE983072 QKA983072 QTW983072 RDS983072 RNO983072 RXK983072 SHG983072 SRC983072 TAY983072 TKU983072 TUQ983072 UEM983072 UOI983072 UYE983072 VIA983072 VRW983072 WBS983072 WLO983072 WVK983072" xr:uid="{C2ACEF5F-ECFE-474C-924F-42DCA4FA0027}">
      <formula1>GammaC</formula1>
    </dataValidation>
    <dataValidation type="list" allowBlank="1" showInputMessage="1" showErrorMessage="1" promptTitle="Alpha.cc" prompt="Widely accepted = 1.0 for shear where multiplying fcd by nu1_x000a__x000a_However, NA to BS EN1992-1-1 is not explicit on this. Some references suggest = 0.85" sqref="C30 IY30 SU30 ACQ30 AMM30 AWI30 BGE30 BQA30 BZW30 CJS30 CTO30 DDK30 DNG30 DXC30 EGY30 EQU30 FAQ30 FKM30 FUI30 GEE30 GOA30 GXW30 HHS30 HRO30 IBK30 ILG30 IVC30 JEY30 JOU30 JYQ30 KIM30 KSI30 LCE30 LMA30 LVW30 MFS30 MPO30 MZK30 NJG30 NTC30 OCY30 OMU30 OWQ30 PGM30 PQI30 QAE30 QKA30 QTW30 RDS30 RNO30 RXK30 SHG30 SRC30 TAY30 TKU30 TUQ30 UEM30 UOI30 UYE30 VIA30 VRW30 WBS30 WLO30 WVK30 C65571 IY65571 SU65571 ACQ65571 AMM65571 AWI65571 BGE65571 BQA65571 BZW65571 CJS65571 CTO65571 DDK65571 DNG65571 DXC65571 EGY65571 EQU65571 FAQ65571 FKM65571 FUI65571 GEE65571 GOA65571 GXW65571 HHS65571 HRO65571 IBK65571 ILG65571 IVC65571 JEY65571 JOU65571 JYQ65571 KIM65571 KSI65571 LCE65571 LMA65571 LVW65571 MFS65571 MPO65571 MZK65571 NJG65571 NTC65571 OCY65571 OMU65571 OWQ65571 PGM65571 PQI65571 QAE65571 QKA65571 QTW65571 RDS65571 RNO65571 RXK65571 SHG65571 SRC65571 TAY65571 TKU65571 TUQ65571 UEM65571 UOI65571 UYE65571 VIA65571 VRW65571 WBS65571 WLO65571 WVK65571 C131107 IY131107 SU131107 ACQ131107 AMM131107 AWI131107 BGE131107 BQA131107 BZW131107 CJS131107 CTO131107 DDK131107 DNG131107 DXC131107 EGY131107 EQU131107 FAQ131107 FKM131107 FUI131107 GEE131107 GOA131107 GXW131107 HHS131107 HRO131107 IBK131107 ILG131107 IVC131107 JEY131107 JOU131107 JYQ131107 KIM131107 KSI131107 LCE131107 LMA131107 LVW131107 MFS131107 MPO131107 MZK131107 NJG131107 NTC131107 OCY131107 OMU131107 OWQ131107 PGM131107 PQI131107 QAE131107 QKA131107 QTW131107 RDS131107 RNO131107 RXK131107 SHG131107 SRC131107 TAY131107 TKU131107 TUQ131107 UEM131107 UOI131107 UYE131107 VIA131107 VRW131107 WBS131107 WLO131107 WVK131107 C196643 IY196643 SU196643 ACQ196643 AMM196643 AWI196643 BGE196643 BQA196643 BZW196643 CJS196643 CTO196643 DDK196643 DNG196643 DXC196643 EGY196643 EQU196643 FAQ196643 FKM196643 FUI196643 GEE196643 GOA196643 GXW196643 HHS196643 HRO196643 IBK196643 ILG196643 IVC196643 JEY196643 JOU196643 JYQ196643 KIM196643 KSI196643 LCE196643 LMA196643 LVW196643 MFS196643 MPO196643 MZK196643 NJG196643 NTC196643 OCY196643 OMU196643 OWQ196643 PGM196643 PQI196643 QAE196643 QKA196643 QTW196643 RDS196643 RNO196643 RXK196643 SHG196643 SRC196643 TAY196643 TKU196643 TUQ196643 UEM196643 UOI196643 UYE196643 VIA196643 VRW196643 WBS196643 WLO196643 WVK196643 C262179 IY262179 SU262179 ACQ262179 AMM262179 AWI262179 BGE262179 BQA262179 BZW262179 CJS262179 CTO262179 DDK262179 DNG262179 DXC262179 EGY262179 EQU262179 FAQ262179 FKM262179 FUI262179 GEE262179 GOA262179 GXW262179 HHS262179 HRO262179 IBK262179 ILG262179 IVC262179 JEY262179 JOU262179 JYQ262179 KIM262179 KSI262179 LCE262179 LMA262179 LVW262179 MFS262179 MPO262179 MZK262179 NJG262179 NTC262179 OCY262179 OMU262179 OWQ262179 PGM262179 PQI262179 QAE262179 QKA262179 QTW262179 RDS262179 RNO262179 RXK262179 SHG262179 SRC262179 TAY262179 TKU262179 TUQ262179 UEM262179 UOI262179 UYE262179 VIA262179 VRW262179 WBS262179 WLO262179 WVK262179 C327715 IY327715 SU327715 ACQ327715 AMM327715 AWI327715 BGE327715 BQA327715 BZW327715 CJS327715 CTO327715 DDK327715 DNG327715 DXC327715 EGY327715 EQU327715 FAQ327715 FKM327715 FUI327715 GEE327715 GOA327715 GXW327715 HHS327715 HRO327715 IBK327715 ILG327715 IVC327715 JEY327715 JOU327715 JYQ327715 KIM327715 KSI327715 LCE327715 LMA327715 LVW327715 MFS327715 MPO327715 MZK327715 NJG327715 NTC327715 OCY327715 OMU327715 OWQ327715 PGM327715 PQI327715 QAE327715 QKA327715 QTW327715 RDS327715 RNO327715 RXK327715 SHG327715 SRC327715 TAY327715 TKU327715 TUQ327715 UEM327715 UOI327715 UYE327715 VIA327715 VRW327715 WBS327715 WLO327715 WVK327715 C393251 IY393251 SU393251 ACQ393251 AMM393251 AWI393251 BGE393251 BQA393251 BZW393251 CJS393251 CTO393251 DDK393251 DNG393251 DXC393251 EGY393251 EQU393251 FAQ393251 FKM393251 FUI393251 GEE393251 GOA393251 GXW393251 HHS393251 HRO393251 IBK393251 ILG393251 IVC393251 JEY393251 JOU393251 JYQ393251 KIM393251 KSI393251 LCE393251 LMA393251 LVW393251 MFS393251 MPO393251 MZK393251 NJG393251 NTC393251 OCY393251 OMU393251 OWQ393251 PGM393251 PQI393251 QAE393251 QKA393251 QTW393251 RDS393251 RNO393251 RXK393251 SHG393251 SRC393251 TAY393251 TKU393251 TUQ393251 UEM393251 UOI393251 UYE393251 VIA393251 VRW393251 WBS393251 WLO393251 WVK393251 C458787 IY458787 SU458787 ACQ458787 AMM458787 AWI458787 BGE458787 BQA458787 BZW458787 CJS458787 CTO458787 DDK458787 DNG458787 DXC458787 EGY458787 EQU458787 FAQ458787 FKM458787 FUI458787 GEE458787 GOA458787 GXW458787 HHS458787 HRO458787 IBK458787 ILG458787 IVC458787 JEY458787 JOU458787 JYQ458787 KIM458787 KSI458787 LCE458787 LMA458787 LVW458787 MFS458787 MPO458787 MZK458787 NJG458787 NTC458787 OCY458787 OMU458787 OWQ458787 PGM458787 PQI458787 QAE458787 QKA458787 QTW458787 RDS458787 RNO458787 RXK458787 SHG458787 SRC458787 TAY458787 TKU458787 TUQ458787 UEM458787 UOI458787 UYE458787 VIA458787 VRW458787 WBS458787 WLO458787 WVK458787 C524323 IY524323 SU524323 ACQ524323 AMM524323 AWI524323 BGE524323 BQA524323 BZW524323 CJS524323 CTO524323 DDK524323 DNG524323 DXC524323 EGY524323 EQU524323 FAQ524323 FKM524323 FUI524323 GEE524323 GOA524323 GXW524323 HHS524323 HRO524323 IBK524323 ILG524323 IVC524323 JEY524323 JOU524323 JYQ524323 KIM524323 KSI524323 LCE524323 LMA524323 LVW524323 MFS524323 MPO524323 MZK524323 NJG524323 NTC524323 OCY524323 OMU524323 OWQ524323 PGM524323 PQI524323 QAE524323 QKA524323 QTW524323 RDS524323 RNO524323 RXK524323 SHG524323 SRC524323 TAY524323 TKU524323 TUQ524323 UEM524323 UOI524323 UYE524323 VIA524323 VRW524323 WBS524323 WLO524323 WVK524323 C589859 IY589859 SU589859 ACQ589859 AMM589859 AWI589859 BGE589859 BQA589859 BZW589859 CJS589859 CTO589859 DDK589859 DNG589859 DXC589859 EGY589859 EQU589859 FAQ589859 FKM589859 FUI589859 GEE589859 GOA589859 GXW589859 HHS589859 HRO589859 IBK589859 ILG589859 IVC589859 JEY589859 JOU589859 JYQ589859 KIM589859 KSI589859 LCE589859 LMA589859 LVW589859 MFS589859 MPO589859 MZK589859 NJG589859 NTC589859 OCY589859 OMU589859 OWQ589859 PGM589859 PQI589859 QAE589859 QKA589859 QTW589859 RDS589859 RNO589859 RXK589859 SHG589859 SRC589859 TAY589859 TKU589859 TUQ589859 UEM589859 UOI589859 UYE589859 VIA589859 VRW589859 WBS589859 WLO589859 WVK589859 C655395 IY655395 SU655395 ACQ655395 AMM655395 AWI655395 BGE655395 BQA655395 BZW655395 CJS655395 CTO655395 DDK655395 DNG655395 DXC655395 EGY655395 EQU655395 FAQ655395 FKM655395 FUI655395 GEE655395 GOA655395 GXW655395 HHS655395 HRO655395 IBK655395 ILG655395 IVC655395 JEY655395 JOU655395 JYQ655395 KIM655395 KSI655395 LCE655395 LMA655395 LVW655395 MFS655395 MPO655395 MZK655395 NJG655395 NTC655395 OCY655395 OMU655395 OWQ655395 PGM655395 PQI655395 QAE655395 QKA655395 QTW655395 RDS655395 RNO655395 RXK655395 SHG655395 SRC655395 TAY655395 TKU655395 TUQ655395 UEM655395 UOI655395 UYE655395 VIA655395 VRW655395 WBS655395 WLO655395 WVK655395 C720931 IY720931 SU720931 ACQ720931 AMM720931 AWI720931 BGE720931 BQA720931 BZW720931 CJS720931 CTO720931 DDK720931 DNG720931 DXC720931 EGY720931 EQU720931 FAQ720931 FKM720931 FUI720931 GEE720931 GOA720931 GXW720931 HHS720931 HRO720931 IBK720931 ILG720931 IVC720931 JEY720931 JOU720931 JYQ720931 KIM720931 KSI720931 LCE720931 LMA720931 LVW720931 MFS720931 MPO720931 MZK720931 NJG720931 NTC720931 OCY720931 OMU720931 OWQ720931 PGM720931 PQI720931 QAE720931 QKA720931 QTW720931 RDS720931 RNO720931 RXK720931 SHG720931 SRC720931 TAY720931 TKU720931 TUQ720931 UEM720931 UOI720931 UYE720931 VIA720931 VRW720931 WBS720931 WLO720931 WVK720931 C786467 IY786467 SU786467 ACQ786467 AMM786467 AWI786467 BGE786467 BQA786467 BZW786467 CJS786467 CTO786467 DDK786467 DNG786467 DXC786467 EGY786467 EQU786467 FAQ786467 FKM786467 FUI786467 GEE786467 GOA786467 GXW786467 HHS786467 HRO786467 IBK786467 ILG786467 IVC786467 JEY786467 JOU786467 JYQ786467 KIM786467 KSI786467 LCE786467 LMA786467 LVW786467 MFS786467 MPO786467 MZK786467 NJG786467 NTC786467 OCY786467 OMU786467 OWQ786467 PGM786467 PQI786467 QAE786467 QKA786467 QTW786467 RDS786467 RNO786467 RXK786467 SHG786467 SRC786467 TAY786467 TKU786467 TUQ786467 UEM786467 UOI786467 UYE786467 VIA786467 VRW786467 WBS786467 WLO786467 WVK786467 C852003 IY852003 SU852003 ACQ852003 AMM852003 AWI852003 BGE852003 BQA852003 BZW852003 CJS852003 CTO852003 DDK852003 DNG852003 DXC852003 EGY852003 EQU852003 FAQ852003 FKM852003 FUI852003 GEE852003 GOA852003 GXW852003 HHS852003 HRO852003 IBK852003 ILG852003 IVC852003 JEY852003 JOU852003 JYQ852003 KIM852003 KSI852003 LCE852003 LMA852003 LVW852003 MFS852003 MPO852003 MZK852003 NJG852003 NTC852003 OCY852003 OMU852003 OWQ852003 PGM852003 PQI852003 QAE852003 QKA852003 QTW852003 RDS852003 RNO852003 RXK852003 SHG852003 SRC852003 TAY852003 TKU852003 TUQ852003 UEM852003 UOI852003 UYE852003 VIA852003 VRW852003 WBS852003 WLO852003 WVK852003 C917539 IY917539 SU917539 ACQ917539 AMM917539 AWI917539 BGE917539 BQA917539 BZW917539 CJS917539 CTO917539 DDK917539 DNG917539 DXC917539 EGY917539 EQU917539 FAQ917539 FKM917539 FUI917539 GEE917539 GOA917539 GXW917539 HHS917539 HRO917539 IBK917539 ILG917539 IVC917539 JEY917539 JOU917539 JYQ917539 KIM917539 KSI917539 LCE917539 LMA917539 LVW917539 MFS917539 MPO917539 MZK917539 NJG917539 NTC917539 OCY917539 OMU917539 OWQ917539 PGM917539 PQI917539 QAE917539 QKA917539 QTW917539 RDS917539 RNO917539 RXK917539 SHG917539 SRC917539 TAY917539 TKU917539 TUQ917539 UEM917539 UOI917539 UYE917539 VIA917539 VRW917539 WBS917539 WLO917539 WVK917539 C983075 IY983075 SU983075 ACQ983075 AMM983075 AWI983075 BGE983075 BQA983075 BZW983075 CJS983075 CTO983075 DDK983075 DNG983075 DXC983075 EGY983075 EQU983075 FAQ983075 FKM983075 FUI983075 GEE983075 GOA983075 GXW983075 HHS983075 HRO983075 IBK983075 ILG983075 IVC983075 JEY983075 JOU983075 JYQ983075 KIM983075 KSI983075 LCE983075 LMA983075 LVW983075 MFS983075 MPO983075 MZK983075 NJG983075 NTC983075 OCY983075 OMU983075 OWQ983075 PGM983075 PQI983075 QAE983075 QKA983075 QTW983075 RDS983075 RNO983075 RXK983075 SHG983075 SRC983075 TAY983075 TKU983075 TUQ983075 UEM983075 UOI983075 UYE983075 VIA983075 VRW983075 WBS983075 WLO983075 WVK983075" xr:uid="{CC71CFFC-7924-4A39-BD43-5383E2F33924}">
      <formula1>alphacc</formula1>
    </dataValidation>
  </dataValidations>
  <pageMargins left="0.86614173228346458" right="0.78740157480314965" top="0.70866141732283472" bottom="0.39370078740157483" header="0.55118110236220474" footer="0.19685039370078741"/>
  <pageSetup paperSize="9" scale="70" orientation="portrait" r:id="rId1"/>
  <headerFooter>
    <oddFooter>&amp;L&amp;8&amp;Z&amp;F
&amp;F&amp;R&amp;8&amp;T &amp;D</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3F6F8-25AB-46B8-8681-41E38B2B9808}">
  <sheetPr>
    <pageSetUpPr fitToPage="1"/>
  </sheetPr>
  <dimension ref="A1:R116"/>
  <sheetViews>
    <sheetView showGridLines="0" view="pageBreakPreview" topLeftCell="A37" zoomScale="115" zoomScaleNormal="100" zoomScaleSheetLayoutView="115" workbookViewId="0">
      <selection activeCell="B73" sqref="B73"/>
    </sheetView>
  </sheetViews>
  <sheetFormatPr defaultColWidth="9.140625" defaultRowHeight="12.75"/>
  <cols>
    <col min="1" max="1" width="11" style="4" customWidth="1"/>
    <col min="2" max="3" width="12.5703125" style="4" customWidth="1"/>
    <col min="4" max="4" width="11" style="4" customWidth="1"/>
    <col min="5" max="5" width="8.42578125" style="4" customWidth="1"/>
    <col min="6" max="6" width="11.42578125" style="4" customWidth="1"/>
    <col min="7" max="7" width="1.85546875" style="4" customWidth="1"/>
    <col min="8" max="8" width="8.42578125" style="4" customWidth="1"/>
    <col min="9" max="9" width="11.42578125" style="4" customWidth="1"/>
    <col min="10" max="11" width="10.42578125" style="4" customWidth="1"/>
    <col min="12" max="12" width="10.5703125" style="4" customWidth="1"/>
    <col min="13" max="13" width="10" style="4" customWidth="1"/>
    <col min="14" max="14" width="11" style="4" bestFit="1" customWidth="1"/>
    <col min="15" max="15" width="12" style="4" customWidth="1"/>
    <col min="16" max="16" width="11.140625" style="4" customWidth="1"/>
    <col min="17" max="17" width="9.5703125" style="4" customWidth="1"/>
    <col min="18" max="18" width="10.42578125" style="4" customWidth="1"/>
    <col min="19" max="19" width="8.5703125" style="4" customWidth="1"/>
    <col min="20" max="20" width="11" style="4" customWidth="1"/>
    <col min="21" max="21" width="13.42578125" style="4" bestFit="1" customWidth="1"/>
    <col min="22" max="22" width="9.42578125" style="4" customWidth="1"/>
    <col min="23" max="23" width="7.5703125" style="4" customWidth="1"/>
    <col min="24" max="24" width="11.42578125" style="4" customWidth="1"/>
    <col min="25" max="25" width="9.42578125" style="4" customWidth="1"/>
    <col min="26" max="26" width="11.42578125" style="4" customWidth="1"/>
    <col min="27" max="27" width="13.42578125" style="4" bestFit="1" customWidth="1"/>
    <col min="28" max="28" width="5.5703125" style="4" bestFit="1" customWidth="1"/>
    <col min="29" max="29" width="19.5703125" style="4" bestFit="1" customWidth="1"/>
    <col min="30" max="30" width="1.42578125" style="4" customWidth="1"/>
    <col min="31" max="31" width="13.42578125" style="4" bestFit="1" customWidth="1"/>
    <col min="32" max="32" width="8.5703125" style="4" bestFit="1" customWidth="1"/>
    <col min="33" max="33" width="8.85546875" style="4" bestFit="1" customWidth="1"/>
    <col min="34" max="256" width="9.140625" style="4"/>
    <col min="257" max="257" width="11" style="4" customWidth="1"/>
    <col min="258" max="259" width="12.5703125" style="4" customWidth="1"/>
    <col min="260" max="260" width="11" style="4" customWidth="1"/>
    <col min="261" max="261" width="8.42578125" style="4" customWidth="1"/>
    <col min="262" max="262" width="11.42578125" style="4" customWidth="1"/>
    <col min="263" max="263" width="1.85546875" style="4" customWidth="1"/>
    <col min="264" max="264" width="8.42578125" style="4" customWidth="1"/>
    <col min="265" max="265" width="11.42578125" style="4" customWidth="1"/>
    <col min="266" max="267" width="10.42578125" style="4" customWidth="1"/>
    <col min="268" max="268" width="10.5703125" style="4" customWidth="1"/>
    <col min="269" max="269" width="10" style="4" customWidth="1"/>
    <col min="270" max="270" width="11" style="4" bestFit="1" customWidth="1"/>
    <col min="271" max="271" width="12" style="4" customWidth="1"/>
    <col min="272" max="272" width="11.140625" style="4" customWidth="1"/>
    <col min="273" max="273" width="9.5703125" style="4" customWidth="1"/>
    <col min="274" max="274" width="10.42578125" style="4" customWidth="1"/>
    <col min="275" max="275" width="8.5703125" style="4" customWidth="1"/>
    <col min="276" max="276" width="11" style="4" customWidth="1"/>
    <col min="277" max="277" width="13.42578125" style="4" bestFit="1" customWidth="1"/>
    <col min="278" max="278" width="9.42578125" style="4" customWidth="1"/>
    <col min="279" max="279" width="7.5703125" style="4" customWidth="1"/>
    <col min="280" max="280" width="11.42578125" style="4" customWidth="1"/>
    <col min="281" max="281" width="9.42578125" style="4" customWidth="1"/>
    <col min="282" max="282" width="11.42578125" style="4" customWidth="1"/>
    <col min="283" max="283" width="13.42578125" style="4" bestFit="1" customWidth="1"/>
    <col min="284" max="284" width="5.5703125" style="4" bestFit="1" customWidth="1"/>
    <col min="285" max="285" width="19.5703125" style="4" bestFit="1" customWidth="1"/>
    <col min="286" max="286" width="1.42578125" style="4" customWidth="1"/>
    <col min="287" max="287" width="13.42578125" style="4" bestFit="1" customWidth="1"/>
    <col min="288" max="288" width="8.5703125" style="4" bestFit="1" customWidth="1"/>
    <col min="289" max="289" width="8.85546875" style="4" bestFit="1" customWidth="1"/>
    <col min="290" max="512" width="9.140625" style="4"/>
    <col min="513" max="513" width="11" style="4" customWidth="1"/>
    <col min="514" max="515" width="12.5703125" style="4" customWidth="1"/>
    <col min="516" max="516" width="11" style="4" customWidth="1"/>
    <col min="517" max="517" width="8.42578125" style="4" customWidth="1"/>
    <col min="518" max="518" width="11.42578125" style="4" customWidth="1"/>
    <col min="519" max="519" width="1.85546875" style="4" customWidth="1"/>
    <col min="520" max="520" width="8.42578125" style="4" customWidth="1"/>
    <col min="521" max="521" width="11.42578125" style="4" customWidth="1"/>
    <col min="522" max="523" width="10.42578125" style="4" customWidth="1"/>
    <col min="524" max="524" width="10.5703125" style="4" customWidth="1"/>
    <col min="525" max="525" width="10" style="4" customWidth="1"/>
    <col min="526" max="526" width="11" style="4" bestFit="1" customWidth="1"/>
    <col min="527" max="527" width="12" style="4" customWidth="1"/>
    <col min="528" max="528" width="11.140625" style="4" customWidth="1"/>
    <col min="529" max="529" width="9.5703125" style="4" customWidth="1"/>
    <col min="530" max="530" width="10.42578125" style="4" customWidth="1"/>
    <col min="531" max="531" width="8.5703125" style="4" customWidth="1"/>
    <col min="532" max="532" width="11" style="4" customWidth="1"/>
    <col min="533" max="533" width="13.42578125" style="4" bestFit="1" customWidth="1"/>
    <col min="534" max="534" width="9.42578125" style="4" customWidth="1"/>
    <col min="535" max="535" width="7.5703125" style="4" customWidth="1"/>
    <col min="536" max="536" width="11.42578125" style="4" customWidth="1"/>
    <col min="537" max="537" width="9.42578125" style="4" customWidth="1"/>
    <col min="538" max="538" width="11.42578125" style="4" customWidth="1"/>
    <col min="539" max="539" width="13.42578125" style="4" bestFit="1" customWidth="1"/>
    <col min="540" max="540" width="5.5703125" style="4" bestFit="1" customWidth="1"/>
    <col min="541" max="541" width="19.5703125" style="4" bestFit="1" customWidth="1"/>
    <col min="542" max="542" width="1.42578125" style="4" customWidth="1"/>
    <col min="543" max="543" width="13.42578125" style="4" bestFit="1" customWidth="1"/>
    <col min="544" max="544" width="8.5703125" style="4" bestFit="1" customWidth="1"/>
    <col min="545" max="545" width="8.85546875" style="4" bestFit="1" customWidth="1"/>
    <col min="546" max="768" width="9.140625" style="4"/>
    <col min="769" max="769" width="11" style="4" customWidth="1"/>
    <col min="770" max="771" width="12.5703125" style="4" customWidth="1"/>
    <col min="772" max="772" width="11" style="4" customWidth="1"/>
    <col min="773" max="773" width="8.42578125" style="4" customWidth="1"/>
    <col min="774" max="774" width="11.42578125" style="4" customWidth="1"/>
    <col min="775" max="775" width="1.85546875" style="4" customWidth="1"/>
    <col min="776" max="776" width="8.42578125" style="4" customWidth="1"/>
    <col min="777" max="777" width="11.42578125" style="4" customWidth="1"/>
    <col min="778" max="779" width="10.42578125" style="4" customWidth="1"/>
    <col min="780" max="780" width="10.5703125" style="4" customWidth="1"/>
    <col min="781" max="781" width="10" style="4" customWidth="1"/>
    <col min="782" max="782" width="11" style="4" bestFit="1" customWidth="1"/>
    <col min="783" max="783" width="12" style="4" customWidth="1"/>
    <col min="784" max="784" width="11.140625" style="4" customWidth="1"/>
    <col min="785" max="785" width="9.5703125" style="4" customWidth="1"/>
    <col min="786" max="786" width="10.42578125" style="4" customWidth="1"/>
    <col min="787" max="787" width="8.5703125" style="4" customWidth="1"/>
    <col min="788" max="788" width="11" style="4" customWidth="1"/>
    <col min="789" max="789" width="13.42578125" style="4" bestFit="1" customWidth="1"/>
    <col min="790" max="790" width="9.42578125" style="4" customWidth="1"/>
    <col min="791" max="791" width="7.5703125" style="4" customWidth="1"/>
    <col min="792" max="792" width="11.42578125" style="4" customWidth="1"/>
    <col min="793" max="793" width="9.42578125" style="4" customWidth="1"/>
    <col min="794" max="794" width="11.42578125" style="4" customWidth="1"/>
    <col min="795" max="795" width="13.42578125" style="4" bestFit="1" customWidth="1"/>
    <col min="796" max="796" width="5.5703125" style="4" bestFit="1" customWidth="1"/>
    <col min="797" max="797" width="19.5703125" style="4" bestFit="1" customWidth="1"/>
    <col min="798" max="798" width="1.42578125" style="4" customWidth="1"/>
    <col min="799" max="799" width="13.42578125" style="4" bestFit="1" customWidth="1"/>
    <col min="800" max="800" width="8.5703125" style="4" bestFit="1" customWidth="1"/>
    <col min="801" max="801" width="8.85546875" style="4" bestFit="1" customWidth="1"/>
    <col min="802" max="1024" width="9.140625" style="4"/>
    <col min="1025" max="1025" width="11" style="4" customWidth="1"/>
    <col min="1026" max="1027" width="12.5703125" style="4" customWidth="1"/>
    <col min="1028" max="1028" width="11" style="4" customWidth="1"/>
    <col min="1029" max="1029" width="8.42578125" style="4" customWidth="1"/>
    <col min="1030" max="1030" width="11.42578125" style="4" customWidth="1"/>
    <col min="1031" max="1031" width="1.85546875" style="4" customWidth="1"/>
    <col min="1032" max="1032" width="8.42578125" style="4" customWidth="1"/>
    <col min="1033" max="1033" width="11.42578125" style="4" customWidth="1"/>
    <col min="1034" max="1035" width="10.42578125" style="4" customWidth="1"/>
    <col min="1036" max="1036" width="10.5703125" style="4" customWidth="1"/>
    <col min="1037" max="1037" width="10" style="4" customWidth="1"/>
    <col min="1038" max="1038" width="11" style="4" bestFit="1" customWidth="1"/>
    <col min="1039" max="1039" width="12" style="4" customWidth="1"/>
    <col min="1040" max="1040" width="11.140625" style="4" customWidth="1"/>
    <col min="1041" max="1041" width="9.5703125" style="4" customWidth="1"/>
    <col min="1042" max="1042" width="10.42578125" style="4" customWidth="1"/>
    <col min="1043" max="1043" width="8.5703125" style="4" customWidth="1"/>
    <col min="1044" max="1044" width="11" style="4" customWidth="1"/>
    <col min="1045" max="1045" width="13.42578125" style="4" bestFit="1" customWidth="1"/>
    <col min="1046" max="1046" width="9.42578125" style="4" customWidth="1"/>
    <col min="1047" max="1047" width="7.5703125" style="4" customWidth="1"/>
    <col min="1048" max="1048" width="11.42578125" style="4" customWidth="1"/>
    <col min="1049" max="1049" width="9.42578125" style="4" customWidth="1"/>
    <col min="1050" max="1050" width="11.42578125" style="4" customWidth="1"/>
    <col min="1051" max="1051" width="13.42578125" style="4" bestFit="1" customWidth="1"/>
    <col min="1052" max="1052" width="5.5703125" style="4" bestFit="1" customWidth="1"/>
    <col min="1053" max="1053" width="19.5703125" style="4" bestFit="1" customWidth="1"/>
    <col min="1054" max="1054" width="1.42578125" style="4" customWidth="1"/>
    <col min="1055" max="1055" width="13.42578125" style="4" bestFit="1" customWidth="1"/>
    <col min="1056" max="1056" width="8.5703125" style="4" bestFit="1" customWidth="1"/>
    <col min="1057" max="1057" width="8.85546875" style="4" bestFit="1" customWidth="1"/>
    <col min="1058" max="1280" width="9.140625" style="4"/>
    <col min="1281" max="1281" width="11" style="4" customWidth="1"/>
    <col min="1282" max="1283" width="12.5703125" style="4" customWidth="1"/>
    <col min="1284" max="1284" width="11" style="4" customWidth="1"/>
    <col min="1285" max="1285" width="8.42578125" style="4" customWidth="1"/>
    <col min="1286" max="1286" width="11.42578125" style="4" customWidth="1"/>
    <col min="1287" max="1287" width="1.85546875" style="4" customWidth="1"/>
    <col min="1288" max="1288" width="8.42578125" style="4" customWidth="1"/>
    <col min="1289" max="1289" width="11.42578125" style="4" customWidth="1"/>
    <col min="1290" max="1291" width="10.42578125" style="4" customWidth="1"/>
    <col min="1292" max="1292" width="10.5703125" style="4" customWidth="1"/>
    <col min="1293" max="1293" width="10" style="4" customWidth="1"/>
    <col min="1294" max="1294" width="11" style="4" bestFit="1" customWidth="1"/>
    <col min="1295" max="1295" width="12" style="4" customWidth="1"/>
    <col min="1296" max="1296" width="11.140625" style="4" customWidth="1"/>
    <col min="1297" max="1297" width="9.5703125" style="4" customWidth="1"/>
    <col min="1298" max="1298" width="10.42578125" style="4" customWidth="1"/>
    <col min="1299" max="1299" width="8.5703125" style="4" customWidth="1"/>
    <col min="1300" max="1300" width="11" style="4" customWidth="1"/>
    <col min="1301" max="1301" width="13.42578125" style="4" bestFit="1" customWidth="1"/>
    <col min="1302" max="1302" width="9.42578125" style="4" customWidth="1"/>
    <col min="1303" max="1303" width="7.5703125" style="4" customWidth="1"/>
    <col min="1304" max="1304" width="11.42578125" style="4" customWidth="1"/>
    <col min="1305" max="1305" width="9.42578125" style="4" customWidth="1"/>
    <col min="1306" max="1306" width="11.42578125" style="4" customWidth="1"/>
    <col min="1307" max="1307" width="13.42578125" style="4" bestFit="1" customWidth="1"/>
    <col min="1308" max="1308" width="5.5703125" style="4" bestFit="1" customWidth="1"/>
    <col min="1309" max="1309" width="19.5703125" style="4" bestFit="1" customWidth="1"/>
    <col min="1310" max="1310" width="1.42578125" style="4" customWidth="1"/>
    <col min="1311" max="1311" width="13.42578125" style="4" bestFit="1" customWidth="1"/>
    <col min="1312" max="1312" width="8.5703125" style="4" bestFit="1" customWidth="1"/>
    <col min="1313" max="1313" width="8.85546875" style="4" bestFit="1" customWidth="1"/>
    <col min="1314" max="1536" width="9.140625" style="4"/>
    <col min="1537" max="1537" width="11" style="4" customWidth="1"/>
    <col min="1538" max="1539" width="12.5703125" style="4" customWidth="1"/>
    <col min="1540" max="1540" width="11" style="4" customWidth="1"/>
    <col min="1541" max="1541" width="8.42578125" style="4" customWidth="1"/>
    <col min="1542" max="1542" width="11.42578125" style="4" customWidth="1"/>
    <col min="1543" max="1543" width="1.85546875" style="4" customWidth="1"/>
    <col min="1544" max="1544" width="8.42578125" style="4" customWidth="1"/>
    <col min="1545" max="1545" width="11.42578125" style="4" customWidth="1"/>
    <col min="1546" max="1547" width="10.42578125" style="4" customWidth="1"/>
    <col min="1548" max="1548" width="10.5703125" style="4" customWidth="1"/>
    <col min="1549" max="1549" width="10" style="4" customWidth="1"/>
    <col min="1550" max="1550" width="11" style="4" bestFit="1" customWidth="1"/>
    <col min="1551" max="1551" width="12" style="4" customWidth="1"/>
    <col min="1552" max="1552" width="11.140625" style="4" customWidth="1"/>
    <col min="1553" max="1553" width="9.5703125" style="4" customWidth="1"/>
    <col min="1554" max="1554" width="10.42578125" style="4" customWidth="1"/>
    <col min="1555" max="1555" width="8.5703125" style="4" customWidth="1"/>
    <col min="1556" max="1556" width="11" style="4" customWidth="1"/>
    <col min="1557" max="1557" width="13.42578125" style="4" bestFit="1" customWidth="1"/>
    <col min="1558" max="1558" width="9.42578125" style="4" customWidth="1"/>
    <col min="1559" max="1559" width="7.5703125" style="4" customWidth="1"/>
    <col min="1560" max="1560" width="11.42578125" style="4" customWidth="1"/>
    <col min="1561" max="1561" width="9.42578125" style="4" customWidth="1"/>
    <col min="1562" max="1562" width="11.42578125" style="4" customWidth="1"/>
    <col min="1563" max="1563" width="13.42578125" style="4" bestFit="1" customWidth="1"/>
    <col min="1564" max="1564" width="5.5703125" style="4" bestFit="1" customWidth="1"/>
    <col min="1565" max="1565" width="19.5703125" style="4" bestFit="1" customWidth="1"/>
    <col min="1566" max="1566" width="1.42578125" style="4" customWidth="1"/>
    <col min="1567" max="1567" width="13.42578125" style="4" bestFit="1" customWidth="1"/>
    <col min="1568" max="1568" width="8.5703125" style="4" bestFit="1" customWidth="1"/>
    <col min="1569" max="1569" width="8.85546875" style="4" bestFit="1" customWidth="1"/>
    <col min="1570" max="1792" width="9.140625" style="4"/>
    <col min="1793" max="1793" width="11" style="4" customWidth="1"/>
    <col min="1794" max="1795" width="12.5703125" style="4" customWidth="1"/>
    <col min="1796" max="1796" width="11" style="4" customWidth="1"/>
    <col min="1797" max="1797" width="8.42578125" style="4" customWidth="1"/>
    <col min="1798" max="1798" width="11.42578125" style="4" customWidth="1"/>
    <col min="1799" max="1799" width="1.85546875" style="4" customWidth="1"/>
    <col min="1800" max="1800" width="8.42578125" style="4" customWidth="1"/>
    <col min="1801" max="1801" width="11.42578125" style="4" customWidth="1"/>
    <col min="1802" max="1803" width="10.42578125" style="4" customWidth="1"/>
    <col min="1804" max="1804" width="10.5703125" style="4" customWidth="1"/>
    <col min="1805" max="1805" width="10" style="4" customWidth="1"/>
    <col min="1806" max="1806" width="11" style="4" bestFit="1" customWidth="1"/>
    <col min="1807" max="1807" width="12" style="4" customWidth="1"/>
    <col min="1808" max="1808" width="11.140625" style="4" customWidth="1"/>
    <col min="1809" max="1809" width="9.5703125" style="4" customWidth="1"/>
    <col min="1810" max="1810" width="10.42578125" style="4" customWidth="1"/>
    <col min="1811" max="1811" width="8.5703125" style="4" customWidth="1"/>
    <col min="1812" max="1812" width="11" style="4" customWidth="1"/>
    <col min="1813" max="1813" width="13.42578125" style="4" bestFit="1" customWidth="1"/>
    <col min="1814" max="1814" width="9.42578125" style="4" customWidth="1"/>
    <col min="1815" max="1815" width="7.5703125" style="4" customWidth="1"/>
    <col min="1816" max="1816" width="11.42578125" style="4" customWidth="1"/>
    <col min="1817" max="1817" width="9.42578125" style="4" customWidth="1"/>
    <col min="1818" max="1818" width="11.42578125" style="4" customWidth="1"/>
    <col min="1819" max="1819" width="13.42578125" style="4" bestFit="1" customWidth="1"/>
    <col min="1820" max="1820" width="5.5703125" style="4" bestFit="1" customWidth="1"/>
    <col min="1821" max="1821" width="19.5703125" style="4" bestFit="1" customWidth="1"/>
    <col min="1822" max="1822" width="1.42578125" style="4" customWidth="1"/>
    <col min="1823" max="1823" width="13.42578125" style="4" bestFit="1" customWidth="1"/>
    <col min="1824" max="1824" width="8.5703125" style="4" bestFit="1" customWidth="1"/>
    <col min="1825" max="1825" width="8.85546875" style="4" bestFit="1" customWidth="1"/>
    <col min="1826" max="2048" width="9.140625" style="4"/>
    <col min="2049" max="2049" width="11" style="4" customWidth="1"/>
    <col min="2050" max="2051" width="12.5703125" style="4" customWidth="1"/>
    <col min="2052" max="2052" width="11" style="4" customWidth="1"/>
    <col min="2053" max="2053" width="8.42578125" style="4" customWidth="1"/>
    <col min="2054" max="2054" width="11.42578125" style="4" customWidth="1"/>
    <col min="2055" max="2055" width="1.85546875" style="4" customWidth="1"/>
    <col min="2056" max="2056" width="8.42578125" style="4" customWidth="1"/>
    <col min="2057" max="2057" width="11.42578125" style="4" customWidth="1"/>
    <col min="2058" max="2059" width="10.42578125" style="4" customWidth="1"/>
    <col min="2060" max="2060" width="10.5703125" style="4" customWidth="1"/>
    <col min="2061" max="2061" width="10" style="4" customWidth="1"/>
    <col min="2062" max="2062" width="11" style="4" bestFit="1" customWidth="1"/>
    <col min="2063" max="2063" width="12" style="4" customWidth="1"/>
    <col min="2064" max="2064" width="11.140625" style="4" customWidth="1"/>
    <col min="2065" max="2065" width="9.5703125" style="4" customWidth="1"/>
    <col min="2066" max="2066" width="10.42578125" style="4" customWidth="1"/>
    <col min="2067" max="2067" width="8.5703125" style="4" customWidth="1"/>
    <col min="2068" max="2068" width="11" style="4" customWidth="1"/>
    <col min="2069" max="2069" width="13.42578125" style="4" bestFit="1" customWidth="1"/>
    <col min="2070" max="2070" width="9.42578125" style="4" customWidth="1"/>
    <col min="2071" max="2071" width="7.5703125" style="4" customWidth="1"/>
    <col min="2072" max="2072" width="11.42578125" style="4" customWidth="1"/>
    <col min="2073" max="2073" width="9.42578125" style="4" customWidth="1"/>
    <col min="2074" max="2074" width="11.42578125" style="4" customWidth="1"/>
    <col min="2075" max="2075" width="13.42578125" style="4" bestFit="1" customWidth="1"/>
    <col min="2076" max="2076" width="5.5703125" style="4" bestFit="1" customWidth="1"/>
    <col min="2077" max="2077" width="19.5703125" style="4" bestFit="1" customWidth="1"/>
    <col min="2078" max="2078" width="1.42578125" style="4" customWidth="1"/>
    <col min="2079" max="2079" width="13.42578125" style="4" bestFit="1" customWidth="1"/>
    <col min="2080" max="2080" width="8.5703125" style="4" bestFit="1" customWidth="1"/>
    <col min="2081" max="2081" width="8.85546875" style="4" bestFit="1" customWidth="1"/>
    <col min="2082" max="2304" width="9.140625" style="4"/>
    <col min="2305" max="2305" width="11" style="4" customWidth="1"/>
    <col min="2306" max="2307" width="12.5703125" style="4" customWidth="1"/>
    <col min="2308" max="2308" width="11" style="4" customWidth="1"/>
    <col min="2309" max="2309" width="8.42578125" style="4" customWidth="1"/>
    <col min="2310" max="2310" width="11.42578125" style="4" customWidth="1"/>
    <col min="2311" max="2311" width="1.85546875" style="4" customWidth="1"/>
    <col min="2312" max="2312" width="8.42578125" style="4" customWidth="1"/>
    <col min="2313" max="2313" width="11.42578125" style="4" customWidth="1"/>
    <col min="2314" max="2315" width="10.42578125" style="4" customWidth="1"/>
    <col min="2316" max="2316" width="10.5703125" style="4" customWidth="1"/>
    <col min="2317" max="2317" width="10" style="4" customWidth="1"/>
    <col min="2318" max="2318" width="11" style="4" bestFit="1" customWidth="1"/>
    <col min="2319" max="2319" width="12" style="4" customWidth="1"/>
    <col min="2320" max="2320" width="11.140625" style="4" customWidth="1"/>
    <col min="2321" max="2321" width="9.5703125" style="4" customWidth="1"/>
    <col min="2322" max="2322" width="10.42578125" style="4" customWidth="1"/>
    <col min="2323" max="2323" width="8.5703125" style="4" customWidth="1"/>
    <col min="2324" max="2324" width="11" style="4" customWidth="1"/>
    <col min="2325" max="2325" width="13.42578125" style="4" bestFit="1" customWidth="1"/>
    <col min="2326" max="2326" width="9.42578125" style="4" customWidth="1"/>
    <col min="2327" max="2327" width="7.5703125" style="4" customWidth="1"/>
    <col min="2328" max="2328" width="11.42578125" style="4" customWidth="1"/>
    <col min="2329" max="2329" width="9.42578125" style="4" customWidth="1"/>
    <col min="2330" max="2330" width="11.42578125" style="4" customWidth="1"/>
    <col min="2331" max="2331" width="13.42578125" style="4" bestFit="1" customWidth="1"/>
    <col min="2332" max="2332" width="5.5703125" style="4" bestFit="1" customWidth="1"/>
    <col min="2333" max="2333" width="19.5703125" style="4" bestFit="1" customWidth="1"/>
    <col min="2334" max="2334" width="1.42578125" style="4" customWidth="1"/>
    <col min="2335" max="2335" width="13.42578125" style="4" bestFit="1" customWidth="1"/>
    <col min="2336" max="2336" width="8.5703125" style="4" bestFit="1" customWidth="1"/>
    <col min="2337" max="2337" width="8.85546875" style="4" bestFit="1" customWidth="1"/>
    <col min="2338" max="2560" width="9.140625" style="4"/>
    <col min="2561" max="2561" width="11" style="4" customWidth="1"/>
    <col min="2562" max="2563" width="12.5703125" style="4" customWidth="1"/>
    <col min="2564" max="2564" width="11" style="4" customWidth="1"/>
    <col min="2565" max="2565" width="8.42578125" style="4" customWidth="1"/>
    <col min="2566" max="2566" width="11.42578125" style="4" customWidth="1"/>
    <col min="2567" max="2567" width="1.85546875" style="4" customWidth="1"/>
    <col min="2568" max="2568" width="8.42578125" style="4" customWidth="1"/>
    <col min="2569" max="2569" width="11.42578125" style="4" customWidth="1"/>
    <col min="2570" max="2571" width="10.42578125" style="4" customWidth="1"/>
    <col min="2572" max="2572" width="10.5703125" style="4" customWidth="1"/>
    <col min="2573" max="2573" width="10" style="4" customWidth="1"/>
    <col min="2574" max="2574" width="11" style="4" bestFit="1" customWidth="1"/>
    <col min="2575" max="2575" width="12" style="4" customWidth="1"/>
    <col min="2576" max="2576" width="11.140625" style="4" customWidth="1"/>
    <col min="2577" max="2577" width="9.5703125" style="4" customWidth="1"/>
    <col min="2578" max="2578" width="10.42578125" style="4" customWidth="1"/>
    <col min="2579" max="2579" width="8.5703125" style="4" customWidth="1"/>
    <col min="2580" max="2580" width="11" style="4" customWidth="1"/>
    <col min="2581" max="2581" width="13.42578125" style="4" bestFit="1" customWidth="1"/>
    <col min="2582" max="2582" width="9.42578125" style="4" customWidth="1"/>
    <col min="2583" max="2583" width="7.5703125" style="4" customWidth="1"/>
    <col min="2584" max="2584" width="11.42578125" style="4" customWidth="1"/>
    <col min="2585" max="2585" width="9.42578125" style="4" customWidth="1"/>
    <col min="2586" max="2586" width="11.42578125" style="4" customWidth="1"/>
    <col min="2587" max="2587" width="13.42578125" style="4" bestFit="1" customWidth="1"/>
    <col min="2588" max="2588" width="5.5703125" style="4" bestFit="1" customWidth="1"/>
    <col min="2589" max="2589" width="19.5703125" style="4" bestFit="1" customWidth="1"/>
    <col min="2590" max="2590" width="1.42578125" style="4" customWidth="1"/>
    <col min="2591" max="2591" width="13.42578125" style="4" bestFit="1" customWidth="1"/>
    <col min="2592" max="2592" width="8.5703125" style="4" bestFit="1" customWidth="1"/>
    <col min="2593" max="2593" width="8.85546875" style="4" bestFit="1" customWidth="1"/>
    <col min="2594" max="2816" width="9.140625" style="4"/>
    <col min="2817" max="2817" width="11" style="4" customWidth="1"/>
    <col min="2818" max="2819" width="12.5703125" style="4" customWidth="1"/>
    <col min="2820" max="2820" width="11" style="4" customWidth="1"/>
    <col min="2821" max="2821" width="8.42578125" style="4" customWidth="1"/>
    <col min="2822" max="2822" width="11.42578125" style="4" customWidth="1"/>
    <col min="2823" max="2823" width="1.85546875" style="4" customWidth="1"/>
    <col min="2824" max="2824" width="8.42578125" style="4" customWidth="1"/>
    <col min="2825" max="2825" width="11.42578125" style="4" customWidth="1"/>
    <col min="2826" max="2827" width="10.42578125" style="4" customWidth="1"/>
    <col min="2828" max="2828" width="10.5703125" style="4" customWidth="1"/>
    <col min="2829" max="2829" width="10" style="4" customWidth="1"/>
    <col min="2830" max="2830" width="11" style="4" bestFit="1" customWidth="1"/>
    <col min="2831" max="2831" width="12" style="4" customWidth="1"/>
    <col min="2832" max="2832" width="11.140625" style="4" customWidth="1"/>
    <col min="2833" max="2833" width="9.5703125" style="4" customWidth="1"/>
    <col min="2834" max="2834" width="10.42578125" style="4" customWidth="1"/>
    <col min="2835" max="2835" width="8.5703125" style="4" customWidth="1"/>
    <col min="2836" max="2836" width="11" style="4" customWidth="1"/>
    <col min="2837" max="2837" width="13.42578125" style="4" bestFit="1" customWidth="1"/>
    <col min="2838" max="2838" width="9.42578125" style="4" customWidth="1"/>
    <col min="2839" max="2839" width="7.5703125" style="4" customWidth="1"/>
    <col min="2840" max="2840" width="11.42578125" style="4" customWidth="1"/>
    <col min="2841" max="2841" width="9.42578125" style="4" customWidth="1"/>
    <col min="2842" max="2842" width="11.42578125" style="4" customWidth="1"/>
    <col min="2843" max="2843" width="13.42578125" style="4" bestFit="1" customWidth="1"/>
    <col min="2844" max="2844" width="5.5703125" style="4" bestFit="1" customWidth="1"/>
    <col min="2845" max="2845" width="19.5703125" style="4" bestFit="1" customWidth="1"/>
    <col min="2846" max="2846" width="1.42578125" style="4" customWidth="1"/>
    <col min="2847" max="2847" width="13.42578125" style="4" bestFit="1" customWidth="1"/>
    <col min="2848" max="2848" width="8.5703125" style="4" bestFit="1" customWidth="1"/>
    <col min="2849" max="2849" width="8.85546875" style="4" bestFit="1" customWidth="1"/>
    <col min="2850" max="3072" width="9.140625" style="4"/>
    <col min="3073" max="3073" width="11" style="4" customWidth="1"/>
    <col min="3074" max="3075" width="12.5703125" style="4" customWidth="1"/>
    <col min="3076" max="3076" width="11" style="4" customWidth="1"/>
    <col min="3077" max="3077" width="8.42578125" style="4" customWidth="1"/>
    <col min="3078" max="3078" width="11.42578125" style="4" customWidth="1"/>
    <col min="3079" max="3079" width="1.85546875" style="4" customWidth="1"/>
    <col min="3080" max="3080" width="8.42578125" style="4" customWidth="1"/>
    <col min="3081" max="3081" width="11.42578125" style="4" customWidth="1"/>
    <col min="3082" max="3083" width="10.42578125" style="4" customWidth="1"/>
    <col min="3084" max="3084" width="10.5703125" style="4" customWidth="1"/>
    <col min="3085" max="3085" width="10" style="4" customWidth="1"/>
    <col min="3086" max="3086" width="11" style="4" bestFit="1" customWidth="1"/>
    <col min="3087" max="3087" width="12" style="4" customWidth="1"/>
    <col min="3088" max="3088" width="11.140625" style="4" customWidth="1"/>
    <col min="3089" max="3089" width="9.5703125" style="4" customWidth="1"/>
    <col min="3090" max="3090" width="10.42578125" style="4" customWidth="1"/>
    <col min="3091" max="3091" width="8.5703125" style="4" customWidth="1"/>
    <col min="3092" max="3092" width="11" style="4" customWidth="1"/>
    <col min="3093" max="3093" width="13.42578125" style="4" bestFit="1" customWidth="1"/>
    <col min="3094" max="3094" width="9.42578125" style="4" customWidth="1"/>
    <col min="3095" max="3095" width="7.5703125" style="4" customWidth="1"/>
    <col min="3096" max="3096" width="11.42578125" style="4" customWidth="1"/>
    <col min="3097" max="3097" width="9.42578125" style="4" customWidth="1"/>
    <col min="3098" max="3098" width="11.42578125" style="4" customWidth="1"/>
    <col min="3099" max="3099" width="13.42578125" style="4" bestFit="1" customWidth="1"/>
    <col min="3100" max="3100" width="5.5703125" style="4" bestFit="1" customWidth="1"/>
    <col min="3101" max="3101" width="19.5703125" style="4" bestFit="1" customWidth="1"/>
    <col min="3102" max="3102" width="1.42578125" style="4" customWidth="1"/>
    <col min="3103" max="3103" width="13.42578125" style="4" bestFit="1" customWidth="1"/>
    <col min="3104" max="3104" width="8.5703125" style="4" bestFit="1" customWidth="1"/>
    <col min="3105" max="3105" width="8.85546875" style="4" bestFit="1" customWidth="1"/>
    <col min="3106" max="3328" width="9.140625" style="4"/>
    <col min="3329" max="3329" width="11" style="4" customWidth="1"/>
    <col min="3330" max="3331" width="12.5703125" style="4" customWidth="1"/>
    <col min="3332" max="3332" width="11" style="4" customWidth="1"/>
    <col min="3333" max="3333" width="8.42578125" style="4" customWidth="1"/>
    <col min="3334" max="3334" width="11.42578125" style="4" customWidth="1"/>
    <col min="3335" max="3335" width="1.85546875" style="4" customWidth="1"/>
    <col min="3336" max="3336" width="8.42578125" style="4" customWidth="1"/>
    <col min="3337" max="3337" width="11.42578125" style="4" customWidth="1"/>
    <col min="3338" max="3339" width="10.42578125" style="4" customWidth="1"/>
    <col min="3340" max="3340" width="10.5703125" style="4" customWidth="1"/>
    <col min="3341" max="3341" width="10" style="4" customWidth="1"/>
    <col min="3342" max="3342" width="11" style="4" bestFit="1" customWidth="1"/>
    <col min="3343" max="3343" width="12" style="4" customWidth="1"/>
    <col min="3344" max="3344" width="11.140625" style="4" customWidth="1"/>
    <col min="3345" max="3345" width="9.5703125" style="4" customWidth="1"/>
    <col min="3346" max="3346" width="10.42578125" style="4" customWidth="1"/>
    <col min="3347" max="3347" width="8.5703125" style="4" customWidth="1"/>
    <col min="3348" max="3348" width="11" style="4" customWidth="1"/>
    <col min="3349" max="3349" width="13.42578125" style="4" bestFit="1" customWidth="1"/>
    <col min="3350" max="3350" width="9.42578125" style="4" customWidth="1"/>
    <col min="3351" max="3351" width="7.5703125" style="4" customWidth="1"/>
    <col min="3352" max="3352" width="11.42578125" style="4" customWidth="1"/>
    <col min="3353" max="3353" width="9.42578125" style="4" customWidth="1"/>
    <col min="3354" max="3354" width="11.42578125" style="4" customWidth="1"/>
    <col min="3355" max="3355" width="13.42578125" style="4" bestFit="1" customWidth="1"/>
    <col min="3356" max="3356" width="5.5703125" style="4" bestFit="1" customWidth="1"/>
    <col min="3357" max="3357" width="19.5703125" style="4" bestFit="1" customWidth="1"/>
    <col min="3358" max="3358" width="1.42578125" style="4" customWidth="1"/>
    <col min="3359" max="3359" width="13.42578125" style="4" bestFit="1" customWidth="1"/>
    <col min="3360" max="3360" width="8.5703125" style="4" bestFit="1" customWidth="1"/>
    <col min="3361" max="3361" width="8.85546875" style="4" bestFit="1" customWidth="1"/>
    <col min="3362" max="3584" width="9.140625" style="4"/>
    <col min="3585" max="3585" width="11" style="4" customWidth="1"/>
    <col min="3586" max="3587" width="12.5703125" style="4" customWidth="1"/>
    <col min="3588" max="3588" width="11" style="4" customWidth="1"/>
    <col min="3589" max="3589" width="8.42578125" style="4" customWidth="1"/>
    <col min="3590" max="3590" width="11.42578125" style="4" customWidth="1"/>
    <col min="3591" max="3591" width="1.85546875" style="4" customWidth="1"/>
    <col min="3592" max="3592" width="8.42578125" style="4" customWidth="1"/>
    <col min="3593" max="3593" width="11.42578125" style="4" customWidth="1"/>
    <col min="3594" max="3595" width="10.42578125" style="4" customWidth="1"/>
    <col min="3596" max="3596" width="10.5703125" style="4" customWidth="1"/>
    <col min="3597" max="3597" width="10" style="4" customWidth="1"/>
    <col min="3598" max="3598" width="11" style="4" bestFit="1" customWidth="1"/>
    <col min="3599" max="3599" width="12" style="4" customWidth="1"/>
    <col min="3600" max="3600" width="11.140625" style="4" customWidth="1"/>
    <col min="3601" max="3601" width="9.5703125" style="4" customWidth="1"/>
    <col min="3602" max="3602" width="10.42578125" style="4" customWidth="1"/>
    <col min="3603" max="3603" width="8.5703125" style="4" customWidth="1"/>
    <col min="3604" max="3604" width="11" style="4" customWidth="1"/>
    <col min="3605" max="3605" width="13.42578125" style="4" bestFit="1" customWidth="1"/>
    <col min="3606" max="3606" width="9.42578125" style="4" customWidth="1"/>
    <col min="3607" max="3607" width="7.5703125" style="4" customWidth="1"/>
    <col min="3608" max="3608" width="11.42578125" style="4" customWidth="1"/>
    <col min="3609" max="3609" width="9.42578125" style="4" customWidth="1"/>
    <col min="3610" max="3610" width="11.42578125" style="4" customWidth="1"/>
    <col min="3611" max="3611" width="13.42578125" style="4" bestFit="1" customWidth="1"/>
    <col min="3612" max="3612" width="5.5703125" style="4" bestFit="1" customWidth="1"/>
    <col min="3613" max="3613" width="19.5703125" style="4" bestFit="1" customWidth="1"/>
    <col min="3614" max="3614" width="1.42578125" style="4" customWidth="1"/>
    <col min="3615" max="3615" width="13.42578125" style="4" bestFit="1" customWidth="1"/>
    <col min="3616" max="3616" width="8.5703125" style="4" bestFit="1" customWidth="1"/>
    <col min="3617" max="3617" width="8.85546875" style="4" bestFit="1" customWidth="1"/>
    <col min="3618" max="3840" width="9.140625" style="4"/>
    <col min="3841" max="3841" width="11" style="4" customWidth="1"/>
    <col min="3842" max="3843" width="12.5703125" style="4" customWidth="1"/>
    <col min="3844" max="3844" width="11" style="4" customWidth="1"/>
    <col min="3845" max="3845" width="8.42578125" style="4" customWidth="1"/>
    <col min="3846" max="3846" width="11.42578125" style="4" customWidth="1"/>
    <col min="3847" max="3847" width="1.85546875" style="4" customWidth="1"/>
    <col min="3848" max="3848" width="8.42578125" style="4" customWidth="1"/>
    <col min="3849" max="3849" width="11.42578125" style="4" customWidth="1"/>
    <col min="3850" max="3851" width="10.42578125" style="4" customWidth="1"/>
    <col min="3852" max="3852" width="10.5703125" style="4" customWidth="1"/>
    <col min="3853" max="3853" width="10" style="4" customWidth="1"/>
    <col min="3854" max="3854" width="11" style="4" bestFit="1" customWidth="1"/>
    <col min="3855" max="3855" width="12" style="4" customWidth="1"/>
    <col min="3856" max="3856" width="11.140625" style="4" customWidth="1"/>
    <col min="3857" max="3857" width="9.5703125" style="4" customWidth="1"/>
    <col min="3858" max="3858" width="10.42578125" style="4" customWidth="1"/>
    <col min="3859" max="3859" width="8.5703125" style="4" customWidth="1"/>
    <col min="3860" max="3860" width="11" style="4" customWidth="1"/>
    <col min="3861" max="3861" width="13.42578125" style="4" bestFit="1" customWidth="1"/>
    <col min="3862" max="3862" width="9.42578125" style="4" customWidth="1"/>
    <col min="3863" max="3863" width="7.5703125" style="4" customWidth="1"/>
    <col min="3864" max="3864" width="11.42578125" style="4" customWidth="1"/>
    <col min="3865" max="3865" width="9.42578125" style="4" customWidth="1"/>
    <col min="3866" max="3866" width="11.42578125" style="4" customWidth="1"/>
    <col min="3867" max="3867" width="13.42578125" style="4" bestFit="1" customWidth="1"/>
    <col min="3868" max="3868" width="5.5703125" style="4" bestFit="1" customWidth="1"/>
    <col min="3869" max="3869" width="19.5703125" style="4" bestFit="1" customWidth="1"/>
    <col min="3870" max="3870" width="1.42578125" style="4" customWidth="1"/>
    <col min="3871" max="3871" width="13.42578125" style="4" bestFit="1" customWidth="1"/>
    <col min="3872" max="3872" width="8.5703125" style="4" bestFit="1" customWidth="1"/>
    <col min="3873" max="3873" width="8.85546875" style="4" bestFit="1" customWidth="1"/>
    <col min="3874" max="4096" width="9.140625" style="4"/>
    <col min="4097" max="4097" width="11" style="4" customWidth="1"/>
    <col min="4098" max="4099" width="12.5703125" style="4" customWidth="1"/>
    <col min="4100" max="4100" width="11" style="4" customWidth="1"/>
    <col min="4101" max="4101" width="8.42578125" style="4" customWidth="1"/>
    <col min="4102" max="4102" width="11.42578125" style="4" customWidth="1"/>
    <col min="4103" max="4103" width="1.85546875" style="4" customWidth="1"/>
    <col min="4104" max="4104" width="8.42578125" style="4" customWidth="1"/>
    <col min="4105" max="4105" width="11.42578125" style="4" customWidth="1"/>
    <col min="4106" max="4107" width="10.42578125" style="4" customWidth="1"/>
    <col min="4108" max="4108" width="10.5703125" style="4" customWidth="1"/>
    <col min="4109" max="4109" width="10" style="4" customWidth="1"/>
    <col min="4110" max="4110" width="11" style="4" bestFit="1" customWidth="1"/>
    <col min="4111" max="4111" width="12" style="4" customWidth="1"/>
    <col min="4112" max="4112" width="11.140625" style="4" customWidth="1"/>
    <col min="4113" max="4113" width="9.5703125" style="4" customWidth="1"/>
    <col min="4114" max="4114" width="10.42578125" style="4" customWidth="1"/>
    <col min="4115" max="4115" width="8.5703125" style="4" customWidth="1"/>
    <col min="4116" max="4116" width="11" style="4" customWidth="1"/>
    <col min="4117" max="4117" width="13.42578125" style="4" bestFit="1" customWidth="1"/>
    <col min="4118" max="4118" width="9.42578125" style="4" customWidth="1"/>
    <col min="4119" max="4119" width="7.5703125" style="4" customWidth="1"/>
    <col min="4120" max="4120" width="11.42578125" style="4" customWidth="1"/>
    <col min="4121" max="4121" width="9.42578125" style="4" customWidth="1"/>
    <col min="4122" max="4122" width="11.42578125" style="4" customWidth="1"/>
    <col min="4123" max="4123" width="13.42578125" style="4" bestFit="1" customWidth="1"/>
    <col min="4124" max="4124" width="5.5703125" style="4" bestFit="1" customWidth="1"/>
    <col min="4125" max="4125" width="19.5703125" style="4" bestFit="1" customWidth="1"/>
    <col min="4126" max="4126" width="1.42578125" style="4" customWidth="1"/>
    <col min="4127" max="4127" width="13.42578125" style="4" bestFit="1" customWidth="1"/>
    <col min="4128" max="4128" width="8.5703125" style="4" bestFit="1" customWidth="1"/>
    <col min="4129" max="4129" width="8.85546875" style="4" bestFit="1" customWidth="1"/>
    <col min="4130" max="4352" width="9.140625" style="4"/>
    <col min="4353" max="4353" width="11" style="4" customWidth="1"/>
    <col min="4354" max="4355" width="12.5703125" style="4" customWidth="1"/>
    <col min="4356" max="4356" width="11" style="4" customWidth="1"/>
    <col min="4357" max="4357" width="8.42578125" style="4" customWidth="1"/>
    <col min="4358" max="4358" width="11.42578125" style="4" customWidth="1"/>
    <col min="4359" max="4359" width="1.85546875" style="4" customWidth="1"/>
    <col min="4360" max="4360" width="8.42578125" style="4" customWidth="1"/>
    <col min="4361" max="4361" width="11.42578125" style="4" customWidth="1"/>
    <col min="4362" max="4363" width="10.42578125" style="4" customWidth="1"/>
    <col min="4364" max="4364" width="10.5703125" style="4" customWidth="1"/>
    <col min="4365" max="4365" width="10" style="4" customWidth="1"/>
    <col min="4366" max="4366" width="11" style="4" bestFit="1" customWidth="1"/>
    <col min="4367" max="4367" width="12" style="4" customWidth="1"/>
    <col min="4368" max="4368" width="11.140625" style="4" customWidth="1"/>
    <col min="4369" max="4369" width="9.5703125" style="4" customWidth="1"/>
    <col min="4370" max="4370" width="10.42578125" style="4" customWidth="1"/>
    <col min="4371" max="4371" width="8.5703125" style="4" customWidth="1"/>
    <col min="4372" max="4372" width="11" style="4" customWidth="1"/>
    <col min="4373" max="4373" width="13.42578125" style="4" bestFit="1" customWidth="1"/>
    <col min="4374" max="4374" width="9.42578125" style="4" customWidth="1"/>
    <col min="4375" max="4375" width="7.5703125" style="4" customWidth="1"/>
    <col min="4376" max="4376" width="11.42578125" style="4" customWidth="1"/>
    <col min="4377" max="4377" width="9.42578125" style="4" customWidth="1"/>
    <col min="4378" max="4378" width="11.42578125" style="4" customWidth="1"/>
    <col min="4379" max="4379" width="13.42578125" style="4" bestFit="1" customWidth="1"/>
    <col min="4380" max="4380" width="5.5703125" style="4" bestFit="1" customWidth="1"/>
    <col min="4381" max="4381" width="19.5703125" style="4" bestFit="1" customWidth="1"/>
    <col min="4382" max="4382" width="1.42578125" style="4" customWidth="1"/>
    <col min="4383" max="4383" width="13.42578125" style="4" bestFit="1" customWidth="1"/>
    <col min="4384" max="4384" width="8.5703125" style="4" bestFit="1" customWidth="1"/>
    <col min="4385" max="4385" width="8.85546875" style="4" bestFit="1" customWidth="1"/>
    <col min="4386" max="4608" width="9.140625" style="4"/>
    <col min="4609" max="4609" width="11" style="4" customWidth="1"/>
    <col min="4610" max="4611" width="12.5703125" style="4" customWidth="1"/>
    <col min="4612" max="4612" width="11" style="4" customWidth="1"/>
    <col min="4613" max="4613" width="8.42578125" style="4" customWidth="1"/>
    <col min="4614" max="4614" width="11.42578125" style="4" customWidth="1"/>
    <col min="4615" max="4615" width="1.85546875" style="4" customWidth="1"/>
    <col min="4616" max="4616" width="8.42578125" style="4" customWidth="1"/>
    <col min="4617" max="4617" width="11.42578125" style="4" customWidth="1"/>
    <col min="4618" max="4619" width="10.42578125" style="4" customWidth="1"/>
    <col min="4620" max="4620" width="10.5703125" style="4" customWidth="1"/>
    <col min="4621" max="4621" width="10" style="4" customWidth="1"/>
    <col min="4622" max="4622" width="11" style="4" bestFit="1" customWidth="1"/>
    <col min="4623" max="4623" width="12" style="4" customWidth="1"/>
    <col min="4624" max="4624" width="11.140625" style="4" customWidth="1"/>
    <col min="4625" max="4625" width="9.5703125" style="4" customWidth="1"/>
    <col min="4626" max="4626" width="10.42578125" style="4" customWidth="1"/>
    <col min="4627" max="4627" width="8.5703125" style="4" customWidth="1"/>
    <col min="4628" max="4628" width="11" style="4" customWidth="1"/>
    <col min="4629" max="4629" width="13.42578125" style="4" bestFit="1" customWidth="1"/>
    <col min="4630" max="4630" width="9.42578125" style="4" customWidth="1"/>
    <col min="4631" max="4631" width="7.5703125" style="4" customWidth="1"/>
    <col min="4632" max="4632" width="11.42578125" style="4" customWidth="1"/>
    <col min="4633" max="4633" width="9.42578125" style="4" customWidth="1"/>
    <col min="4634" max="4634" width="11.42578125" style="4" customWidth="1"/>
    <col min="4635" max="4635" width="13.42578125" style="4" bestFit="1" customWidth="1"/>
    <col min="4636" max="4636" width="5.5703125" style="4" bestFit="1" customWidth="1"/>
    <col min="4637" max="4637" width="19.5703125" style="4" bestFit="1" customWidth="1"/>
    <col min="4638" max="4638" width="1.42578125" style="4" customWidth="1"/>
    <col min="4639" max="4639" width="13.42578125" style="4" bestFit="1" customWidth="1"/>
    <col min="4640" max="4640" width="8.5703125" style="4" bestFit="1" customWidth="1"/>
    <col min="4641" max="4641" width="8.85546875" style="4" bestFit="1" customWidth="1"/>
    <col min="4642" max="4864" width="9.140625" style="4"/>
    <col min="4865" max="4865" width="11" style="4" customWidth="1"/>
    <col min="4866" max="4867" width="12.5703125" style="4" customWidth="1"/>
    <col min="4868" max="4868" width="11" style="4" customWidth="1"/>
    <col min="4869" max="4869" width="8.42578125" style="4" customWidth="1"/>
    <col min="4870" max="4870" width="11.42578125" style="4" customWidth="1"/>
    <col min="4871" max="4871" width="1.85546875" style="4" customWidth="1"/>
    <col min="4872" max="4872" width="8.42578125" style="4" customWidth="1"/>
    <col min="4873" max="4873" width="11.42578125" style="4" customWidth="1"/>
    <col min="4874" max="4875" width="10.42578125" style="4" customWidth="1"/>
    <col min="4876" max="4876" width="10.5703125" style="4" customWidth="1"/>
    <col min="4877" max="4877" width="10" style="4" customWidth="1"/>
    <col min="4878" max="4878" width="11" style="4" bestFit="1" customWidth="1"/>
    <col min="4879" max="4879" width="12" style="4" customWidth="1"/>
    <col min="4880" max="4880" width="11.140625" style="4" customWidth="1"/>
    <col min="4881" max="4881" width="9.5703125" style="4" customWidth="1"/>
    <col min="4882" max="4882" width="10.42578125" style="4" customWidth="1"/>
    <col min="4883" max="4883" width="8.5703125" style="4" customWidth="1"/>
    <col min="4884" max="4884" width="11" style="4" customWidth="1"/>
    <col min="4885" max="4885" width="13.42578125" style="4" bestFit="1" customWidth="1"/>
    <col min="4886" max="4886" width="9.42578125" style="4" customWidth="1"/>
    <col min="4887" max="4887" width="7.5703125" style="4" customWidth="1"/>
    <col min="4888" max="4888" width="11.42578125" style="4" customWidth="1"/>
    <col min="4889" max="4889" width="9.42578125" style="4" customWidth="1"/>
    <col min="4890" max="4890" width="11.42578125" style="4" customWidth="1"/>
    <col min="4891" max="4891" width="13.42578125" style="4" bestFit="1" customWidth="1"/>
    <col min="4892" max="4892" width="5.5703125" style="4" bestFit="1" customWidth="1"/>
    <col min="4893" max="4893" width="19.5703125" style="4" bestFit="1" customWidth="1"/>
    <col min="4894" max="4894" width="1.42578125" style="4" customWidth="1"/>
    <col min="4895" max="4895" width="13.42578125" style="4" bestFit="1" customWidth="1"/>
    <col min="4896" max="4896" width="8.5703125" style="4" bestFit="1" customWidth="1"/>
    <col min="4897" max="4897" width="8.85546875" style="4" bestFit="1" customWidth="1"/>
    <col min="4898" max="5120" width="9.140625" style="4"/>
    <col min="5121" max="5121" width="11" style="4" customWidth="1"/>
    <col min="5122" max="5123" width="12.5703125" style="4" customWidth="1"/>
    <col min="5124" max="5124" width="11" style="4" customWidth="1"/>
    <col min="5125" max="5125" width="8.42578125" style="4" customWidth="1"/>
    <col min="5126" max="5126" width="11.42578125" style="4" customWidth="1"/>
    <col min="5127" max="5127" width="1.85546875" style="4" customWidth="1"/>
    <col min="5128" max="5128" width="8.42578125" style="4" customWidth="1"/>
    <col min="5129" max="5129" width="11.42578125" style="4" customWidth="1"/>
    <col min="5130" max="5131" width="10.42578125" style="4" customWidth="1"/>
    <col min="5132" max="5132" width="10.5703125" style="4" customWidth="1"/>
    <col min="5133" max="5133" width="10" style="4" customWidth="1"/>
    <col min="5134" max="5134" width="11" style="4" bestFit="1" customWidth="1"/>
    <col min="5135" max="5135" width="12" style="4" customWidth="1"/>
    <col min="5136" max="5136" width="11.140625" style="4" customWidth="1"/>
    <col min="5137" max="5137" width="9.5703125" style="4" customWidth="1"/>
    <col min="5138" max="5138" width="10.42578125" style="4" customWidth="1"/>
    <col min="5139" max="5139" width="8.5703125" style="4" customWidth="1"/>
    <col min="5140" max="5140" width="11" style="4" customWidth="1"/>
    <col min="5141" max="5141" width="13.42578125" style="4" bestFit="1" customWidth="1"/>
    <col min="5142" max="5142" width="9.42578125" style="4" customWidth="1"/>
    <col min="5143" max="5143" width="7.5703125" style="4" customWidth="1"/>
    <col min="5144" max="5144" width="11.42578125" style="4" customWidth="1"/>
    <col min="5145" max="5145" width="9.42578125" style="4" customWidth="1"/>
    <col min="5146" max="5146" width="11.42578125" style="4" customWidth="1"/>
    <col min="5147" max="5147" width="13.42578125" style="4" bestFit="1" customWidth="1"/>
    <col min="5148" max="5148" width="5.5703125" style="4" bestFit="1" customWidth="1"/>
    <col min="5149" max="5149" width="19.5703125" style="4" bestFit="1" customWidth="1"/>
    <col min="5150" max="5150" width="1.42578125" style="4" customWidth="1"/>
    <col min="5151" max="5151" width="13.42578125" style="4" bestFit="1" customWidth="1"/>
    <col min="5152" max="5152" width="8.5703125" style="4" bestFit="1" customWidth="1"/>
    <col min="5153" max="5153" width="8.85546875" style="4" bestFit="1" customWidth="1"/>
    <col min="5154" max="5376" width="9.140625" style="4"/>
    <col min="5377" max="5377" width="11" style="4" customWidth="1"/>
    <col min="5378" max="5379" width="12.5703125" style="4" customWidth="1"/>
    <col min="5380" max="5380" width="11" style="4" customWidth="1"/>
    <col min="5381" max="5381" width="8.42578125" style="4" customWidth="1"/>
    <col min="5382" max="5382" width="11.42578125" style="4" customWidth="1"/>
    <col min="5383" max="5383" width="1.85546875" style="4" customWidth="1"/>
    <col min="5384" max="5384" width="8.42578125" style="4" customWidth="1"/>
    <col min="5385" max="5385" width="11.42578125" style="4" customWidth="1"/>
    <col min="5386" max="5387" width="10.42578125" style="4" customWidth="1"/>
    <col min="5388" max="5388" width="10.5703125" style="4" customWidth="1"/>
    <col min="5389" max="5389" width="10" style="4" customWidth="1"/>
    <col min="5390" max="5390" width="11" style="4" bestFit="1" customWidth="1"/>
    <col min="5391" max="5391" width="12" style="4" customWidth="1"/>
    <col min="5392" max="5392" width="11.140625" style="4" customWidth="1"/>
    <col min="5393" max="5393" width="9.5703125" style="4" customWidth="1"/>
    <col min="5394" max="5394" width="10.42578125" style="4" customWidth="1"/>
    <col min="5395" max="5395" width="8.5703125" style="4" customWidth="1"/>
    <col min="5396" max="5396" width="11" style="4" customWidth="1"/>
    <col min="5397" max="5397" width="13.42578125" style="4" bestFit="1" customWidth="1"/>
    <col min="5398" max="5398" width="9.42578125" style="4" customWidth="1"/>
    <col min="5399" max="5399" width="7.5703125" style="4" customWidth="1"/>
    <col min="5400" max="5400" width="11.42578125" style="4" customWidth="1"/>
    <col min="5401" max="5401" width="9.42578125" style="4" customWidth="1"/>
    <col min="5402" max="5402" width="11.42578125" style="4" customWidth="1"/>
    <col min="5403" max="5403" width="13.42578125" style="4" bestFit="1" customWidth="1"/>
    <col min="5404" max="5404" width="5.5703125" style="4" bestFit="1" customWidth="1"/>
    <col min="5405" max="5405" width="19.5703125" style="4" bestFit="1" customWidth="1"/>
    <col min="5406" max="5406" width="1.42578125" style="4" customWidth="1"/>
    <col min="5407" max="5407" width="13.42578125" style="4" bestFit="1" customWidth="1"/>
    <col min="5408" max="5408" width="8.5703125" style="4" bestFit="1" customWidth="1"/>
    <col min="5409" max="5409" width="8.85546875" style="4" bestFit="1" customWidth="1"/>
    <col min="5410" max="5632" width="9.140625" style="4"/>
    <col min="5633" max="5633" width="11" style="4" customWidth="1"/>
    <col min="5634" max="5635" width="12.5703125" style="4" customWidth="1"/>
    <col min="5636" max="5636" width="11" style="4" customWidth="1"/>
    <col min="5637" max="5637" width="8.42578125" style="4" customWidth="1"/>
    <col min="5638" max="5638" width="11.42578125" style="4" customWidth="1"/>
    <col min="5639" max="5639" width="1.85546875" style="4" customWidth="1"/>
    <col min="5640" max="5640" width="8.42578125" style="4" customWidth="1"/>
    <col min="5641" max="5641" width="11.42578125" style="4" customWidth="1"/>
    <col min="5642" max="5643" width="10.42578125" style="4" customWidth="1"/>
    <col min="5644" max="5644" width="10.5703125" style="4" customWidth="1"/>
    <col min="5645" max="5645" width="10" style="4" customWidth="1"/>
    <col min="5646" max="5646" width="11" style="4" bestFit="1" customWidth="1"/>
    <col min="5647" max="5647" width="12" style="4" customWidth="1"/>
    <col min="5648" max="5648" width="11.140625" style="4" customWidth="1"/>
    <col min="5649" max="5649" width="9.5703125" style="4" customWidth="1"/>
    <col min="5650" max="5650" width="10.42578125" style="4" customWidth="1"/>
    <col min="5651" max="5651" width="8.5703125" style="4" customWidth="1"/>
    <col min="5652" max="5652" width="11" style="4" customWidth="1"/>
    <col min="5653" max="5653" width="13.42578125" style="4" bestFit="1" customWidth="1"/>
    <col min="5654" max="5654" width="9.42578125" style="4" customWidth="1"/>
    <col min="5655" max="5655" width="7.5703125" style="4" customWidth="1"/>
    <col min="5656" max="5656" width="11.42578125" style="4" customWidth="1"/>
    <col min="5657" max="5657" width="9.42578125" style="4" customWidth="1"/>
    <col min="5658" max="5658" width="11.42578125" style="4" customWidth="1"/>
    <col min="5659" max="5659" width="13.42578125" style="4" bestFit="1" customWidth="1"/>
    <col min="5660" max="5660" width="5.5703125" style="4" bestFit="1" customWidth="1"/>
    <col min="5661" max="5661" width="19.5703125" style="4" bestFit="1" customWidth="1"/>
    <col min="5662" max="5662" width="1.42578125" style="4" customWidth="1"/>
    <col min="5663" max="5663" width="13.42578125" style="4" bestFit="1" customWidth="1"/>
    <col min="5664" max="5664" width="8.5703125" style="4" bestFit="1" customWidth="1"/>
    <col min="5665" max="5665" width="8.85546875" style="4" bestFit="1" customWidth="1"/>
    <col min="5666" max="5888" width="9.140625" style="4"/>
    <col min="5889" max="5889" width="11" style="4" customWidth="1"/>
    <col min="5890" max="5891" width="12.5703125" style="4" customWidth="1"/>
    <col min="5892" max="5892" width="11" style="4" customWidth="1"/>
    <col min="5893" max="5893" width="8.42578125" style="4" customWidth="1"/>
    <col min="5894" max="5894" width="11.42578125" style="4" customWidth="1"/>
    <col min="5895" max="5895" width="1.85546875" style="4" customWidth="1"/>
    <col min="5896" max="5896" width="8.42578125" style="4" customWidth="1"/>
    <col min="5897" max="5897" width="11.42578125" style="4" customWidth="1"/>
    <col min="5898" max="5899" width="10.42578125" style="4" customWidth="1"/>
    <col min="5900" max="5900" width="10.5703125" style="4" customWidth="1"/>
    <col min="5901" max="5901" width="10" style="4" customWidth="1"/>
    <col min="5902" max="5902" width="11" style="4" bestFit="1" customWidth="1"/>
    <col min="5903" max="5903" width="12" style="4" customWidth="1"/>
    <col min="5904" max="5904" width="11.140625" style="4" customWidth="1"/>
    <col min="5905" max="5905" width="9.5703125" style="4" customWidth="1"/>
    <col min="5906" max="5906" width="10.42578125" style="4" customWidth="1"/>
    <col min="5907" max="5907" width="8.5703125" style="4" customWidth="1"/>
    <col min="5908" max="5908" width="11" style="4" customWidth="1"/>
    <col min="5909" max="5909" width="13.42578125" style="4" bestFit="1" customWidth="1"/>
    <col min="5910" max="5910" width="9.42578125" style="4" customWidth="1"/>
    <col min="5911" max="5911" width="7.5703125" style="4" customWidth="1"/>
    <col min="5912" max="5912" width="11.42578125" style="4" customWidth="1"/>
    <col min="5913" max="5913" width="9.42578125" style="4" customWidth="1"/>
    <col min="5914" max="5914" width="11.42578125" style="4" customWidth="1"/>
    <col min="5915" max="5915" width="13.42578125" style="4" bestFit="1" customWidth="1"/>
    <col min="5916" max="5916" width="5.5703125" style="4" bestFit="1" customWidth="1"/>
    <col min="5917" max="5917" width="19.5703125" style="4" bestFit="1" customWidth="1"/>
    <col min="5918" max="5918" width="1.42578125" style="4" customWidth="1"/>
    <col min="5919" max="5919" width="13.42578125" style="4" bestFit="1" customWidth="1"/>
    <col min="5920" max="5920" width="8.5703125" style="4" bestFit="1" customWidth="1"/>
    <col min="5921" max="5921" width="8.85546875" style="4" bestFit="1" customWidth="1"/>
    <col min="5922" max="6144" width="9.140625" style="4"/>
    <col min="6145" max="6145" width="11" style="4" customWidth="1"/>
    <col min="6146" max="6147" width="12.5703125" style="4" customWidth="1"/>
    <col min="6148" max="6148" width="11" style="4" customWidth="1"/>
    <col min="6149" max="6149" width="8.42578125" style="4" customWidth="1"/>
    <col min="6150" max="6150" width="11.42578125" style="4" customWidth="1"/>
    <col min="6151" max="6151" width="1.85546875" style="4" customWidth="1"/>
    <col min="6152" max="6152" width="8.42578125" style="4" customWidth="1"/>
    <col min="6153" max="6153" width="11.42578125" style="4" customWidth="1"/>
    <col min="6154" max="6155" width="10.42578125" style="4" customWidth="1"/>
    <col min="6156" max="6156" width="10.5703125" style="4" customWidth="1"/>
    <col min="6157" max="6157" width="10" style="4" customWidth="1"/>
    <col min="6158" max="6158" width="11" style="4" bestFit="1" customWidth="1"/>
    <col min="6159" max="6159" width="12" style="4" customWidth="1"/>
    <col min="6160" max="6160" width="11.140625" style="4" customWidth="1"/>
    <col min="6161" max="6161" width="9.5703125" style="4" customWidth="1"/>
    <col min="6162" max="6162" width="10.42578125" style="4" customWidth="1"/>
    <col min="6163" max="6163" width="8.5703125" style="4" customWidth="1"/>
    <col min="6164" max="6164" width="11" style="4" customWidth="1"/>
    <col min="6165" max="6165" width="13.42578125" style="4" bestFit="1" customWidth="1"/>
    <col min="6166" max="6166" width="9.42578125" style="4" customWidth="1"/>
    <col min="6167" max="6167" width="7.5703125" style="4" customWidth="1"/>
    <col min="6168" max="6168" width="11.42578125" style="4" customWidth="1"/>
    <col min="6169" max="6169" width="9.42578125" style="4" customWidth="1"/>
    <col min="6170" max="6170" width="11.42578125" style="4" customWidth="1"/>
    <col min="6171" max="6171" width="13.42578125" style="4" bestFit="1" customWidth="1"/>
    <col min="6172" max="6172" width="5.5703125" style="4" bestFit="1" customWidth="1"/>
    <col min="6173" max="6173" width="19.5703125" style="4" bestFit="1" customWidth="1"/>
    <col min="6174" max="6174" width="1.42578125" style="4" customWidth="1"/>
    <col min="6175" max="6175" width="13.42578125" style="4" bestFit="1" customWidth="1"/>
    <col min="6176" max="6176" width="8.5703125" style="4" bestFit="1" customWidth="1"/>
    <col min="6177" max="6177" width="8.85546875" style="4" bestFit="1" customWidth="1"/>
    <col min="6178" max="6400" width="9.140625" style="4"/>
    <col min="6401" max="6401" width="11" style="4" customWidth="1"/>
    <col min="6402" max="6403" width="12.5703125" style="4" customWidth="1"/>
    <col min="6404" max="6404" width="11" style="4" customWidth="1"/>
    <col min="6405" max="6405" width="8.42578125" style="4" customWidth="1"/>
    <col min="6406" max="6406" width="11.42578125" style="4" customWidth="1"/>
    <col min="6407" max="6407" width="1.85546875" style="4" customWidth="1"/>
    <col min="6408" max="6408" width="8.42578125" style="4" customWidth="1"/>
    <col min="6409" max="6409" width="11.42578125" style="4" customWidth="1"/>
    <col min="6410" max="6411" width="10.42578125" style="4" customWidth="1"/>
    <col min="6412" max="6412" width="10.5703125" style="4" customWidth="1"/>
    <col min="6413" max="6413" width="10" style="4" customWidth="1"/>
    <col min="6414" max="6414" width="11" style="4" bestFit="1" customWidth="1"/>
    <col min="6415" max="6415" width="12" style="4" customWidth="1"/>
    <col min="6416" max="6416" width="11.140625" style="4" customWidth="1"/>
    <col min="6417" max="6417" width="9.5703125" style="4" customWidth="1"/>
    <col min="6418" max="6418" width="10.42578125" style="4" customWidth="1"/>
    <col min="6419" max="6419" width="8.5703125" style="4" customWidth="1"/>
    <col min="6420" max="6420" width="11" style="4" customWidth="1"/>
    <col min="6421" max="6421" width="13.42578125" style="4" bestFit="1" customWidth="1"/>
    <col min="6422" max="6422" width="9.42578125" style="4" customWidth="1"/>
    <col min="6423" max="6423" width="7.5703125" style="4" customWidth="1"/>
    <col min="6424" max="6424" width="11.42578125" style="4" customWidth="1"/>
    <col min="6425" max="6425" width="9.42578125" style="4" customWidth="1"/>
    <col min="6426" max="6426" width="11.42578125" style="4" customWidth="1"/>
    <col min="6427" max="6427" width="13.42578125" style="4" bestFit="1" customWidth="1"/>
    <col min="6428" max="6428" width="5.5703125" style="4" bestFit="1" customWidth="1"/>
    <col min="6429" max="6429" width="19.5703125" style="4" bestFit="1" customWidth="1"/>
    <col min="6430" max="6430" width="1.42578125" style="4" customWidth="1"/>
    <col min="6431" max="6431" width="13.42578125" style="4" bestFit="1" customWidth="1"/>
    <col min="6432" max="6432" width="8.5703125" style="4" bestFit="1" customWidth="1"/>
    <col min="6433" max="6433" width="8.85546875" style="4" bestFit="1" customWidth="1"/>
    <col min="6434" max="6656" width="9.140625" style="4"/>
    <col min="6657" max="6657" width="11" style="4" customWidth="1"/>
    <col min="6658" max="6659" width="12.5703125" style="4" customWidth="1"/>
    <col min="6660" max="6660" width="11" style="4" customWidth="1"/>
    <col min="6661" max="6661" width="8.42578125" style="4" customWidth="1"/>
    <col min="6662" max="6662" width="11.42578125" style="4" customWidth="1"/>
    <col min="6663" max="6663" width="1.85546875" style="4" customWidth="1"/>
    <col min="6664" max="6664" width="8.42578125" style="4" customWidth="1"/>
    <col min="6665" max="6665" width="11.42578125" style="4" customWidth="1"/>
    <col min="6666" max="6667" width="10.42578125" style="4" customWidth="1"/>
    <col min="6668" max="6668" width="10.5703125" style="4" customWidth="1"/>
    <col min="6669" max="6669" width="10" style="4" customWidth="1"/>
    <col min="6670" max="6670" width="11" style="4" bestFit="1" customWidth="1"/>
    <col min="6671" max="6671" width="12" style="4" customWidth="1"/>
    <col min="6672" max="6672" width="11.140625" style="4" customWidth="1"/>
    <col min="6673" max="6673" width="9.5703125" style="4" customWidth="1"/>
    <col min="6674" max="6674" width="10.42578125" style="4" customWidth="1"/>
    <col min="6675" max="6675" width="8.5703125" style="4" customWidth="1"/>
    <col min="6676" max="6676" width="11" style="4" customWidth="1"/>
    <col min="6677" max="6677" width="13.42578125" style="4" bestFit="1" customWidth="1"/>
    <col min="6678" max="6678" width="9.42578125" style="4" customWidth="1"/>
    <col min="6679" max="6679" width="7.5703125" style="4" customWidth="1"/>
    <col min="6680" max="6680" width="11.42578125" style="4" customWidth="1"/>
    <col min="6681" max="6681" width="9.42578125" style="4" customWidth="1"/>
    <col min="6682" max="6682" width="11.42578125" style="4" customWidth="1"/>
    <col min="6683" max="6683" width="13.42578125" style="4" bestFit="1" customWidth="1"/>
    <col min="6684" max="6684" width="5.5703125" style="4" bestFit="1" customWidth="1"/>
    <col min="6685" max="6685" width="19.5703125" style="4" bestFit="1" customWidth="1"/>
    <col min="6686" max="6686" width="1.42578125" style="4" customWidth="1"/>
    <col min="6687" max="6687" width="13.42578125" style="4" bestFit="1" customWidth="1"/>
    <col min="6688" max="6688" width="8.5703125" style="4" bestFit="1" customWidth="1"/>
    <col min="6689" max="6689" width="8.85546875" style="4" bestFit="1" customWidth="1"/>
    <col min="6690" max="6912" width="9.140625" style="4"/>
    <col min="6913" max="6913" width="11" style="4" customWidth="1"/>
    <col min="6914" max="6915" width="12.5703125" style="4" customWidth="1"/>
    <col min="6916" max="6916" width="11" style="4" customWidth="1"/>
    <col min="6917" max="6917" width="8.42578125" style="4" customWidth="1"/>
    <col min="6918" max="6918" width="11.42578125" style="4" customWidth="1"/>
    <col min="6919" max="6919" width="1.85546875" style="4" customWidth="1"/>
    <col min="6920" max="6920" width="8.42578125" style="4" customWidth="1"/>
    <col min="6921" max="6921" width="11.42578125" style="4" customWidth="1"/>
    <col min="6922" max="6923" width="10.42578125" style="4" customWidth="1"/>
    <col min="6924" max="6924" width="10.5703125" style="4" customWidth="1"/>
    <col min="6925" max="6925" width="10" style="4" customWidth="1"/>
    <col min="6926" max="6926" width="11" style="4" bestFit="1" customWidth="1"/>
    <col min="6927" max="6927" width="12" style="4" customWidth="1"/>
    <col min="6928" max="6928" width="11.140625" style="4" customWidth="1"/>
    <col min="6929" max="6929" width="9.5703125" style="4" customWidth="1"/>
    <col min="6930" max="6930" width="10.42578125" style="4" customWidth="1"/>
    <col min="6931" max="6931" width="8.5703125" style="4" customWidth="1"/>
    <col min="6932" max="6932" width="11" style="4" customWidth="1"/>
    <col min="6933" max="6933" width="13.42578125" style="4" bestFit="1" customWidth="1"/>
    <col min="6934" max="6934" width="9.42578125" style="4" customWidth="1"/>
    <col min="6935" max="6935" width="7.5703125" style="4" customWidth="1"/>
    <col min="6936" max="6936" width="11.42578125" style="4" customWidth="1"/>
    <col min="6937" max="6937" width="9.42578125" style="4" customWidth="1"/>
    <col min="6938" max="6938" width="11.42578125" style="4" customWidth="1"/>
    <col min="6939" max="6939" width="13.42578125" style="4" bestFit="1" customWidth="1"/>
    <col min="6940" max="6940" width="5.5703125" style="4" bestFit="1" customWidth="1"/>
    <col min="6941" max="6941" width="19.5703125" style="4" bestFit="1" customWidth="1"/>
    <col min="6942" max="6942" width="1.42578125" style="4" customWidth="1"/>
    <col min="6943" max="6943" width="13.42578125" style="4" bestFit="1" customWidth="1"/>
    <col min="6944" max="6944" width="8.5703125" style="4" bestFit="1" customWidth="1"/>
    <col min="6945" max="6945" width="8.85546875" style="4" bestFit="1" customWidth="1"/>
    <col min="6946" max="7168" width="9.140625" style="4"/>
    <col min="7169" max="7169" width="11" style="4" customWidth="1"/>
    <col min="7170" max="7171" width="12.5703125" style="4" customWidth="1"/>
    <col min="7172" max="7172" width="11" style="4" customWidth="1"/>
    <col min="7173" max="7173" width="8.42578125" style="4" customWidth="1"/>
    <col min="7174" max="7174" width="11.42578125" style="4" customWidth="1"/>
    <col min="7175" max="7175" width="1.85546875" style="4" customWidth="1"/>
    <col min="7176" max="7176" width="8.42578125" style="4" customWidth="1"/>
    <col min="7177" max="7177" width="11.42578125" style="4" customWidth="1"/>
    <col min="7178" max="7179" width="10.42578125" style="4" customWidth="1"/>
    <col min="7180" max="7180" width="10.5703125" style="4" customWidth="1"/>
    <col min="7181" max="7181" width="10" style="4" customWidth="1"/>
    <col min="7182" max="7182" width="11" style="4" bestFit="1" customWidth="1"/>
    <col min="7183" max="7183" width="12" style="4" customWidth="1"/>
    <col min="7184" max="7184" width="11.140625" style="4" customWidth="1"/>
    <col min="7185" max="7185" width="9.5703125" style="4" customWidth="1"/>
    <col min="7186" max="7186" width="10.42578125" style="4" customWidth="1"/>
    <col min="7187" max="7187" width="8.5703125" style="4" customWidth="1"/>
    <col min="7188" max="7188" width="11" style="4" customWidth="1"/>
    <col min="7189" max="7189" width="13.42578125" style="4" bestFit="1" customWidth="1"/>
    <col min="7190" max="7190" width="9.42578125" style="4" customWidth="1"/>
    <col min="7191" max="7191" width="7.5703125" style="4" customWidth="1"/>
    <col min="7192" max="7192" width="11.42578125" style="4" customWidth="1"/>
    <col min="7193" max="7193" width="9.42578125" style="4" customWidth="1"/>
    <col min="7194" max="7194" width="11.42578125" style="4" customWidth="1"/>
    <col min="7195" max="7195" width="13.42578125" style="4" bestFit="1" customWidth="1"/>
    <col min="7196" max="7196" width="5.5703125" style="4" bestFit="1" customWidth="1"/>
    <col min="7197" max="7197" width="19.5703125" style="4" bestFit="1" customWidth="1"/>
    <col min="7198" max="7198" width="1.42578125" style="4" customWidth="1"/>
    <col min="7199" max="7199" width="13.42578125" style="4" bestFit="1" customWidth="1"/>
    <col min="7200" max="7200" width="8.5703125" style="4" bestFit="1" customWidth="1"/>
    <col min="7201" max="7201" width="8.85546875" style="4" bestFit="1" customWidth="1"/>
    <col min="7202" max="7424" width="9.140625" style="4"/>
    <col min="7425" max="7425" width="11" style="4" customWidth="1"/>
    <col min="7426" max="7427" width="12.5703125" style="4" customWidth="1"/>
    <col min="7428" max="7428" width="11" style="4" customWidth="1"/>
    <col min="7429" max="7429" width="8.42578125" style="4" customWidth="1"/>
    <col min="7430" max="7430" width="11.42578125" style="4" customWidth="1"/>
    <col min="7431" max="7431" width="1.85546875" style="4" customWidth="1"/>
    <col min="7432" max="7432" width="8.42578125" style="4" customWidth="1"/>
    <col min="7433" max="7433" width="11.42578125" style="4" customWidth="1"/>
    <col min="7434" max="7435" width="10.42578125" style="4" customWidth="1"/>
    <col min="7436" max="7436" width="10.5703125" style="4" customWidth="1"/>
    <col min="7437" max="7437" width="10" style="4" customWidth="1"/>
    <col min="7438" max="7438" width="11" style="4" bestFit="1" customWidth="1"/>
    <col min="7439" max="7439" width="12" style="4" customWidth="1"/>
    <col min="7440" max="7440" width="11.140625" style="4" customWidth="1"/>
    <col min="7441" max="7441" width="9.5703125" style="4" customWidth="1"/>
    <col min="7442" max="7442" width="10.42578125" style="4" customWidth="1"/>
    <col min="7443" max="7443" width="8.5703125" style="4" customWidth="1"/>
    <col min="7444" max="7444" width="11" style="4" customWidth="1"/>
    <col min="7445" max="7445" width="13.42578125" style="4" bestFit="1" customWidth="1"/>
    <col min="7446" max="7446" width="9.42578125" style="4" customWidth="1"/>
    <col min="7447" max="7447" width="7.5703125" style="4" customWidth="1"/>
    <col min="7448" max="7448" width="11.42578125" style="4" customWidth="1"/>
    <col min="7449" max="7449" width="9.42578125" style="4" customWidth="1"/>
    <col min="7450" max="7450" width="11.42578125" style="4" customWidth="1"/>
    <col min="7451" max="7451" width="13.42578125" style="4" bestFit="1" customWidth="1"/>
    <col min="7452" max="7452" width="5.5703125" style="4" bestFit="1" customWidth="1"/>
    <col min="7453" max="7453" width="19.5703125" style="4" bestFit="1" customWidth="1"/>
    <col min="7454" max="7454" width="1.42578125" style="4" customWidth="1"/>
    <col min="7455" max="7455" width="13.42578125" style="4" bestFit="1" customWidth="1"/>
    <col min="7456" max="7456" width="8.5703125" style="4" bestFit="1" customWidth="1"/>
    <col min="7457" max="7457" width="8.85546875" style="4" bestFit="1" customWidth="1"/>
    <col min="7458" max="7680" width="9.140625" style="4"/>
    <col min="7681" max="7681" width="11" style="4" customWidth="1"/>
    <col min="7682" max="7683" width="12.5703125" style="4" customWidth="1"/>
    <col min="7684" max="7684" width="11" style="4" customWidth="1"/>
    <col min="7685" max="7685" width="8.42578125" style="4" customWidth="1"/>
    <col min="7686" max="7686" width="11.42578125" style="4" customWidth="1"/>
    <col min="7687" max="7687" width="1.85546875" style="4" customWidth="1"/>
    <col min="7688" max="7688" width="8.42578125" style="4" customWidth="1"/>
    <col min="7689" max="7689" width="11.42578125" style="4" customWidth="1"/>
    <col min="7690" max="7691" width="10.42578125" style="4" customWidth="1"/>
    <col min="7692" max="7692" width="10.5703125" style="4" customWidth="1"/>
    <col min="7693" max="7693" width="10" style="4" customWidth="1"/>
    <col min="7694" max="7694" width="11" style="4" bestFit="1" customWidth="1"/>
    <col min="7695" max="7695" width="12" style="4" customWidth="1"/>
    <col min="7696" max="7696" width="11.140625" style="4" customWidth="1"/>
    <col min="7697" max="7697" width="9.5703125" style="4" customWidth="1"/>
    <col min="7698" max="7698" width="10.42578125" style="4" customWidth="1"/>
    <col min="7699" max="7699" width="8.5703125" style="4" customWidth="1"/>
    <col min="7700" max="7700" width="11" style="4" customWidth="1"/>
    <col min="7701" max="7701" width="13.42578125" style="4" bestFit="1" customWidth="1"/>
    <col min="7702" max="7702" width="9.42578125" style="4" customWidth="1"/>
    <col min="7703" max="7703" width="7.5703125" style="4" customWidth="1"/>
    <col min="7704" max="7704" width="11.42578125" style="4" customWidth="1"/>
    <col min="7705" max="7705" width="9.42578125" style="4" customWidth="1"/>
    <col min="7706" max="7706" width="11.42578125" style="4" customWidth="1"/>
    <col min="7707" max="7707" width="13.42578125" style="4" bestFit="1" customWidth="1"/>
    <col min="7708" max="7708" width="5.5703125" style="4" bestFit="1" customWidth="1"/>
    <col min="7709" max="7709" width="19.5703125" style="4" bestFit="1" customWidth="1"/>
    <col min="7710" max="7710" width="1.42578125" style="4" customWidth="1"/>
    <col min="7711" max="7711" width="13.42578125" style="4" bestFit="1" customWidth="1"/>
    <col min="7712" max="7712" width="8.5703125" style="4" bestFit="1" customWidth="1"/>
    <col min="7713" max="7713" width="8.85546875" style="4" bestFit="1" customWidth="1"/>
    <col min="7714" max="7936" width="9.140625" style="4"/>
    <col min="7937" max="7937" width="11" style="4" customWidth="1"/>
    <col min="7938" max="7939" width="12.5703125" style="4" customWidth="1"/>
    <col min="7940" max="7940" width="11" style="4" customWidth="1"/>
    <col min="7941" max="7941" width="8.42578125" style="4" customWidth="1"/>
    <col min="7942" max="7942" width="11.42578125" style="4" customWidth="1"/>
    <col min="7943" max="7943" width="1.85546875" style="4" customWidth="1"/>
    <col min="7944" max="7944" width="8.42578125" style="4" customWidth="1"/>
    <col min="7945" max="7945" width="11.42578125" style="4" customWidth="1"/>
    <col min="7946" max="7947" width="10.42578125" style="4" customWidth="1"/>
    <col min="7948" max="7948" width="10.5703125" style="4" customWidth="1"/>
    <col min="7949" max="7949" width="10" style="4" customWidth="1"/>
    <col min="7950" max="7950" width="11" style="4" bestFit="1" customWidth="1"/>
    <col min="7951" max="7951" width="12" style="4" customWidth="1"/>
    <col min="7952" max="7952" width="11.140625" style="4" customWidth="1"/>
    <col min="7953" max="7953" width="9.5703125" style="4" customWidth="1"/>
    <col min="7954" max="7954" width="10.42578125" style="4" customWidth="1"/>
    <col min="7955" max="7955" width="8.5703125" style="4" customWidth="1"/>
    <col min="7956" max="7956" width="11" style="4" customWidth="1"/>
    <col min="7957" max="7957" width="13.42578125" style="4" bestFit="1" customWidth="1"/>
    <col min="7958" max="7958" width="9.42578125" style="4" customWidth="1"/>
    <col min="7959" max="7959" width="7.5703125" style="4" customWidth="1"/>
    <col min="7960" max="7960" width="11.42578125" style="4" customWidth="1"/>
    <col min="7961" max="7961" width="9.42578125" style="4" customWidth="1"/>
    <col min="7962" max="7962" width="11.42578125" style="4" customWidth="1"/>
    <col min="7963" max="7963" width="13.42578125" style="4" bestFit="1" customWidth="1"/>
    <col min="7964" max="7964" width="5.5703125" style="4" bestFit="1" customWidth="1"/>
    <col min="7965" max="7965" width="19.5703125" style="4" bestFit="1" customWidth="1"/>
    <col min="7966" max="7966" width="1.42578125" style="4" customWidth="1"/>
    <col min="7967" max="7967" width="13.42578125" style="4" bestFit="1" customWidth="1"/>
    <col min="7968" max="7968" width="8.5703125" style="4" bestFit="1" customWidth="1"/>
    <col min="7969" max="7969" width="8.85546875" style="4" bestFit="1" customWidth="1"/>
    <col min="7970" max="8192" width="9.140625" style="4"/>
    <col min="8193" max="8193" width="11" style="4" customWidth="1"/>
    <col min="8194" max="8195" width="12.5703125" style="4" customWidth="1"/>
    <col min="8196" max="8196" width="11" style="4" customWidth="1"/>
    <col min="8197" max="8197" width="8.42578125" style="4" customWidth="1"/>
    <col min="8198" max="8198" width="11.42578125" style="4" customWidth="1"/>
    <col min="8199" max="8199" width="1.85546875" style="4" customWidth="1"/>
    <col min="8200" max="8200" width="8.42578125" style="4" customWidth="1"/>
    <col min="8201" max="8201" width="11.42578125" style="4" customWidth="1"/>
    <col min="8202" max="8203" width="10.42578125" style="4" customWidth="1"/>
    <col min="8204" max="8204" width="10.5703125" style="4" customWidth="1"/>
    <col min="8205" max="8205" width="10" style="4" customWidth="1"/>
    <col min="8206" max="8206" width="11" style="4" bestFit="1" customWidth="1"/>
    <col min="8207" max="8207" width="12" style="4" customWidth="1"/>
    <col min="8208" max="8208" width="11.140625" style="4" customWidth="1"/>
    <col min="8209" max="8209" width="9.5703125" style="4" customWidth="1"/>
    <col min="8210" max="8210" width="10.42578125" style="4" customWidth="1"/>
    <col min="8211" max="8211" width="8.5703125" style="4" customWidth="1"/>
    <col min="8212" max="8212" width="11" style="4" customWidth="1"/>
    <col min="8213" max="8213" width="13.42578125" style="4" bestFit="1" customWidth="1"/>
    <col min="8214" max="8214" width="9.42578125" style="4" customWidth="1"/>
    <col min="8215" max="8215" width="7.5703125" style="4" customWidth="1"/>
    <col min="8216" max="8216" width="11.42578125" style="4" customWidth="1"/>
    <col min="8217" max="8217" width="9.42578125" style="4" customWidth="1"/>
    <col min="8218" max="8218" width="11.42578125" style="4" customWidth="1"/>
    <col min="8219" max="8219" width="13.42578125" style="4" bestFit="1" customWidth="1"/>
    <col min="8220" max="8220" width="5.5703125" style="4" bestFit="1" customWidth="1"/>
    <col min="8221" max="8221" width="19.5703125" style="4" bestFit="1" customWidth="1"/>
    <col min="8222" max="8222" width="1.42578125" style="4" customWidth="1"/>
    <col min="8223" max="8223" width="13.42578125" style="4" bestFit="1" customWidth="1"/>
    <col min="8224" max="8224" width="8.5703125" style="4" bestFit="1" customWidth="1"/>
    <col min="8225" max="8225" width="8.85546875" style="4" bestFit="1" customWidth="1"/>
    <col min="8226" max="8448" width="9.140625" style="4"/>
    <col min="8449" max="8449" width="11" style="4" customWidth="1"/>
    <col min="8450" max="8451" width="12.5703125" style="4" customWidth="1"/>
    <col min="8452" max="8452" width="11" style="4" customWidth="1"/>
    <col min="8453" max="8453" width="8.42578125" style="4" customWidth="1"/>
    <col min="8454" max="8454" width="11.42578125" style="4" customWidth="1"/>
    <col min="8455" max="8455" width="1.85546875" style="4" customWidth="1"/>
    <col min="8456" max="8456" width="8.42578125" style="4" customWidth="1"/>
    <col min="8457" max="8457" width="11.42578125" style="4" customWidth="1"/>
    <col min="8458" max="8459" width="10.42578125" style="4" customWidth="1"/>
    <col min="8460" max="8460" width="10.5703125" style="4" customWidth="1"/>
    <col min="8461" max="8461" width="10" style="4" customWidth="1"/>
    <col min="8462" max="8462" width="11" style="4" bestFit="1" customWidth="1"/>
    <col min="8463" max="8463" width="12" style="4" customWidth="1"/>
    <col min="8464" max="8464" width="11.140625" style="4" customWidth="1"/>
    <col min="8465" max="8465" width="9.5703125" style="4" customWidth="1"/>
    <col min="8466" max="8466" width="10.42578125" style="4" customWidth="1"/>
    <col min="8467" max="8467" width="8.5703125" style="4" customWidth="1"/>
    <col min="8468" max="8468" width="11" style="4" customWidth="1"/>
    <col min="8469" max="8469" width="13.42578125" style="4" bestFit="1" customWidth="1"/>
    <col min="8470" max="8470" width="9.42578125" style="4" customWidth="1"/>
    <col min="8471" max="8471" width="7.5703125" style="4" customWidth="1"/>
    <col min="8472" max="8472" width="11.42578125" style="4" customWidth="1"/>
    <col min="8473" max="8473" width="9.42578125" style="4" customWidth="1"/>
    <col min="8474" max="8474" width="11.42578125" style="4" customWidth="1"/>
    <col min="8475" max="8475" width="13.42578125" style="4" bestFit="1" customWidth="1"/>
    <col min="8476" max="8476" width="5.5703125" style="4" bestFit="1" customWidth="1"/>
    <col min="8477" max="8477" width="19.5703125" style="4" bestFit="1" customWidth="1"/>
    <col min="8478" max="8478" width="1.42578125" style="4" customWidth="1"/>
    <col min="8479" max="8479" width="13.42578125" style="4" bestFit="1" customWidth="1"/>
    <col min="8480" max="8480" width="8.5703125" style="4" bestFit="1" customWidth="1"/>
    <col min="8481" max="8481" width="8.85546875" style="4" bestFit="1" customWidth="1"/>
    <col min="8482" max="8704" width="9.140625" style="4"/>
    <col min="8705" max="8705" width="11" style="4" customWidth="1"/>
    <col min="8706" max="8707" width="12.5703125" style="4" customWidth="1"/>
    <col min="8708" max="8708" width="11" style="4" customWidth="1"/>
    <col min="8709" max="8709" width="8.42578125" style="4" customWidth="1"/>
    <col min="8710" max="8710" width="11.42578125" style="4" customWidth="1"/>
    <col min="8711" max="8711" width="1.85546875" style="4" customWidth="1"/>
    <col min="8712" max="8712" width="8.42578125" style="4" customWidth="1"/>
    <col min="8713" max="8713" width="11.42578125" style="4" customWidth="1"/>
    <col min="8714" max="8715" width="10.42578125" style="4" customWidth="1"/>
    <col min="8716" max="8716" width="10.5703125" style="4" customWidth="1"/>
    <col min="8717" max="8717" width="10" style="4" customWidth="1"/>
    <col min="8718" max="8718" width="11" style="4" bestFit="1" customWidth="1"/>
    <col min="8719" max="8719" width="12" style="4" customWidth="1"/>
    <col min="8720" max="8720" width="11.140625" style="4" customWidth="1"/>
    <col min="8721" max="8721" width="9.5703125" style="4" customWidth="1"/>
    <col min="8722" max="8722" width="10.42578125" style="4" customWidth="1"/>
    <col min="8723" max="8723" width="8.5703125" style="4" customWidth="1"/>
    <col min="8724" max="8724" width="11" style="4" customWidth="1"/>
    <col min="8725" max="8725" width="13.42578125" style="4" bestFit="1" customWidth="1"/>
    <col min="8726" max="8726" width="9.42578125" style="4" customWidth="1"/>
    <col min="8727" max="8727" width="7.5703125" style="4" customWidth="1"/>
    <col min="8728" max="8728" width="11.42578125" style="4" customWidth="1"/>
    <col min="8729" max="8729" width="9.42578125" style="4" customWidth="1"/>
    <col min="8730" max="8730" width="11.42578125" style="4" customWidth="1"/>
    <col min="8731" max="8731" width="13.42578125" style="4" bestFit="1" customWidth="1"/>
    <col min="8732" max="8732" width="5.5703125" style="4" bestFit="1" customWidth="1"/>
    <col min="8733" max="8733" width="19.5703125" style="4" bestFit="1" customWidth="1"/>
    <col min="8734" max="8734" width="1.42578125" style="4" customWidth="1"/>
    <col min="8735" max="8735" width="13.42578125" style="4" bestFit="1" customWidth="1"/>
    <col min="8736" max="8736" width="8.5703125" style="4" bestFit="1" customWidth="1"/>
    <col min="8737" max="8737" width="8.85546875" style="4" bestFit="1" customWidth="1"/>
    <col min="8738" max="8960" width="9.140625" style="4"/>
    <col min="8961" max="8961" width="11" style="4" customWidth="1"/>
    <col min="8962" max="8963" width="12.5703125" style="4" customWidth="1"/>
    <col min="8964" max="8964" width="11" style="4" customWidth="1"/>
    <col min="8965" max="8965" width="8.42578125" style="4" customWidth="1"/>
    <col min="8966" max="8966" width="11.42578125" style="4" customWidth="1"/>
    <col min="8967" max="8967" width="1.85546875" style="4" customWidth="1"/>
    <col min="8968" max="8968" width="8.42578125" style="4" customWidth="1"/>
    <col min="8969" max="8969" width="11.42578125" style="4" customWidth="1"/>
    <col min="8970" max="8971" width="10.42578125" style="4" customWidth="1"/>
    <col min="8972" max="8972" width="10.5703125" style="4" customWidth="1"/>
    <col min="8973" max="8973" width="10" style="4" customWidth="1"/>
    <col min="8974" max="8974" width="11" style="4" bestFit="1" customWidth="1"/>
    <col min="8975" max="8975" width="12" style="4" customWidth="1"/>
    <col min="8976" max="8976" width="11.140625" style="4" customWidth="1"/>
    <col min="8977" max="8977" width="9.5703125" style="4" customWidth="1"/>
    <col min="8978" max="8978" width="10.42578125" style="4" customWidth="1"/>
    <col min="8979" max="8979" width="8.5703125" style="4" customWidth="1"/>
    <col min="8980" max="8980" width="11" style="4" customWidth="1"/>
    <col min="8981" max="8981" width="13.42578125" style="4" bestFit="1" customWidth="1"/>
    <col min="8982" max="8982" width="9.42578125" style="4" customWidth="1"/>
    <col min="8983" max="8983" width="7.5703125" style="4" customWidth="1"/>
    <col min="8984" max="8984" width="11.42578125" style="4" customWidth="1"/>
    <col min="8985" max="8985" width="9.42578125" style="4" customWidth="1"/>
    <col min="8986" max="8986" width="11.42578125" style="4" customWidth="1"/>
    <col min="8987" max="8987" width="13.42578125" style="4" bestFit="1" customWidth="1"/>
    <col min="8988" max="8988" width="5.5703125" style="4" bestFit="1" customWidth="1"/>
    <col min="8989" max="8989" width="19.5703125" style="4" bestFit="1" customWidth="1"/>
    <col min="8990" max="8990" width="1.42578125" style="4" customWidth="1"/>
    <col min="8991" max="8991" width="13.42578125" style="4" bestFit="1" customWidth="1"/>
    <col min="8992" max="8992" width="8.5703125" style="4" bestFit="1" customWidth="1"/>
    <col min="8993" max="8993" width="8.85546875" style="4" bestFit="1" customWidth="1"/>
    <col min="8994" max="9216" width="9.140625" style="4"/>
    <col min="9217" max="9217" width="11" style="4" customWidth="1"/>
    <col min="9218" max="9219" width="12.5703125" style="4" customWidth="1"/>
    <col min="9220" max="9220" width="11" style="4" customWidth="1"/>
    <col min="9221" max="9221" width="8.42578125" style="4" customWidth="1"/>
    <col min="9222" max="9222" width="11.42578125" style="4" customWidth="1"/>
    <col min="9223" max="9223" width="1.85546875" style="4" customWidth="1"/>
    <col min="9224" max="9224" width="8.42578125" style="4" customWidth="1"/>
    <col min="9225" max="9225" width="11.42578125" style="4" customWidth="1"/>
    <col min="9226" max="9227" width="10.42578125" style="4" customWidth="1"/>
    <col min="9228" max="9228" width="10.5703125" style="4" customWidth="1"/>
    <col min="9229" max="9229" width="10" style="4" customWidth="1"/>
    <col min="9230" max="9230" width="11" style="4" bestFit="1" customWidth="1"/>
    <col min="9231" max="9231" width="12" style="4" customWidth="1"/>
    <col min="9232" max="9232" width="11.140625" style="4" customWidth="1"/>
    <col min="9233" max="9233" width="9.5703125" style="4" customWidth="1"/>
    <col min="9234" max="9234" width="10.42578125" style="4" customWidth="1"/>
    <col min="9235" max="9235" width="8.5703125" style="4" customWidth="1"/>
    <col min="9236" max="9236" width="11" style="4" customWidth="1"/>
    <col min="9237" max="9237" width="13.42578125" style="4" bestFit="1" customWidth="1"/>
    <col min="9238" max="9238" width="9.42578125" style="4" customWidth="1"/>
    <col min="9239" max="9239" width="7.5703125" style="4" customWidth="1"/>
    <col min="9240" max="9240" width="11.42578125" style="4" customWidth="1"/>
    <col min="9241" max="9241" width="9.42578125" style="4" customWidth="1"/>
    <col min="9242" max="9242" width="11.42578125" style="4" customWidth="1"/>
    <col min="9243" max="9243" width="13.42578125" style="4" bestFit="1" customWidth="1"/>
    <col min="9244" max="9244" width="5.5703125" style="4" bestFit="1" customWidth="1"/>
    <col min="9245" max="9245" width="19.5703125" style="4" bestFit="1" customWidth="1"/>
    <col min="9246" max="9246" width="1.42578125" style="4" customWidth="1"/>
    <col min="9247" max="9247" width="13.42578125" style="4" bestFit="1" customWidth="1"/>
    <col min="9248" max="9248" width="8.5703125" style="4" bestFit="1" customWidth="1"/>
    <col min="9249" max="9249" width="8.85546875" style="4" bestFit="1" customWidth="1"/>
    <col min="9250" max="9472" width="9.140625" style="4"/>
    <col min="9473" max="9473" width="11" style="4" customWidth="1"/>
    <col min="9474" max="9475" width="12.5703125" style="4" customWidth="1"/>
    <col min="9476" max="9476" width="11" style="4" customWidth="1"/>
    <col min="9477" max="9477" width="8.42578125" style="4" customWidth="1"/>
    <col min="9478" max="9478" width="11.42578125" style="4" customWidth="1"/>
    <col min="9479" max="9479" width="1.85546875" style="4" customWidth="1"/>
    <col min="9480" max="9480" width="8.42578125" style="4" customWidth="1"/>
    <col min="9481" max="9481" width="11.42578125" style="4" customWidth="1"/>
    <col min="9482" max="9483" width="10.42578125" style="4" customWidth="1"/>
    <col min="9484" max="9484" width="10.5703125" style="4" customWidth="1"/>
    <col min="9485" max="9485" width="10" style="4" customWidth="1"/>
    <col min="9486" max="9486" width="11" style="4" bestFit="1" customWidth="1"/>
    <col min="9487" max="9487" width="12" style="4" customWidth="1"/>
    <col min="9488" max="9488" width="11.140625" style="4" customWidth="1"/>
    <col min="9489" max="9489" width="9.5703125" style="4" customWidth="1"/>
    <col min="9490" max="9490" width="10.42578125" style="4" customWidth="1"/>
    <col min="9491" max="9491" width="8.5703125" style="4" customWidth="1"/>
    <col min="9492" max="9492" width="11" style="4" customWidth="1"/>
    <col min="9493" max="9493" width="13.42578125" style="4" bestFit="1" customWidth="1"/>
    <col min="9494" max="9494" width="9.42578125" style="4" customWidth="1"/>
    <col min="9495" max="9495" width="7.5703125" style="4" customWidth="1"/>
    <col min="9496" max="9496" width="11.42578125" style="4" customWidth="1"/>
    <col min="9497" max="9497" width="9.42578125" style="4" customWidth="1"/>
    <col min="9498" max="9498" width="11.42578125" style="4" customWidth="1"/>
    <col min="9499" max="9499" width="13.42578125" style="4" bestFit="1" customWidth="1"/>
    <col min="9500" max="9500" width="5.5703125" style="4" bestFit="1" customWidth="1"/>
    <col min="9501" max="9501" width="19.5703125" style="4" bestFit="1" customWidth="1"/>
    <col min="9502" max="9502" width="1.42578125" style="4" customWidth="1"/>
    <col min="9503" max="9503" width="13.42578125" style="4" bestFit="1" customWidth="1"/>
    <col min="9504" max="9504" width="8.5703125" style="4" bestFit="1" customWidth="1"/>
    <col min="9505" max="9505" width="8.85546875" style="4" bestFit="1" customWidth="1"/>
    <col min="9506" max="9728" width="9.140625" style="4"/>
    <col min="9729" max="9729" width="11" style="4" customWidth="1"/>
    <col min="9730" max="9731" width="12.5703125" style="4" customWidth="1"/>
    <col min="9732" max="9732" width="11" style="4" customWidth="1"/>
    <col min="9733" max="9733" width="8.42578125" style="4" customWidth="1"/>
    <col min="9734" max="9734" width="11.42578125" style="4" customWidth="1"/>
    <col min="9735" max="9735" width="1.85546875" style="4" customWidth="1"/>
    <col min="9736" max="9736" width="8.42578125" style="4" customWidth="1"/>
    <col min="9737" max="9737" width="11.42578125" style="4" customWidth="1"/>
    <col min="9738" max="9739" width="10.42578125" style="4" customWidth="1"/>
    <col min="9740" max="9740" width="10.5703125" style="4" customWidth="1"/>
    <col min="9741" max="9741" width="10" style="4" customWidth="1"/>
    <col min="9742" max="9742" width="11" style="4" bestFit="1" customWidth="1"/>
    <col min="9743" max="9743" width="12" style="4" customWidth="1"/>
    <col min="9744" max="9744" width="11.140625" style="4" customWidth="1"/>
    <col min="9745" max="9745" width="9.5703125" style="4" customWidth="1"/>
    <col min="9746" max="9746" width="10.42578125" style="4" customWidth="1"/>
    <col min="9747" max="9747" width="8.5703125" style="4" customWidth="1"/>
    <col min="9748" max="9748" width="11" style="4" customWidth="1"/>
    <col min="9749" max="9749" width="13.42578125" style="4" bestFit="1" customWidth="1"/>
    <col min="9750" max="9750" width="9.42578125" style="4" customWidth="1"/>
    <col min="9751" max="9751" width="7.5703125" style="4" customWidth="1"/>
    <col min="9752" max="9752" width="11.42578125" style="4" customWidth="1"/>
    <col min="9753" max="9753" width="9.42578125" style="4" customWidth="1"/>
    <col min="9754" max="9754" width="11.42578125" style="4" customWidth="1"/>
    <col min="9755" max="9755" width="13.42578125" style="4" bestFit="1" customWidth="1"/>
    <col min="9756" max="9756" width="5.5703125" style="4" bestFit="1" customWidth="1"/>
    <col min="9757" max="9757" width="19.5703125" style="4" bestFit="1" customWidth="1"/>
    <col min="9758" max="9758" width="1.42578125" style="4" customWidth="1"/>
    <col min="9759" max="9759" width="13.42578125" style="4" bestFit="1" customWidth="1"/>
    <col min="9760" max="9760" width="8.5703125" style="4" bestFit="1" customWidth="1"/>
    <col min="9761" max="9761" width="8.85546875" style="4" bestFit="1" customWidth="1"/>
    <col min="9762" max="9984" width="9.140625" style="4"/>
    <col min="9985" max="9985" width="11" style="4" customWidth="1"/>
    <col min="9986" max="9987" width="12.5703125" style="4" customWidth="1"/>
    <col min="9988" max="9988" width="11" style="4" customWidth="1"/>
    <col min="9989" max="9989" width="8.42578125" style="4" customWidth="1"/>
    <col min="9990" max="9990" width="11.42578125" style="4" customWidth="1"/>
    <col min="9991" max="9991" width="1.85546875" style="4" customWidth="1"/>
    <col min="9992" max="9992" width="8.42578125" style="4" customWidth="1"/>
    <col min="9993" max="9993" width="11.42578125" style="4" customWidth="1"/>
    <col min="9994" max="9995" width="10.42578125" style="4" customWidth="1"/>
    <col min="9996" max="9996" width="10.5703125" style="4" customWidth="1"/>
    <col min="9997" max="9997" width="10" style="4" customWidth="1"/>
    <col min="9998" max="9998" width="11" style="4" bestFit="1" customWidth="1"/>
    <col min="9999" max="9999" width="12" style="4" customWidth="1"/>
    <col min="10000" max="10000" width="11.140625" style="4" customWidth="1"/>
    <col min="10001" max="10001" width="9.5703125" style="4" customWidth="1"/>
    <col min="10002" max="10002" width="10.42578125" style="4" customWidth="1"/>
    <col min="10003" max="10003" width="8.5703125" style="4" customWidth="1"/>
    <col min="10004" max="10004" width="11" style="4" customWidth="1"/>
    <col min="10005" max="10005" width="13.42578125" style="4" bestFit="1" customWidth="1"/>
    <col min="10006" max="10006" width="9.42578125" style="4" customWidth="1"/>
    <col min="10007" max="10007" width="7.5703125" style="4" customWidth="1"/>
    <col min="10008" max="10008" width="11.42578125" style="4" customWidth="1"/>
    <col min="10009" max="10009" width="9.42578125" style="4" customWidth="1"/>
    <col min="10010" max="10010" width="11.42578125" style="4" customWidth="1"/>
    <col min="10011" max="10011" width="13.42578125" style="4" bestFit="1" customWidth="1"/>
    <col min="10012" max="10012" width="5.5703125" style="4" bestFit="1" customWidth="1"/>
    <col min="10013" max="10013" width="19.5703125" style="4" bestFit="1" customWidth="1"/>
    <col min="10014" max="10014" width="1.42578125" style="4" customWidth="1"/>
    <col min="10015" max="10015" width="13.42578125" style="4" bestFit="1" customWidth="1"/>
    <col min="10016" max="10016" width="8.5703125" style="4" bestFit="1" customWidth="1"/>
    <col min="10017" max="10017" width="8.85546875" style="4" bestFit="1" customWidth="1"/>
    <col min="10018" max="10240" width="9.140625" style="4"/>
    <col min="10241" max="10241" width="11" style="4" customWidth="1"/>
    <col min="10242" max="10243" width="12.5703125" style="4" customWidth="1"/>
    <col min="10244" max="10244" width="11" style="4" customWidth="1"/>
    <col min="10245" max="10245" width="8.42578125" style="4" customWidth="1"/>
    <col min="10246" max="10246" width="11.42578125" style="4" customWidth="1"/>
    <col min="10247" max="10247" width="1.85546875" style="4" customWidth="1"/>
    <col min="10248" max="10248" width="8.42578125" style="4" customWidth="1"/>
    <col min="10249" max="10249" width="11.42578125" style="4" customWidth="1"/>
    <col min="10250" max="10251" width="10.42578125" style="4" customWidth="1"/>
    <col min="10252" max="10252" width="10.5703125" style="4" customWidth="1"/>
    <col min="10253" max="10253" width="10" style="4" customWidth="1"/>
    <col min="10254" max="10254" width="11" style="4" bestFit="1" customWidth="1"/>
    <col min="10255" max="10255" width="12" style="4" customWidth="1"/>
    <col min="10256" max="10256" width="11.140625" style="4" customWidth="1"/>
    <col min="10257" max="10257" width="9.5703125" style="4" customWidth="1"/>
    <col min="10258" max="10258" width="10.42578125" style="4" customWidth="1"/>
    <col min="10259" max="10259" width="8.5703125" style="4" customWidth="1"/>
    <col min="10260" max="10260" width="11" style="4" customWidth="1"/>
    <col min="10261" max="10261" width="13.42578125" style="4" bestFit="1" customWidth="1"/>
    <col min="10262" max="10262" width="9.42578125" style="4" customWidth="1"/>
    <col min="10263" max="10263" width="7.5703125" style="4" customWidth="1"/>
    <col min="10264" max="10264" width="11.42578125" style="4" customWidth="1"/>
    <col min="10265" max="10265" width="9.42578125" style="4" customWidth="1"/>
    <col min="10266" max="10266" width="11.42578125" style="4" customWidth="1"/>
    <col min="10267" max="10267" width="13.42578125" style="4" bestFit="1" customWidth="1"/>
    <col min="10268" max="10268" width="5.5703125" style="4" bestFit="1" customWidth="1"/>
    <col min="10269" max="10269" width="19.5703125" style="4" bestFit="1" customWidth="1"/>
    <col min="10270" max="10270" width="1.42578125" style="4" customWidth="1"/>
    <col min="10271" max="10271" width="13.42578125" style="4" bestFit="1" customWidth="1"/>
    <col min="10272" max="10272" width="8.5703125" style="4" bestFit="1" customWidth="1"/>
    <col min="10273" max="10273" width="8.85546875" style="4" bestFit="1" customWidth="1"/>
    <col min="10274" max="10496" width="9.140625" style="4"/>
    <col min="10497" max="10497" width="11" style="4" customWidth="1"/>
    <col min="10498" max="10499" width="12.5703125" style="4" customWidth="1"/>
    <col min="10500" max="10500" width="11" style="4" customWidth="1"/>
    <col min="10501" max="10501" width="8.42578125" style="4" customWidth="1"/>
    <col min="10502" max="10502" width="11.42578125" style="4" customWidth="1"/>
    <col min="10503" max="10503" width="1.85546875" style="4" customWidth="1"/>
    <col min="10504" max="10504" width="8.42578125" style="4" customWidth="1"/>
    <col min="10505" max="10505" width="11.42578125" style="4" customWidth="1"/>
    <col min="10506" max="10507" width="10.42578125" style="4" customWidth="1"/>
    <col min="10508" max="10508" width="10.5703125" style="4" customWidth="1"/>
    <col min="10509" max="10509" width="10" style="4" customWidth="1"/>
    <col min="10510" max="10510" width="11" style="4" bestFit="1" customWidth="1"/>
    <col min="10511" max="10511" width="12" style="4" customWidth="1"/>
    <col min="10512" max="10512" width="11.140625" style="4" customWidth="1"/>
    <col min="10513" max="10513" width="9.5703125" style="4" customWidth="1"/>
    <col min="10514" max="10514" width="10.42578125" style="4" customWidth="1"/>
    <col min="10515" max="10515" width="8.5703125" style="4" customWidth="1"/>
    <col min="10516" max="10516" width="11" style="4" customWidth="1"/>
    <col min="10517" max="10517" width="13.42578125" style="4" bestFit="1" customWidth="1"/>
    <col min="10518" max="10518" width="9.42578125" style="4" customWidth="1"/>
    <col min="10519" max="10519" width="7.5703125" style="4" customWidth="1"/>
    <col min="10520" max="10520" width="11.42578125" style="4" customWidth="1"/>
    <col min="10521" max="10521" width="9.42578125" style="4" customWidth="1"/>
    <col min="10522" max="10522" width="11.42578125" style="4" customWidth="1"/>
    <col min="10523" max="10523" width="13.42578125" style="4" bestFit="1" customWidth="1"/>
    <col min="10524" max="10524" width="5.5703125" style="4" bestFit="1" customWidth="1"/>
    <col min="10525" max="10525" width="19.5703125" style="4" bestFit="1" customWidth="1"/>
    <col min="10526" max="10526" width="1.42578125" style="4" customWidth="1"/>
    <col min="10527" max="10527" width="13.42578125" style="4" bestFit="1" customWidth="1"/>
    <col min="10528" max="10528" width="8.5703125" style="4" bestFit="1" customWidth="1"/>
    <col min="10529" max="10529" width="8.85546875" style="4" bestFit="1" customWidth="1"/>
    <col min="10530" max="10752" width="9.140625" style="4"/>
    <col min="10753" max="10753" width="11" style="4" customWidth="1"/>
    <col min="10754" max="10755" width="12.5703125" style="4" customWidth="1"/>
    <col min="10756" max="10756" width="11" style="4" customWidth="1"/>
    <col min="10757" max="10757" width="8.42578125" style="4" customWidth="1"/>
    <col min="10758" max="10758" width="11.42578125" style="4" customWidth="1"/>
    <col min="10759" max="10759" width="1.85546875" style="4" customWidth="1"/>
    <col min="10760" max="10760" width="8.42578125" style="4" customWidth="1"/>
    <col min="10761" max="10761" width="11.42578125" style="4" customWidth="1"/>
    <col min="10762" max="10763" width="10.42578125" style="4" customWidth="1"/>
    <col min="10764" max="10764" width="10.5703125" style="4" customWidth="1"/>
    <col min="10765" max="10765" width="10" style="4" customWidth="1"/>
    <col min="10766" max="10766" width="11" style="4" bestFit="1" customWidth="1"/>
    <col min="10767" max="10767" width="12" style="4" customWidth="1"/>
    <col min="10768" max="10768" width="11.140625" style="4" customWidth="1"/>
    <col min="10769" max="10769" width="9.5703125" style="4" customWidth="1"/>
    <col min="10770" max="10770" width="10.42578125" style="4" customWidth="1"/>
    <col min="10771" max="10771" width="8.5703125" style="4" customWidth="1"/>
    <col min="10772" max="10772" width="11" style="4" customWidth="1"/>
    <col min="10773" max="10773" width="13.42578125" style="4" bestFit="1" customWidth="1"/>
    <col min="10774" max="10774" width="9.42578125" style="4" customWidth="1"/>
    <col min="10775" max="10775" width="7.5703125" style="4" customWidth="1"/>
    <col min="10776" max="10776" width="11.42578125" style="4" customWidth="1"/>
    <col min="10777" max="10777" width="9.42578125" style="4" customWidth="1"/>
    <col min="10778" max="10778" width="11.42578125" style="4" customWidth="1"/>
    <col min="10779" max="10779" width="13.42578125" style="4" bestFit="1" customWidth="1"/>
    <col min="10780" max="10780" width="5.5703125" style="4" bestFit="1" customWidth="1"/>
    <col min="10781" max="10781" width="19.5703125" style="4" bestFit="1" customWidth="1"/>
    <col min="10782" max="10782" width="1.42578125" style="4" customWidth="1"/>
    <col min="10783" max="10783" width="13.42578125" style="4" bestFit="1" customWidth="1"/>
    <col min="10784" max="10784" width="8.5703125" style="4" bestFit="1" customWidth="1"/>
    <col min="10785" max="10785" width="8.85546875" style="4" bestFit="1" customWidth="1"/>
    <col min="10786" max="11008" width="9.140625" style="4"/>
    <col min="11009" max="11009" width="11" style="4" customWidth="1"/>
    <col min="11010" max="11011" width="12.5703125" style="4" customWidth="1"/>
    <col min="11012" max="11012" width="11" style="4" customWidth="1"/>
    <col min="11013" max="11013" width="8.42578125" style="4" customWidth="1"/>
    <col min="11014" max="11014" width="11.42578125" style="4" customWidth="1"/>
    <col min="11015" max="11015" width="1.85546875" style="4" customWidth="1"/>
    <col min="11016" max="11016" width="8.42578125" style="4" customWidth="1"/>
    <col min="11017" max="11017" width="11.42578125" style="4" customWidth="1"/>
    <col min="11018" max="11019" width="10.42578125" style="4" customWidth="1"/>
    <col min="11020" max="11020" width="10.5703125" style="4" customWidth="1"/>
    <col min="11021" max="11021" width="10" style="4" customWidth="1"/>
    <col min="11022" max="11022" width="11" style="4" bestFit="1" customWidth="1"/>
    <col min="11023" max="11023" width="12" style="4" customWidth="1"/>
    <col min="11024" max="11024" width="11.140625" style="4" customWidth="1"/>
    <col min="11025" max="11025" width="9.5703125" style="4" customWidth="1"/>
    <col min="11026" max="11026" width="10.42578125" style="4" customWidth="1"/>
    <col min="11027" max="11027" width="8.5703125" style="4" customWidth="1"/>
    <col min="11028" max="11028" width="11" style="4" customWidth="1"/>
    <col min="11029" max="11029" width="13.42578125" style="4" bestFit="1" customWidth="1"/>
    <col min="11030" max="11030" width="9.42578125" style="4" customWidth="1"/>
    <col min="11031" max="11031" width="7.5703125" style="4" customWidth="1"/>
    <col min="11032" max="11032" width="11.42578125" style="4" customWidth="1"/>
    <col min="11033" max="11033" width="9.42578125" style="4" customWidth="1"/>
    <col min="11034" max="11034" width="11.42578125" style="4" customWidth="1"/>
    <col min="11035" max="11035" width="13.42578125" style="4" bestFit="1" customWidth="1"/>
    <col min="11036" max="11036" width="5.5703125" style="4" bestFit="1" customWidth="1"/>
    <col min="11037" max="11037" width="19.5703125" style="4" bestFit="1" customWidth="1"/>
    <col min="11038" max="11038" width="1.42578125" style="4" customWidth="1"/>
    <col min="11039" max="11039" width="13.42578125" style="4" bestFit="1" customWidth="1"/>
    <col min="11040" max="11040" width="8.5703125" style="4" bestFit="1" customWidth="1"/>
    <col min="11041" max="11041" width="8.85546875" style="4" bestFit="1" customWidth="1"/>
    <col min="11042" max="11264" width="9.140625" style="4"/>
    <col min="11265" max="11265" width="11" style="4" customWidth="1"/>
    <col min="11266" max="11267" width="12.5703125" style="4" customWidth="1"/>
    <col min="11268" max="11268" width="11" style="4" customWidth="1"/>
    <col min="11269" max="11269" width="8.42578125" style="4" customWidth="1"/>
    <col min="11270" max="11270" width="11.42578125" style="4" customWidth="1"/>
    <col min="11271" max="11271" width="1.85546875" style="4" customWidth="1"/>
    <col min="11272" max="11272" width="8.42578125" style="4" customWidth="1"/>
    <col min="11273" max="11273" width="11.42578125" style="4" customWidth="1"/>
    <col min="11274" max="11275" width="10.42578125" style="4" customWidth="1"/>
    <col min="11276" max="11276" width="10.5703125" style="4" customWidth="1"/>
    <col min="11277" max="11277" width="10" style="4" customWidth="1"/>
    <col min="11278" max="11278" width="11" style="4" bestFit="1" customWidth="1"/>
    <col min="11279" max="11279" width="12" style="4" customWidth="1"/>
    <col min="11280" max="11280" width="11.140625" style="4" customWidth="1"/>
    <col min="11281" max="11281" width="9.5703125" style="4" customWidth="1"/>
    <col min="11282" max="11282" width="10.42578125" style="4" customWidth="1"/>
    <col min="11283" max="11283" width="8.5703125" style="4" customWidth="1"/>
    <col min="11284" max="11284" width="11" style="4" customWidth="1"/>
    <col min="11285" max="11285" width="13.42578125" style="4" bestFit="1" customWidth="1"/>
    <col min="11286" max="11286" width="9.42578125" style="4" customWidth="1"/>
    <col min="11287" max="11287" width="7.5703125" style="4" customWidth="1"/>
    <col min="11288" max="11288" width="11.42578125" style="4" customWidth="1"/>
    <col min="11289" max="11289" width="9.42578125" style="4" customWidth="1"/>
    <col min="11290" max="11290" width="11.42578125" style="4" customWidth="1"/>
    <col min="11291" max="11291" width="13.42578125" style="4" bestFit="1" customWidth="1"/>
    <col min="11292" max="11292" width="5.5703125" style="4" bestFit="1" customWidth="1"/>
    <col min="11293" max="11293" width="19.5703125" style="4" bestFit="1" customWidth="1"/>
    <col min="11294" max="11294" width="1.42578125" style="4" customWidth="1"/>
    <col min="11295" max="11295" width="13.42578125" style="4" bestFit="1" customWidth="1"/>
    <col min="11296" max="11296" width="8.5703125" style="4" bestFit="1" customWidth="1"/>
    <col min="11297" max="11297" width="8.85546875" style="4" bestFit="1" customWidth="1"/>
    <col min="11298" max="11520" width="9.140625" style="4"/>
    <col min="11521" max="11521" width="11" style="4" customWidth="1"/>
    <col min="11522" max="11523" width="12.5703125" style="4" customWidth="1"/>
    <col min="11524" max="11524" width="11" style="4" customWidth="1"/>
    <col min="11525" max="11525" width="8.42578125" style="4" customWidth="1"/>
    <col min="11526" max="11526" width="11.42578125" style="4" customWidth="1"/>
    <col min="11527" max="11527" width="1.85546875" style="4" customWidth="1"/>
    <col min="11528" max="11528" width="8.42578125" style="4" customWidth="1"/>
    <col min="11529" max="11529" width="11.42578125" style="4" customWidth="1"/>
    <col min="11530" max="11531" width="10.42578125" style="4" customWidth="1"/>
    <col min="11532" max="11532" width="10.5703125" style="4" customWidth="1"/>
    <col min="11533" max="11533" width="10" style="4" customWidth="1"/>
    <col min="11534" max="11534" width="11" style="4" bestFit="1" customWidth="1"/>
    <col min="11535" max="11535" width="12" style="4" customWidth="1"/>
    <col min="11536" max="11536" width="11.140625" style="4" customWidth="1"/>
    <col min="11537" max="11537" width="9.5703125" style="4" customWidth="1"/>
    <col min="11538" max="11538" width="10.42578125" style="4" customWidth="1"/>
    <col min="11539" max="11539" width="8.5703125" style="4" customWidth="1"/>
    <col min="11540" max="11540" width="11" style="4" customWidth="1"/>
    <col min="11541" max="11541" width="13.42578125" style="4" bestFit="1" customWidth="1"/>
    <col min="11542" max="11542" width="9.42578125" style="4" customWidth="1"/>
    <col min="11543" max="11543" width="7.5703125" style="4" customWidth="1"/>
    <col min="11544" max="11544" width="11.42578125" style="4" customWidth="1"/>
    <col min="11545" max="11545" width="9.42578125" style="4" customWidth="1"/>
    <col min="11546" max="11546" width="11.42578125" style="4" customWidth="1"/>
    <col min="11547" max="11547" width="13.42578125" style="4" bestFit="1" customWidth="1"/>
    <col min="11548" max="11548" width="5.5703125" style="4" bestFit="1" customWidth="1"/>
    <col min="11549" max="11549" width="19.5703125" style="4" bestFit="1" customWidth="1"/>
    <col min="11550" max="11550" width="1.42578125" style="4" customWidth="1"/>
    <col min="11551" max="11551" width="13.42578125" style="4" bestFit="1" customWidth="1"/>
    <col min="11552" max="11552" width="8.5703125" style="4" bestFit="1" customWidth="1"/>
    <col min="11553" max="11553" width="8.85546875" style="4" bestFit="1" customWidth="1"/>
    <col min="11554" max="11776" width="9.140625" style="4"/>
    <col min="11777" max="11777" width="11" style="4" customWidth="1"/>
    <col min="11778" max="11779" width="12.5703125" style="4" customWidth="1"/>
    <col min="11780" max="11780" width="11" style="4" customWidth="1"/>
    <col min="11781" max="11781" width="8.42578125" style="4" customWidth="1"/>
    <col min="11782" max="11782" width="11.42578125" style="4" customWidth="1"/>
    <col min="11783" max="11783" width="1.85546875" style="4" customWidth="1"/>
    <col min="11784" max="11784" width="8.42578125" style="4" customWidth="1"/>
    <col min="11785" max="11785" width="11.42578125" style="4" customWidth="1"/>
    <col min="11786" max="11787" width="10.42578125" style="4" customWidth="1"/>
    <col min="11788" max="11788" width="10.5703125" style="4" customWidth="1"/>
    <col min="11789" max="11789" width="10" style="4" customWidth="1"/>
    <col min="11790" max="11790" width="11" style="4" bestFit="1" customWidth="1"/>
    <col min="11791" max="11791" width="12" style="4" customWidth="1"/>
    <col min="11792" max="11792" width="11.140625" style="4" customWidth="1"/>
    <col min="11793" max="11793" width="9.5703125" style="4" customWidth="1"/>
    <col min="11794" max="11794" width="10.42578125" style="4" customWidth="1"/>
    <col min="11795" max="11795" width="8.5703125" style="4" customWidth="1"/>
    <col min="11796" max="11796" width="11" style="4" customWidth="1"/>
    <col min="11797" max="11797" width="13.42578125" style="4" bestFit="1" customWidth="1"/>
    <col min="11798" max="11798" width="9.42578125" style="4" customWidth="1"/>
    <col min="11799" max="11799" width="7.5703125" style="4" customWidth="1"/>
    <col min="11800" max="11800" width="11.42578125" style="4" customWidth="1"/>
    <col min="11801" max="11801" width="9.42578125" style="4" customWidth="1"/>
    <col min="11802" max="11802" width="11.42578125" style="4" customWidth="1"/>
    <col min="11803" max="11803" width="13.42578125" style="4" bestFit="1" customWidth="1"/>
    <col min="11804" max="11804" width="5.5703125" style="4" bestFit="1" customWidth="1"/>
    <col min="11805" max="11805" width="19.5703125" style="4" bestFit="1" customWidth="1"/>
    <col min="11806" max="11806" width="1.42578125" style="4" customWidth="1"/>
    <col min="11807" max="11807" width="13.42578125" style="4" bestFit="1" customWidth="1"/>
    <col min="11808" max="11808" width="8.5703125" style="4" bestFit="1" customWidth="1"/>
    <col min="11809" max="11809" width="8.85546875" style="4" bestFit="1" customWidth="1"/>
    <col min="11810" max="12032" width="9.140625" style="4"/>
    <col min="12033" max="12033" width="11" style="4" customWidth="1"/>
    <col min="12034" max="12035" width="12.5703125" style="4" customWidth="1"/>
    <col min="12036" max="12036" width="11" style="4" customWidth="1"/>
    <col min="12037" max="12037" width="8.42578125" style="4" customWidth="1"/>
    <col min="12038" max="12038" width="11.42578125" style="4" customWidth="1"/>
    <col min="12039" max="12039" width="1.85546875" style="4" customWidth="1"/>
    <col min="12040" max="12040" width="8.42578125" style="4" customWidth="1"/>
    <col min="12041" max="12041" width="11.42578125" style="4" customWidth="1"/>
    <col min="12042" max="12043" width="10.42578125" style="4" customWidth="1"/>
    <col min="12044" max="12044" width="10.5703125" style="4" customWidth="1"/>
    <col min="12045" max="12045" width="10" style="4" customWidth="1"/>
    <col min="12046" max="12046" width="11" style="4" bestFit="1" customWidth="1"/>
    <col min="12047" max="12047" width="12" style="4" customWidth="1"/>
    <col min="12048" max="12048" width="11.140625" style="4" customWidth="1"/>
    <col min="12049" max="12049" width="9.5703125" style="4" customWidth="1"/>
    <col min="12050" max="12050" width="10.42578125" style="4" customWidth="1"/>
    <col min="12051" max="12051" width="8.5703125" style="4" customWidth="1"/>
    <col min="12052" max="12052" width="11" style="4" customWidth="1"/>
    <col min="12053" max="12053" width="13.42578125" style="4" bestFit="1" customWidth="1"/>
    <col min="12054" max="12054" width="9.42578125" style="4" customWidth="1"/>
    <col min="12055" max="12055" width="7.5703125" style="4" customWidth="1"/>
    <col min="12056" max="12056" width="11.42578125" style="4" customWidth="1"/>
    <col min="12057" max="12057" width="9.42578125" style="4" customWidth="1"/>
    <col min="12058" max="12058" width="11.42578125" style="4" customWidth="1"/>
    <col min="12059" max="12059" width="13.42578125" style="4" bestFit="1" customWidth="1"/>
    <col min="12060" max="12060" width="5.5703125" style="4" bestFit="1" customWidth="1"/>
    <col min="12061" max="12061" width="19.5703125" style="4" bestFit="1" customWidth="1"/>
    <col min="12062" max="12062" width="1.42578125" style="4" customWidth="1"/>
    <col min="12063" max="12063" width="13.42578125" style="4" bestFit="1" customWidth="1"/>
    <col min="12064" max="12064" width="8.5703125" style="4" bestFit="1" customWidth="1"/>
    <col min="12065" max="12065" width="8.85546875" style="4" bestFit="1" customWidth="1"/>
    <col min="12066" max="12288" width="9.140625" style="4"/>
    <col min="12289" max="12289" width="11" style="4" customWidth="1"/>
    <col min="12290" max="12291" width="12.5703125" style="4" customWidth="1"/>
    <col min="12292" max="12292" width="11" style="4" customWidth="1"/>
    <col min="12293" max="12293" width="8.42578125" style="4" customWidth="1"/>
    <col min="12294" max="12294" width="11.42578125" style="4" customWidth="1"/>
    <col min="12295" max="12295" width="1.85546875" style="4" customWidth="1"/>
    <col min="12296" max="12296" width="8.42578125" style="4" customWidth="1"/>
    <col min="12297" max="12297" width="11.42578125" style="4" customWidth="1"/>
    <col min="12298" max="12299" width="10.42578125" style="4" customWidth="1"/>
    <col min="12300" max="12300" width="10.5703125" style="4" customWidth="1"/>
    <col min="12301" max="12301" width="10" style="4" customWidth="1"/>
    <col min="12302" max="12302" width="11" style="4" bestFit="1" customWidth="1"/>
    <col min="12303" max="12303" width="12" style="4" customWidth="1"/>
    <col min="12304" max="12304" width="11.140625" style="4" customWidth="1"/>
    <col min="12305" max="12305" width="9.5703125" style="4" customWidth="1"/>
    <col min="12306" max="12306" width="10.42578125" style="4" customWidth="1"/>
    <col min="12307" max="12307" width="8.5703125" style="4" customWidth="1"/>
    <col min="12308" max="12308" width="11" style="4" customWidth="1"/>
    <col min="12309" max="12309" width="13.42578125" style="4" bestFit="1" customWidth="1"/>
    <col min="12310" max="12310" width="9.42578125" style="4" customWidth="1"/>
    <col min="12311" max="12311" width="7.5703125" style="4" customWidth="1"/>
    <col min="12312" max="12312" width="11.42578125" style="4" customWidth="1"/>
    <col min="12313" max="12313" width="9.42578125" style="4" customWidth="1"/>
    <col min="12314" max="12314" width="11.42578125" style="4" customWidth="1"/>
    <col min="12315" max="12315" width="13.42578125" style="4" bestFit="1" customWidth="1"/>
    <col min="12316" max="12316" width="5.5703125" style="4" bestFit="1" customWidth="1"/>
    <col min="12317" max="12317" width="19.5703125" style="4" bestFit="1" customWidth="1"/>
    <col min="12318" max="12318" width="1.42578125" style="4" customWidth="1"/>
    <col min="12319" max="12319" width="13.42578125" style="4" bestFit="1" customWidth="1"/>
    <col min="12320" max="12320" width="8.5703125" style="4" bestFit="1" customWidth="1"/>
    <col min="12321" max="12321" width="8.85546875" style="4" bestFit="1" customWidth="1"/>
    <col min="12322" max="12544" width="9.140625" style="4"/>
    <col min="12545" max="12545" width="11" style="4" customWidth="1"/>
    <col min="12546" max="12547" width="12.5703125" style="4" customWidth="1"/>
    <col min="12548" max="12548" width="11" style="4" customWidth="1"/>
    <col min="12549" max="12549" width="8.42578125" style="4" customWidth="1"/>
    <col min="12550" max="12550" width="11.42578125" style="4" customWidth="1"/>
    <col min="12551" max="12551" width="1.85546875" style="4" customWidth="1"/>
    <col min="12552" max="12552" width="8.42578125" style="4" customWidth="1"/>
    <col min="12553" max="12553" width="11.42578125" style="4" customWidth="1"/>
    <col min="12554" max="12555" width="10.42578125" style="4" customWidth="1"/>
    <col min="12556" max="12556" width="10.5703125" style="4" customWidth="1"/>
    <col min="12557" max="12557" width="10" style="4" customWidth="1"/>
    <col min="12558" max="12558" width="11" style="4" bestFit="1" customWidth="1"/>
    <col min="12559" max="12559" width="12" style="4" customWidth="1"/>
    <col min="12560" max="12560" width="11.140625" style="4" customWidth="1"/>
    <col min="12561" max="12561" width="9.5703125" style="4" customWidth="1"/>
    <col min="12562" max="12562" width="10.42578125" style="4" customWidth="1"/>
    <col min="12563" max="12563" width="8.5703125" style="4" customWidth="1"/>
    <col min="12564" max="12564" width="11" style="4" customWidth="1"/>
    <col min="12565" max="12565" width="13.42578125" style="4" bestFit="1" customWidth="1"/>
    <col min="12566" max="12566" width="9.42578125" style="4" customWidth="1"/>
    <col min="12567" max="12567" width="7.5703125" style="4" customWidth="1"/>
    <col min="12568" max="12568" width="11.42578125" style="4" customWidth="1"/>
    <col min="12569" max="12569" width="9.42578125" style="4" customWidth="1"/>
    <col min="12570" max="12570" width="11.42578125" style="4" customWidth="1"/>
    <col min="12571" max="12571" width="13.42578125" style="4" bestFit="1" customWidth="1"/>
    <col min="12572" max="12572" width="5.5703125" style="4" bestFit="1" customWidth="1"/>
    <col min="12573" max="12573" width="19.5703125" style="4" bestFit="1" customWidth="1"/>
    <col min="12574" max="12574" width="1.42578125" style="4" customWidth="1"/>
    <col min="12575" max="12575" width="13.42578125" style="4" bestFit="1" customWidth="1"/>
    <col min="12576" max="12576" width="8.5703125" style="4" bestFit="1" customWidth="1"/>
    <col min="12577" max="12577" width="8.85546875" style="4" bestFit="1" customWidth="1"/>
    <col min="12578" max="12800" width="9.140625" style="4"/>
    <col min="12801" max="12801" width="11" style="4" customWidth="1"/>
    <col min="12802" max="12803" width="12.5703125" style="4" customWidth="1"/>
    <col min="12804" max="12804" width="11" style="4" customWidth="1"/>
    <col min="12805" max="12805" width="8.42578125" style="4" customWidth="1"/>
    <col min="12806" max="12806" width="11.42578125" style="4" customWidth="1"/>
    <col min="12807" max="12807" width="1.85546875" style="4" customWidth="1"/>
    <col min="12808" max="12808" width="8.42578125" style="4" customWidth="1"/>
    <col min="12809" max="12809" width="11.42578125" style="4" customWidth="1"/>
    <col min="12810" max="12811" width="10.42578125" style="4" customWidth="1"/>
    <col min="12812" max="12812" width="10.5703125" style="4" customWidth="1"/>
    <col min="12813" max="12813" width="10" style="4" customWidth="1"/>
    <col min="12814" max="12814" width="11" style="4" bestFit="1" customWidth="1"/>
    <col min="12815" max="12815" width="12" style="4" customWidth="1"/>
    <col min="12816" max="12816" width="11.140625" style="4" customWidth="1"/>
    <col min="12817" max="12817" width="9.5703125" style="4" customWidth="1"/>
    <col min="12818" max="12818" width="10.42578125" style="4" customWidth="1"/>
    <col min="12819" max="12819" width="8.5703125" style="4" customWidth="1"/>
    <col min="12820" max="12820" width="11" style="4" customWidth="1"/>
    <col min="12821" max="12821" width="13.42578125" style="4" bestFit="1" customWidth="1"/>
    <col min="12822" max="12822" width="9.42578125" style="4" customWidth="1"/>
    <col min="12823" max="12823" width="7.5703125" style="4" customWidth="1"/>
    <col min="12824" max="12824" width="11.42578125" style="4" customWidth="1"/>
    <col min="12825" max="12825" width="9.42578125" style="4" customWidth="1"/>
    <col min="12826" max="12826" width="11.42578125" style="4" customWidth="1"/>
    <col min="12827" max="12827" width="13.42578125" style="4" bestFit="1" customWidth="1"/>
    <col min="12828" max="12828" width="5.5703125" style="4" bestFit="1" customWidth="1"/>
    <col min="12829" max="12829" width="19.5703125" style="4" bestFit="1" customWidth="1"/>
    <col min="12830" max="12830" width="1.42578125" style="4" customWidth="1"/>
    <col min="12831" max="12831" width="13.42578125" style="4" bestFit="1" customWidth="1"/>
    <col min="12832" max="12832" width="8.5703125" style="4" bestFit="1" customWidth="1"/>
    <col min="12833" max="12833" width="8.85546875" style="4" bestFit="1" customWidth="1"/>
    <col min="12834" max="13056" width="9.140625" style="4"/>
    <col min="13057" max="13057" width="11" style="4" customWidth="1"/>
    <col min="13058" max="13059" width="12.5703125" style="4" customWidth="1"/>
    <col min="13060" max="13060" width="11" style="4" customWidth="1"/>
    <col min="13061" max="13061" width="8.42578125" style="4" customWidth="1"/>
    <col min="13062" max="13062" width="11.42578125" style="4" customWidth="1"/>
    <col min="13063" max="13063" width="1.85546875" style="4" customWidth="1"/>
    <col min="13064" max="13064" width="8.42578125" style="4" customWidth="1"/>
    <col min="13065" max="13065" width="11.42578125" style="4" customWidth="1"/>
    <col min="13066" max="13067" width="10.42578125" style="4" customWidth="1"/>
    <col min="13068" max="13068" width="10.5703125" style="4" customWidth="1"/>
    <col min="13069" max="13069" width="10" style="4" customWidth="1"/>
    <col min="13070" max="13070" width="11" style="4" bestFit="1" customWidth="1"/>
    <col min="13071" max="13071" width="12" style="4" customWidth="1"/>
    <col min="13072" max="13072" width="11.140625" style="4" customWidth="1"/>
    <col min="13073" max="13073" width="9.5703125" style="4" customWidth="1"/>
    <col min="13074" max="13074" width="10.42578125" style="4" customWidth="1"/>
    <col min="13075" max="13075" width="8.5703125" style="4" customWidth="1"/>
    <col min="13076" max="13076" width="11" style="4" customWidth="1"/>
    <col min="13077" max="13077" width="13.42578125" style="4" bestFit="1" customWidth="1"/>
    <col min="13078" max="13078" width="9.42578125" style="4" customWidth="1"/>
    <col min="13079" max="13079" width="7.5703125" style="4" customWidth="1"/>
    <col min="13080" max="13080" width="11.42578125" style="4" customWidth="1"/>
    <col min="13081" max="13081" width="9.42578125" style="4" customWidth="1"/>
    <col min="13082" max="13082" width="11.42578125" style="4" customWidth="1"/>
    <col min="13083" max="13083" width="13.42578125" style="4" bestFit="1" customWidth="1"/>
    <col min="13084" max="13084" width="5.5703125" style="4" bestFit="1" customWidth="1"/>
    <col min="13085" max="13085" width="19.5703125" style="4" bestFit="1" customWidth="1"/>
    <col min="13086" max="13086" width="1.42578125" style="4" customWidth="1"/>
    <col min="13087" max="13087" width="13.42578125" style="4" bestFit="1" customWidth="1"/>
    <col min="13088" max="13088" width="8.5703125" style="4" bestFit="1" customWidth="1"/>
    <col min="13089" max="13089" width="8.85546875" style="4" bestFit="1" customWidth="1"/>
    <col min="13090" max="13312" width="9.140625" style="4"/>
    <col min="13313" max="13313" width="11" style="4" customWidth="1"/>
    <col min="13314" max="13315" width="12.5703125" style="4" customWidth="1"/>
    <col min="13316" max="13316" width="11" style="4" customWidth="1"/>
    <col min="13317" max="13317" width="8.42578125" style="4" customWidth="1"/>
    <col min="13318" max="13318" width="11.42578125" style="4" customWidth="1"/>
    <col min="13319" max="13319" width="1.85546875" style="4" customWidth="1"/>
    <col min="13320" max="13320" width="8.42578125" style="4" customWidth="1"/>
    <col min="13321" max="13321" width="11.42578125" style="4" customWidth="1"/>
    <col min="13322" max="13323" width="10.42578125" style="4" customWidth="1"/>
    <col min="13324" max="13324" width="10.5703125" style="4" customWidth="1"/>
    <col min="13325" max="13325" width="10" style="4" customWidth="1"/>
    <col min="13326" max="13326" width="11" style="4" bestFit="1" customWidth="1"/>
    <col min="13327" max="13327" width="12" style="4" customWidth="1"/>
    <col min="13328" max="13328" width="11.140625" style="4" customWidth="1"/>
    <col min="13329" max="13329" width="9.5703125" style="4" customWidth="1"/>
    <col min="13330" max="13330" width="10.42578125" style="4" customWidth="1"/>
    <col min="13331" max="13331" width="8.5703125" style="4" customWidth="1"/>
    <col min="13332" max="13332" width="11" style="4" customWidth="1"/>
    <col min="13333" max="13333" width="13.42578125" style="4" bestFit="1" customWidth="1"/>
    <col min="13334" max="13334" width="9.42578125" style="4" customWidth="1"/>
    <col min="13335" max="13335" width="7.5703125" style="4" customWidth="1"/>
    <col min="13336" max="13336" width="11.42578125" style="4" customWidth="1"/>
    <col min="13337" max="13337" width="9.42578125" style="4" customWidth="1"/>
    <col min="13338" max="13338" width="11.42578125" style="4" customWidth="1"/>
    <col min="13339" max="13339" width="13.42578125" style="4" bestFit="1" customWidth="1"/>
    <col min="13340" max="13340" width="5.5703125" style="4" bestFit="1" customWidth="1"/>
    <col min="13341" max="13341" width="19.5703125" style="4" bestFit="1" customWidth="1"/>
    <col min="13342" max="13342" width="1.42578125" style="4" customWidth="1"/>
    <col min="13343" max="13343" width="13.42578125" style="4" bestFit="1" customWidth="1"/>
    <col min="13344" max="13344" width="8.5703125" style="4" bestFit="1" customWidth="1"/>
    <col min="13345" max="13345" width="8.85546875" style="4" bestFit="1" customWidth="1"/>
    <col min="13346" max="13568" width="9.140625" style="4"/>
    <col min="13569" max="13569" width="11" style="4" customWidth="1"/>
    <col min="13570" max="13571" width="12.5703125" style="4" customWidth="1"/>
    <col min="13572" max="13572" width="11" style="4" customWidth="1"/>
    <col min="13573" max="13573" width="8.42578125" style="4" customWidth="1"/>
    <col min="13574" max="13574" width="11.42578125" style="4" customWidth="1"/>
    <col min="13575" max="13575" width="1.85546875" style="4" customWidth="1"/>
    <col min="13576" max="13576" width="8.42578125" style="4" customWidth="1"/>
    <col min="13577" max="13577" width="11.42578125" style="4" customWidth="1"/>
    <col min="13578" max="13579" width="10.42578125" style="4" customWidth="1"/>
    <col min="13580" max="13580" width="10.5703125" style="4" customWidth="1"/>
    <col min="13581" max="13581" width="10" style="4" customWidth="1"/>
    <col min="13582" max="13582" width="11" style="4" bestFit="1" customWidth="1"/>
    <col min="13583" max="13583" width="12" style="4" customWidth="1"/>
    <col min="13584" max="13584" width="11.140625" style="4" customWidth="1"/>
    <col min="13585" max="13585" width="9.5703125" style="4" customWidth="1"/>
    <col min="13586" max="13586" width="10.42578125" style="4" customWidth="1"/>
    <col min="13587" max="13587" width="8.5703125" style="4" customWidth="1"/>
    <col min="13588" max="13588" width="11" style="4" customWidth="1"/>
    <col min="13589" max="13589" width="13.42578125" style="4" bestFit="1" customWidth="1"/>
    <col min="13590" max="13590" width="9.42578125" style="4" customWidth="1"/>
    <col min="13591" max="13591" width="7.5703125" style="4" customWidth="1"/>
    <col min="13592" max="13592" width="11.42578125" style="4" customWidth="1"/>
    <col min="13593" max="13593" width="9.42578125" style="4" customWidth="1"/>
    <col min="13594" max="13594" width="11.42578125" style="4" customWidth="1"/>
    <col min="13595" max="13595" width="13.42578125" style="4" bestFit="1" customWidth="1"/>
    <col min="13596" max="13596" width="5.5703125" style="4" bestFit="1" customWidth="1"/>
    <col min="13597" max="13597" width="19.5703125" style="4" bestFit="1" customWidth="1"/>
    <col min="13598" max="13598" width="1.42578125" style="4" customWidth="1"/>
    <col min="13599" max="13599" width="13.42578125" style="4" bestFit="1" customWidth="1"/>
    <col min="13600" max="13600" width="8.5703125" style="4" bestFit="1" customWidth="1"/>
    <col min="13601" max="13601" width="8.85546875" style="4" bestFit="1" customWidth="1"/>
    <col min="13602" max="13824" width="9.140625" style="4"/>
    <col min="13825" max="13825" width="11" style="4" customWidth="1"/>
    <col min="13826" max="13827" width="12.5703125" style="4" customWidth="1"/>
    <col min="13828" max="13828" width="11" style="4" customWidth="1"/>
    <col min="13829" max="13829" width="8.42578125" style="4" customWidth="1"/>
    <col min="13830" max="13830" width="11.42578125" style="4" customWidth="1"/>
    <col min="13831" max="13831" width="1.85546875" style="4" customWidth="1"/>
    <col min="13832" max="13832" width="8.42578125" style="4" customWidth="1"/>
    <col min="13833" max="13833" width="11.42578125" style="4" customWidth="1"/>
    <col min="13834" max="13835" width="10.42578125" style="4" customWidth="1"/>
    <col min="13836" max="13836" width="10.5703125" style="4" customWidth="1"/>
    <col min="13837" max="13837" width="10" style="4" customWidth="1"/>
    <col min="13838" max="13838" width="11" style="4" bestFit="1" customWidth="1"/>
    <col min="13839" max="13839" width="12" style="4" customWidth="1"/>
    <col min="13840" max="13840" width="11.140625" style="4" customWidth="1"/>
    <col min="13841" max="13841" width="9.5703125" style="4" customWidth="1"/>
    <col min="13842" max="13842" width="10.42578125" style="4" customWidth="1"/>
    <col min="13843" max="13843" width="8.5703125" style="4" customWidth="1"/>
    <col min="13844" max="13844" width="11" style="4" customWidth="1"/>
    <col min="13845" max="13845" width="13.42578125" style="4" bestFit="1" customWidth="1"/>
    <col min="13846" max="13846" width="9.42578125" style="4" customWidth="1"/>
    <col min="13847" max="13847" width="7.5703125" style="4" customWidth="1"/>
    <col min="13848" max="13848" width="11.42578125" style="4" customWidth="1"/>
    <col min="13849" max="13849" width="9.42578125" style="4" customWidth="1"/>
    <col min="13850" max="13850" width="11.42578125" style="4" customWidth="1"/>
    <col min="13851" max="13851" width="13.42578125" style="4" bestFit="1" customWidth="1"/>
    <col min="13852" max="13852" width="5.5703125" style="4" bestFit="1" customWidth="1"/>
    <col min="13853" max="13853" width="19.5703125" style="4" bestFit="1" customWidth="1"/>
    <col min="13854" max="13854" width="1.42578125" style="4" customWidth="1"/>
    <col min="13855" max="13855" width="13.42578125" style="4" bestFit="1" customWidth="1"/>
    <col min="13856" max="13856" width="8.5703125" style="4" bestFit="1" customWidth="1"/>
    <col min="13857" max="13857" width="8.85546875" style="4" bestFit="1" customWidth="1"/>
    <col min="13858" max="14080" width="9.140625" style="4"/>
    <col min="14081" max="14081" width="11" style="4" customWidth="1"/>
    <col min="14082" max="14083" width="12.5703125" style="4" customWidth="1"/>
    <col min="14084" max="14084" width="11" style="4" customWidth="1"/>
    <col min="14085" max="14085" width="8.42578125" style="4" customWidth="1"/>
    <col min="14086" max="14086" width="11.42578125" style="4" customWidth="1"/>
    <col min="14087" max="14087" width="1.85546875" style="4" customWidth="1"/>
    <col min="14088" max="14088" width="8.42578125" style="4" customWidth="1"/>
    <col min="14089" max="14089" width="11.42578125" style="4" customWidth="1"/>
    <col min="14090" max="14091" width="10.42578125" style="4" customWidth="1"/>
    <col min="14092" max="14092" width="10.5703125" style="4" customWidth="1"/>
    <col min="14093" max="14093" width="10" style="4" customWidth="1"/>
    <col min="14094" max="14094" width="11" style="4" bestFit="1" customWidth="1"/>
    <col min="14095" max="14095" width="12" style="4" customWidth="1"/>
    <col min="14096" max="14096" width="11.140625" style="4" customWidth="1"/>
    <col min="14097" max="14097" width="9.5703125" style="4" customWidth="1"/>
    <col min="14098" max="14098" width="10.42578125" style="4" customWidth="1"/>
    <col min="14099" max="14099" width="8.5703125" style="4" customWidth="1"/>
    <col min="14100" max="14100" width="11" style="4" customWidth="1"/>
    <col min="14101" max="14101" width="13.42578125" style="4" bestFit="1" customWidth="1"/>
    <col min="14102" max="14102" width="9.42578125" style="4" customWidth="1"/>
    <col min="14103" max="14103" width="7.5703125" style="4" customWidth="1"/>
    <col min="14104" max="14104" width="11.42578125" style="4" customWidth="1"/>
    <col min="14105" max="14105" width="9.42578125" style="4" customWidth="1"/>
    <col min="14106" max="14106" width="11.42578125" style="4" customWidth="1"/>
    <col min="14107" max="14107" width="13.42578125" style="4" bestFit="1" customWidth="1"/>
    <col min="14108" max="14108" width="5.5703125" style="4" bestFit="1" customWidth="1"/>
    <col min="14109" max="14109" width="19.5703125" style="4" bestFit="1" customWidth="1"/>
    <col min="14110" max="14110" width="1.42578125" style="4" customWidth="1"/>
    <col min="14111" max="14111" width="13.42578125" style="4" bestFit="1" customWidth="1"/>
    <col min="14112" max="14112" width="8.5703125" style="4" bestFit="1" customWidth="1"/>
    <col min="14113" max="14113" width="8.85546875" style="4" bestFit="1" customWidth="1"/>
    <col min="14114" max="14336" width="9.140625" style="4"/>
    <col min="14337" max="14337" width="11" style="4" customWidth="1"/>
    <col min="14338" max="14339" width="12.5703125" style="4" customWidth="1"/>
    <col min="14340" max="14340" width="11" style="4" customWidth="1"/>
    <col min="14341" max="14341" width="8.42578125" style="4" customWidth="1"/>
    <col min="14342" max="14342" width="11.42578125" style="4" customWidth="1"/>
    <col min="14343" max="14343" width="1.85546875" style="4" customWidth="1"/>
    <col min="14344" max="14344" width="8.42578125" style="4" customWidth="1"/>
    <col min="14345" max="14345" width="11.42578125" style="4" customWidth="1"/>
    <col min="14346" max="14347" width="10.42578125" style="4" customWidth="1"/>
    <col min="14348" max="14348" width="10.5703125" style="4" customWidth="1"/>
    <col min="14349" max="14349" width="10" style="4" customWidth="1"/>
    <col min="14350" max="14350" width="11" style="4" bestFit="1" customWidth="1"/>
    <col min="14351" max="14351" width="12" style="4" customWidth="1"/>
    <col min="14352" max="14352" width="11.140625" style="4" customWidth="1"/>
    <col min="14353" max="14353" width="9.5703125" style="4" customWidth="1"/>
    <col min="14354" max="14354" width="10.42578125" style="4" customWidth="1"/>
    <col min="14355" max="14355" width="8.5703125" style="4" customWidth="1"/>
    <col min="14356" max="14356" width="11" style="4" customWidth="1"/>
    <col min="14357" max="14357" width="13.42578125" style="4" bestFit="1" customWidth="1"/>
    <col min="14358" max="14358" width="9.42578125" style="4" customWidth="1"/>
    <col min="14359" max="14359" width="7.5703125" style="4" customWidth="1"/>
    <col min="14360" max="14360" width="11.42578125" style="4" customWidth="1"/>
    <col min="14361" max="14361" width="9.42578125" style="4" customWidth="1"/>
    <col min="14362" max="14362" width="11.42578125" style="4" customWidth="1"/>
    <col min="14363" max="14363" width="13.42578125" style="4" bestFit="1" customWidth="1"/>
    <col min="14364" max="14364" width="5.5703125" style="4" bestFit="1" customWidth="1"/>
    <col min="14365" max="14365" width="19.5703125" style="4" bestFit="1" customWidth="1"/>
    <col min="14366" max="14366" width="1.42578125" style="4" customWidth="1"/>
    <col min="14367" max="14367" width="13.42578125" style="4" bestFit="1" customWidth="1"/>
    <col min="14368" max="14368" width="8.5703125" style="4" bestFit="1" customWidth="1"/>
    <col min="14369" max="14369" width="8.85546875" style="4" bestFit="1" customWidth="1"/>
    <col min="14370" max="14592" width="9.140625" style="4"/>
    <col min="14593" max="14593" width="11" style="4" customWidth="1"/>
    <col min="14594" max="14595" width="12.5703125" style="4" customWidth="1"/>
    <col min="14596" max="14596" width="11" style="4" customWidth="1"/>
    <col min="14597" max="14597" width="8.42578125" style="4" customWidth="1"/>
    <col min="14598" max="14598" width="11.42578125" style="4" customWidth="1"/>
    <col min="14599" max="14599" width="1.85546875" style="4" customWidth="1"/>
    <col min="14600" max="14600" width="8.42578125" style="4" customWidth="1"/>
    <col min="14601" max="14601" width="11.42578125" style="4" customWidth="1"/>
    <col min="14602" max="14603" width="10.42578125" style="4" customWidth="1"/>
    <col min="14604" max="14604" width="10.5703125" style="4" customWidth="1"/>
    <col min="14605" max="14605" width="10" style="4" customWidth="1"/>
    <col min="14606" max="14606" width="11" style="4" bestFit="1" customWidth="1"/>
    <col min="14607" max="14607" width="12" style="4" customWidth="1"/>
    <col min="14608" max="14608" width="11.140625" style="4" customWidth="1"/>
    <col min="14609" max="14609" width="9.5703125" style="4" customWidth="1"/>
    <col min="14610" max="14610" width="10.42578125" style="4" customWidth="1"/>
    <col min="14611" max="14611" width="8.5703125" style="4" customWidth="1"/>
    <col min="14612" max="14612" width="11" style="4" customWidth="1"/>
    <col min="14613" max="14613" width="13.42578125" style="4" bestFit="1" customWidth="1"/>
    <col min="14614" max="14614" width="9.42578125" style="4" customWidth="1"/>
    <col min="14615" max="14615" width="7.5703125" style="4" customWidth="1"/>
    <col min="14616" max="14616" width="11.42578125" style="4" customWidth="1"/>
    <col min="14617" max="14617" width="9.42578125" style="4" customWidth="1"/>
    <col min="14618" max="14618" width="11.42578125" style="4" customWidth="1"/>
    <col min="14619" max="14619" width="13.42578125" style="4" bestFit="1" customWidth="1"/>
    <col min="14620" max="14620" width="5.5703125" style="4" bestFit="1" customWidth="1"/>
    <col min="14621" max="14621" width="19.5703125" style="4" bestFit="1" customWidth="1"/>
    <col min="14622" max="14622" width="1.42578125" style="4" customWidth="1"/>
    <col min="14623" max="14623" width="13.42578125" style="4" bestFit="1" customWidth="1"/>
    <col min="14624" max="14624" width="8.5703125" style="4" bestFit="1" customWidth="1"/>
    <col min="14625" max="14625" width="8.85546875" style="4" bestFit="1" customWidth="1"/>
    <col min="14626" max="14848" width="9.140625" style="4"/>
    <col min="14849" max="14849" width="11" style="4" customWidth="1"/>
    <col min="14850" max="14851" width="12.5703125" style="4" customWidth="1"/>
    <col min="14852" max="14852" width="11" style="4" customWidth="1"/>
    <col min="14853" max="14853" width="8.42578125" style="4" customWidth="1"/>
    <col min="14854" max="14854" width="11.42578125" style="4" customWidth="1"/>
    <col min="14855" max="14855" width="1.85546875" style="4" customWidth="1"/>
    <col min="14856" max="14856" width="8.42578125" style="4" customWidth="1"/>
    <col min="14857" max="14857" width="11.42578125" style="4" customWidth="1"/>
    <col min="14858" max="14859" width="10.42578125" style="4" customWidth="1"/>
    <col min="14860" max="14860" width="10.5703125" style="4" customWidth="1"/>
    <col min="14861" max="14861" width="10" style="4" customWidth="1"/>
    <col min="14862" max="14862" width="11" style="4" bestFit="1" customWidth="1"/>
    <col min="14863" max="14863" width="12" style="4" customWidth="1"/>
    <col min="14864" max="14864" width="11.140625" style="4" customWidth="1"/>
    <col min="14865" max="14865" width="9.5703125" style="4" customWidth="1"/>
    <col min="14866" max="14866" width="10.42578125" style="4" customWidth="1"/>
    <col min="14867" max="14867" width="8.5703125" style="4" customWidth="1"/>
    <col min="14868" max="14868" width="11" style="4" customWidth="1"/>
    <col min="14869" max="14869" width="13.42578125" style="4" bestFit="1" customWidth="1"/>
    <col min="14870" max="14870" width="9.42578125" style="4" customWidth="1"/>
    <col min="14871" max="14871" width="7.5703125" style="4" customWidth="1"/>
    <col min="14872" max="14872" width="11.42578125" style="4" customWidth="1"/>
    <col min="14873" max="14873" width="9.42578125" style="4" customWidth="1"/>
    <col min="14874" max="14874" width="11.42578125" style="4" customWidth="1"/>
    <col min="14875" max="14875" width="13.42578125" style="4" bestFit="1" customWidth="1"/>
    <col min="14876" max="14876" width="5.5703125" style="4" bestFit="1" customWidth="1"/>
    <col min="14877" max="14877" width="19.5703125" style="4" bestFit="1" customWidth="1"/>
    <col min="14878" max="14878" width="1.42578125" style="4" customWidth="1"/>
    <col min="14879" max="14879" width="13.42578125" style="4" bestFit="1" customWidth="1"/>
    <col min="14880" max="14880" width="8.5703125" style="4" bestFit="1" customWidth="1"/>
    <col min="14881" max="14881" width="8.85546875" style="4" bestFit="1" customWidth="1"/>
    <col min="14882" max="15104" width="9.140625" style="4"/>
    <col min="15105" max="15105" width="11" style="4" customWidth="1"/>
    <col min="15106" max="15107" width="12.5703125" style="4" customWidth="1"/>
    <col min="15108" max="15108" width="11" style="4" customWidth="1"/>
    <col min="15109" max="15109" width="8.42578125" style="4" customWidth="1"/>
    <col min="15110" max="15110" width="11.42578125" style="4" customWidth="1"/>
    <col min="15111" max="15111" width="1.85546875" style="4" customWidth="1"/>
    <col min="15112" max="15112" width="8.42578125" style="4" customWidth="1"/>
    <col min="15113" max="15113" width="11.42578125" style="4" customWidth="1"/>
    <col min="15114" max="15115" width="10.42578125" style="4" customWidth="1"/>
    <col min="15116" max="15116" width="10.5703125" style="4" customWidth="1"/>
    <col min="15117" max="15117" width="10" style="4" customWidth="1"/>
    <col min="15118" max="15118" width="11" style="4" bestFit="1" customWidth="1"/>
    <col min="15119" max="15119" width="12" style="4" customWidth="1"/>
    <col min="15120" max="15120" width="11.140625" style="4" customWidth="1"/>
    <col min="15121" max="15121" width="9.5703125" style="4" customWidth="1"/>
    <col min="15122" max="15122" width="10.42578125" style="4" customWidth="1"/>
    <col min="15123" max="15123" width="8.5703125" style="4" customWidth="1"/>
    <col min="15124" max="15124" width="11" style="4" customWidth="1"/>
    <col min="15125" max="15125" width="13.42578125" style="4" bestFit="1" customWidth="1"/>
    <col min="15126" max="15126" width="9.42578125" style="4" customWidth="1"/>
    <col min="15127" max="15127" width="7.5703125" style="4" customWidth="1"/>
    <col min="15128" max="15128" width="11.42578125" style="4" customWidth="1"/>
    <col min="15129" max="15129" width="9.42578125" style="4" customWidth="1"/>
    <col min="15130" max="15130" width="11.42578125" style="4" customWidth="1"/>
    <col min="15131" max="15131" width="13.42578125" style="4" bestFit="1" customWidth="1"/>
    <col min="15132" max="15132" width="5.5703125" style="4" bestFit="1" customWidth="1"/>
    <col min="15133" max="15133" width="19.5703125" style="4" bestFit="1" customWidth="1"/>
    <col min="15134" max="15134" width="1.42578125" style="4" customWidth="1"/>
    <col min="15135" max="15135" width="13.42578125" style="4" bestFit="1" customWidth="1"/>
    <col min="15136" max="15136" width="8.5703125" style="4" bestFit="1" customWidth="1"/>
    <col min="15137" max="15137" width="8.85546875" style="4" bestFit="1" customWidth="1"/>
    <col min="15138" max="15360" width="9.140625" style="4"/>
    <col min="15361" max="15361" width="11" style="4" customWidth="1"/>
    <col min="15362" max="15363" width="12.5703125" style="4" customWidth="1"/>
    <col min="15364" max="15364" width="11" style="4" customWidth="1"/>
    <col min="15365" max="15365" width="8.42578125" style="4" customWidth="1"/>
    <col min="15366" max="15366" width="11.42578125" style="4" customWidth="1"/>
    <col min="15367" max="15367" width="1.85546875" style="4" customWidth="1"/>
    <col min="15368" max="15368" width="8.42578125" style="4" customWidth="1"/>
    <col min="15369" max="15369" width="11.42578125" style="4" customWidth="1"/>
    <col min="15370" max="15371" width="10.42578125" style="4" customWidth="1"/>
    <col min="15372" max="15372" width="10.5703125" style="4" customWidth="1"/>
    <col min="15373" max="15373" width="10" style="4" customWidth="1"/>
    <col min="15374" max="15374" width="11" style="4" bestFit="1" customWidth="1"/>
    <col min="15375" max="15375" width="12" style="4" customWidth="1"/>
    <col min="15376" max="15376" width="11.140625" style="4" customWidth="1"/>
    <col min="15377" max="15377" width="9.5703125" style="4" customWidth="1"/>
    <col min="15378" max="15378" width="10.42578125" style="4" customWidth="1"/>
    <col min="15379" max="15379" width="8.5703125" style="4" customWidth="1"/>
    <col min="15380" max="15380" width="11" style="4" customWidth="1"/>
    <col min="15381" max="15381" width="13.42578125" style="4" bestFit="1" customWidth="1"/>
    <col min="15382" max="15382" width="9.42578125" style="4" customWidth="1"/>
    <col min="15383" max="15383" width="7.5703125" style="4" customWidth="1"/>
    <col min="15384" max="15384" width="11.42578125" style="4" customWidth="1"/>
    <col min="15385" max="15385" width="9.42578125" style="4" customWidth="1"/>
    <col min="15386" max="15386" width="11.42578125" style="4" customWidth="1"/>
    <col min="15387" max="15387" width="13.42578125" style="4" bestFit="1" customWidth="1"/>
    <col min="15388" max="15388" width="5.5703125" style="4" bestFit="1" customWidth="1"/>
    <col min="15389" max="15389" width="19.5703125" style="4" bestFit="1" customWidth="1"/>
    <col min="15390" max="15390" width="1.42578125" style="4" customWidth="1"/>
    <col min="15391" max="15391" width="13.42578125" style="4" bestFit="1" customWidth="1"/>
    <col min="15392" max="15392" width="8.5703125" style="4" bestFit="1" customWidth="1"/>
    <col min="15393" max="15393" width="8.85546875" style="4" bestFit="1" customWidth="1"/>
    <col min="15394" max="15616" width="9.140625" style="4"/>
    <col min="15617" max="15617" width="11" style="4" customWidth="1"/>
    <col min="15618" max="15619" width="12.5703125" style="4" customWidth="1"/>
    <col min="15620" max="15620" width="11" style="4" customWidth="1"/>
    <col min="15621" max="15621" width="8.42578125" style="4" customWidth="1"/>
    <col min="15622" max="15622" width="11.42578125" style="4" customWidth="1"/>
    <col min="15623" max="15623" width="1.85546875" style="4" customWidth="1"/>
    <col min="15624" max="15624" width="8.42578125" style="4" customWidth="1"/>
    <col min="15625" max="15625" width="11.42578125" style="4" customWidth="1"/>
    <col min="15626" max="15627" width="10.42578125" style="4" customWidth="1"/>
    <col min="15628" max="15628" width="10.5703125" style="4" customWidth="1"/>
    <col min="15629" max="15629" width="10" style="4" customWidth="1"/>
    <col min="15630" max="15630" width="11" style="4" bestFit="1" customWidth="1"/>
    <col min="15631" max="15631" width="12" style="4" customWidth="1"/>
    <col min="15632" max="15632" width="11.140625" style="4" customWidth="1"/>
    <col min="15633" max="15633" width="9.5703125" style="4" customWidth="1"/>
    <col min="15634" max="15634" width="10.42578125" style="4" customWidth="1"/>
    <col min="15635" max="15635" width="8.5703125" style="4" customWidth="1"/>
    <col min="15636" max="15636" width="11" style="4" customWidth="1"/>
    <col min="15637" max="15637" width="13.42578125" style="4" bestFit="1" customWidth="1"/>
    <col min="15638" max="15638" width="9.42578125" style="4" customWidth="1"/>
    <col min="15639" max="15639" width="7.5703125" style="4" customWidth="1"/>
    <col min="15640" max="15640" width="11.42578125" style="4" customWidth="1"/>
    <col min="15641" max="15641" width="9.42578125" style="4" customWidth="1"/>
    <col min="15642" max="15642" width="11.42578125" style="4" customWidth="1"/>
    <col min="15643" max="15643" width="13.42578125" style="4" bestFit="1" customWidth="1"/>
    <col min="15644" max="15644" width="5.5703125" style="4" bestFit="1" customWidth="1"/>
    <col min="15645" max="15645" width="19.5703125" style="4" bestFit="1" customWidth="1"/>
    <col min="15646" max="15646" width="1.42578125" style="4" customWidth="1"/>
    <col min="15647" max="15647" width="13.42578125" style="4" bestFit="1" customWidth="1"/>
    <col min="15648" max="15648" width="8.5703125" style="4" bestFit="1" customWidth="1"/>
    <col min="15649" max="15649" width="8.85546875" style="4" bestFit="1" customWidth="1"/>
    <col min="15650" max="15872" width="9.140625" style="4"/>
    <col min="15873" max="15873" width="11" style="4" customWidth="1"/>
    <col min="15874" max="15875" width="12.5703125" style="4" customWidth="1"/>
    <col min="15876" max="15876" width="11" style="4" customWidth="1"/>
    <col min="15877" max="15877" width="8.42578125" style="4" customWidth="1"/>
    <col min="15878" max="15878" width="11.42578125" style="4" customWidth="1"/>
    <col min="15879" max="15879" width="1.85546875" style="4" customWidth="1"/>
    <col min="15880" max="15880" width="8.42578125" style="4" customWidth="1"/>
    <col min="15881" max="15881" width="11.42578125" style="4" customWidth="1"/>
    <col min="15882" max="15883" width="10.42578125" style="4" customWidth="1"/>
    <col min="15884" max="15884" width="10.5703125" style="4" customWidth="1"/>
    <col min="15885" max="15885" width="10" style="4" customWidth="1"/>
    <col min="15886" max="15886" width="11" style="4" bestFit="1" customWidth="1"/>
    <col min="15887" max="15887" width="12" style="4" customWidth="1"/>
    <col min="15888" max="15888" width="11.140625" style="4" customWidth="1"/>
    <col min="15889" max="15889" width="9.5703125" style="4" customWidth="1"/>
    <col min="15890" max="15890" width="10.42578125" style="4" customWidth="1"/>
    <col min="15891" max="15891" width="8.5703125" style="4" customWidth="1"/>
    <col min="15892" max="15892" width="11" style="4" customWidth="1"/>
    <col min="15893" max="15893" width="13.42578125" style="4" bestFit="1" customWidth="1"/>
    <col min="15894" max="15894" width="9.42578125" style="4" customWidth="1"/>
    <col min="15895" max="15895" width="7.5703125" style="4" customWidth="1"/>
    <col min="15896" max="15896" width="11.42578125" style="4" customWidth="1"/>
    <col min="15897" max="15897" width="9.42578125" style="4" customWidth="1"/>
    <col min="15898" max="15898" width="11.42578125" style="4" customWidth="1"/>
    <col min="15899" max="15899" width="13.42578125" style="4" bestFit="1" customWidth="1"/>
    <col min="15900" max="15900" width="5.5703125" style="4" bestFit="1" customWidth="1"/>
    <col min="15901" max="15901" width="19.5703125" style="4" bestFit="1" customWidth="1"/>
    <col min="15902" max="15902" width="1.42578125" style="4" customWidth="1"/>
    <col min="15903" max="15903" width="13.42578125" style="4" bestFit="1" customWidth="1"/>
    <col min="15904" max="15904" width="8.5703125" style="4" bestFit="1" customWidth="1"/>
    <col min="15905" max="15905" width="8.85546875" style="4" bestFit="1" customWidth="1"/>
    <col min="15906" max="16128" width="9.140625" style="4"/>
    <col min="16129" max="16129" width="11" style="4" customWidth="1"/>
    <col min="16130" max="16131" width="12.5703125" style="4" customWidth="1"/>
    <col min="16132" max="16132" width="11" style="4" customWidth="1"/>
    <col min="16133" max="16133" width="8.42578125" style="4" customWidth="1"/>
    <col min="16134" max="16134" width="11.42578125" style="4" customWidth="1"/>
    <col min="16135" max="16135" width="1.85546875" style="4" customWidth="1"/>
    <col min="16136" max="16136" width="8.42578125" style="4" customWidth="1"/>
    <col min="16137" max="16137" width="11.42578125" style="4" customWidth="1"/>
    <col min="16138" max="16139" width="10.42578125" style="4" customWidth="1"/>
    <col min="16140" max="16140" width="10.5703125" style="4" customWidth="1"/>
    <col min="16141" max="16141" width="10" style="4" customWidth="1"/>
    <col min="16142" max="16142" width="11" style="4" bestFit="1" customWidth="1"/>
    <col min="16143" max="16143" width="12" style="4" customWidth="1"/>
    <col min="16144" max="16144" width="11.140625" style="4" customWidth="1"/>
    <col min="16145" max="16145" width="9.5703125" style="4" customWidth="1"/>
    <col min="16146" max="16146" width="10.42578125" style="4" customWidth="1"/>
    <col min="16147" max="16147" width="8.5703125" style="4" customWidth="1"/>
    <col min="16148" max="16148" width="11" style="4" customWidth="1"/>
    <col min="16149" max="16149" width="13.42578125" style="4" bestFit="1" customWidth="1"/>
    <col min="16150" max="16150" width="9.42578125" style="4" customWidth="1"/>
    <col min="16151" max="16151" width="7.5703125" style="4" customWidth="1"/>
    <col min="16152" max="16152" width="11.42578125" style="4" customWidth="1"/>
    <col min="16153" max="16153" width="9.42578125" style="4" customWidth="1"/>
    <col min="16154" max="16154" width="11.42578125" style="4" customWidth="1"/>
    <col min="16155" max="16155" width="13.42578125" style="4" bestFit="1" customWidth="1"/>
    <col min="16156" max="16156" width="5.5703125" style="4" bestFit="1" customWidth="1"/>
    <col min="16157" max="16157" width="19.5703125" style="4" bestFit="1" customWidth="1"/>
    <col min="16158" max="16158" width="1.42578125" style="4" customWidth="1"/>
    <col min="16159" max="16159" width="13.42578125" style="4" bestFit="1" customWidth="1"/>
    <col min="16160" max="16160" width="8.5703125" style="4" bestFit="1" customWidth="1"/>
    <col min="16161" max="16161" width="8.85546875" style="4" bestFit="1" customWidth="1"/>
    <col min="16162" max="16384" width="9.140625" style="4"/>
  </cols>
  <sheetData>
    <row r="1" spans="1:14" ht="4.5" customHeight="1">
      <c r="A1"/>
      <c r="B1"/>
      <c r="C1"/>
      <c r="D1"/>
      <c r="E1"/>
      <c r="F1"/>
      <c r="G1"/>
      <c r="H1"/>
      <c r="I1"/>
      <c r="J1"/>
      <c r="K1"/>
      <c r="L1"/>
      <c r="M1"/>
    </row>
    <row r="2" spans="1:14" ht="27" customHeight="1">
      <c r="A2"/>
      <c r="B2"/>
      <c r="C2"/>
      <c r="D2"/>
      <c r="E2"/>
      <c r="F2"/>
      <c r="G2"/>
      <c r="H2"/>
      <c r="I2"/>
      <c r="J2"/>
      <c r="K2"/>
      <c r="L2"/>
      <c r="M2"/>
    </row>
    <row r="3" spans="1:14" ht="4.5" customHeight="1">
      <c r="A3"/>
      <c r="B3"/>
      <c r="C3"/>
      <c r="D3"/>
      <c r="E3"/>
      <c r="F3"/>
      <c r="G3"/>
      <c r="H3"/>
      <c r="I3"/>
      <c r="J3"/>
      <c r="K3"/>
      <c r="L3"/>
      <c r="M3"/>
    </row>
    <row r="4" spans="1:14" ht="15">
      <c r="A4"/>
      <c r="B4"/>
      <c r="C4"/>
      <c r="D4"/>
      <c r="E4"/>
      <c r="F4"/>
      <c r="G4"/>
      <c r="H4"/>
      <c r="I4"/>
      <c r="J4"/>
      <c r="K4"/>
      <c r="L4"/>
      <c r="M4"/>
    </row>
    <row r="5" spans="1:14" ht="4.5" customHeight="1">
      <c r="A5"/>
      <c r="B5"/>
      <c r="C5"/>
      <c r="D5"/>
      <c r="E5"/>
      <c r="F5"/>
      <c r="G5"/>
      <c r="H5"/>
      <c r="I5"/>
      <c r="J5"/>
      <c r="K5"/>
      <c r="L5"/>
      <c r="M5"/>
    </row>
    <row r="6" spans="1:14" ht="15">
      <c r="A6"/>
      <c r="B6"/>
      <c r="C6"/>
      <c r="D6"/>
      <c r="E6"/>
      <c r="F6"/>
      <c r="G6"/>
      <c r="H6"/>
      <c r="I6"/>
      <c r="J6"/>
      <c r="K6"/>
      <c r="L6"/>
      <c r="M6"/>
    </row>
    <row r="7" spans="1:14" ht="4.5" customHeight="1">
      <c r="A7"/>
      <c r="B7"/>
      <c r="C7"/>
      <c r="D7"/>
      <c r="E7"/>
      <c r="F7"/>
      <c r="G7"/>
      <c r="H7"/>
      <c r="I7"/>
      <c r="J7"/>
      <c r="K7"/>
      <c r="L7"/>
      <c r="M7"/>
    </row>
    <row r="8" spans="1:14" s="6" customFormat="1" ht="27.75" customHeight="1">
      <c r="A8"/>
      <c r="B8"/>
      <c r="C8"/>
      <c r="D8"/>
      <c r="E8"/>
      <c r="F8"/>
      <c r="G8"/>
      <c r="H8"/>
      <c r="I8"/>
      <c r="J8"/>
      <c r="K8"/>
      <c r="L8"/>
      <c r="M8"/>
    </row>
    <row r="9" spans="1:14" ht="18.75">
      <c r="A9" s="1"/>
      <c r="B9"/>
      <c r="C9"/>
      <c r="D9"/>
      <c r="E9"/>
      <c r="F9"/>
      <c r="G9"/>
      <c r="H9"/>
      <c r="I9"/>
      <c r="J9"/>
      <c r="K9"/>
      <c r="L9"/>
      <c r="M9"/>
    </row>
    <row r="10" spans="1:14" ht="15">
      <c r="A10" s="2" t="str">
        <f ca="1">MID(CELL("filename",A1),FIND("]",CELL("filename",A1))+1,256)</f>
        <v>ss_1180-1050 dia below 5m</v>
      </c>
      <c r="B10"/>
      <c r="C10" s="135">
        <f>C46</f>
        <v>0</v>
      </c>
      <c r="D10" s="135" t="s">
        <v>4</v>
      </c>
      <c r="E10"/>
      <c r="F10"/>
      <c r="G10"/>
      <c r="H10"/>
      <c r="I10"/>
      <c r="J10"/>
      <c r="K10"/>
      <c r="L10"/>
      <c r="M10"/>
    </row>
    <row r="11" spans="1:14" ht="13.5" thickBot="1">
      <c r="H11" s="85"/>
    </row>
    <row r="12" spans="1:14">
      <c r="A12" s="7" t="s">
        <v>5</v>
      </c>
      <c r="B12" s="8" t="s">
        <v>6</v>
      </c>
      <c r="C12" s="9" t="s">
        <v>7</v>
      </c>
      <c r="D12" s="10" t="s">
        <v>8</v>
      </c>
      <c r="N12" s="11"/>
    </row>
    <row r="13" spans="1:14" ht="13.5" thickBot="1">
      <c r="A13" s="12" t="s">
        <v>9</v>
      </c>
      <c r="B13" s="13" t="s">
        <v>10</v>
      </c>
      <c r="C13" s="14" t="s">
        <v>11</v>
      </c>
      <c r="D13" s="15" t="s">
        <v>12</v>
      </c>
    </row>
    <row r="14" spans="1:14">
      <c r="A14" s="16"/>
      <c r="B14" s="16"/>
    </row>
    <row r="15" spans="1:14" ht="30" customHeight="1">
      <c r="A15" s="143" t="s">
        <v>13</v>
      </c>
      <c r="B15" s="143"/>
      <c r="C15" s="143"/>
      <c r="D15" s="143"/>
      <c r="E15" s="143"/>
      <c r="F15" s="143"/>
      <c r="H15" s="17" t="s">
        <v>14</v>
      </c>
      <c r="I15" s="18"/>
      <c r="J15" s="18"/>
      <c r="K15" s="18"/>
      <c r="L15" s="19"/>
    </row>
    <row r="16" spans="1:14" ht="45" customHeight="1">
      <c r="A16" s="143" t="s">
        <v>15</v>
      </c>
      <c r="B16" s="143"/>
      <c r="C16" s="143"/>
      <c r="D16" s="143"/>
      <c r="E16" s="143"/>
      <c r="F16" s="143"/>
      <c r="H16" s="20"/>
      <c r="L16" s="21"/>
    </row>
    <row r="17" spans="1:18">
      <c r="A17" s="16"/>
      <c r="B17" s="16"/>
      <c r="H17" s="20"/>
      <c r="L17" s="21"/>
    </row>
    <row r="18" spans="1:18" s="28" customFormat="1">
      <c r="A18" s="22" t="s">
        <v>16</v>
      </c>
      <c r="B18" s="23"/>
      <c r="C18" s="24"/>
      <c r="D18" s="24"/>
      <c r="E18" s="24"/>
      <c r="F18" s="25" t="s">
        <v>17</v>
      </c>
      <c r="G18" s="26"/>
      <c r="H18" s="27"/>
      <c r="L18" s="29"/>
      <c r="N18" s="4"/>
      <c r="O18" s="4"/>
      <c r="P18" s="4"/>
      <c r="Q18" s="4"/>
      <c r="R18" s="4"/>
    </row>
    <row r="19" spans="1:18" s="28" customFormat="1">
      <c r="A19" s="30" t="s">
        <v>18</v>
      </c>
      <c r="B19" s="31"/>
      <c r="C19" s="32"/>
      <c r="D19" s="33"/>
      <c r="E19" s="33"/>
      <c r="F19" s="29"/>
      <c r="H19" s="27"/>
      <c r="L19" s="29"/>
      <c r="N19" s="4"/>
      <c r="O19" s="4"/>
      <c r="P19" s="4"/>
      <c r="Q19" s="4"/>
      <c r="R19" s="4"/>
    </row>
    <row r="20" spans="1:18" s="28" customFormat="1">
      <c r="A20" s="34"/>
      <c r="B20" s="35" t="s">
        <v>19</v>
      </c>
      <c r="C20" s="36">
        <v>1130</v>
      </c>
      <c r="D20" s="37" t="s">
        <v>20</v>
      </c>
      <c r="E20" s="38">
        <f>C20/1000</f>
        <v>1.1299999999999999</v>
      </c>
      <c r="F20" s="39" t="s">
        <v>4</v>
      </c>
      <c r="G20" s="26"/>
      <c r="H20" s="27"/>
      <c r="L20" s="29"/>
      <c r="P20" s="4"/>
      <c r="Q20" s="4"/>
      <c r="R20" s="4"/>
    </row>
    <row r="21" spans="1:18" s="28" customFormat="1">
      <c r="A21" s="34"/>
      <c r="B21" s="35" t="s">
        <v>21</v>
      </c>
      <c r="C21" s="40">
        <v>115</v>
      </c>
      <c r="D21" s="37" t="s">
        <v>20</v>
      </c>
      <c r="E21" s="38">
        <f>C21/1000</f>
        <v>0.115</v>
      </c>
      <c r="F21" s="39" t="s">
        <v>4</v>
      </c>
      <c r="G21" s="26"/>
      <c r="H21" s="27"/>
      <c r="L21" s="29"/>
      <c r="P21" s="4"/>
      <c r="Q21" s="4"/>
      <c r="R21" s="4"/>
    </row>
    <row r="22" spans="1:18" s="28" customFormat="1" ht="15.75">
      <c r="A22" s="34"/>
      <c r="B22" s="35" t="s">
        <v>22</v>
      </c>
      <c r="C22" s="41">
        <f>(PI()*C20^2/4)</f>
        <v>1002874.9148422017</v>
      </c>
      <c r="D22" s="37" t="s">
        <v>23</v>
      </c>
      <c r="E22" s="38">
        <f>PI()*E20^2/4</f>
        <v>1.0028749148422014</v>
      </c>
      <c r="F22" s="39" t="s">
        <v>24</v>
      </c>
      <c r="G22" s="26"/>
      <c r="H22" s="27"/>
      <c r="L22" s="29"/>
      <c r="P22" s="4"/>
      <c r="Q22" s="4"/>
      <c r="R22" s="4"/>
    </row>
    <row r="23" spans="1:18" s="28" customFormat="1" ht="15.75">
      <c r="A23" s="34"/>
      <c r="B23" s="35" t="s">
        <v>25</v>
      </c>
      <c r="C23" s="42">
        <f>C20-2*C21-2*C48-C40</f>
        <v>828</v>
      </c>
      <c r="D23" s="37" t="s">
        <v>20</v>
      </c>
      <c r="E23" s="38">
        <f>E20-2*E21-2*E48-E40</f>
        <v>0.82799999999999985</v>
      </c>
      <c r="F23" s="39" t="s">
        <v>4</v>
      </c>
      <c r="G23" s="26"/>
      <c r="H23" s="27"/>
      <c r="L23" s="29"/>
      <c r="P23" s="4"/>
      <c r="Q23" s="4"/>
      <c r="R23" s="4"/>
    </row>
    <row r="24" spans="1:18" s="28" customFormat="1" ht="15.75">
      <c r="A24" s="34"/>
      <c r="B24" s="35" t="s">
        <v>26</v>
      </c>
      <c r="C24" s="42">
        <f>C20-2*C21-C48</f>
        <v>884</v>
      </c>
      <c r="D24" s="37" t="s">
        <v>20</v>
      </c>
      <c r="E24" s="38">
        <f>E20-2*E21-E48</f>
        <v>0.8839999999999999</v>
      </c>
      <c r="F24" s="39" t="s">
        <v>4</v>
      </c>
      <c r="G24" s="26"/>
      <c r="H24" s="27"/>
      <c r="L24" s="29"/>
      <c r="P24" s="4"/>
      <c r="Q24" s="4"/>
      <c r="R24" s="4"/>
    </row>
    <row r="25" spans="1:18" s="28" customFormat="1">
      <c r="A25" s="27"/>
      <c r="F25" s="29"/>
      <c r="G25" s="26"/>
      <c r="H25" s="27"/>
      <c r="L25" s="29"/>
      <c r="O25" s="4"/>
      <c r="P25" s="4"/>
      <c r="Q25" s="4"/>
      <c r="R25" s="4"/>
    </row>
    <row r="26" spans="1:18" s="28" customFormat="1" ht="15.75">
      <c r="A26" s="34"/>
      <c r="B26" s="35" t="s">
        <v>27</v>
      </c>
      <c r="C26" s="40">
        <v>40</v>
      </c>
      <c r="D26" s="37" t="s">
        <v>28</v>
      </c>
      <c r="F26" s="29"/>
      <c r="G26" s="26"/>
      <c r="H26" s="27"/>
      <c r="L26" s="29"/>
      <c r="O26" s="4"/>
      <c r="P26" s="4"/>
      <c r="Q26" s="4"/>
      <c r="R26" s="4"/>
    </row>
    <row r="27" spans="1:18" s="28" customFormat="1" ht="15.75">
      <c r="A27" s="34"/>
      <c r="B27" s="35" t="s">
        <v>29</v>
      </c>
      <c r="C27" s="43">
        <v>1.65</v>
      </c>
      <c r="D27" s="44" t="str">
        <f>IF(C27&gt;1.5,"…allowing for cast against ground","")</f>
        <v>…allowing for cast against ground</v>
      </c>
      <c r="E27" s="33"/>
      <c r="F27" s="45" t="s">
        <v>30</v>
      </c>
      <c r="G27" s="26"/>
      <c r="H27" s="27"/>
      <c r="L27" s="29"/>
      <c r="O27" s="4"/>
      <c r="P27" s="4"/>
      <c r="Q27" s="4"/>
      <c r="R27" s="4"/>
    </row>
    <row r="28" spans="1:18" s="28" customFormat="1" ht="15.75">
      <c r="A28" s="34"/>
      <c r="B28" s="35" t="s">
        <v>31</v>
      </c>
      <c r="C28" s="46">
        <f>1.75+MAX(0,0.55*(C26-50)/40)</f>
        <v>1.75</v>
      </c>
      <c r="D28" s="37" t="s">
        <v>32</v>
      </c>
      <c r="F28" s="45" t="s">
        <v>33</v>
      </c>
      <c r="G28" s="26"/>
      <c r="H28" s="27"/>
      <c r="L28" s="29"/>
      <c r="O28" s="4"/>
      <c r="P28" s="4"/>
      <c r="Q28" s="4"/>
      <c r="R28" s="4"/>
    </row>
    <row r="29" spans="1:18" s="28" customFormat="1" ht="15.75">
      <c r="A29" s="34"/>
      <c r="B29" s="35" t="s">
        <v>34</v>
      </c>
      <c r="C29" s="46">
        <f>(0.85*C26/C27)/C28</f>
        <v>11.774891774891774</v>
      </c>
      <c r="D29" s="37" t="s">
        <v>35</v>
      </c>
      <c r="F29" s="45" t="s">
        <v>36</v>
      </c>
      <c r="G29" s="26"/>
      <c r="H29" s="47"/>
      <c r="I29" s="48"/>
      <c r="J29" s="48"/>
      <c r="K29" s="48"/>
      <c r="L29" s="49"/>
    </row>
    <row r="30" spans="1:18" s="28" customFormat="1" ht="13.5">
      <c r="A30" s="34"/>
      <c r="B30" s="35" t="s">
        <v>37</v>
      </c>
      <c r="C30" s="43">
        <v>1</v>
      </c>
      <c r="D30" s="37"/>
      <c r="F30" s="45" t="s">
        <v>38</v>
      </c>
      <c r="G30" s="26"/>
    </row>
    <row r="31" spans="1:18" s="28" customFormat="1" ht="13.5">
      <c r="A31" s="34"/>
      <c r="B31" s="50" t="s">
        <v>39</v>
      </c>
      <c r="C31" s="46">
        <f>C30*C26/C27</f>
        <v>24.242424242424242</v>
      </c>
      <c r="D31" s="37" t="s">
        <v>28</v>
      </c>
      <c r="F31" s="45" t="s">
        <v>38</v>
      </c>
      <c r="G31" s="26"/>
      <c r="H31" s="22" t="s">
        <v>40</v>
      </c>
      <c r="I31" s="24"/>
      <c r="J31" s="24"/>
      <c r="K31" s="24"/>
      <c r="L31" s="25" t="s">
        <v>17</v>
      </c>
    </row>
    <row r="32" spans="1:18" s="28" customFormat="1" ht="13.5">
      <c r="A32" s="34"/>
      <c r="B32" s="35" t="s">
        <v>41</v>
      </c>
      <c r="C32" s="46">
        <f>0.6*(1-C26/250)*C31</f>
        <v>12.218181818181819</v>
      </c>
      <c r="D32" s="37" t="s">
        <v>28</v>
      </c>
      <c r="F32" s="45" t="s">
        <v>42</v>
      </c>
      <c r="G32" s="26"/>
      <c r="H32" s="30" t="s">
        <v>43</v>
      </c>
      <c r="L32" s="29"/>
    </row>
    <row r="33" spans="1:14" s="28" customFormat="1" ht="15.75">
      <c r="A33" s="34"/>
      <c r="F33" s="29"/>
      <c r="G33" s="26"/>
      <c r="H33" s="27"/>
      <c r="I33" s="35" t="s">
        <v>44</v>
      </c>
      <c r="J33" s="52">
        <f>MIN(1,2.5*(1-C56)+18*E43*(C56-0.6))</f>
        <v>0.58247865925287801</v>
      </c>
      <c r="L33" s="29"/>
    </row>
    <row r="34" spans="1:14" s="28" customFormat="1" ht="15.75">
      <c r="A34" s="34"/>
      <c r="B34" s="35" t="s">
        <v>45</v>
      </c>
      <c r="C34" s="53">
        <v>500</v>
      </c>
      <c r="D34" s="37" t="s">
        <v>28</v>
      </c>
      <c r="F34" s="45" t="s">
        <v>46</v>
      </c>
      <c r="G34" s="26"/>
      <c r="H34" s="27"/>
      <c r="I34" s="35" t="s">
        <v>47</v>
      </c>
      <c r="J34" s="52">
        <f>MIN(1,2.5*(1-C56)+MIN(2.25,1.5+37.5*E43)*(C56-0.6))</f>
        <v>0.88766387344349607</v>
      </c>
      <c r="L34" s="29"/>
      <c r="N34" s="51"/>
    </row>
    <row r="35" spans="1:14" s="28" customFormat="1" ht="15.75">
      <c r="A35" s="34"/>
      <c r="B35" s="35" t="s">
        <v>48</v>
      </c>
      <c r="C35" s="53">
        <v>200</v>
      </c>
      <c r="D35" s="37" t="s">
        <v>35</v>
      </c>
      <c r="E35" s="33"/>
      <c r="F35" s="45" t="s">
        <v>49</v>
      </c>
      <c r="G35" s="26"/>
      <c r="H35" s="27"/>
      <c r="I35" s="35" t="s">
        <v>50</v>
      </c>
      <c r="J35" s="52">
        <f>MIN(1,2.5*(1-C56)+MIN(2,100*E43)*(C56-0.6))</f>
        <v>0.73043699584932265</v>
      </c>
      <c r="L35" s="29"/>
    </row>
    <row r="36" spans="1:14" s="28" customFormat="1" ht="15.75" customHeight="1">
      <c r="A36" s="34"/>
      <c r="B36" s="35" t="s">
        <v>51</v>
      </c>
      <c r="C36" s="53">
        <v>1.1499999999999999</v>
      </c>
      <c r="F36" s="45" t="s">
        <v>30</v>
      </c>
      <c r="G36" s="26"/>
      <c r="H36" s="27"/>
      <c r="L36" s="29"/>
    </row>
    <row r="37" spans="1:14" s="28" customFormat="1" ht="15.75">
      <c r="A37" s="34"/>
      <c r="B37" s="35" t="s">
        <v>52</v>
      </c>
      <c r="C37" s="54">
        <f>C34/C36</f>
        <v>434.78260869565219</v>
      </c>
      <c r="D37" s="37" t="s">
        <v>28</v>
      </c>
      <c r="F37" s="45" t="s">
        <v>53</v>
      </c>
      <c r="G37" s="26"/>
      <c r="H37" s="30" t="s">
        <v>54</v>
      </c>
      <c r="L37" s="29"/>
    </row>
    <row r="38" spans="1:14" s="28" customFormat="1" ht="15.75">
      <c r="A38" s="27"/>
      <c r="F38" s="29"/>
      <c r="G38" s="26"/>
      <c r="H38" s="27"/>
      <c r="I38" s="35" t="s">
        <v>55</v>
      </c>
      <c r="J38" s="52">
        <f>MIN(0.65,0.4+(E23/E20)/(1.3-LOG(E43*C35/C29)))*E24</f>
        <v>0.5746</v>
      </c>
      <c r="K38" s="37" t="s">
        <v>4</v>
      </c>
      <c r="L38" s="29"/>
    </row>
    <row r="39" spans="1:14" s="28" customFormat="1" ht="15.75">
      <c r="A39" s="30" t="s">
        <v>56</v>
      </c>
      <c r="B39" s="31"/>
      <c r="D39" s="37"/>
      <c r="E39" s="33"/>
      <c r="F39" s="45"/>
      <c r="G39" s="26"/>
      <c r="H39" s="27"/>
      <c r="I39" s="35" t="s">
        <v>57</v>
      </c>
      <c r="J39" s="52">
        <f>MAX(0.4,(1.3+0.2*LOG(C35*E43/C29))*(E23/E20-0.3)+0.6*(1-E23/E20))*E22</f>
        <v>0.65826236647395175</v>
      </c>
      <c r="K39" s="37" t="s">
        <v>58</v>
      </c>
      <c r="L39" s="29"/>
      <c r="M39" s="138"/>
    </row>
    <row r="40" spans="1:14" s="28" customFormat="1" ht="15.75" customHeight="1">
      <c r="A40" s="27"/>
      <c r="B40" s="35" t="s">
        <v>59</v>
      </c>
      <c r="C40" s="136">
        <v>40</v>
      </c>
      <c r="D40" s="37" t="s">
        <v>20</v>
      </c>
      <c r="E40" s="38">
        <f>C40/1000</f>
        <v>0.04</v>
      </c>
      <c r="F40" s="39" t="s">
        <v>4</v>
      </c>
      <c r="G40" s="26"/>
      <c r="H40" s="27"/>
      <c r="I40" s="35" t="s">
        <v>60</v>
      </c>
      <c r="J40" s="52">
        <f>0.9*(1-(1-E23/E20)^(2.5+0.6*LOG(E43*C35/C29)))</f>
        <v>0.83891486032729456</v>
      </c>
      <c r="L40" s="29"/>
    </row>
    <row r="41" spans="1:14" s="28" customFormat="1" ht="15.75">
      <c r="A41" s="27"/>
      <c r="B41" s="35" t="s">
        <v>61</v>
      </c>
      <c r="C41" s="40">
        <v>8</v>
      </c>
      <c r="D41" s="37"/>
      <c r="E41" s="58"/>
      <c r="F41" s="39"/>
      <c r="G41" s="26"/>
      <c r="H41" s="27"/>
      <c r="L41" s="29"/>
    </row>
    <row r="42" spans="1:14" s="28" customFormat="1" ht="15.75">
      <c r="A42" s="27"/>
      <c r="B42" s="35" t="s">
        <v>62</v>
      </c>
      <c r="C42" s="42">
        <f>PI()*C40^2/4*C41</f>
        <v>10053.096491487338</v>
      </c>
      <c r="D42" s="37" t="s">
        <v>63</v>
      </c>
      <c r="E42" s="38">
        <f>PI()*E40^2/4*C41</f>
        <v>1.0053096491487338E-2</v>
      </c>
      <c r="F42" s="39" t="s">
        <v>64</v>
      </c>
      <c r="G42" s="26"/>
      <c r="H42" s="30" t="s">
        <v>65</v>
      </c>
      <c r="L42" s="29"/>
    </row>
    <row r="43" spans="1:14" s="28" customFormat="1" ht="15.75">
      <c r="A43" s="55"/>
      <c r="B43" s="35" t="s">
        <v>66</v>
      </c>
      <c r="C43" s="56">
        <f>E43*100</f>
        <v>1.002427754718459</v>
      </c>
      <c r="D43" s="37" t="s">
        <v>67</v>
      </c>
      <c r="E43" s="38">
        <f>(E42)/(E22)</f>
        <v>1.0024277547184591E-2</v>
      </c>
      <c r="F43" s="39"/>
      <c r="G43" s="26"/>
      <c r="H43" s="92" t="s">
        <v>68</v>
      </c>
      <c r="L43" s="29"/>
    </row>
    <row r="44" spans="1:14" s="28" customFormat="1" ht="15.75">
      <c r="A44" s="27"/>
      <c r="E44" s="58"/>
      <c r="F44" s="39"/>
      <c r="G44" s="26"/>
      <c r="H44" s="27"/>
      <c r="I44" s="35" t="s">
        <v>69</v>
      </c>
      <c r="J44" s="57">
        <f>2*E50*J38*C37*IF(E47=1,J35*(1-E49/(J40*PI()*E24))/SQRT(1+(E49/(PI()*E24))^2),J34)*1000</f>
        <v>211.87255266247575</v>
      </c>
      <c r="K44" s="37" t="s">
        <v>70</v>
      </c>
      <c r="L44" s="45" t="s">
        <v>71</v>
      </c>
    </row>
    <row r="45" spans="1:14" s="28" customFormat="1" ht="16.5" thickBot="1">
      <c r="A45" s="30" t="s">
        <v>72</v>
      </c>
      <c r="B45" s="31"/>
      <c r="D45" s="59"/>
      <c r="E45" s="58"/>
      <c r="F45" s="39"/>
      <c r="G45" s="26"/>
      <c r="H45" s="27"/>
      <c r="I45" s="35" t="s">
        <v>73</v>
      </c>
      <c r="J45" s="57">
        <f>C59*J33*J39*C32/2*1000</f>
        <v>2366.120022896208</v>
      </c>
      <c r="K45" s="37" t="s">
        <v>70</v>
      </c>
      <c r="L45" s="45" t="s">
        <v>74</v>
      </c>
    </row>
    <row r="46" spans="1:14" s="28" customFormat="1" ht="15.75">
      <c r="A46" s="59"/>
      <c r="B46" s="35" t="s">
        <v>75</v>
      </c>
      <c r="C46" s="61">
        <v>0</v>
      </c>
      <c r="D46" s="59" t="s">
        <v>76</v>
      </c>
      <c r="E46" s="58"/>
      <c r="F46" s="39"/>
      <c r="G46" s="26"/>
      <c r="H46" s="27"/>
      <c r="I46" s="35" t="s">
        <v>77</v>
      </c>
      <c r="J46" s="60">
        <f>IF(J45&lt;J44,1,IF(J44&lt;0,1,MIN(IF(C57&lt;0,1.25,2.5),SQRT(2*J45/J44-1))))</f>
        <v>2.5</v>
      </c>
      <c r="L46" s="29"/>
    </row>
    <row r="47" spans="1:14" s="28" customFormat="1" ht="15.75">
      <c r="A47" s="27"/>
      <c r="B47" s="35" t="s">
        <v>78</v>
      </c>
      <c r="C47" s="126" t="s">
        <v>227</v>
      </c>
      <c r="E47" s="62">
        <f>IF(C47="Spiral",1,0)</f>
        <v>1</v>
      </c>
      <c r="F47" s="39"/>
      <c r="G47" s="26"/>
      <c r="H47" s="27"/>
      <c r="I47" s="35" t="s">
        <v>79</v>
      </c>
      <c r="J47" s="90">
        <f>MIN(2*J45/(J46+1/J46),2*E50*J38*C37*J46*IF(E47=1,J35*(1-E49/(J40*PI()*E24*J46))/SQRT(1+(E49/(PI()*E24))^2),J34)*1000)</f>
        <v>576.65265956527605</v>
      </c>
      <c r="K47" s="37" t="s">
        <v>70</v>
      </c>
      <c r="L47" s="29"/>
    </row>
    <row r="48" spans="1:14" s="28" customFormat="1" ht="15.75" customHeight="1">
      <c r="A48" s="27"/>
      <c r="B48" s="35" t="s">
        <v>80</v>
      </c>
      <c r="C48" s="63">
        <v>16</v>
      </c>
      <c r="D48" s="37" t="s">
        <v>20</v>
      </c>
      <c r="E48" s="38">
        <f>C48/1000</f>
        <v>1.6E-2</v>
      </c>
      <c r="F48" s="39" t="s">
        <v>4</v>
      </c>
      <c r="G48" s="26"/>
      <c r="H48" s="27"/>
      <c r="I48" s="35" t="s">
        <v>81</v>
      </c>
      <c r="J48" s="91">
        <f>C55/J47</f>
        <v>0.8737292013547393</v>
      </c>
      <c r="K48" s="66" t="str">
        <f>IF(J48&gt;1,"FAIL","Pass")</f>
        <v>Pass</v>
      </c>
      <c r="L48" s="29"/>
    </row>
    <row r="49" spans="1:13" s="28" customFormat="1" ht="13.5" thickBot="1">
      <c r="A49" s="27"/>
      <c r="B49" s="35" t="str">
        <f>IF(E47=1,"Spiral pitch, p =", "Link spacing, s =")</f>
        <v>Spiral pitch, p =</v>
      </c>
      <c r="C49" s="64">
        <v>300</v>
      </c>
      <c r="D49" s="37" t="s">
        <v>20</v>
      </c>
      <c r="E49" s="38">
        <f>C49/1000</f>
        <v>0.3</v>
      </c>
      <c r="F49" s="39" t="s">
        <v>4</v>
      </c>
      <c r="G49" s="26"/>
      <c r="H49" s="27"/>
      <c r="I49" s="28" t="s">
        <v>82</v>
      </c>
      <c r="J49" s="28">
        <f>J47*0.75</f>
        <v>432.48949467395704</v>
      </c>
      <c r="K49" s="28" t="s">
        <v>70</v>
      </c>
      <c r="L49" s="29"/>
    </row>
    <row r="50" spans="1:13" s="28" customFormat="1" ht="15.75">
      <c r="A50" s="27"/>
      <c r="B50" s="35" t="str">
        <f>IF(E47=1,"Asw / p =","Asw / s =")</f>
        <v>Asw / p =</v>
      </c>
      <c r="C50" s="42">
        <f>(C48^2*PI()/4)/E49</f>
        <v>670.20643276582257</v>
      </c>
      <c r="D50" s="37" t="s">
        <v>83</v>
      </c>
      <c r="E50" s="67">
        <f>(E48^2*PI()/4)/E49</f>
        <v>6.7020643276582254E-4</v>
      </c>
      <c r="F50" s="39" t="s">
        <v>84</v>
      </c>
      <c r="G50" s="26"/>
      <c r="H50" s="92" t="s">
        <v>85</v>
      </c>
      <c r="L50" s="29"/>
    </row>
    <row r="51" spans="1:13" s="28" customFormat="1" ht="15.75">
      <c r="A51" s="27"/>
      <c r="E51" s="38"/>
      <c r="F51" s="68" t="str">
        <f>IF(E47=1,IF(C49&gt;0.4*C24*J46,"Spiral pitch, P exceeds limit of 0.4Dw.cotθ = "&amp;ROUND(0.4*C24*J46,0)&amp;"mm. Result not valid",""),"")</f>
        <v/>
      </c>
      <c r="G51" s="26"/>
      <c r="H51" s="27"/>
      <c r="I51" s="35" t="s">
        <v>69</v>
      </c>
      <c r="J51" s="57">
        <f>2*E50*J38*C37*IF(E47=1,J35*(1-E49/(J40*PI()*E24))/SQRT(1+(E49/(PI()*E24))^2),J34)*1000</f>
        <v>211.87255266247575</v>
      </c>
      <c r="K51" s="37" t="s">
        <v>70</v>
      </c>
      <c r="L51" s="45" t="s">
        <v>71</v>
      </c>
    </row>
    <row r="52" spans="1:13" s="28" customFormat="1" ht="15.75">
      <c r="A52" s="27"/>
      <c r="F52" s="68" t="str">
        <f>IF(C26&gt;50,"fck &gt; 50. Check the max allowable link spacing using the UK NA cl 9.5.3(3)",IF(C49&gt;MIN(20*C40,C20,400),"Link spacing or pitch exceeds limit set by EN1992-1-1 cl 9.5.3(3) = "&amp;ROUND(MIN(20*C40,C20,400),0)&amp;"mm","Link spacing satisfies limit set by EN1992-1-1 cl 9.5.3(3)"))</f>
        <v>Link spacing satisfies limit set by EN1992-1-1 cl 9.5.3(3)</v>
      </c>
      <c r="G52" s="26"/>
      <c r="H52" s="27"/>
      <c r="I52" s="35" t="s">
        <v>73</v>
      </c>
      <c r="J52" s="57">
        <f>C63*J33*J39*C32/2*1000</f>
        <v>2535.935751306557</v>
      </c>
      <c r="K52" s="37" t="s">
        <v>70</v>
      </c>
      <c r="L52" s="45" t="s">
        <v>74</v>
      </c>
    </row>
    <row r="53" spans="1:13" s="28" customFormat="1" ht="15">
      <c r="A53" s="27"/>
      <c r="F53" s="69" t="str">
        <f>IF(C26&gt;50,"",IF(C49&gt;0.6*MIN(20*C40,C20,400),"Link spacing or pitch exceeds limit set by EN1992-1-1 cl 9.5.3(4) = "&amp;ROUND(0.6*MIN(20*C40,C20,400),0)&amp;"mm",""))</f>
        <v>Link spacing or pitch exceeds limit set by EN1992-1-1 cl 9.5.3(4) = 240mm</v>
      </c>
      <c r="H53" s="27"/>
      <c r="I53" s="35" t="s">
        <v>77</v>
      </c>
      <c r="J53" s="60">
        <f>IF(J52&lt;J51,1,IF(J51&lt;0,1,MIN(IF(C61&lt;0,1.25,2.5),SQRT(2*J52/J51-1))))</f>
        <v>2.5</v>
      </c>
      <c r="L53" s="29"/>
    </row>
    <row r="54" spans="1:13" s="28" customFormat="1" ht="15.75">
      <c r="A54" s="30" t="s">
        <v>86</v>
      </c>
      <c r="D54" s="37"/>
      <c r="E54" s="38"/>
      <c r="F54" s="39"/>
      <c r="H54" s="27"/>
      <c r="I54" s="35" t="s">
        <v>79</v>
      </c>
      <c r="J54" s="90">
        <f>MIN(2*J52/(J53+1/J53),2*E50*J38*C37*J53*IF(E47=1,J35*(1-E49/(J40*PI()*E24*J53))/SQRT(1+(E49/(PI()*E24))^2),J34)*1000)</f>
        <v>576.65265956527605</v>
      </c>
      <c r="K54" s="37" t="s">
        <v>70</v>
      </c>
      <c r="L54" s="29"/>
    </row>
    <row r="55" spans="1:13" s="28" customFormat="1" ht="15.75">
      <c r="A55" s="27"/>
      <c r="B55" s="35" t="s">
        <v>87</v>
      </c>
      <c r="C55" s="95">
        <f>SQRT(502^2+43^2)</f>
        <v>503.83826770105503</v>
      </c>
      <c r="D55" s="37" t="s">
        <v>70</v>
      </c>
      <c r="E55" s="38">
        <f>C55/1000</f>
        <v>0.503838267701055</v>
      </c>
      <c r="F55" s="39" t="s">
        <v>88</v>
      </c>
      <c r="G55" s="26"/>
      <c r="H55" s="27"/>
      <c r="I55" s="35" t="s">
        <v>81</v>
      </c>
      <c r="J55" s="91">
        <f>C55/J54</f>
        <v>0.8737292013547393</v>
      </c>
      <c r="K55" s="66" t="str">
        <f>IF(J55&gt;1,"FAIL","Pass")</f>
        <v>Pass</v>
      </c>
      <c r="L55" s="29"/>
    </row>
    <row r="56" spans="1:13" s="28" customFormat="1" ht="15.75">
      <c r="A56" s="27"/>
      <c r="B56" s="35" t="s">
        <v>89</v>
      </c>
      <c r="C56" s="94">
        <v>0.78</v>
      </c>
      <c r="D56" s="37"/>
      <c r="F56" s="71"/>
      <c r="G56" s="26"/>
      <c r="H56" s="47"/>
      <c r="I56" s="48"/>
      <c r="J56" s="48"/>
      <c r="K56" s="48"/>
      <c r="L56" s="49"/>
    </row>
    <row r="57" spans="1:13" s="28" customFormat="1" ht="15.75">
      <c r="A57" s="92" t="s">
        <v>68</v>
      </c>
      <c r="B57" s="35" t="s">
        <v>90</v>
      </c>
      <c r="C57" s="40">
        <v>286</v>
      </c>
      <c r="D57" s="37" t="s">
        <v>91</v>
      </c>
      <c r="E57" s="72"/>
      <c r="F57" s="45"/>
      <c r="G57" s="26"/>
    </row>
    <row r="58" spans="1:13" s="28" customFormat="1" ht="13.5">
      <c r="A58" s="34"/>
      <c r="B58" s="35" t="s">
        <v>92</v>
      </c>
      <c r="C58" s="73">
        <f>E58/((E22-E42)+(E42*C35/C29))</f>
        <v>0.24579386979525533</v>
      </c>
      <c r="D58" s="37" t="s">
        <v>28</v>
      </c>
      <c r="E58" s="38">
        <f>C57/1000</f>
        <v>0.28599999999999998</v>
      </c>
      <c r="F58" s="39" t="s">
        <v>88</v>
      </c>
      <c r="G58" s="26"/>
      <c r="H58" s="22" t="s">
        <v>93</v>
      </c>
      <c r="I58" s="24"/>
      <c r="J58" s="24"/>
      <c r="K58" s="24"/>
      <c r="L58" s="25" t="s">
        <v>17</v>
      </c>
      <c r="M58" s="4"/>
    </row>
    <row r="59" spans="1:13" s="28" customFormat="1" ht="13.5">
      <c r="A59" s="34"/>
      <c r="B59" s="35" t="s">
        <v>94</v>
      </c>
      <c r="C59" s="46">
        <f>IF(C58&lt;0.5*C31,MIN((1+C58/C31),1.25),IF(C58&lt;C31,2.5*(1-C58/C31),"Error: N.Ed too large!"))</f>
        <v>1.0101389971290542</v>
      </c>
      <c r="D59" s="37"/>
      <c r="F59" s="45" t="s">
        <v>42</v>
      </c>
      <c r="G59" s="26"/>
      <c r="H59" s="30" t="s">
        <v>95</v>
      </c>
      <c r="L59" s="45" t="s">
        <v>96</v>
      </c>
      <c r="M59" s="4"/>
    </row>
    <row r="60" spans="1:13" s="28" customFormat="1" ht="15.75">
      <c r="A60" s="34"/>
      <c r="B60" s="35"/>
      <c r="C60" s="73"/>
      <c r="D60" s="37"/>
      <c r="E60" s="38"/>
      <c r="F60" s="39"/>
      <c r="G60" s="26"/>
      <c r="H60" s="27"/>
      <c r="I60" s="35" t="s">
        <v>97</v>
      </c>
      <c r="J60" s="60">
        <f>0.08*SQRT(C26)/C34</f>
        <v>1.0119288512538814E-3</v>
      </c>
      <c r="L60" s="70" t="s">
        <v>98</v>
      </c>
      <c r="M60" s="4"/>
    </row>
    <row r="61" spans="1:13" s="28" customFormat="1" ht="16.5" thickBot="1">
      <c r="A61" s="92" t="s">
        <v>85</v>
      </c>
      <c r="B61" s="35" t="s">
        <v>90</v>
      </c>
      <c r="C61" s="40">
        <v>2331</v>
      </c>
      <c r="D61" s="37" t="s">
        <v>91</v>
      </c>
      <c r="E61" s="72"/>
      <c r="F61" s="45"/>
      <c r="G61" s="26"/>
      <c r="H61" s="27"/>
      <c r="I61" s="35" t="s">
        <v>99</v>
      </c>
      <c r="J61" s="60">
        <f>MIN((IF(J46=1,J44,J47/J46)/(C37*1000))/(J39*J33),(IF(J53=1,J51,J54/J53)/(C37*1000))/(J39*J33))</f>
        <v>1.3836399137433107E-3</v>
      </c>
      <c r="L61" s="70" t="s">
        <v>100</v>
      </c>
      <c r="M61" s="4"/>
    </row>
    <row r="62" spans="1:13" s="28" customFormat="1" ht="16.5" thickBot="1">
      <c r="A62" s="27"/>
      <c r="B62" s="35" t="s">
        <v>92</v>
      </c>
      <c r="C62" s="73">
        <f>E62/((E22-E42)+(E42*C35/C29))</f>
        <v>2.0033059807438467</v>
      </c>
      <c r="D62" s="37" t="s">
        <v>28</v>
      </c>
      <c r="E62" s="38">
        <f>C61/1000</f>
        <v>2.331</v>
      </c>
      <c r="F62" s="39" t="s">
        <v>88</v>
      </c>
      <c r="G62" s="26"/>
      <c r="H62" s="27"/>
      <c r="I62" s="35" t="s">
        <v>101</v>
      </c>
      <c r="J62" s="65">
        <f>J61/J60</f>
        <v>1.3673292465461795</v>
      </c>
      <c r="K62" s="66" t="str">
        <f>IF(J62&lt;1,"FAIL","Pass")</f>
        <v>Pass</v>
      </c>
      <c r="L62" s="29"/>
      <c r="M62" s="4"/>
    </row>
    <row r="63" spans="1:13" s="28" customFormat="1" ht="13.5">
      <c r="A63" s="93"/>
      <c r="B63" s="35" t="s">
        <v>94</v>
      </c>
      <c r="C63" s="46">
        <f>IF(C62&lt;0.5*C31,MIN((1+C62/C31),1.25),IF(C62&lt;C31,2.5*(1-C62/C31),"Error: N.Ed too large!"))</f>
        <v>1.0826363717056837</v>
      </c>
      <c r="D63" s="37"/>
      <c r="F63" s="45" t="s">
        <v>42</v>
      </c>
      <c r="H63" s="27"/>
      <c r="L63" s="29"/>
      <c r="M63" s="4"/>
    </row>
    <row r="64" spans="1:13" s="28" customFormat="1">
      <c r="A64" s="47"/>
      <c r="B64" s="48"/>
      <c r="C64" s="48"/>
      <c r="D64" s="48"/>
      <c r="E64" s="48"/>
      <c r="F64" s="49"/>
      <c r="G64" s="26"/>
      <c r="H64" s="74"/>
      <c r="I64" s="48"/>
      <c r="J64" s="75"/>
      <c r="K64" s="75"/>
      <c r="L64" s="76"/>
      <c r="M64" s="4"/>
    </row>
    <row r="65" spans="1:14" s="28" customFormat="1">
      <c r="A65" s="4"/>
      <c r="C65" s="4"/>
      <c r="E65" s="4"/>
      <c r="G65" s="4"/>
      <c r="I65" s="4"/>
      <c r="J65" s="4"/>
      <c r="K65" s="4"/>
      <c r="L65" s="4"/>
      <c r="M65" s="4"/>
      <c r="N65" s="4"/>
    </row>
    <row r="66" spans="1:14" s="28" customFormat="1">
      <c r="A66" s="4"/>
      <c r="B66" s="4"/>
      <c r="C66" s="4"/>
      <c r="D66" s="4"/>
      <c r="E66" s="4"/>
      <c r="F66" s="4"/>
      <c r="G66" s="4"/>
      <c r="H66" s="4"/>
      <c r="I66" s="4"/>
      <c r="J66" s="4"/>
      <c r="K66" s="4"/>
      <c r="L66" s="4"/>
      <c r="M66" s="4"/>
      <c r="N66" s="4"/>
    </row>
    <row r="67" spans="1:14">
      <c r="B67" s="4" t="s">
        <v>102</v>
      </c>
      <c r="D67" s="4">
        <f>0.5*C55*(IF(J48&gt;J55,J46,J53))</f>
        <v>629.79783462631883</v>
      </c>
      <c r="E67" s="4" t="s">
        <v>70</v>
      </c>
    </row>
    <row r="68" spans="1:14" ht="12" customHeight="1"/>
    <row r="69" spans="1:14">
      <c r="A69" s="27"/>
      <c r="B69" s="28"/>
      <c r="C69" s="28"/>
      <c r="D69" s="28"/>
      <c r="E69" s="33"/>
      <c r="F69" s="28"/>
      <c r="H69" s="28"/>
    </row>
    <row r="70" spans="1:14">
      <c r="G70" s="28"/>
      <c r="H70" s="28"/>
    </row>
    <row r="71" spans="1:14">
      <c r="E71" s="77"/>
      <c r="G71" s="28"/>
      <c r="H71" s="28"/>
    </row>
    <row r="72" spans="1:14">
      <c r="G72" s="28"/>
      <c r="H72" s="28"/>
    </row>
    <row r="73" spans="1:14" ht="15">
      <c r="A73" s="78"/>
      <c r="B73" s="78"/>
      <c r="C73" s="28"/>
      <c r="D73" s="28"/>
      <c r="G73" s="28"/>
      <c r="H73" s="28"/>
    </row>
    <row r="74" spans="1:14">
      <c r="E74" s="28"/>
      <c r="G74" s="28"/>
      <c r="H74" s="28"/>
    </row>
    <row r="75" spans="1:14">
      <c r="E75" s="142"/>
      <c r="G75" s="28"/>
      <c r="H75" s="28"/>
    </row>
    <row r="76" spans="1:14">
      <c r="E76" s="142"/>
      <c r="G76" s="28"/>
      <c r="H76" s="28"/>
    </row>
    <row r="77" spans="1:14" ht="15.75" customHeight="1">
      <c r="E77" s="142"/>
      <c r="G77" s="28"/>
      <c r="H77" s="28"/>
    </row>
    <row r="78" spans="1:14">
      <c r="E78" s="142"/>
      <c r="G78" s="28"/>
      <c r="H78" s="28"/>
    </row>
    <row r="79" spans="1:14" ht="15.75" customHeight="1">
      <c r="E79" s="142"/>
      <c r="G79" s="28"/>
      <c r="H79" s="28"/>
    </row>
    <row r="80" spans="1:14">
      <c r="E80" s="142"/>
      <c r="G80" s="28"/>
      <c r="H80" s="28"/>
    </row>
    <row r="81" spans="1:13">
      <c r="E81" s="142"/>
      <c r="G81" s="28"/>
      <c r="H81" s="28"/>
    </row>
    <row r="82" spans="1:13">
      <c r="E82" s="142"/>
      <c r="G82" s="28"/>
      <c r="H82" s="28"/>
    </row>
    <row r="83" spans="1:13">
      <c r="E83" s="142"/>
      <c r="G83" s="28"/>
      <c r="H83" s="28"/>
      <c r="I83" s="28"/>
      <c r="J83" s="28"/>
      <c r="K83" s="79"/>
      <c r="L83" s="28"/>
    </row>
    <row r="84" spans="1:13">
      <c r="A84" s="80"/>
      <c r="B84" s="80"/>
      <c r="C84" s="28"/>
      <c r="D84" s="28"/>
      <c r="E84" s="142"/>
      <c r="G84" s="28"/>
      <c r="H84" s="28"/>
      <c r="I84" s="28"/>
      <c r="J84" s="28"/>
      <c r="K84" s="28"/>
      <c r="L84" s="81"/>
    </row>
    <row r="85" spans="1:13">
      <c r="A85" s="82"/>
      <c r="B85" s="82"/>
      <c r="C85" s="83"/>
      <c r="D85" s="28"/>
      <c r="E85" s="28"/>
      <c r="G85" s="28"/>
      <c r="H85" s="28"/>
      <c r="L85" s="28"/>
      <c r="M85" s="28"/>
    </row>
    <row r="86" spans="1:13" ht="15">
      <c r="A86" s="84"/>
      <c r="B86" s="84"/>
      <c r="C86" s="83"/>
      <c r="D86" s="28"/>
      <c r="E86" s="28"/>
      <c r="G86" s="28"/>
      <c r="H86" s="28"/>
      <c r="M86" s="28"/>
    </row>
    <row r="87" spans="1:13">
      <c r="A87" s="82"/>
      <c r="B87" s="82"/>
      <c r="C87" s="83"/>
      <c r="D87" s="28"/>
      <c r="E87" s="28"/>
      <c r="G87" s="28"/>
      <c r="H87" s="28"/>
      <c r="I87" s="28"/>
      <c r="J87" s="28"/>
      <c r="K87" s="28"/>
      <c r="M87" s="28"/>
    </row>
    <row r="88" spans="1:13">
      <c r="E88" s="28"/>
      <c r="G88" s="28"/>
      <c r="H88" s="28"/>
      <c r="L88" s="28"/>
      <c r="M88" s="28"/>
    </row>
    <row r="89" spans="1:13">
      <c r="E89" s="28"/>
      <c r="G89" s="28"/>
      <c r="H89" s="28"/>
      <c r="M89" s="28"/>
    </row>
    <row r="90" spans="1:13">
      <c r="E90" s="28"/>
      <c r="G90" s="28"/>
      <c r="H90" s="28"/>
      <c r="L90" s="28"/>
      <c r="M90" s="28"/>
    </row>
    <row r="91" spans="1:13">
      <c r="E91" s="28"/>
      <c r="G91" s="28"/>
      <c r="H91" s="28"/>
      <c r="K91" s="28"/>
      <c r="L91" s="28"/>
    </row>
    <row r="92" spans="1:13">
      <c r="E92" s="28"/>
      <c r="G92" s="28"/>
      <c r="H92" s="28"/>
      <c r="K92" s="28"/>
      <c r="M92" s="28"/>
    </row>
    <row r="93" spans="1:13">
      <c r="E93" s="28"/>
      <c r="G93" s="28"/>
      <c r="H93" s="28"/>
      <c r="M93" s="28"/>
    </row>
    <row r="94" spans="1:13">
      <c r="E94" s="28"/>
      <c r="G94" s="28"/>
    </row>
    <row r="95" spans="1:13">
      <c r="E95" s="28"/>
    </row>
    <row r="96" spans="1:13">
      <c r="E96" s="28"/>
      <c r="K96" s="28"/>
    </row>
    <row r="97" spans="1:13">
      <c r="E97" s="28"/>
      <c r="H97" s="28"/>
      <c r="K97" s="28"/>
    </row>
    <row r="98" spans="1:13">
      <c r="E98" s="28"/>
      <c r="G98" s="28"/>
      <c r="H98" s="28"/>
      <c r="K98" s="28"/>
    </row>
    <row r="99" spans="1:13">
      <c r="E99" s="28"/>
      <c r="G99" s="28"/>
      <c r="H99" s="28"/>
      <c r="M99" s="28"/>
    </row>
    <row r="100" spans="1:13">
      <c r="E100" s="28"/>
      <c r="G100" s="28"/>
      <c r="K100" s="28"/>
      <c r="M100" s="28"/>
    </row>
    <row r="101" spans="1:13">
      <c r="A101" s="85"/>
      <c r="B101" s="85"/>
      <c r="C101" s="86"/>
      <c r="E101" s="28"/>
      <c r="K101" s="28"/>
      <c r="M101" s="28"/>
    </row>
    <row r="102" spans="1:13">
      <c r="D102" s="83"/>
      <c r="M102" s="28"/>
    </row>
    <row r="103" spans="1:13">
      <c r="I103" s="87"/>
    </row>
    <row r="104" spans="1:13">
      <c r="M104" s="28"/>
    </row>
    <row r="111" spans="1:13">
      <c r="A111" s="85"/>
      <c r="B111" s="85"/>
    </row>
    <row r="115" spans="7:8">
      <c r="H115" s="88"/>
    </row>
    <row r="116" spans="7:8">
      <c r="G116" s="88" t="s">
        <v>103</v>
      </c>
    </row>
  </sheetData>
  <dataConsolidate link="1"/>
  <mergeCells count="6">
    <mergeCell ref="E83:E84"/>
    <mergeCell ref="A15:F15"/>
    <mergeCell ref="A16:F16"/>
    <mergeCell ref="E75:E77"/>
    <mergeCell ref="E78:E80"/>
    <mergeCell ref="E81:E82"/>
  </mergeCells>
  <conditionalFormatting sqref="H6 J6 B6 B8 B4 H4 H2">
    <cfRule type="cellIs" dxfId="157" priority="14" stopIfTrue="1" operator="equal">
      <formula>0</formula>
    </cfRule>
  </conditionalFormatting>
  <conditionalFormatting sqref="B6">
    <cfRule type="cellIs" dxfId="156" priority="13" stopIfTrue="1" operator="equal">
      <formula>0</formula>
    </cfRule>
  </conditionalFormatting>
  <conditionalFormatting sqref="H6 J6 H4">
    <cfRule type="cellIs" dxfId="155" priority="12" stopIfTrue="1" operator="equal">
      <formula>0</formula>
    </cfRule>
  </conditionalFormatting>
  <conditionalFormatting sqref="J48">
    <cfRule type="cellIs" dxfId="154" priority="10" stopIfTrue="1" operator="greaterThan">
      <formula>1</formula>
    </cfRule>
    <cfRule type="cellIs" dxfId="153" priority="11" stopIfTrue="1" operator="lessThanOrEqual">
      <formula>1</formula>
    </cfRule>
  </conditionalFormatting>
  <conditionalFormatting sqref="J62">
    <cfRule type="cellIs" dxfId="152" priority="8" stopIfTrue="1" operator="lessThan">
      <formula>1</formula>
    </cfRule>
    <cfRule type="cellIs" dxfId="151" priority="9" stopIfTrue="1" operator="greaterThanOrEqual">
      <formula>1</formula>
    </cfRule>
  </conditionalFormatting>
  <conditionalFormatting sqref="K48 K62">
    <cfRule type="cellIs" dxfId="150" priority="6" stopIfTrue="1" operator="equal">
      <formula>"FAIL"</formula>
    </cfRule>
    <cfRule type="cellIs" dxfId="149" priority="7" stopIfTrue="1" operator="equal">
      <formula>"Pass"</formula>
    </cfRule>
  </conditionalFormatting>
  <conditionalFormatting sqref="F52">
    <cfRule type="cellIs" dxfId="148" priority="5" stopIfTrue="1" operator="equal">
      <formula>"Link spacing satisfies limit set by EN1992-1-1 cl 9.5.3(3)"</formula>
    </cfRule>
  </conditionalFormatting>
  <conditionalFormatting sqref="K55">
    <cfRule type="cellIs" dxfId="147" priority="3" stopIfTrue="1" operator="equal">
      <formula>"FAIL"</formula>
    </cfRule>
    <cfRule type="cellIs" dxfId="146" priority="4" stopIfTrue="1" operator="equal">
      <formula>"Pass"</formula>
    </cfRule>
  </conditionalFormatting>
  <conditionalFormatting sqref="J55">
    <cfRule type="cellIs" dxfId="145" priority="1" stopIfTrue="1" operator="greaterThan">
      <formula>1</formula>
    </cfRule>
    <cfRule type="cellIs" dxfId="144" priority="2" stopIfTrue="1" operator="lessThanOrEqual">
      <formula>1</formula>
    </cfRule>
  </conditionalFormatting>
  <dataValidations count="10">
    <dataValidation allowBlank="1" showInputMessage="1" showErrorMessage="1" promptTitle="v1" prompt="To UK NA, v1 = v.(1 - cos.alpha):_x000a__x000a_For discreet links, alpha = 90deg --&gt; v1 = v_x000a__x000a_For helical links, we assume alpha &gt; 90deg (unfavourable condition for Vrd,s). It is therefore conservative to take v1 = v" sqref="C32 IY32 SU32 ACQ32 AMM32 AWI32 BGE32 BQA32 BZW32 CJS32 CTO32 DDK32 DNG32 DXC32 EGY32 EQU32 FAQ32 FKM32 FUI32 GEE32 GOA32 GXW32 HHS32 HRO32 IBK32 ILG32 IVC32 JEY32 JOU32 JYQ32 KIM32 KSI32 LCE32 LMA32 LVW32 MFS32 MPO32 MZK32 NJG32 NTC32 OCY32 OMU32 OWQ32 PGM32 PQI32 QAE32 QKA32 QTW32 RDS32 RNO32 RXK32 SHG32 SRC32 TAY32 TKU32 TUQ32 UEM32 UOI32 UYE32 VIA32 VRW32 WBS32 WLO32 WVK32 C65573 IY65573 SU65573 ACQ65573 AMM65573 AWI65573 BGE65573 BQA65573 BZW65573 CJS65573 CTO65573 DDK65573 DNG65573 DXC65573 EGY65573 EQU65573 FAQ65573 FKM65573 FUI65573 GEE65573 GOA65573 GXW65573 HHS65573 HRO65573 IBK65573 ILG65573 IVC65573 JEY65573 JOU65573 JYQ65573 KIM65573 KSI65573 LCE65573 LMA65573 LVW65573 MFS65573 MPO65573 MZK65573 NJG65573 NTC65573 OCY65573 OMU65573 OWQ65573 PGM65573 PQI65573 QAE65573 QKA65573 QTW65573 RDS65573 RNO65573 RXK65573 SHG65573 SRC65573 TAY65573 TKU65573 TUQ65573 UEM65573 UOI65573 UYE65573 VIA65573 VRW65573 WBS65573 WLO65573 WVK65573 C131109 IY131109 SU131109 ACQ131109 AMM131109 AWI131109 BGE131109 BQA131109 BZW131109 CJS131109 CTO131109 DDK131109 DNG131109 DXC131109 EGY131109 EQU131109 FAQ131109 FKM131109 FUI131109 GEE131109 GOA131109 GXW131109 HHS131109 HRO131109 IBK131109 ILG131109 IVC131109 JEY131109 JOU131109 JYQ131109 KIM131109 KSI131109 LCE131109 LMA131109 LVW131109 MFS131109 MPO131109 MZK131109 NJG131109 NTC131109 OCY131109 OMU131109 OWQ131109 PGM131109 PQI131109 QAE131109 QKA131109 QTW131109 RDS131109 RNO131109 RXK131109 SHG131109 SRC131109 TAY131109 TKU131109 TUQ131109 UEM131109 UOI131109 UYE131109 VIA131109 VRW131109 WBS131109 WLO131109 WVK131109 C196645 IY196645 SU196645 ACQ196645 AMM196645 AWI196645 BGE196645 BQA196645 BZW196645 CJS196645 CTO196645 DDK196645 DNG196645 DXC196645 EGY196645 EQU196645 FAQ196645 FKM196645 FUI196645 GEE196645 GOA196645 GXW196645 HHS196645 HRO196645 IBK196645 ILG196645 IVC196645 JEY196645 JOU196645 JYQ196645 KIM196645 KSI196645 LCE196645 LMA196645 LVW196645 MFS196645 MPO196645 MZK196645 NJG196645 NTC196645 OCY196645 OMU196645 OWQ196645 PGM196645 PQI196645 QAE196645 QKA196645 QTW196645 RDS196645 RNO196645 RXK196645 SHG196645 SRC196645 TAY196645 TKU196645 TUQ196645 UEM196645 UOI196645 UYE196645 VIA196645 VRW196645 WBS196645 WLO196645 WVK196645 C262181 IY262181 SU262181 ACQ262181 AMM262181 AWI262181 BGE262181 BQA262181 BZW262181 CJS262181 CTO262181 DDK262181 DNG262181 DXC262181 EGY262181 EQU262181 FAQ262181 FKM262181 FUI262181 GEE262181 GOA262181 GXW262181 HHS262181 HRO262181 IBK262181 ILG262181 IVC262181 JEY262181 JOU262181 JYQ262181 KIM262181 KSI262181 LCE262181 LMA262181 LVW262181 MFS262181 MPO262181 MZK262181 NJG262181 NTC262181 OCY262181 OMU262181 OWQ262181 PGM262181 PQI262181 QAE262181 QKA262181 QTW262181 RDS262181 RNO262181 RXK262181 SHG262181 SRC262181 TAY262181 TKU262181 TUQ262181 UEM262181 UOI262181 UYE262181 VIA262181 VRW262181 WBS262181 WLO262181 WVK262181 C327717 IY327717 SU327717 ACQ327717 AMM327717 AWI327717 BGE327717 BQA327717 BZW327717 CJS327717 CTO327717 DDK327717 DNG327717 DXC327717 EGY327717 EQU327717 FAQ327717 FKM327717 FUI327717 GEE327717 GOA327717 GXW327717 HHS327717 HRO327717 IBK327717 ILG327717 IVC327717 JEY327717 JOU327717 JYQ327717 KIM327717 KSI327717 LCE327717 LMA327717 LVW327717 MFS327717 MPO327717 MZK327717 NJG327717 NTC327717 OCY327717 OMU327717 OWQ327717 PGM327717 PQI327717 QAE327717 QKA327717 QTW327717 RDS327717 RNO327717 RXK327717 SHG327717 SRC327717 TAY327717 TKU327717 TUQ327717 UEM327717 UOI327717 UYE327717 VIA327717 VRW327717 WBS327717 WLO327717 WVK327717 C393253 IY393253 SU393253 ACQ393253 AMM393253 AWI393253 BGE393253 BQA393253 BZW393253 CJS393253 CTO393253 DDK393253 DNG393253 DXC393253 EGY393253 EQU393253 FAQ393253 FKM393253 FUI393253 GEE393253 GOA393253 GXW393253 HHS393253 HRO393253 IBK393253 ILG393253 IVC393253 JEY393253 JOU393253 JYQ393253 KIM393253 KSI393253 LCE393253 LMA393253 LVW393253 MFS393253 MPO393253 MZK393253 NJG393253 NTC393253 OCY393253 OMU393253 OWQ393253 PGM393253 PQI393253 QAE393253 QKA393253 QTW393253 RDS393253 RNO393253 RXK393253 SHG393253 SRC393253 TAY393253 TKU393253 TUQ393253 UEM393253 UOI393253 UYE393253 VIA393253 VRW393253 WBS393253 WLO393253 WVK393253 C458789 IY458789 SU458789 ACQ458789 AMM458789 AWI458789 BGE458789 BQA458789 BZW458789 CJS458789 CTO458789 DDK458789 DNG458789 DXC458789 EGY458789 EQU458789 FAQ458789 FKM458789 FUI458789 GEE458789 GOA458789 GXW458789 HHS458789 HRO458789 IBK458789 ILG458789 IVC458789 JEY458789 JOU458789 JYQ458789 KIM458789 KSI458789 LCE458789 LMA458789 LVW458789 MFS458789 MPO458789 MZK458789 NJG458789 NTC458789 OCY458789 OMU458789 OWQ458789 PGM458789 PQI458789 QAE458789 QKA458789 QTW458789 RDS458789 RNO458789 RXK458789 SHG458789 SRC458789 TAY458789 TKU458789 TUQ458789 UEM458789 UOI458789 UYE458789 VIA458789 VRW458789 WBS458789 WLO458789 WVK458789 C524325 IY524325 SU524325 ACQ524325 AMM524325 AWI524325 BGE524325 BQA524325 BZW524325 CJS524325 CTO524325 DDK524325 DNG524325 DXC524325 EGY524325 EQU524325 FAQ524325 FKM524325 FUI524325 GEE524325 GOA524325 GXW524325 HHS524325 HRO524325 IBK524325 ILG524325 IVC524325 JEY524325 JOU524325 JYQ524325 KIM524325 KSI524325 LCE524325 LMA524325 LVW524325 MFS524325 MPO524325 MZK524325 NJG524325 NTC524325 OCY524325 OMU524325 OWQ524325 PGM524325 PQI524325 QAE524325 QKA524325 QTW524325 RDS524325 RNO524325 RXK524325 SHG524325 SRC524325 TAY524325 TKU524325 TUQ524325 UEM524325 UOI524325 UYE524325 VIA524325 VRW524325 WBS524325 WLO524325 WVK524325 C589861 IY589861 SU589861 ACQ589861 AMM589861 AWI589861 BGE589861 BQA589861 BZW589861 CJS589861 CTO589861 DDK589861 DNG589861 DXC589861 EGY589861 EQU589861 FAQ589861 FKM589861 FUI589861 GEE589861 GOA589861 GXW589861 HHS589861 HRO589861 IBK589861 ILG589861 IVC589861 JEY589861 JOU589861 JYQ589861 KIM589861 KSI589861 LCE589861 LMA589861 LVW589861 MFS589861 MPO589861 MZK589861 NJG589861 NTC589861 OCY589861 OMU589861 OWQ589861 PGM589861 PQI589861 QAE589861 QKA589861 QTW589861 RDS589861 RNO589861 RXK589861 SHG589861 SRC589861 TAY589861 TKU589861 TUQ589861 UEM589861 UOI589861 UYE589861 VIA589861 VRW589861 WBS589861 WLO589861 WVK589861 C655397 IY655397 SU655397 ACQ655397 AMM655397 AWI655397 BGE655397 BQA655397 BZW655397 CJS655397 CTO655397 DDK655397 DNG655397 DXC655397 EGY655397 EQU655397 FAQ655397 FKM655397 FUI655397 GEE655397 GOA655397 GXW655397 HHS655397 HRO655397 IBK655397 ILG655397 IVC655397 JEY655397 JOU655397 JYQ655397 KIM655397 KSI655397 LCE655397 LMA655397 LVW655397 MFS655397 MPO655397 MZK655397 NJG655397 NTC655397 OCY655397 OMU655397 OWQ655397 PGM655397 PQI655397 QAE655397 QKA655397 QTW655397 RDS655397 RNO655397 RXK655397 SHG655397 SRC655397 TAY655397 TKU655397 TUQ655397 UEM655397 UOI655397 UYE655397 VIA655397 VRW655397 WBS655397 WLO655397 WVK655397 C720933 IY720933 SU720933 ACQ720933 AMM720933 AWI720933 BGE720933 BQA720933 BZW720933 CJS720933 CTO720933 DDK720933 DNG720933 DXC720933 EGY720933 EQU720933 FAQ720933 FKM720933 FUI720933 GEE720933 GOA720933 GXW720933 HHS720933 HRO720933 IBK720933 ILG720933 IVC720933 JEY720933 JOU720933 JYQ720933 KIM720933 KSI720933 LCE720933 LMA720933 LVW720933 MFS720933 MPO720933 MZK720933 NJG720933 NTC720933 OCY720933 OMU720933 OWQ720933 PGM720933 PQI720933 QAE720933 QKA720933 QTW720933 RDS720933 RNO720933 RXK720933 SHG720933 SRC720933 TAY720933 TKU720933 TUQ720933 UEM720933 UOI720933 UYE720933 VIA720933 VRW720933 WBS720933 WLO720933 WVK720933 C786469 IY786469 SU786469 ACQ786469 AMM786469 AWI786469 BGE786469 BQA786469 BZW786469 CJS786469 CTO786469 DDK786469 DNG786469 DXC786469 EGY786469 EQU786469 FAQ786469 FKM786469 FUI786469 GEE786469 GOA786469 GXW786469 HHS786469 HRO786469 IBK786469 ILG786469 IVC786469 JEY786469 JOU786469 JYQ786469 KIM786469 KSI786469 LCE786469 LMA786469 LVW786469 MFS786469 MPO786469 MZK786469 NJG786469 NTC786469 OCY786469 OMU786469 OWQ786469 PGM786469 PQI786469 QAE786469 QKA786469 QTW786469 RDS786469 RNO786469 RXK786469 SHG786469 SRC786469 TAY786469 TKU786469 TUQ786469 UEM786469 UOI786469 UYE786469 VIA786469 VRW786469 WBS786469 WLO786469 WVK786469 C852005 IY852005 SU852005 ACQ852005 AMM852005 AWI852005 BGE852005 BQA852005 BZW852005 CJS852005 CTO852005 DDK852005 DNG852005 DXC852005 EGY852005 EQU852005 FAQ852005 FKM852005 FUI852005 GEE852005 GOA852005 GXW852005 HHS852005 HRO852005 IBK852005 ILG852005 IVC852005 JEY852005 JOU852005 JYQ852005 KIM852005 KSI852005 LCE852005 LMA852005 LVW852005 MFS852005 MPO852005 MZK852005 NJG852005 NTC852005 OCY852005 OMU852005 OWQ852005 PGM852005 PQI852005 QAE852005 QKA852005 QTW852005 RDS852005 RNO852005 RXK852005 SHG852005 SRC852005 TAY852005 TKU852005 TUQ852005 UEM852005 UOI852005 UYE852005 VIA852005 VRW852005 WBS852005 WLO852005 WVK852005 C917541 IY917541 SU917541 ACQ917541 AMM917541 AWI917541 BGE917541 BQA917541 BZW917541 CJS917541 CTO917541 DDK917541 DNG917541 DXC917541 EGY917541 EQU917541 FAQ917541 FKM917541 FUI917541 GEE917541 GOA917541 GXW917541 HHS917541 HRO917541 IBK917541 ILG917541 IVC917541 JEY917541 JOU917541 JYQ917541 KIM917541 KSI917541 LCE917541 LMA917541 LVW917541 MFS917541 MPO917541 MZK917541 NJG917541 NTC917541 OCY917541 OMU917541 OWQ917541 PGM917541 PQI917541 QAE917541 QKA917541 QTW917541 RDS917541 RNO917541 RXK917541 SHG917541 SRC917541 TAY917541 TKU917541 TUQ917541 UEM917541 UOI917541 UYE917541 VIA917541 VRW917541 WBS917541 WLO917541 WVK917541 C983077 IY983077 SU983077 ACQ983077 AMM983077 AWI983077 BGE983077 BQA983077 BZW983077 CJS983077 CTO983077 DDK983077 DNG983077 DXC983077 EGY983077 EQU983077 FAQ983077 FKM983077 FUI983077 GEE983077 GOA983077 GXW983077 HHS983077 HRO983077 IBK983077 ILG983077 IVC983077 JEY983077 JOU983077 JYQ983077 KIM983077 KSI983077 LCE983077 LMA983077 LVW983077 MFS983077 MPO983077 MZK983077 NJG983077 NTC983077 OCY983077 OMU983077 OWQ983077 PGM983077 PQI983077 QAE983077 QKA983077 QTW983077 RDS983077 RNO983077 RXK983077 SHG983077 SRC983077 TAY983077 TKU983077 TUQ983077 UEM983077 UOI983077 UYE983077 VIA983077 VRW983077 WBS983077 WLO983077 WVK983077" xr:uid="{DB7B3DD6-6276-4E40-A711-C9D96781F3E3}"/>
    <dataValidation allowBlank="1" showInputMessage="1" showErrorMessage="1" promptTitle="Vrd,max" prompt="This is the maximum Vrd,max (applicable when cot.theta = 1.0)._x000a_It gives an upper bound on Vrd." sqref="J52 JF45:JF46 TB45:TB46 ACX45:ACX46 AMT45:AMT46 AWP45:AWP46 BGL45:BGL46 BQH45:BQH46 CAD45:CAD46 CJZ45:CJZ46 CTV45:CTV46 DDR45:DDR46 DNN45:DNN46 DXJ45:DXJ46 EHF45:EHF46 ERB45:ERB46 FAX45:FAX46 FKT45:FKT46 FUP45:FUP46 GEL45:GEL46 GOH45:GOH46 GYD45:GYD46 HHZ45:HHZ46 HRV45:HRV46 IBR45:IBR46 ILN45:ILN46 IVJ45:IVJ46 JFF45:JFF46 JPB45:JPB46 JYX45:JYX46 KIT45:KIT46 KSP45:KSP46 LCL45:LCL46 LMH45:LMH46 LWD45:LWD46 MFZ45:MFZ46 MPV45:MPV46 MZR45:MZR46 NJN45:NJN46 NTJ45:NTJ46 ODF45:ODF46 ONB45:ONB46 OWX45:OWX46 PGT45:PGT46 PQP45:PQP46 QAL45:QAL46 QKH45:QKH46 QUD45:QUD46 RDZ45:RDZ46 RNV45:RNV46 RXR45:RXR46 SHN45:SHN46 SRJ45:SRJ46 TBF45:TBF46 TLB45:TLB46 TUX45:TUX46 UET45:UET46 UOP45:UOP46 UYL45:UYL46 VIH45:VIH46 VSD45:VSD46 WBZ45:WBZ46 WLV45:WLV46 WVR45:WVR46 J65586 JF65586 TB65586 ACX65586 AMT65586 AWP65586 BGL65586 BQH65586 CAD65586 CJZ65586 CTV65586 DDR65586 DNN65586 DXJ65586 EHF65586 ERB65586 FAX65586 FKT65586 FUP65586 GEL65586 GOH65586 GYD65586 HHZ65586 HRV65586 IBR65586 ILN65586 IVJ65586 JFF65586 JPB65586 JYX65586 KIT65586 KSP65586 LCL65586 LMH65586 LWD65586 MFZ65586 MPV65586 MZR65586 NJN65586 NTJ65586 ODF65586 ONB65586 OWX65586 PGT65586 PQP65586 QAL65586 QKH65586 QUD65586 RDZ65586 RNV65586 RXR65586 SHN65586 SRJ65586 TBF65586 TLB65586 TUX65586 UET65586 UOP65586 UYL65586 VIH65586 VSD65586 WBZ65586 WLV65586 WVR65586 J131122 JF131122 TB131122 ACX131122 AMT131122 AWP131122 BGL131122 BQH131122 CAD131122 CJZ131122 CTV131122 DDR131122 DNN131122 DXJ131122 EHF131122 ERB131122 FAX131122 FKT131122 FUP131122 GEL131122 GOH131122 GYD131122 HHZ131122 HRV131122 IBR131122 ILN131122 IVJ131122 JFF131122 JPB131122 JYX131122 KIT131122 KSP131122 LCL131122 LMH131122 LWD131122 MFZ131122 MPV131122 MZR131122 NJN131122 NTJ131122 ODF131122 ONB131122 OWX131122 PGT131122 PQP131122 QAL131122 QKH131122 QUD131122 RDZ131122 RNV131122 RXR131122 SHN131122 SRJ131122 TBF131122 TLB131122 TUX131122 UET131122 UOP131122 UYL131122 VIH131122 VSD131122 WBZ131122 WLV131122 WVR131122 J196658 JF196658 TB196658 ACX196658 AMT196658 AWP196658 BGL196658 BQH196658 CAD196658 CJZ196658 CTV196658 DDR196658 DNN196658 DXJ196658 EHF196658 ERB196658 FAX196658 FKT196658 FUP196658 GEL196658 GOH196658 GYD196658 HHZ196658 HRV196658 IBR196658 ILN196658 IVJ196658 JFF196658 JPB196658 JYX196658 KIT196658 KSP196658 LCL196658 LMH196658 LWD196658 MFZ196658 MPV196658 MZR196658 NJN196658 NTJ196658 ODF196658 ONB196658 OWX196658 PGT196658 PQP196658 QAL196658 QKH196658 QUD196658 RDZ196658 RNV196658 RXR196658 SHN196658 SRJ196658 TBF196658 TLB196658 TUX196658 UET196658 UOP196658 UYL196658 VIH196658 VSD196658 WBZ196658 WLV196658 WVR196658 J262194 JF262194 TB262194 ACX262194 AMT262194 AWP262194 BGL262194 BQH262194 CAD262194 CJZ262194 CTV262194 DDR262194 DNN262194 DXJ262194 EHF262194 ERB262194 FAX262194 FKT262194 FUP262194 GEL262194 GOH262194 GYD262194 HHZ262194 HRV262194 IBR262194 ILN262194 IVJ262194 JFF262194 JPB262194 JYX262194 KIT262194 KSP262194 LCL262194 LMH262194 LWD262194 MFZ262194 MPV262194 MZR262194 NJN262194 NTJ262194 ODF262194 ONB262194 OWX262194 PGT262194 PQP262194 QAL262194 QKH262194 QUD262194 RDZ262194 RNV262194 RXR262194 SHN262194 SRJ262194 TBF262194 TLB262194 TUX262194 UET262194 UOP262194 UYL262194 VIH262194 VSD262194 WBZ262194 WLV262194 WVR262194 J327730 JF327730 TB327730 ACX327730 AMT327730 AWP327730 BGL327730 BQH327730 CAD327730 CJZ327730 CTV327730 DDR327730 DNN327730 DXJ327730 EHF327730 ERB327730 FAX327730 FKT327730 FUP327730 GEL327730 GOH327730 GYD327730 HHZ327730 HRV327730 IBR327730 ILN327730 IVJ327730 JFF327730 JPB327730 JYX327730 KIT327730 KSP327730 LCL327730 LMH327730 LWD327730 MFZ327730 MPV327730 MZR327730 NJN327730 NTJ327730 ODF327730 ONB327730 OWX327730 PGT327730 PQP327730 QAL327730 QKH327730 QUD327730 RDZ327730 RNV327730 RXR327730 SHN327730 SRJ327730 TBF327730 TLB327730 TUX327730 UET327730 UOP327730 UYL327730 VIH327730 VSD327730 WBZ327730 WLV327730 WVR327730 J393266 JF393266 TB393266 ACX393266 AMT393266 AWP393266 BGL393266 BQH393266 CAD393266 CJZ393266 CTV393266 DDR393266 DNN393266 DXJ393266 EHF393266 ERB393266 FAX393266 FKT393266 FUP393266 GEL393266 GOH393266 GYD393266 HHZ393266 HRV393266 IBR393266 ILN393266 IVJ393266 JFF393266 JPB393266 JYX393266 KIT393266 KSP393266 LCL393266 LMH393266 LWD393266 MFZ393266 MPV393266 MZR393266 NJN393266 NTJ393266 ODF393266 ONB393266 OWX393266 PGT393266 PQP393266 QAL393266 QKH393266 QUD393266 RDZ393266 RNV393266 RXR393266 SHN393266 SRJ393266 TBF393266 TLB393266 TUX393266 UET393266 UOP393266 UYL393266 VIH393266 VSD393266 WBZ393266 WLV393266 WVR393266 J458802 JF458802 TB458802 ACX458802 AMT458802 AWP458802 BGL458802 BQH458802 CAD458802 CJZ458802 CTV458802 DDR458802 DNN458802 DXJ458802 EHF458802 ERB458802 FAX458802 FKT458802 FUP458802 GEL458802 GOH458802 GYD458802 HHZ458802 HRV458802 IBR458802 ILN458802 IVJ458802 JFF458802 JPB458802 JYX458802 KIT458802 KSP458802 LCL458802 LMH458802 LWD458802 MFZ458802 MPV458802 MZR458802 NJN458802 NTJ458802 ODF458802 ONB458802 OWX458802 PGT458802 PQP458802 QAL458802 QKH458802 QUD458802 RDZ458802 RNV458802 RXR458802 SHN458802 SRJ458802 TBF458802 TLB458802 TUX458802 UET458802 UOP458802 UYL458802 VIH458802 VSD458802 WBZ458802 WLV458802 WVR458802 J524338 JF524338 TB524338 ACX524338 AMT524338 AWP524338 BGL524338 BQH524338 CAD524338 CJZ524338 CTV524338 DDR524338 DNN524338 DXJ524338 EHF524338 ERB524338 FAX524338 FKT524338 FUP524338 GEL524338 GOH524338 GYD524338 HHZ524338 HRV524338 IBR524338 ILN524338 IVJ524338 JFF524338 JPB524338 JYX524338 KIT524338 KSP524338 LCL524338 LMH524338 LWD524338 MFZ524338 MPV524338 MZR524338 NJN524338 NTJ524338 ODF524338 ONB524338 OWX524338 PGT524338 PQP524338 QAL524338 QKH524338 QUD524338 RDZ524338 RNV524338 RXR524338 SHN524338 SRJ524338 TBF524338 TLB524338 TUX524338 UET524338 UOP524338 UYL524338 VIH524338 VSD524338 WBZ524338 WLV524338 WVR524338 J589874 JF589874 TB589874 ACX589874 AMT589874 AWP589874 BGL589874 BQH589874 CAD589874 CJZ589874 CTV589874 DDR589874 DNN589874 DXJ589874 EHF589874 ERB589874 FAX589874 FKT589874 FUP589874 GEL589874 GOH589874 GYD589874 HHZ589874 HRV589874 IBR589874 ILN589874 IVJ589874 JFF589874 JPB589874 JYX589874 KIT589874 KSP589874 LCL589874 LMH589874 LWD589874 MFZ589874 MPV589874 MZR589874 NJN589874 NTJ589874 ODF589874 ONB589874 OWX589874 PGT589874 PQP589874 QAL589874 QKH589874 QUD589874 RDZ589874 RNV589874 RXR589874 SHN589874 SRJ589874 TBF589874 TLB589874 TUX589874 UET589874 UOP589874 UYL589874 VIH589874 VSD589874 WBZ589874 WLV589874 WVR589874 J655410 JF655410 TB655410 ACX655410 AMT655410 AWP655410 BGL655410 BQH655410 CAD655410 CJZ655410 CTV655410 DDR655410 DNN655410 DXJ655410 EHF655410 ERB655410 FAX655410 FKT655410 FUP655410 GEL655410 GOH655410 GYD655410 HHZ655410 HRV655410 IBR655410 ILN655410 IVJ655410 JFF655410 JPB655410 JYX655410 KIT655410 KSP655410 LCL655410 LMH655410 LWD655410 MFZ655410 MPV655410 MZR655410 NJN655410 NTJ655410 ODF655410 ONB655410 OWX655410 PGT655410 PQP655410 QAL655410 QKH655410 QUD655410 RDZ655410 RNV655410 RXR655410 SHN655410 SRJ655410 TBF655410 TLB655410 TUX655410 UET655410 UOP655410 UYL655410 VIH655410 VSD655410 WBZ655410 WLV655410 WVR655410 J720946 JF720946 TB720946 ACX720946 AMT720946 AWP720946 BGL720946 BQH720946 CAD720946 CJZ720946 CTV720946 DDR720946 DNN720946 DXJ720946 EHF720946 ERB720946 FAX720946 FKT720946 FUP720946 GEL720946 GOH720946 GYD720946 HHZ720946 HRV720946 IBR720946 ILN720946 IVJ720946 JFF720946 JPB720946 JYX720946 KIT720946 KSP720946 LCL720946 LMH720946 LWD720946 MFZ720946 MPV720946 MZR720946 NJN720946 NTJ720946 ODF720946 ONB720946 OWX720946 PGT720946 PQP720946 QAL720946 QKH720946 QUD720946 RDZ720946 RNV720946 RXR720946 SHN720946 SRJ720946 TBF720946 TLB720946 TUX720946 UET720946 UOP720946 UYL720946 VIH720946 VSD720946 WBZ720946 WLV720946 WVR720946 J786482 JF786482 TB786482 ACX786482 AMT786482 AWP786482 BGL786482 BQH786482 CAD786482 CJZ786482 CTV786482 DDR786482 DNN786482 DXJ786482 EHF786482 ERB786482 FAX786482 FKT786482 FUP786482 GEL786482 GOH786482 GYD786482 HHZ786482 HRV786482 IBR786482 ILN786482 IVJ786482 JFF786482 JPB786482 JYX786482 KIT786482 KSP786482 LCL786482 LMH786482 LWD786482 MFZ786482 MPV786482 MZR786482 NJN786482 NTJ786482 ODF786482 ONB786482 OWX786482 PGT786482 PQP786482 QAL786482 QKH786482 QUD786482 RDZ786482 RNV786482 RXR786482 SHN786482 SRJ786482 TBF786482 TLB786482 TUX786482 UET786482 UOP786482 UYL786482 VIH786482 VSD786482 WBZ786482 WLV786482 WVR786482 J852018 JF852018 TB852018 ACX852018 AMT852018 AWP852018 BGL852018 BQH852018 CAD852018 CJZ852018 CTV852018 DDR852018 DNN852018 DXJ852018 EHF852018 ERB852018 FAX852018 FKT852018 FUP852018 GEL852018 GOH852018 GYD852018 HHZ852018 HRV852018 IBR852018 ILN852018 IVJ852018 JFF852018 JPB852018 JYX852018 KIT852018 KSP852018 LCL852018 LMH852018 LWD852018 MFZ852018 MPV852018 MZR852018 NJN852018 NTJ852018 ODF852018 ONB852018 OWX852018 PGT852018 PQP852018 QAL852018 QKH852018 QUD852018 RDZ852018 RNV852018 RXR852018 SHN852018 SRJ852018 TBF852018 TLB852018 TUX852018 UET852018 UOP852018 UYL852018 VIH852018 VSD852018 WBZ852018 WLV852018 WVR852018 J917554 JF917554 TB917554 ACX917554 AMT917554 AWP917554 BGL917554 BQH917554 CAD917554 CJZ917554 CTV917554 DDR917554 DNN917554 DXJ917554 EHF917554 ERB917554 FAX917554 FKT917554 FUP917554 GEL917554 GOH917554 GYD917554 HHZ917554 HRV917554 IBR917554 ILN917554 IVJ917554 JFF917554 JPB917554 JYX917554 KIT917554 KSP917554 LCL917554 LMH917554 LWD917554 MFZ917554 MPV917554 MZR917554 NJN917554 NTJ917554 ODF917554 ONB917554 OWX917554 PGT917554 PQP917554 QAL917554 QKH917554 QUD917554 RDZ917554 RNV917554 RXR917554 SHN917554 SRJ917554 TBF917554 TLB917554 TUX917554 UET917554 UOP917554 UYL917554 VIH917554 VSD917554 WBZ917554 WLV917554 WVR917554 J983090 JF983090 TB983090 ACX983090 AMT983090 AWP983090 BGL983090 BQH983090 CAD983090 CJZ983090 CTV983090 DDR983090 DNN983090 DXJ983090 EHF983090 ERB983090 FAX983090 FKT983090 FUP983090 GEL983090 GOH983090 GYD983090 HHZ983090 HRV983090 IBR983090 ILN983090 IVJ983090 JFF983090 JPB983090 JYX983090 KIT983090 KSP983090 LCL983090 LMH983090 LWD983090 MFZ983090 MPV983090 MZR983090 NJN983090 NTJ983090 ODF983090 ONB983090 OWX983090 PGT983090 PQP983090 QAL983090 QKH983090 QUD983090 RDZ983090 RNV983090 RXR983090 SHN983090 SRJ983090 TBF983090 TLB983090 TUX983090 UET983090 UOP983090 UYL983090 VIH983090 VSD983090 WBZ983090 WLV983090 WVR983090 J45" xr:uid="{7E00290C-B17A-42B5-9EF4-B45545AC8D10}"/>
    <dataValidation allowBlank="1" showInputMessage="1" showErrorMessage="1" promptTitle="Vrd,s" prompt="This is the minimum Vrd,s (applicable when cot.theta = 1.0)._x000a_It gives a lower bound on Vrd." sqref="J44 JF44 TB44 ACX44 AMT44 AWP44 BGL44 BQH44 CAD44 CJZ44 CTV44 DDR44 DNN44 DXJ44 EHF44 ERB44 FAX44 FKT44 FUP44 GEL44 GOH44 GYD44 HHZ44 HRV44 IBR44 ILN44 IVJ44 JFF44 JPB44 JYX44 KIT44 KSP44 LCL44 LMH44 LWD44 MFZ44 MPV44 MZR44 NJN44 NTJ44 ODF44 ONB44 OWX44 PGT44 PQP44 QAL44 QKH44 QUD44 RDZ44 RNV44 RXR44 SHN44 SRJ44 TBF44 TLB44 TUX44 UET44 UOP44 UYL44 VIH44 VSD44 WBZ44 WLV44 WVR44 J65585 JF65585 TB65585 ACX65585 AMT65585 AWP65585 BGL65585 BQH65585 CAD65585 CJZ65585 CTV65585 DDR65585 DNN65585 DXJ65585 EHF65585 ERB65585 FAX65585 FKT65585 FUP65585 GEL65585 GOH65585 GYD65585 HHZ65585 HRV65585 IBR65585 ILN65585 IVJ65585 JFF65585 JPB65585 JYX65585 KIT65585 KSP65585 LCL65585 LMH65585 LWD65585 MFZ65585 MPV65585 MZR65585 NJN65585 NTJ65585 ODF65585 ONB65585 OWX65585 PGT65585 PQP65585 QAL65585 QKH65585 QUD65585 RDZ65585 RNV65585 RXR65585 SHN65585 SRJ65585 TBF65585 TLB65585 TUX65585 UET65585 UOP65585 UYL65585 VIH65585 VSD65585 WBZ65585 WLV65585 WVR65585 J131121 JF131121 TB131121 ACX131121 AMT131121 AWP131121 BGL131121 BQH131121 CAD131121 CJZ131121 CTV131121 DDR131121 DNN131121 DXJ131121 EHF131121 ERB131121 FAX131121 FKT131121 FUP131121 GEL131121 GOH131121 GYD131121 HHZ131121 HRV131121 IBR131121 ILN131121 IVJ131121 JFF131121 JPB131121 JYX131121 KIT131121 KSP131121 LCL131121 LMH131121 LWD131121 MFZ131121 MPV131121 MZR131121 NJN131121 NTJ131121 ODF131121 ONB131121 OWX131121 PGT131121 PQP131121 QAL131121 QKH131121 QUD131121 RDZ131121 RNV131121 RXR131121 SHN131121 SRJ131121 TBF131121 TLB131121 TUX131121 UET131121 UOP131121 UYL131121 VIH131121 VSD131121 WBZ131121 WLV131121 WVR131121 J196657 JF196657 TB196657 ACX196657 AMT196657 AWP196657 BGL196657 BQH196657 CAD196657 CJZ196657 CTV196657 DDR196657 DNN196657 DXJ196657 EHF196657 ERB196657 FAX196657 FKT196657 FUP196657 GEL196657 GOH196657 GYD196657 HHZ196657 HRV196657 IBR196657 ILN196657 IVJ196657 JFF196657 JPB196657 JYX196657 KIT196657 KSP196657 LCL196657 LMH196657 LWD196657 MFZ196657 MPV196657 MZR196657 NJN196657 NTJ196657 ODF196657 ONB196657 OWX196657 PGT196657 PQP196657 QAL196657 QKH196657 QUD196657 RDZ196657 RNV196657 RXR196657 SHN196657 SRJ196657 TBF196657 TLB196657 TUX196657 UET196657 UOP196657 UYL196657 VIH196657 VSD196657 WBZ196657 WLV196657 WVR196657 J262193 JF262193 TB262193 ACX262193 AMT262193 AWP262193 BGL262193 BQH262193 CAD262193 CJZ262193 CTV262193 DDR262193 DNN262193 DXJ262193 EHF262193 ERB262193 FAX262193 FKT262193 FUP262193 GEL262193 GOH262193 GYD262193 HHZ262193 HRV262193 IBR262193 ILN262193 IVJ262193 JFF262193 JPB262193 JYX262193 KIT262193 KSP262193 LCL262193 LMH262193 LWD262193 MFZ262193 MPV262193 MZR262193 NJN262193 NTJ262193 ODF262193 ONB262193 OWX262193 PGT262193 PQP262193 QAL262193 QKH262193 QUD262193 RDZ262193 RNV262193 RXR262193 SHN262193 SRJ262193 TBF262193 TLB262193 TUX262193 UET262193 UOP262193 UYL262193 VIH262193 VSD262193 WBZ262193 WLV262193 WVR262193 J327729 JF327729 TB327729 ACX327729 AMT327729 AWP327729 BGL327729 BQH327729 CAD327729 CJZ327729 CTV327729 DDR327729 DNN327729 DXJ327729 EHF327729 ERB327729 FAX327729 FKT327729 FUP327729 GEL327729 GOH327729 GYD327729 HHZ327729 HRV327729 IBR327729 ILN327729 IVJ327729 JFF327729 JPB327729 JYX327729 KIT327729 KSP327729 LCL327729 LMH327729 LWD327729 MFZ327729 MPV327729 MZR327729 NJN327729 NTJ327729 ODF327729 ONB327729 OWX327729 PGT327729 PQP327729 QAL327729 QKH327729 QUD327729 RDZ327729 RNV327729 RXR327729 SHN327729 SRJ327729 TBF327729 TLB327729 TUX327729 UET327729 UOP327729 UYL327729 VIH327729 VSD327729 WBZ327729 WLV327729 WVR327729 J393265 JF393265 TB393265 ACX393265 AMT393265 AWP393265 BGL393265 BQH393265 CAD393265 CJZ393265 CTV393265 DDR393265 DNN393265 DXJ393265 EHF393265 ERB393265 FAX393265 FKT393265 FUP393265 GEL393265 GOH393265 GYD393265 HHZ393265 HRV393265 IBR393265 ILN393265 IVJ393265 JFF393265 JPB393265 JYX393265 KIT393265 KSP393265 LCL393265 LMH393265 LWD393265 MFZ393265 MPV393265 MZR393265 NJN393265 NTJ393265 ODF393265 ONB393265 OWX393265 PGT393265 PQP393265 QAL393265 QKH393265 QUD393265 RDZ393265 RNV393265 RXR393265 SHN393265 SRJ393265 TBF393265 TLB393265 TUX393265 UET393265 UOP393265 UYL393265 VIH393265 VSD393265 WBZ393265 WLV393265 WVR393265 J458801 JF458801 TB458801 ACX458801 AMT458801 AWP458801 BGL458801 BQH458801 CAD458801 CJZ458801 CTV458801 DDR458801 DNN458801 DXJ458801 EHF458801 ERB458801 FAX458801 FKT458801 FUP458801 GEL458801 GOH458801 GYD458801 HHZ458801 HRV458801 IBR458801 ILN458801 IVJ458801 JFF458801 JPB458801 JYX458801 KIT458801 KSP458801 LCL458801 LMH458801 LWD458801 MFZ458801 MPV458801 MZR458801 NJN458801 NTJ458801 ODF458801 ONB458801 OWX458801 PGT458801 PQP458801 QAL458801 QKH458801 QUD458801 RDZ458801 RNV458801 RXR458801 SHN458801 SRJ458801 TBF458801 TLB458801 TUX458801 UET458801 UOP458801 UYL458801 VIH458801 VSD458801 WBZ458801 WLV458801 WVR458801 J524337 JF524337 TB524337 ACX524337 AMT524337 AWP524337 BGL524337 BQH524337 CAD524337 CJZ524337 CTV524337 DDR524337 DNN524337 DXJ524337 EHF524337 ERB524337 FAX524337 FKT524337 FUP524337 GEL524337 GOH524337 GYD524337 HHZ524337 HRV524337 IBR524337 ILN524337 IVJ524337 JFF524337 JPB524337 JYX524337 KIT524337 KSP524337 LCL524337 LMH524337 LWD524337 MFZ524337 MPV524337 MZR524337 NJN524337 NTJ524337 ODF524337 ONB524337 OWX524337 PGT524337 PQP524337 QAL524337 QKH524337 QUD524337 RDZ524337 RNV524337 RXR524337 SHN524337 SRJ524337 TBF524337 TLB524337 TUX524337 UET524337 UOP524337 UYL524337 VIH524337 VSD524337 WBZ524337 WLV524337 WVR524337 J589873 JF589873 TB589873 ACX589873 AMT589873 AWP589873 BGL589873 BQH589873 CAD589873 CJZ589873 CTV589873 DDR589873 DNN589873 DXJ589873 EHF589873 ERB589873 FAX589873 FKT589873 FUP589873 GEL589873 GOH589873 GYD589873 HHZ589873 HRV589873 IBR589873 ILN589873 IVJ589873 JFF589873 JPB589873 JYX589873 KIT589873 KSP589873 LCL589873 LMH589873 LWD589873 MFZ589873 MPV589873 MZR589873 NJN589873 NTJ589873 ODF589873 ONB589873 OWX589873 PGT589873 PQP589873 QAL589873 QKH589873 QUD589873 RDZ589873 RNV589873 RXR589873 SHN589873 SRJ589873 TBF589873 TLB589873 TUX589873 UET589873 UOP589873 UYL589873 VIH589873 VSD589873 WBZ589873 WLV589873 WVR589873 J655409 JF655409 TB655409 ACX655409 AMT655409 AWP655409 BGL655409 BQH655409 CAD655409 CJZ655409 CTV655409 DDR655409 DNN655409 DXJ655409 EHF655409 ERB655409 FAX655409 FKT655409 FUP655409 GEL655409 GOH655409 GYD655409 HHZ655409 HRV655409 IBR655409 ILN655409 IVJ655409 JFF655409 JPB655409 JYX655409 KIT655409 KSP655409 LCL655409 LMH655409 LWD655409 MFZ655409 MPV655409 MZR655409 NJN655409 NTJ655409 ODF655409 ONB655409 OWX655409 PGT655409 PQP655409 QAL655409 QKH655409 QUD655409 RDZ655409 RNV655409 RXR655409 SHN655409 SRJ655409 TBF655409 TLB655409 TUX655409 UET655409 UOP655409 UYL655409 VIH655409 VSD655409 WBZ655409 WLV655409 WVR655409 J720945 JF720945 TB720945 ACX720945 AMT720945 AWP720945 BGL720945 BQH720945 CAD720945 CJZ720945 CTV720945 DDR720945 DNN720945 DXJ720945 EHF720945 ERB720945 FAX720945 FKT720945 FUP720945 GEL720945 GOH720945 GYD720945 HHZ720945 HRV720945 IBR720945 ILN720945 IVJ720945 JFF720945 JPB720945 JYX720945 KIT720945 KSP720945 LCL720945 LMH720945 LWD720945 MFZ720945 MPV720945 MZR720945 NJN720945 NTJ720945 ODF720945 ONB720945 OWX720945 PGT720945 PQP720945 QAL720945 QKH720945 QUD720945 RDZ720945 RNV720945 RXR720945 SHN720945 SRJ720945 TBF720945 TLB720945 TUX720945 UET720945 UOP720945 UYL720945 VIH720945 VSD720945 WBZ720945 WLV720945 WVR720945 J786481 JF786481 TB786481 ACX786481 AMT786481 AWP786481 BGL786481 BQH786481 CAD786481 CJZ786481 CTV786481 DDR786481 DNN786481 DXJ786481 EHF786481 ERB786481 FAX786481 FKT786481 FUP786481 GEL786481 GOH786481 GYD786481 HHZ786481 HRV786481 IBR786481 ILN786481 IVJ786481 JFF786481 JPB786481 JYX786481 KIT786481 KSP786481 LCL786481 LMH786481 LWD786481 MFZ786481 MPV786481 MZR786481 NJN786481 NTJ786481 ODF786481 ONB786481 OWX786481 PGT786481 PQP786481 QAL786481 QKH786481 QUD786481 RDZ786481 RNV786481 RXR786481 SHN786481 SRJ786481 TBF786481 TLB786481 TUX786481 UET786481 UOP786481 UYL786481 VIH786481 VSD786481 WBZ786481 WLV786481 WVR786481 J852017 JF852017 TB852017 ACX852017 AMT852017 AWP852017 BGL852017 BQH852017 CAD852017 CJZ852017 CTV852017 DDR852017 DNN852017 DXJ852017 EHF852017 ERB852017 FAX852017 FKT852017 FUP852017 GEL852017 GOH852017 GYD852017 HHZ852017 HRV852017 IBR852017 ILN852017 IVJ852017 JFF852017 JPB852017 JYX852017 KIT852017 KSP852017 LCL852017 LMH852017 LWD852017 MFZ852017 MPV852017 MZR852017 NJN852017 NTJ852017 ODF852017 ONB852017 OWX852017 PGT852017 PQP852017 QAL852017 QKH852017 QUD852017 RDZ852017 RNV852017 RXR852017 SHN852017 SRJ852017 TBF852017 TLB852017 TUX852017 UET852017 UOP852017 UYL852017 VIH852017 VSD852017 WBZ852017 WLV852017 WVR852017 J917553 JF917553 TB917553 ACX917553 AMT917553 AWP917553 BGL917553 BQH917553 CAD917553 CJZ917553 CTV917553 DDR917553 DNN917553 DXJ917553 EHF917553 ERB917553 FAX917553 FKT917553 FUP917553 GEL917553 GOH917553 GYD917553 HHZ917553 HRV917553 IBR917553 ILN917553 IVJ917553 JFF917553 JPB917553 JYX917553 KIT917553 KSP917553 LCL917553 LMH917553 LWD917553 MFZ917553 MPV917553 MZR917553 NJN917553 NTJ917553 ODF917553 ONB917553 OWX917553 PGT917553 PQP917553 QAL917553 QKH917553 QUD917553 RDZ917553 RNV917553 RXR917553 SHN917553 SRJ917553 TBF917553 TLB917553 TUX917553 UET917553 UOP917553 UYL917553 VIH917553 VSD917553 WBZ917553 WLV917553 WVR917553 J983089 JF983089 TB983089 ACX983089 AMT983089 AWP983089 BGL983089 BQH983089 CAD983089 CJZ983089 CTV983089 DDR983089 DNN983089 DXJ983089 EHF983089 ERB983089 FAX983089 FKT983089 FUP983089 GEL983089 GOH983089 GYD983089 HHZ983089 HRV983089 IBR983089 ILN983089 IVJ983089 JFF983089 JPB983089 JYX983089 KIT983089 KSP983089 LCL983089 LMH983089 LWD983089 MFZ983089 MPV983089 MZR983089 NJN983089 NTJ983089 ODF983089 ONB983089 OWX983089 PGT983089 PQP983089 QAL983089 QKH983089 QUD983089 RDZ983089 RNV983089 RXR983089 SHN983089 SRJ983089 TBF983089 TLB983089 TUX983089 UET983089 UOP983089 UYL983089 VIH983089 VSD983089 WBZ983089 WLV983089 WVR983089 J51" xr:uid="{E387C82C-3C3E-4BC1-A17D-75AF1F382620}"/>
    <dataValidation allowBlank="1" showInputMessage="1" showErrorMessage="1" promptTitle="Alpha.cw" prompt="Calculated based on the state of axial stress caused by Ned, the applied design action, as entered in cell C54 below." sqref="C59 IY33 SU33 ACQ33 AMM33 AWI33 BGE33 BQA33 BZW33 CJS33 CTO33 DDK33 DNG33 DXC33 EGY33 EQU33 FAQ33 FKM33 FUI33 GEE33 GOA33 GXW33 HHS33 HRO33 IBK33 ILG33 IVC33 JEY33 JOU33 JYQ33 KIM33 KSI33 LCE33 LMA33 LVW33 MFS33 MPO33 MZK33 NJG33 NTC33 OCY33 OMU33 OWQ33 PGM33 PQI33 QAE33 QKA33 QTW33 RDS33 RNO33 RXK33 SHG33 SRC33 TAY33 TKU33 TUQ33 UEM33 UOI33 UYE33 VIA33 VRW33 WBS33 WLO33 WVK33 C65574 IY65574 SU65574 ACQ65574 AMM65574 AWI65574 BGE65574 BQA65574 BZW65574 CJS65574 CTO65574 DDK65574 DNG65574 DXC65574 EGY65574 EQU65574 FAQ65574 FKM65574 FUI65574 GEE65574 GOA65574 GXW65574 HHS65574 HRO65574 IBK65574 ILG65574 IVC65574 JEY65574 JOU65574 JYQ65574 KIM65574 KSI65574 LCE65574 LMA65574 LVW65574 MFS65574 MPO65574 MZK65574 NJG65574 NTC65574 OCY65574 OMU65574 OWQ65574 PGM65574 PQI65574 QAE65574 QKA65574 QTW65574 RDS65574 RNO65574 RXK65574 SHG65574 SRC65574 TAY65574 TKU65574 TUQ65574 UEM65574 UOI65574 UYE65574 VIA65574 VRW65574 WBS65574 WLO65574 WVK65574 C131110 IY131110 SU131110 ACQ131110 AMM131110 AWI131110 BGE131110 BQA131110 BZW131110 CJS131110 CTO131110 DDK131110 DNG131110 DXC131110 EGY131110 EQU131110 FAQ131110 FKM131110 FUI131110 GEE131110 GOA131110 GXW131110 HHS131110 HRO131110 IBK131110 ILG131110 IVC131110 JEY131110 JOU131110 JYQ131110 KIM131110 KSI131110 LCE131110 LMA131110 LVW131110 MFS131110 MPO131110 MZK131110 NJG131110 NTC131110 OCY131110 OMU131110 OWQ131110 PGM131110 PQI131110 QAE131110 QKA131110 QTW131110 RDS131110 RNO131110 RXK131110 SHG131110 SRC131110 TAY131110 TKU131110 TUQ131110 UEM131110 UOI131110 UYE131110 VIA131110 VRW131110 WBS131110 WLO131110 WVK131110 C196646 IY196646 SU196646 ACQ196646 AMM196646 AWI196646 BGE196646 BQA196646 BZW196646 CJS196646 CTO196646 DDK196646 DNG196646 DXC196646 EGY196646 EQU196646 FAQ196646 FKM196646 FUI196646 GEE196646 GOA196646 GXW196646 HHS196646 HRO196646 IBK196646 ILG196646 IVC196646 JEY196646 JOU196646 JYQ196646 KIM196646 KSI196646 LCE196646 LMA196646 LVW196646 MFS196646 MPO196646 MZK196646 NJG196646 NTC196646 OCY196646 OMU196646 OWQ196646 PGM196646 PQI196646 QAE196646 QKA196646 QTW196646 RDS196646 RNO196646 RXK196646 SHG196646 SRC196646 TAY196646 TKU196646 TUQ196646 UEM196646 UOI196646 UYE196646 VIA196646 VRW196646 WBS196646 WLO196646 WVK196646 C262182 IY262182 SU262182 ACQ262182 AMM262182 AWI262182 BGE262182 BQA262182 BZW262182 CJS262182 CTO262182 DDK262182 DNG262182 DXC262182 EGY262182 EQU262182 FAQ262182 FKM262182 FUI262182 GEE262182 GOA262182 GXW262182 HHS262182 HRO262182 IBK262182 ILG262182 IVC262182 JEY262182 JOU262182 JYQ262182 KIM262182 KSI262182 LCE262182 LMA262182 LVW262182 MFS262182 MPO262182 MZK262182 NJG262182 NTC262182 OCY262182 OMU262182 OWQ262182 PGM262182 PQI262182 QAE262182 QKA262182 QTW262182 RDS262182 RNO262182 RXK262182 SHG262182 SRC262182 TAY262182 TKU262182 TUQ262182 UEM262182 UOI262182 UYE262182 VIA262182 VRW262182 WBS262182 WLO262182 WVK262182 C327718 IY327718 SU327718 ACQ327718 AMM327718 AWI327718 BGE327718 BQA327718 BZW327718 CJS327718 CTO327718 DDK327718 DNG327718 DXC327718 EGY327718 EQU327718 FAQ327718 FKM327718 FUI327718 GEE327718 GOA327718 GXW327718 HHS327718 HRO327718 IBK327718 ILG327718 IVC327718 JEY327718 JOU327718 JYQ327718 KIM327718 KSI327718 LCE327718 LMA327718 LVW327718 MFS327718 MPO327718 MZK327718 NJG327718 NTC327718 OCY327718 OMU327718 OWQ327718 PGM327718 PQI327718 QAE327718 QKA327718 QTW327718 RDS327718 RNO327718 RXK327718 SHG327718 SRC327718 TAY327718 TKU327718 TUQ327718 UEM327718 UOI327718 UYE327718 VIA327718 VRW327718 WBS327718 WLO327718 WVK327718 C393254 IY393254 SU393254 ACQ393254 AMM393254 AWI393254 BGE393254 BQA393254 BZW393254 CJS393254 CTO393254 DDK393254 DNG393254 DXC393254 EGY393254 EQU393254 FAQ393254 FKM393254 FUI393254 GEE393254 GOA393254 GXW393254 HHS393254 HRO393254 IBK393254 ILG393254 IVC393254 JEY393254 JOU393254 JYQ393254 KIM393254 KSI393254 LCE393254 LMA393254 LVW393254 MFS393254 MPO393254 MZK393254 NJG393254 NTC393254 OCY393254 OMU393254 OWQ393254 PGM393254 PQI393254 QAE393254 QKA393254 QTW393254 RDS393254 RNO393254 RXK393254 SHG393254 SRC393254 TAY393254 TKU393254 TUQ393254 UEM393254 UOI393254 UYE393254 VIA393254 VRW393254 WBS393254 WLO393254 WVK393254 C458790 IY458790 SU458790 ACQ458790 AMM458790 AWI458790 BGE458790 BQA458790 BZW458790 CJS458790 CTO458790 DDK458790 DNG458790 DXC458790 EGY458790 EQU458790 FAQ458790 FKM458790 FUI458790 GEE458790 GOA458790 GXW458790 HHS458790 HRO458790 IBK458790 ILG458790 IVC458790 JEY458790 JOU458790 JYQ458790 KIM458790 KSI458790 LCE458790 LMA458790 LVW458790 MFS458790 MPO458790 MZK458790 NJG458790 NTC458790 OCY458790 OMU458790 OWQ458790 PGM458790 PQI458790 QAE458790 QKA458790 QTW458790 RDS458790 RNO458790 RXK458790 SHG458790 SRC458790 TAY458790 TKU458790 TUQ458790 UEM458790 UOI458790 UYE458790 VIA458790 VRW458790 WBS458790 WLO458790 WVK458790 C524326 IY524326 SU524326 ACQ524326 AMM524326 AWI524326 BGE524326 BQA524326 BZW524326 CJS524326 CTO524326 DDK524326 DNG524326 DXC524326 EGY524326 EQU524326 FAQ524326 FKM524326 FUI524326 GEE524326 GOA524326 GXW524326 HHS524326 HRO524326 IBK524326 ILG524326 IVC524326 JEY524326 JOU524326 JYQ524326 KIM524326 KSI524326 LCE524326 LMA524326 LVW524326 MFS524326 MPO524326 MZK524326 NJG524326 NTC524326 OCY524326 OMU524326 OWQ524326 PGM524326 PQI524326 QAE524326 QKA524326 QTW524326 RDS524326 RNO524326 RXK524326 SHG524326 SRC524326 TAY524326 TKU524326 TUQ524326 UEM524326 UOI524326 UYE524326 VIA524326 VRW524326 WBS524326 WLO524326 WVK524326 C589862 IY589862 SU589862 ACQ589862 AMM589862 AWI589862 BGE589862 BQA589862 BZW589862 CJS589862 CTO589862 DDK589862 DNG589862 DXC589862 EGY589862 EQU589862 FAQ589862 FKM589862 FUI589862 GEE589862 GOA589862 GXW589862 HHS589862 HRO589862 IBK589862 ILG589862 IVC589862 JEY589862 JOU589862 JYQ589862 KIM589862 KSI589862 LCE589862 LMA589862 LVW589862 MFS589862 MPO589862 MZK589862 NJG589862 NTC589862 OCY589862 OMU589862 OWQ589862 PGM589862 PQI589862 QAE589862 QKA589862 QTW589862 RDS589862 RNO589862 RXK589862 SHG589862 SRC589862 TAY589862 TKU589862 TUQ589862 UEM589862 UOI589862 UYE589862 VIA589862 VRW589862 WBS589862 WLO589862 WVK589862 C655398 IY655398 SU655398 ACQ655398 AMM655398 AWI655398 BGE655398 BQA655398 BZW655398 CJS655398 CTO655398 DDK655398 DNG655398 DXC655398 EGY655398 EQU655398 FAQ655398 FKM655398 FUI655398 GEE655398 GOA655398 GXW655398 HHS655398 HRO655398 IBK655398 ILG655398 IVC655398 JEY655398 JOU655398 JYQ655398 KIM655398 KSI655398 LCE655398 LMA655398 LVW655398 MFS655398 MPO655398 MZK655398 NJG655398 NTC655398 OCY655398 OMU655398 OWQ655398 PGM655398 PQI655398 QAE655398 QKA655398 QTW655398 RDS655398 RNO655398 RXK655398 SHG655398 SRC655398 TAY655398 TKU655398 TUQ655398 UEM655398 UOI655398 UYE655398 VIA655398 VRW655398 WBS655398 WLO655398 WVK655398 C720934 IY720934 SU720934 ACQ720934 AMM720934 AWI720934 BGE720934 BQA720934 BZW720934 CJS720934 CTO720934 DDK720934 DNG720934 DXC720934 EGY720934 EQU720934 FAQ720934 FKM720934 FUI720934 GEE720934 GOA720934 GXW720934 HHS720934 HRO720934 IBK720934 ILG720934 IVC720934 JEY720934 JOU720934 JYQ720934 KIM720934 KSI720934 LCE720934 LMA720934 LVW720934 MFS720934 MPO720934 MZK720934 NJG720934 NTC720934 OCY720934 OMU720934 OWQ720934 PGM720934 PQI720934 QAE720934 QKA720934 QTW720934 RDS720934 RNO720934 RXK720934 SHG720934 SRC720934 TAY720934 TKU720934 TUQ720934 UEM720934 UOI720934 UYE720934 VIA720934 VRW720934 WBS720934 WLO720934 WVK720934 C786470 IY786470 SU786470 ACQ786470 AMM786470 AWI786470 BGE786470 BQA786470 BZW786470 CJS786470 CTO786470 DDK786470 DNG786470 DXC786470 EGY786470 EQU786470 FAQ786470 FKM786470 FUI786470 GEE786470 GOA786470 GXW786470 HHS786470 HRO786470 IBK786470 ILG786470 IVC786470 JEY786470 JOU786470 JYQ786470 KIM786470 KSI786470 LCE786470 LMA786470 LVW786470 MFS786470 MPO786470 MZK786470 NJG786470 NTC786470 OCY786470 OMU786470 OWQ786470 PGM786470 PQI786470 QAE786470 QKA786470 QTW786470 RDS786470 RNO786470 RXK786470 SHG786470 SRC786470 TAY786470 TKU786470 TUQ786470 UEM786470 UOI786470 UYE786470 VIA786470 VRW786470 WBS786470 WLO786470 WVK786470 C852006 IY852006 SU852006 ACQ852006 AMM852006 AWI852006 BGE852006 BQA852006 BZW852006 CJS852006 CTO852006 DDK852006 DNG852006 DXC852006 EGY852006 EQU852006 FAQ852006 FKM852006 FUI852006 GEE852006 GOA852006 GXW852006 HHS852006 HRO852006 IBK852006 ILG852006 IVC852006 JEY852006 JOU852006 JYQ852006 KIM852006 KSI852006 LCE852006 LMA852006 LVW852006 MFS852006 MPO852006 MZK852006 NJG852006 NTC852006 OCY852006 OMU852006 OWQ852006 PGM852006 PQI852006 QAE852006 QKA852006 QTW852006 RDS852006 RNO852006 RXK852006 SHG852006 SRC852006 TAY852006 TKU852006 TUQ852006 UEM852006 UOI852006 UYE852006 VIA852006 VRW852006 WBS852006 WLO852006 WVK852006 C917542 IY917542 SU917542 ACQ917542 AMM917542 AWI917542 BGE917542 BQA917542 BZW917542 CJS917542 CTO917542 DDK917542 DNG917542 DXC917542 EGY917542 EQU917542 FAQ917542 FKM917542 FUI917542 GEE917542 GOA917542 GXW917542 HHS917542 HRO917542 IBK917542 ILG917542 IVC917542 JEY917542 JOU917542 JYQ917542 KIM917542 KSI917542 LCE917542 LMA917542 LVW917542 MFS917542 MPO917542 MZK917542 NJG917542 NTC917542 OCY917542 OMU917542 OWQ917542 PGM917542 PQI917542 QAE917542 QKA917542 QTW917542 RDS917542 RNO917542 RXK917542 SHG917542 SRC917542 TAY917542 TKU917542 TUQ917542 UEM917542 UOI917542 UYE917542 VIA917542 VRW917542 WBS917542 WLO917542 WVK917542 C983078 IY983078 SU983078 ACQ983078 AMM983078 AWI983078 BGE983078 BQA983078 BZW983078 CJS983078 CTO983078 DDK983078 DNG983078 DXC983078 EGY983078 EQU983078 FAQ983078 FKM983078 FUI983078 GEE983078 GOA983078 GXW983078 HHS983078 HRO983078 IBK983078 ILG983078 IVC983078 JEY983078 JOU983078 JYQ983078 KIM983078 KSI983078 LCE983078 LMA983078 LVW983078 MFS983078 MPO983078 MZK983078 NJG983078 NTC983078 OCY983078 OMU983078 OWQ983078 PGM983078 PQI983078 QAE983078 QKA983078 QTW983078 RDS983078 RNO983078 RXK983078 SHG983078 SRC983078 TAY983078 TKU983078 TUQ983078 UEM983078 UOI983078 UYE983078 VIA983078 VRW983078 WBS983078 WLO983078 WVK983078 C63" xr:uid="{4F122D55-D6BA-4835-99AD-AEB2F214383F}"/>
    <dataValidation allowBlank="1" showInputMessage="1" showErrorMessage="1" promptTitle="Alpha.cc" prompt="fcd for normal stresses with alpha.cc = 0.85 in accordance with the UK NA to 3.1.6(1)" sqref="C29 IY29 SU29 ACQ29 AMM29 AWI29 BGE29 BQA29 BZW29 CJS29 CTO29 DDK29 DNG29 DXC29 EGY29 EQU29 FAQ29 FKM29 FUI29 GEE29 GOA29 GXW29 HHS29 HRO29 IBK29 ILG29 IVC29 JEY29 JOU29 JYQ29 KIM29 KSI29 LCE29 LMA29 LVW29 MFS29 MPO29 MZK29 NJG29 NTC29 OCY29 OMU29 OWQ29 PGM29 PQI29 QAE29 QKA29 QTW29 RDS29 RNO29 RXK29 SHG29 SRC29 TAY29 TKU29 TUQ29 UEM29 UOI29 UYE29 VIA29 VRW29 WBS29 WLO29 WVK29 C65570 IY65570 SU65570 ACQ65570 AMM65570 AWI65570 BGE65570 BQA65570 BZW65570 CJS65570 CTO65570 DDK65570 DNG65570 DXC65570 EGY65570 EQU65570 FAQ65570 FKM65570 FUI65570 GEE65570 GOA65570 GXW65570 HHS65570 HRO65570 IBK65570 ILG65570 IVC65570 JEY65570 JOU65570 JYQ65570 KIM65570 KSI65570 LCE65570 LMA65570 LVW65570 MFS65570 MPO65570 MZK65570 NJG65570 NTC65570 OCY65570 OMU65570 OWQ65570 PGM65570 PQI65570 QAE65570 QKA65570 QTW65570 RDS65570 RNO65570 RXK65570 SHG65570 SRC65570 TAY65570 TKU65570 TUQ65570 UEM65570 UOI65570 UYE65570 VIA65570 VRW65570 WBS65570 WLO65570 WVK65570 C131106 IY131106 SU131106 ACQ131106 AMM131106 AWI131106 BGE131106 BQA131106 BZW131106 CJS131106 CTO131106 DDK131106 DNG131106 DXC131106 EGY131106 EQU131106 FAQ131106 FKM131106 FUI131106 GEE131106 GOA131106 GXW131106 HHS131106 HRO131106 IBK131106 ILG131106 IVC131106 JEY131106 JOU131106 JYQ131106 KIM131106 KSI131106 LCE131106 LMA131106 LVW131106 MFS131106 MPO131106 MZK131106 NJG131106 NTC131106 OCY131106 OMU131106 OWQ131106 PGM131106 PQI131106 QAE131106 QKA131106 QTW131106 RDS131106 RNO131106 RXK131106 SHG131106 SRC131106 TAY131106 TKU131106 TUQ131106 UEM131106 UOI131106 UYE131106 VIA131106 VRW131106 WBS131106 WLO131106 WVK131106 C196642 IY196642 SU196642 ACQ196642 AMM196642 AWI196642 BGE196642 BQA196642 BZW196642 CJS196642 CTO196642 DDK196642 DNG196642 DXC196642 EGY196642 EQU196642 FAQ196642 FKM196642 FUI196642 GEE196642 GOA196642 GXW196642 HHS196642 HRO196642 IBK196642 ILG196642 IVC196642 JEY196642 JOU196642 JYQ196642 KIM196642 KSI196642 LCE196642 LMA196642 LVW196642 MFS196642 MPO196642 MZK196642 NJG196642 NTC196642 OCY196642 OMU196642 OWQ196642 PGM196642 PQI196642 QAE196642 QKA196642 QTW196642 RDS196642 RNO196642 RXK196642 SHG196642 SRC196642 TAY196642 TKU196642 TUQ196642 UEM196642 UOI196642 UYE196642 VIA196642 VRW196642 WBS196642 WLO196642 WVK196642 C262178 IY262178 SU262178 ACQ262178 AMM262178 AWI262178 BGE262178 BQA262178 BZW262178 CJS262178 CTO262178 DDK262178 DNG262178 DXC262178 EGY262178 EQU262178 FAQ262178 FKM262178 FUI262178 GEE262178 GOA262178 GXW262178 HHS262178 HRO262178 IBK262178 ILG262178 IVC262178 JEY262178 JOU262178 JYQ262178 KIM262178 KSI262178 LCE262178 LMA262178 LVW262178 MFS262178 MPO262178 MZK262178 NJG262178 NTC262178 OCY262178 OMU262178 OWQ262178 PGM262178 PQI262178 QAE262178 QKA262178 QTW262178 RDS262178 RNO262178 RXK262178 SHG262178 SRC262178 TAY262178 TKU262178 TUQ262178 UEM262178 UOI262178 UYE262178 VIA262178 VRW262178 WBS262178 WLO262178 WVK262178 C327714 IY327714 SU327714 ACQ327714 AMM327714 AWI327714 BGE327714 BQA327714 BZW327714 CJS327714 CTO327714 DDK327714 DNG327714 DXC327714 EGY327714 EQU327714 FAQ327714 FKM327714 FUI327714 GEE327714 GOA327714 GXW327714 HHS327714 HRO327714 IBK327714 ILG327714 IVC327714 JEY327714 JOU327714 JYQ327714 KIM327714 KSI327714 LCE327714 LMA327714 LVW327714 MFS327714 MPO327714 MZK327714 NJG327714 NTC327714 OCY327714 OMU327714 OWQ327714 PGM327714 PQI327714 QAE327714 QKA327714 QTW327714 RDS327714 RNO327714 RXK327714 SHG327714 SRC327714 TAY327714 TKU327714 TUQ327714 UEM327714 UOI327714 UYE327714 VIA327714 VRW327714 WBS327714 WLO327714 WVK327714 C393250 IY393250 SU393250 ACQ393250 AMM393250 AWI393250 BGE393250 BQA393250 BZW393250 CJS393250 CTO393250 DDK393250 DNG393250 DXC393250 EGY393250 EQU393250 FAQ393250 FKM393250 FUI393250 GEE393250 GOA393250 GXW393250 HHS393250 HRO393250 IBK393250 ILG393250 IVC393250 JEY393250 JOU393250 JYQ393250 KIM393250 KSI393250 LCE393250 LMA393250 LVW393250 MFS393250 MPO393250 MZK393250 NJG393250 NTC393250 OCY393250 OMU393250 OWQ393250 PGM393250 PQI393250 QAE393250 QKA393250 QTW393250 RDS393250 RNO393250 RXK393250 SHG393250 SRC393250 TAY393250 TKU393250 TUQ393250 UEM393250 UOI393250 UYE393250 VIA393250 VRW393250 WBS393250 WLO393250 WVK393250 C458786 IY458786 SU458786 ACQ458786 AMM458786 AWI458786 BGE458786 BQA458786 BZW458786 CJS458786 CTO458786 DDK458786 DNG458786 DXC458786 EGY458786 EQU458786 FAQ458786 FKM458786 FUI458786 GEE458786 GOA458786 GXW458786 HHS458786 HRO458786 IBK458786 ILG458786 IVC458786 JEY458786 JOU458786 JYQ458786 KIM458786 KSI458786 LCE458786 LMA458786 LVW458786 MFS458786 MPO458786 MZK458786 NJG458786 NTC458786 OCY458786 OMU458786 OWQ458786 PGM458786 PQI458786 QAE458786 QKA458786 QTW458786 RDS458786 RNO458786 RXK458786 SHG458786 SRC458786 TAY458786 TKU458786 TUQ458786 UEM458786 UOI458786 UYE458786 VIA458786 VRW458786 WBS458786 WLO458786 WVK458786 C524322 IY524322 SU524322 ACQ524322 AMM524322 AWI524322 BGE524322 BQA524322 BZW524322 CJS524322 CTO524322 DDK524322 DNG524322 DXC524322 EGY524322 EQU524322 FAQ524322 FKM524322 FUI524322 GEE524322 GOA524322 GXW524322 HHS524322 HRO524322 IBK524322 ILG524322 IVC524322 JEY524322 JOU524322 JYQ524322 KIM524322 KSI524322 LCE524322 LMA524322 LVW524322 MFS524322 MPO524322 MZK524322 NJG524322 NTC524322 OCY524322 OMU524322 OWQ524322 PGM524322 PQI524322 QAE524322 QKA524322 QTW524322 RDS524322 RNO524322 RXK524322 SHG524322 SRC524322 TAY524322 TKU524322 TUQ524322 UEM524322 UOI524322 UYE524322 VIA524322 VRW524322 WBS524322 WLO524322 WVK524322 C589858 IY589858 SU589858 ACQ589858 AMM589858 AWI589858 BGE589858 BQA589858 BZW589858 CJS589858 CTO589858 DDK589858 DNG589858 DXC589858 EGY589858 EQU589858 FAQ589858 FKM589858 FUI589858 GEE589858 GOA589858 GXW589858 HHS589858 HRO589858 IBK589858 ILG589858 IVC589858 JEY589858 JOU589858 JYQ589858 KIM589858 KSI589858 LCE589858 LMA589858 LVW589858 MFS589858 MPO589858 MZK589858 NJG589858 NTC589858 OCY589858 OMU589858 OWQ589858 PGM589858 PQI589858 QAE589858 QKA589858 QTW589858 RDS589858 RNO589858 RXK589858 SHG589858 SRC589858 TAY589858 TKU589858 TUQ589858 UEM589858 UOI589858 UYE589858 VIA589858 VRW589858 WBS589858 WLO589858 WVK589858 C655394 IY655394 SU655394 ACQ655394 AMM655394 AWI655394 BGE655394 BQA655394 BZW655394 CJS655394 CTO655394 DDK655394 DNG655394 DXC655394 EGY655394 EQU655394 FAQ655394 FKM655394 FUI655394 GEE655394 GOA655394 GXW655394 HHS655394 HRO655394 IBK655394 ILG655394 IVC655394 JEY655394 JOU655394 JYQ655394 KIM655394 KSI655394 LCE655394 LMA655394 LVW655394 MFS655394 MPO655394 MZK655394 NJG655394 NTC655394 OCY655394 OMU655394 OWQ655394 PGM655394 PQI655394 QAE655394 QKA655394 QTW655394 RDS655394 RNO655394 RXK655394 SHG655394 SRC655394 TAY655394 TKU655394 TUQ655394 UEM655394 UOI655394 UYE655394 VIA655394 VRW655394 WBS655394 WLO655394 WVK655394 C720930 IY720930 SU720930 ACQ720930 AMM720930 AWI720930 BGE720930 BQA720930 BZW720930 CJS720930 CTO720930 DDK720930 DNG720930 DXC720930 EGY720930 EQU720930 FAQ720930 FKM720930 FUI720930 GEE720930 GOA720930 GXW720930 HHS720930 HRO720930 IBK720930 ILG720930 IVC720930 JEY720930 JOU720930 JYQ720930 KIM720930 KSI720930 LCE720930 LMA720930 LVW720930 MFS720930 MPO720930 MZK720930 NJG720930 NTC720930 OCY720930 OMU720930 OWQ720930 PGM720930 PQI720930 QAE720930 QKA720930 QTW720930 RDS720930 RNO720930 RXK720930 SHG720930 SRC720930 TAY720930 TKU720930 TUQ720930 UEM720930 UOI720930 UYE720930 VIA720930 VRW720930 WBS720930 WLO720930 WVK720930 C786466 IY786466 SU786466 ACQ786466 AMM786466 AWI786466 BGE786466 BQA786466 BZW786466 CJS786466 CTO786466 DDK786466 DNG786466 DXC786466 EGY786466 EQU786466 FAQ786466 FKM786466 FUI786466 GEE786466 GOA786466 GXW786466 HHS786466 HRO786466 IBK786466 ILG786466 IVC786466 JEY786466 JOU786466 JYQ786466 KIM786466 KSI786466 LCE786466 LMA786466 LVW786466 MFS786466 MPO786466 MZK786466 NJG786466 NTC786466 OCY786466 OMU786466 OWQ786466 PGM786466 PQI786466 QAE786466 QKA786466 QTW786466 RDS786466 RNO786466 RXK786466 SHG786466 SRC786466 TAY786466 TKU786466 TUQ786466 UEM786466 UOI786466 UYE786466 VIA786466 VRW786466 WBS786466 WLO786466 WVK786466 C852002 IY852002 SU852002 ACQ852002 AMM852002 AWI852002 BGE852002 BQA852002 BZW852002 CJS852002 CTO852002 DDK852002 DNG852002 DXC852002 EGY852002 EQU852002 FAQ852002 FKM852002 FUI852002 GEE852002 GOA852002 GXW852002 HHS852002 HRO852002 IBK852002 ILG852002 IVC852002 JEY852002 JOU852002 JYQ852002 KIM852002 KSI852002 LCE852002 LMA852002 LVW852002 MFS852002 MPO852002 MZK852002 NJG852002 NTC852002 OCY852002 OMU852002 OWQ852002 PGM852002 PQI852002 QAE852002 QKA852002 QTW852002 RDS852002 RNO852002 RXK852002 SHG852002 SRC852002 TAY852002 TKU852002 TUQ852002 UEM852002 UOI852002 UYE852002 VIA852002 VRW852002 WBS852002 WLO852002 WVK852002 C917538 IY917538 SU917538 ACQ917538 AMM917538 AWI917538 BGE917538 BQA917538 BZW917538 CJS917538 CTO917538 DDK917538 DNG917538 DXC917538 EGY917538 EQU917538 FAQ917538 FKM917538 FUI917538 GEE917538 GOA917538 GXW917538 HHS917538 HRO917538 IBK917538 ILG917538 IVC917538 JEY917538 JOU917538 JYQ917538 KIM917538 KSI917538 LCE917538 LMA917538 LVW917538 MFS917538 MPO917538 MZK917538 NJG917538 NTC917538 OCY917538 OMU917538 OWQ917538 PGM917538 PQI917538 QAE917538 QKA917538 QTW917538 RDS917538 RNO917538 RXK917538 SHG917538 SRC917538 TAY917538 TKU917538 TUQ917538 UEM917538 UOI917538 UYE917538 VIA917538 VRW917538 WBS917538 WLO917538 WVK917538 C983074 IY983074 SU983074 ACQ983074 AMM983074 AWI983074 BGE983074 BQA983074 BZW983074 CJS983074 CTO983074 DDK983074 DNG983074 DXC983074 EGY983074 EQU983074 FAQ983074 FKM983074 FUI983074 GEE983074 GOA983074 GXW983074 HHS983074 HRO983074 IBK983074 ILG983074 IVC983074 JEY983074 JOU983074 JYQ983074 KIM983074 KSI983074 LCE983074 LMA983074 LVW983074 MFS983074 MPO983074 MZK983074 NJG983074 NTC983074 OCY983074 OMU983074 OWQ983074 PGM983074 PQI983074 QAE983074 QKA983074 QTW983074 RDS983074 RNO983074 RXK983074 SHG983074 SRC983074 TAY983074 TKU983074 TUQ983074 UEM983074 UOI983074 UYE983074 VIA983074 VRW983074 WBS983074 WLO983074 WVK983074" xr:uid="{6B11E6F8-B8D7-4584-B44A-73654FA85808}"/>
    <dataValidation type="list" allowBlank="1" showInputMessage="1" showErrorMessage="1" sqref="C47 IY48 SU48 ACQ48 AMM48 AWI48 BGE48 BQA48 BZW48 CJS48 CTO48 DDK48 DNG48 DXC48 EGY48 EQU48 FAQ48 FKM48 FUI48 GEE48 GOA48 GXW48 HHS48 HRO48 IBK48 ILG48 IVC48 JEY48 JOU48 JYQ48 KIM48 KSI48 LCE48 LMA48 LVW48 MFS48 MPO48 MZK48 NJG48 NTC48 OCY48 OMU48 OWQ48 PGM48 PQI48 QAE48 QKA48 QTW48 RDS48 RNO48 RXK48 SHG48 SRC48 TAY48 TKU48 TUQ48 UEM48 UOI48 UYE48 VIA48 VRW48 WBS48 WLO48 WVK48 C65588 IY65588 SU65588 ACQ65588 AMM65588 AWI65588 BGE65588 BQA65588 BZW65588 CJS65588 CTO65588 DDK65588 DNG65588 DXC65588 EGY65588 EQU65588 FAQ65588 FKM65588 FUI65588 GEE65588 GOA65588 GXW65588 HHS65588 HRO65588 IBK65588 ILG65588 IVC65588 JEY65588 JOU65588 JYQ65588 KIM65588 KSI65588 LCE65588 LMA65588 LVW65588 MFS65588 MPO65588 MZK65588 NJG65588 NTC65588 OCY65588 OMU65588 OWQ65588 PGM65588 PQI65588 QAE65588 QKA65588 QTW65588 RDS65588 RNO65588 RXK65588 SHG65588 SRC65588 TAY65588 TKU65588 TUQ65588 UEM65588 UOI65588 UYE65588 VIA65588 VRW65588 WBS65588 WLO65588 WVK65588 C131124 IY131124 SU131124 ACQ131124 AMM131124 AWI131124 BGE131124 BQA131124 BZW131124 CJS131124 CTO131124 DDK131124 DNG131124 DXC131124 EGY131124 EQU131124 FAQ131124 FKM131124 FUI131124 GEE131124 GOA131124 GXW131124 HHS131124 HRO131124 IBK131124 ILG131124 IVC131124 JEY131124 JOU131124 JYQ131124 KIM131124 KSI131124 LCE131124 LMA131124 LVW131124 MFS131124 MPO131124 MZK131124 NJG131124 NTC131124 OCY131124 OMU131124 OWQ131124 PGM131124 PQI131124 QAE131124 QKA131124 QTW131124 RDS131124 RNO131124 RXK131124 SHG131124 SRC131124 TAY131124 TKU131124 TUQ131124 UEM131124 UOI131124 UYE131124 VIA131124 VRW131124 WBS131124 WLO131124 WVK131124 C196660 IY196660 SU196660 ACQ196660 AMM196660 AWI196660 BGE196660 BQA196660 BZW196660 CJS196660 CTO196660 DDK196660 DNG196660 DXC196660 EGY196660 EQU196660 FAQ196660 FKM196660 FUI196660 GEE196660 GOA196660 GXW196660 HHS196660 HRO196660 IBK196660 ILG196660 IVC196660 JEY196660 JOU196660 JYQ196660 KIM196660 KSI196660 LCE196660 LMA196660 LVW196660 MFS196660 MPO196660 MZK196660 NJG196660 NTC196660 OCY196660 OMU196660 OWQ196660 PGM196660 PQI196660 QAE196660 QKA196660 QTW196660 RDS196660 RNO196660 RXK196660 SHG196660 SRC196660 TAY196660 TKU196660 TUQ196660 UEM196660 UOI196660 UYE196660 VIA196660 VRW196660 WBS196660 WLO196660 WVK196660 C262196 IY262196 SU262196 ACQ262196 AMM262196 AWI262196 BGE262196 BQA262196 BZW262196 CJS262196 CTO262196 DDK262196 DNG262196 DXC262196 EGY262196 EQU262196 FAQ262196 FKM262196 FUI262196 GEE262196 GOA262196 GXW262196 HHS262196 HRO262196 IBK262196 ILG262196 IVC262196 JEY262196 JOU262196 JYQ262196 KIM262196 KSI262196 LCE262196 LMA262196 LVW262196 MFS262196 MPO262196 MZK262196 NJG262196 NTC262196 OCY262196 OMU262196 OWQ262196 PGM262196 PQI262196 QAE262196 QKA262196 QTW262196 RDS262196 RNO262196 RXK262196 SHG262196 SRC262196 TAY262196 TKU262196 TUQ262196 UEM262196 UOI262196 UYE262196 VIA262196 VRW262196 WBS262196 WLO262196 WVK262196 C327732 IY327732 SU327732 ACQ327732 AMM327732 AWI327732 BGE327732 BQA327732 BZW327732 CJS327732 CTO327732 DDK327732 DNG327732 DXC327732 EGY327732 EQU327732 FAQ327732 FKM327732 FUI327732 GEE327732 GOA327732 GXW327732 HHS327732 HRO327732 IBK327732 ILG327732 IVC327732 JEY327732 JOU327732 JYQ327732 KIM327732 KSI327732 LCE327732 LMA327732 LVW327732 MFS327732 MPO327732 MZK327732 NJG327732 NTC327732 OCY327732 OMU327732 OWQ327732 PGM327732 PQI327732 QAE327732 QKA327732 QTW327732 RDS327732 RNO327732 RXK327732 SHG327732 SRC327732 TAY327732 TKU327732 TUQ327732 UEM327732 UOI327732 UYE327732 VIA327732 VRW327732 WBS327732 WLO327732 WVK327732 C393268 IY393268 SU393268 ACQ393268 AMM393268 AWI393268 BGE393268 BQA393268 BZW393268 CJS393268 CTO393268 DDK393268 DNG393268 DXC393268 EGY393268 EQU393268 FAQ393268 FKM393268 FUI393268 GEE393268 GOA393268 GXW393268 HHS393268 HRO393268 IBK393268 ILG393268 IVC393268 JEY393268 JOU393268 JYQ393268 KIM393268 KSI393268 LCE393268 LMA393268 LVW393268 MFS393268 MPO393268 MZK393268 NJG393268 NTC393268 OCY393268 OMU393268 OWQ393268 PGM393268 PQI393268 QAE393268 QKA393268 QTW393268 RDS393268 RNO393268 RXK393268 SHG393268 SRC393268 TAY393268 TKU393268 TUQ393268 UEM393268 UOI393268 UYE393268 VIA393268 VRW393268 WBS393268 WLO393268 WVK393268 C458804 IY458804 SU458804 ACQ458804 AMM458804 AWI458804 BGE458804 BQA458804 BZW458804 CJS458804 CTO458804 DDK458804 DNG458804 DXC458804 EGY458804 EQU458804 FAQ458804 FKM458804 FUI458804 GEE458804 GOA458804 GXW458804 HHS458804 HRO458804 IBK458804 ILG458804 IVC458804 JEY458804 JOU458804 JYQ458804 KIM458804 KSI458804 LCE458804 LMA458804 LVW458804 MFS458804 MPO458804 MZK458804 NJG458804 NTC458804 OCY458804 OMU458804 OWQ458804 PGM458804 PQI458804 QAE458804 QKA458804 QTW458804 RDS458804 RNO458804 RXK458804 SHG458804 SRC458804 TAY458804 TKU458804 TUQ458804 UEM458804 UOI458804 UYE458804 VIA458804 VRW458804 WBS458804 WLO458804 WVK458804 C524340 IY524340 SU524340 ACQ524340 AMM524340 AWI524340 BGE524340 BQA524340 BZW524340 CJS524340 CTO524340 DDK524340 DNG524340 DXC524340 EGY524340 EQU524340 FAQ524340 FKM524340 FUI524340 GEE524340 GOA524340 GXW524340 HHS524340 HRO524340 IBK524340 ILG524340 IVC524340 JEY524340 JOU524340 JYQ524340 KIM524340 KSI524340 LCE524340 LMA524340 LVW524340 MFS524340 MPO524340 MZK524340 NJG524340 NTC524340 OCY524340 OMU524340 OWQ524340 PGM524340 PQI524340 QAE524340 QKA524340 QTW524340 RDS524340 RNO524340 RXK524340 SHG524340 SRC524340 TAY524340 TKU524340 TUQ524340 UEM524340 UOI524340 UYE524340 VIA524340 VRW524340 WBS524340 WLO524340 WVK524340 C589876 IY589876 SU589876 ACQ589876 AMM589876 AWI589876 BGE589876 BQA589876 BZW589876 CJS589876 CTO589876 DDK589876 DNG589876 DXC589876 EGY589876 EQU589876 FAQ589876 FKM589876 FUI589876 GEE589876 GOA589876 GXW589876 HHS589876 HRO589876 IBK589876 ILG589876 IVC589876 JEY589876 JOU589876 JYQ589876 KIM589876 KSI589876 LCE589876 LMA589876 LVW589876 MFS589876 MPO589876 MZK589876 NJG589876 NTC589876 OCY589876 OMU589876 OWQ589876 PGM589876 PQI589876 QAE589876 QKA589876 QTW589876 RDS589876 RNO589876 RXK589876 SHG589876 SRC589876 TAY589876 TKU589876 TUQ589876 UEM589876 UOI589876 UYE589876 VIA589876 VRW589876 WBS589876 WLO589876 WVK589876 C655412 IY655412 SU655412 ACQ655412 AMM655412 AWI655412 BGE655412 BQA655412 BZW655412 CJS655412 CTO655412 DDK655412 DNG655412 DXC655412 EGY655412 EQU655412 FAQ655412 FKM655412 FUI655412 GEE655412 GOA655412 GXW655412 HHS655412 HRO655412 IBK655412 ILG655412 IVC655412 JEY655412 JOU655412 JYQ655412 KIM655412 KSI655412 LCE655412 LMA655412 LVW655412 MFS655412 MPO655412 MZK655412 NJG655412 NTC655412 OCY655412 OMU655412 OWQ655412 PGM655412 PQI655412 QAE655412 QKA655412 QTW655412 RDS655412 RNO655412 RXK655412 SHG655412 SRC655412 TAY655412 TKU655412 TUQ655412 UEM655412 UOI655412 UYE655412 VIA655412 VRW655412 WBS655412 WLO655412 WVK655412 C720948 IY720948 SU720948 ACQ720948 AMM720948 AWI720948 BGE720948 BQA720948 BZW720948 CJS720948 CTO720948 DDK720948 DNG720948 DXC720948 EGY720948 EQU720948 FAQ720948 FKM720948 FUI720948 GEE720948 GOA720948 GXW720948 HHS720948 HRO720948 IBK720948 ILG720948 IVC720948 JEY720948 JOU720948 JYQ720948 KIM720948 KSI720948 LCE720948 LMA720948 LVW720948 MFS720948 MPO720948 MZK720948 NJG720948 NTC720948 OCY720948 OMU720948 OWQ720948 PGM720948 PQI720948 QAE720948 QKA720948 QTW720948 RDS720948 RNO720948 RXK720948 SHG720948 SRC720948 TAY720948 TKU720948 TUQ720948 UEM720948 UOI720948 UYE720948 VIA720948 VRW720948 WBS720948 WLO720948 WVK720948 C786484 IY786484 SU786484 ACQ786484 AMM786484 AWI786484 BGE786484 BQA786484 BZW786484 CJS786484 CTO786484 DDK786484 DNG786484 DXC786484 EGY786484 EQU786484 FAQ786484 FKM786484 FUI786484 GEE786484 GOA786484 GXW786484 HHS786484 HRO786484 IBK786484 ILG786484 IVC786484 JEY786484 JOU786484 JYQ786484 KIM786484 KSI786484 LCE786484 LMA786484 LVW786484 MFS786484 MPO786484 MZK786484 NJG786484 NTC786484 OCY786484 OMU786484 OWQ786484 PGM786484 PQI786484 QAE786484 QKA786484 QTW786484 RDS786484 RNO786484 RXK786484 SHG786484 SRC786484 TAY786484 TKU786484 TUQ786484 UEM786484 UOI786484 UYE786484 VIA786484 VRW786484 WBS786484 WLO786484 WVK786484 C852020 IY852020 SU852020 ACQ852020 AMM852020 AWI852020 BGE852020 BQA852020 BZW852020 CJS852020 CTO852020 DDK852020 DNG852020 DXC852020 EGY852020 EQU852020 FAQ852020 FKM852020 FUI852020 GEE852020 GOA852020 GXW852020 HHS852020 HRO852020 IBK852020 ILG852020 IVC852020 JEY852020 JOU852020 JYQ852020 KIM852020 KSI852020 LCE852020 LMA852020 LVW852020 MFS852020 MPO852020 MZK852020 NJG852020 NTC852020 OCY852020 OMU852020 OWQ852020 PGM852020 PQI852020 QAE852020 QKA852020 QTW852020 RDS852020 RNO852020 RXK852020 SHG852020 SRC852020 TAY852020 TKU852020 TUQ852020 UEM852020 UOI852020 UYE852020 VIA852020 VRW852020 WBS852020 WLO852020 WVK852020 C917556 IY917556 SU917556 ACQ917556 AMM917556 AWI917556 BGE917556 BQA917556 BZW917556 CJS917556 CTO917556 DDK917556 DNG917556 DXC917556 EGY917556 EQU917556 FAQ917556 FKM917556 FUI917556 GEE917556 GOA917556 GXW917556 HHS917556 HRO917556 IBK917556 ILG917556 IVC917556 JEY917556 JOU917556 JYQ917556 KIM917556 KSI917556 LCE917556 LMA917556 LVW917556 MFS917556 MPO917556 MZK917556 NJG917556 NTC917556 OCY917556 OMU917556 OWQ917556 PGM917556 PQI917556 QAE917556 QKA917556 QTW917556 RDS917556 RNO917556 RXK917556 SHG917556 SRC917556 TAY917556 TKU917556 TUQ917556 UEM917556 UOI917556 UYE917556 VIA917556 VRW917556 WBS917556 WLO917556 WVK917556 C983092 IY983092 SU983092 ACQ983092 AMM983092 AWI983092 BGE983092 BQA983092 BZW983092 CJS983092 CTO983092 DDK983092 DNG983092 DXC983092 EGY983092 EQU983092 FAQ983092 FKM983092 FUI983092 GEE983092 GOA983092 GXW983092 HHS983092 HRO983092 IBK983092 ILG983092 IVC983092 JEY983092 JOU983092 JYQ983092 KIM983092 KSI983092 LCE983092 LMA983092 LVW983092 MFS983092 MPO983092 MZK983092 NJG983092 NTC983092 OCY983092 OMU983092 OWQ983092 PGM983092 PQI983092 QAE983092 QKA983092 QTW983092 RDS983092 RNO983092 RXK983092 SHG983092 SRC983092 TAY983092 TKU983092 TUQ983092 UEM983092 UOI983092 UYE983092 VIA983092 VRW983092 WBS983092 WLO983092 WVK983092" xr:uid="{F5EEF8F6-606F-4528-BE97-F8B14FE6B90C}">
      <formula1>Type</formula1>
    </dataValidation>
    <dataValidation type="list" errorStyle="warning" allowBlank="1" showInputMessage="1" showErrorMessage="1" errorTitle="Non-standard size" error="Non-standard size._x000a_Note, units are in metres" sqref="WVK983086 IY41 SU41 ACQ41 AMM41 AWI41 BGE41 BQA41 BZW41 CJS41 CTO41 DDK41 DNG41 DXC41 EGY41 EQU41 FAQ41 FKM41 FUI41 GEE41 GOA41 GXW41 HHS41 HRO41 IBK41 ILG41 IVC41 JEY41 JOU41 JYQ41 KIM41 KSI41 LCE41 LMA41 LVW41 MFS41 MPO41 MZK41 NJG41 NTC41 OCY41 OMU41 OWQ41 PGM41 PQI41 QAE41 QKA41 QTW41 RDS41 RNO41 RXK41 SHG41 SRC41 TAY41 TKU41 TUQ41 UEM41 UOI41 UYE41 VIA41 VRW41 WBS41 WLO41 WVK41 C65582 IY65582 SU65582 ACQ65582 AMM65582 AWI65582 BGE65582 BQA65582 BZW65582 CJS65582 CTO65582 DDK65582 DNG65582 DXC65582 EGY65582 EQU65582 FAQ65582 FKM65582 FUI65582 GEE65582 GOA65582 GXW65582 HHS65582 HRO65582 IBK65582 ILG65582 IVC65582 JEY65582 JOU65582 JYQ65582 KIM65582 KSI65582 LCE65582 LMA65582 LVW65582 MFS65582 MPO65582 MZK65582 NJG65582 NTC65582 OCY65582 OMU65582 OWQ65582 PGM65582 PQI65582 QAE65582 QKA65582 QTW65582 RDS65582 RNO65582 RXK65582 SHG65582 SRC65582 TAY65582 TKU65582 TUQ65582 UEM65582 UOI65582 UYE65582 VIA65582 VRW65582 WBS65582 WLO65582 WVK65582 C131118 IY131118 SU131118 ACQ131118 AMM131118 AWI131118 BGE131118 BQA131118 BZW131118 CJS131118 CTO131118 DDK131118 DNG131118 DXC131118 EGY131118 EQU131118 FAQ131118 FKM131118 FUI131118 GEE131118 GOA131118 GXW131118 HHS131118 HRO131118 IBK131118 ILG131118 IVC131118 JEY131118 JOU131118 JYQ131118 KIM131118 KSI131118 LCE131118 LMA131118 LVW131118 MFS131118 MPO131118 MZK131118 NJG131118 NTC131118 OCY131118 OMU131118 OWQ131118 PGM131118 PQI131118 QAE131118 QKA131118 QTW131118 RDS131118 RNO131118 RXK131118 SHG131118 SRC131118 TAY131118 TKU131118 TUQ131118 UEM131118 UOI131118 UYE131118 VIA131118 VRW131118 WBS131118 WLO131118 WVK131118 C196654 IY196654 SU196654 ACQ196654 AMM196654 AWI196654 BGE196654 BQA196654 BZW196654 CJS196654 CTO196654 DDK196654 DNG196654 DXC196654 EGY196654 EQU196654 FAQ196654 FKM196654 FUI196654 GEE196654 GOA196654 GXW196654 HHS196654 HRO196654 IBK196654 ILG196654 IVC196654 JEY196654 JOU196654 JYQ196654 KIM196654 KSI196654 LCE196654 LMA196654 LVW196654 MFS196654 MPO196654 MZK196654 NJG196654 NTC196654 OCY196654 OMU196654 OWQ196654 PGM196654 PQI196654 QAE196654 QKA196654 QTW196654 RDS196654 RNO196654 RXK196654 SHG196654 SRC196654 TAY196654 TKU196654 TUQ196654 UEM196654 UOI196654 UYE196654 VIA196654 VRW196654 WBS196654 WLO196654 WVK196654 C262190 IY262190 SU262190 ACQ262190 AMM262190 AWI262190 BGE262190 BQA262190 BZW262190 CJS262190 CTO262190 DDK262190 DNG262190 DXC262190 EGY262190 EQU262190 FAQ262190 FKM262190 FUI262190 GEE262190 GOA262190 GXW262190 HHS262190 HRO262190 IBK262190 ILG262190 IVC262190 JEY262190 JOU262190 JYQ262190 KIM262190 KSI262190 LCE262190 LMA262190 LVW262190 MFS262190 MPO262190 MZK262190 NJG262190 NTC262190 OCY262190 OMU262190 OWQ262190 PGM262190 PQI262190 QAE262190 QKA262190 QTW262190 RDS262190 RNO262190 RXK262190 SHG262190 SRC262190 TAY262190 TKU262190 TUQ262190 UEM262190 UOI262190 UYE262190 VIA262190 VRW262190 WBS262190 WLO262190 WVK262190 C327726 IY327726 SU327726 ACQ327726 AMM327726 AWI327726 BGE327726 BQA327726 BZW327726 CJS327726 CTO327726 DDK327726 DNG327726 DXC327726 EGY327726 EQU327726 FAQ327726 FKM327726 FUI327726 GEE327726 GOA327726 GXW327726 HHS327726 HRO327726 IBK327726 ILG327726 IVC327726 JEY327726 JOU327726 JYQ327726 KIM327726 KSI327726 LCE327726 LMA327726 LVW327726 MFS327726 MPO327726 MZK327726 NJG327726 NTC327726 OCY327726 OMU327726 OWQ327726 PGM327726 PQI327726 QAE327726 QKA327726 QTW327726 RDS327726 RNO327726 RXK327726 SHG327726 SRC327726 TAY327726 TKU327726 TUQ327726 UEM327726 UOI327726 UYE327726 VIA327726 VRW327726 WBS327726 WLO327726 WVK327726 C393262 IY393262 SU393262 ACQ393262 AMM393262 AWI393262 BGE393262 BQA393262 BZW393262 CJS393262 CTO393262 DDK393262 DNG393262 DXC393262 EGY393262 EQU393262 FAQ393262 FKM393262 FUI393262 GEE393262 GOA393262 GXW393262 HHS393262 HRO393262 IBK393262 ILG393262 IVC393262 JEY393262 JOU393262 JYQ393262 KIM393262 KSI393262 LCE393262 LMA393262 LVW393262 MFS393262 MPO393262 MZK393262 NJG393262 NTC393262 OCY393262 OMU393262 OWQ393262 PGM393262 PQI393262 QAE393262 QKA393262 QTW393262 RDS393262 RNO393262 RXK393262 SHG393262 SRC393262 TAY393262 TKU393262 TUQ393262 UEM393262 UOI393262 UYE393262 VIA393262 VRW393262 WBS393262 WLO393262 WVK393262 C458798 IY458798 SU458798 ACQ458798 AMM458798 AWI458798 BGE458798 BQA458798 BZW458798 CJS458798 CTO458798 DDK458798 DNG458798 DXC458798 EGY458798 EQU458798 FAQ458798 FKM458798 FUI458798 GEE458798 GOA458798 GXW458798 HHS458798 HRO458798 IBK458798 ILG458798 IVC458798 JEY458798 JOU458798 JYQ458798 KIM458798 KSI458798 LCE458798 LMA458798 LVW458798 MFS458798 MPO458798 MZK458798 NJG458798 NTC458798 OCY458798 OMU458798 OWQ458798 PGM458798 PQI458798 QAE458798 QKA458798 QTW458798 RDS458798 RNO458798 RXK458798 SHG458798 SRC458798 TAY458798 TKU458798 TUQ458798 UEM458798 UOI458798 UYE458798 VIA458798 VRW458798 WBS458798 WLO458798 WVK458798 C524334 IY524334 SU524334 ACQ524334 AMM524334 AWI524334 BGE524334 BQA524334 BZW524334 CJS524334 CTO524334 DDK524334 DNG524334 DXC524334 EGY524334 EQU524334 FAQ524334 FKM524334 FUI524334 GEE524334 GOA524334 GXW524334 HHS524334 HRO524334 IBK524334 ILG524334 IVC524334 JEY524334 JOU524334 JYQ524334 KIM524334 KSI524334 LCE524334 LMA524334 LVW524334 MFS524334 MPO524334 MZK524334 NJG524334 NTC524334 OCY524334 OMU524334 OWQ524334 PGM524334 PQI524334 QAE524334 QKA524334 QTW524334 RDS524334 RNO524334 RXK524334 SHG524334 SRC524334 TAY524334 TKU524334 TUQ524334 UEM524334 UOI524334 UYE524334 VIA524334 VRW524334 WBS524334 WLO524334 WVK524334 C589870 IY589870 SU589870 ACQ589870 AMM589870 AWI589870 BGE589870 BQA589870 BZW589870 CJS589870 CTO589870 DDK589870 DNG589870 DXC589870 EGY589870 EQU589870 FAQ589870 FKM589870 FUI589870 GEE589870 GOA589870 GXW589870 HHS589870 HRO589870 IBK589870 ILG589870 IVC589870 JEY589870 JOU589870 JYQ589870 KIM589870 KSI589870 LCE589870 LMA589870 LVW589870 MFS589870 MPO589870 MZK589870 NJG589870 NTC589870 OCY589870 OMU589870 OWQ589870 PGM589870 PQI589870 QAE589870 QKA589870 QTW589870 RDS589870 RNO589870 RXK589870 SHG589870 SRC589870 TAY589870 TKU589870 TUQ589870 UEM589870 UOI589870 UYE589870 VIA589870 VRW589870 WBS589870 WLO589870 WVK589870 C655406 IY655406 SU655406 ACQ655406 AMM655406 AWI655406 BGE655406 BQA655406 BZW655406 CJS655406 CTO655406 DDK655406 DNG655406 DXC655406 EGY655406 EQU655406 FAQ655406 FKM655406 FUI655406 GEE655406 GOA655406 GXW655406 HHS655406 HRO655406 IBK655406 ILG655406 IVC655406 JEY655406 JOU655406 JYQ655406 KIM655406 KSI655406 LCE655406 LMA655406 LVW655406 MFS655406 MPO655406 MZK655406 NJG655406 NTC655406 OCY655406 OMU655406 OWQ655406 PGM655406 PQI655406 QAE655406 QKA655406 QTW655406 RDS655406 RNO655406 RXK655406 SHG655406 SRC655406 TAY655406 TKU655406 TUQ655406 UEM655406 UOI655406 UYE655406 VIA655406 VRW655406 WBS655406 WLO655406 WVK655406 C720942 IY720942 SU720942 ACQ720942 AMM720942 AWI720942 BGE720942 BQA720942 BZW720942 CJS720942 CTO720942 DDK720942 DNG720942 DXC720942 EGY720942 EQU720942 FAQ720942 FKM720942 FUI720942 GEE720942 GOA720942 GXW720942 HHS720942 HRO720942 IBK720942 ILG720942 IVC720942 JEY720942 JOU720942 JYQ720942 KIM720942 KSI720942 LCE720942 LMA720942 LVW720942 MFS720942 MPO720942 MZK720942 NJG720942 NTC720942 OCY720942 OMU720942 OWQ720942 PGM720942 PQI720942 QAE720942 QKA720942 QTW720942 RDS720942 RNO720942 RXK720942 SHG720942 SRC720942 TAY720942 TKU720942 TUQ720942 UEM720942 UOI720942 UYE720942 VIA720942 VRW720942 WBS720942 WLO720942 WVK720942 C786478 IY786478 SU786478 ACQ786478 AMM786478 AWI786478 BGE786478 BQA786478 BZW786478 CJS786478 CTO786478 DDK786478 DNG786478 DXC786478 EGY786478 EQU786478 FAQ786478 FKM786478 FUI786478 GEE786478 GOA786478 GXW786478 HHS786478 HRO786478 IBK786478 ILG786478 IVC786478 JEY786478 JOU786478 JYQ786478 KIM786478 KSI786478 LCE786478 LMA786478 LVW786478 MFS786478 MPO786478 MZK786478 NJG786478 NTC786478 OCY786478 OMU786478 OWQ786478 PGM786478 PQI786478 QAE786478 QKA786478 QTW786478 RDS786478 RNO786478 RXK786478 SHG786478 SRC786478 TAY786478 TKU786478 TUQ786478 UEM786478 UOI786478 UYE786478 VIA786478 VRW786478 WBS786478 WLO786478 WVK786478 C852014 IY852014 SU852014 ACQ852014 AMM852014 AWI852014 BGE852014 BQA852014 BZW852014 CJS852014 CTO852014 DDK852014 DNG852014 DXC852014 EGY852014 EQU852014 FAQ852014 FKM852014 FUI852014 GEE852014 GOA852014 GXW852014 HHS852014 HRO852014 IBK852014 ILG852014 IVC852014 JEY852014 JOU852014 JYQ852014 KIM852014 KSI852014 LCE852014 LMA852014 LVW852014 MFS852014 MPO852014 MZK852014 NJG852014 NTC852014 OCY852014 OMU852014 OWQ852014 PGM852014 PQI852014 QAE852014 QKA852014 QTW852014 RDS852014 RNO852014 RXK852014 SHG852014 SRC852014 TAY852014 TKU852014 TUQ852014 UEM852014 UOI852014 UYE852014 VIA852014 VRW852014 WBS852014 WLO852014 WVK852014 C917550 IY917550 SU917550 ACQ917550 AMM917550 AWI917550 BGE917550 BQA917550 BZW917550 CJS917550 CTO917550 DDK917550 DNG917550 DXC917550 EGY917550 EQU917550 FAQ917550 FKM917550 FUI917550 GEE917550 GOA917550 GXW917550 HHS917550 HRO917550 IBK917550 ILG917550 IVC917550 JEY917550 JOU917550 JYQ917550 KIM917550 KSI917550 LCE917550 LMA917550 LVW917550 MFS917550 MPO917550 MZK917550 NJG917550 NTC917550 OCY917550 OMU917550 OWQ917550 PGM917550 PQI917550 QAE917550 QKA917550 QTW917550 RDS917550 RNO917550 RXK917550 SHG917550 SRC917550 TAY917550 TKU917550 TUQ917550 UEM917550 UOI917550 UYE917550 VIA917550 VRW917550 WBS917550 WLO917550 WVK917550 C983086 IY983086 SU983086 ACQ983086 AMM983086 AWI983086 BGE983086 BQA983086 BZW983086 CJS983086 CTO983086 DDK983086 DNG983086 DXC983086 EGY983086 EQU983086 FAQ983086 FKM983086 FUI983086 GEE983086 GOA983086 GXW983086 HHS983086 HRO983086 IBK983086 ILG983086 IVC983086 JEY983086 JOU983086 JYQ983086 KIM983086 KSI983086 LCE983086 LMA983086 LVW983086 MFS983086 MPO983086 MZK983086 NJG983086 NTC983086 OCY983086 OMU983086 OWQ983086 PGM983086 PQI983086 QAE983086 QKA983086 QTW983086 RDS983086 RNO983086 RXK983086 SHG983086 SRC983086 TAY983086 TKU983086 TUQ983086 UEM983086 UOI983086 UYE983086 VIA983086 VRW983086 WBS983086 WLO983086 C40" xr:uid="{595123C2-5CCB-41BD-9FEE-1AC83FDCF03B}">
      <formula1>Bar</formula1>
    </dataValidation>
    <dataValidation type="list" errorStyle="warning" allowBlank="1" showInputMessage="1" showErrorMessage="1" errorTitle="Non-standard size" error="Non-standard size_x000a_Note, units are in metres" sqref="C48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89 IY65589 SU65589 ACQ65589 AMM65589 AWI65589 BGE65589 BQA65589 BZW65589 CJS65589 CTO65589 DDK65589 DNG65589 DXC65589 EGY65589 EQU65589 FAQ65589 FKM65589 FUI65589 GEE65589 GOA65589 GXW65589 HHS65589 HRO65589 IBK65589 ILG65589 IVC65589 JEY65589 JOU65589 JYQ65589 KIM65589 KSI65589 LCE65589 LMA65589 LVW65589 MFS65589 MPO65589 MZK65589 NJG65589 NTC65589 OCY65589 OMU65589 OWQ65589 PGM65589 PQI65589 QAE65589 QKA65589 QTW65589 RDS65589 RNO65589 RXK65589 SHG65589 SRC65589 TAY65589 TKU65589 TUQ65589 UEM65589 UOI65589 UYE65589 VIA65589 VRW65589 WBS65589 WLO65589 WVK65589 C131125 IY131125 SU131125 ACQ131125 AMM131125 AWI131125 BGE131125 BQA131125 BZW131125 CJS131125 CTO131125 DDK131125 DNG131125 DXC131125 EGY131125 EQU131125 FAQ131125 FKM131125 FUI131125 GEE131125 GOA131125 GXW131125 HHS131125 HRO131125 IBK131125 ILG131125 IVC131125 JEY131125 JOU131125 JYQ131125 KIM131125 KSI131125 LCE131125 LMA131125 LVW131125 MFS131125 MPO131125 MZK131125 NJG131125 NTC131125 OCY131125 OMU131125 OWQ131125 PGM131125 PQI131125 QAE131125 QKA131125 QTW131125 RDS131125 RNO131125 RXK131125 SHG131125 SRC131125 TAY131125 TKU131125 TUQ131125 UEM131125 UOI131125 UYE131125 VIA131125 VRW131125 WBS131125 WLO131125 WVK131125 C196661 IY196661 SU196661 ACQ196661 AMM196661 AWI196661 BGE196661 BQA196661 BZW196661 CJS196661 CTO196661 DDK196661 DNG196661 DXC196661 EGY196661 EQU196661 FAQ196661 FKM196661 FUI196661 GEE196661 GOA196661 GXW196661 HHS196661 HRO196661 IBK196661 ILG196661 IVC196661 JEY196661 JOU196661 JYQ196661 KIM196661 KSI196661 LCE196661 LMA196661 LVW196661 MFS196661 MPO196661 MZK196661 NJG196661 NTC196661 OCY196661 OMU196661 OWQ196661 PGM196661 PQI196661 QAE196661 QKA196661 QTW196661 RDS196661 RNO196661 RXK196661 SHG196661 SRC196661 TAY196661 TKU196661 TUQ196661 UEM196661 UOI196661 UYE196661 VIA196661 VRW196661 WBS196661 WLO196661 WVK196661 C262197 IY262197 SU262197 ACQ262197 AMM262197 AWI262197 BGE262197 BQA262197 BZW262197 CJS262197 CTO262197 DDK262197 DNG262197 DXC262197 EGY262197 EQU262197 FAQ262197 FKM262197 FUI262197 GEE262197 GOA262197 GXW262197 HHS262197 HRO262197 IBK262197 ILG262197 IVC262197 JEY262197 JOU262197 JYQ262197 KIM262197 KSI262197 LCE262197 LMA262197 LVW262197 MFS262197 MPO262197 MZK262197 NJG262197 NTC262197 OCY262197 OMU262197 OWQ262197 PGM262197 PQI262197 QAE262197 QKA262197 QTW262197 RDS262197 RNO262197 RXK262197 SHG262197 SRC262197 TAY262197 TKU262197 TUQ262197 UEM262197 UOI262197 UYE262197 VIA262197 VRW262197 WBS262197 WLO262197 WVK262197 C327733 IY327733 SU327733 ACQ327733 AMM327733 AWI327733 BGE327733 BQA327733 BZW327733 CJS327733 CTO327733 DDK327733 DNG327733 DXC327733 EGY327733 EQU327733 FAQ327733 FKM327733 FUI327733 GEE327733 GOA327733 GXW327733 HHS327733 HRO327733 IBK327733 ILG327733 IVC327733 JEY327733 JOU327733 JYQ327733 KIM327733 KSI327733 LCE327733 LMA327733 LVW327733 MFS327733 MPO327733 MZK327733 NJG327733 NTC327733 OCY327733 OMU327733 OWQ327733 PGM327733 PQI327733 QAE327733 QKA327733 QTW327733 RDS327733 RNO327733 RXK327733 SHG327733 SRC327733 TAY327733 TKU327733 TUQ327733 UEM327733 UOI327733 UYE327733 VIA327733 VRW327733 WBS327733 WLO327733 WVK327733 C393269 IY393269 SU393269 ACQ393269 AMM393269 AWI393269 BGE393269 BQA393269 BZW393269 CJS393269 CTO393269 DDK393269 DNG393269 DXC393269 EGY393269 EQU393269 FAQ393269 FKM393269 FUI393269 GEE393269 GOA393269 GXW393269 HHS393269 HRO393269 IBK393269 ILG393269 IVC393269 JEY393269 JOU393269 JYQ393269 KIM393269 KSI393269 LCE393269 LMA393269 LVW393269 MFS393269 MPO393269 MZK393269 NJG393269 NTC393269 OCY393269 OMU393269 OWQ393269 PGM393269 PQI393269 QAE393269 QKA393269 QTW393269 RDS393269 RNO393269 RXK393269 SHG393269 SRC393269 TAY393269 TKU393269 TUQ393269 UEM393269 UOI393269 UYE393269 VIA393269 VRW393269 WBS393269 WLO393269 WVK393269 C458805 IY458805 SU458805 ACQ458805 AMM458805 AWI458805 BGE458805 BQA458805 BZW458805 CJS458805 CTO458805 DDK458805 DNG458805 DXC458805 EGY458805 EQU458805 FAQ458805 FKM458805 FUI458805 GEE458805 GOA458805 GXW458805 HHS458805 HRO458805 IBK458805 ILG458805 IVC458805 JEY458805 JOU458805 JYQ458805 KIM458805 KSI458805 LCE458805 LMA458805 LVW458805 MFS458805 MPO458805 MZK458805 NJG458805 NTC458805 OCY458805 OMU458805 OWQ458805 PGM458805 PQI458805 QAE458805 QKA458805 QTW458805 RDS458805 RNO458805 RXK458805 SHG458805 SRC458805 TAY458805 TKU458805 TUQ458805 UEM458805 UOI458805 UYE458805 VIA458805 VRW458805 WBS458805 WLO458805 WVK458805 C524341 IY524341 SU524341 ACQ524341 AMM524341 AWI524341 BGE524341 BQA524341 BZW524341 CJS524341 CTO524341 DDK524341 DNG524341 DXC524341 EGY524341 EQU524341 FAQ524341 FKM524341 FUI524341 GEE524341 GOA524341 GXW524341 HHS524341 HRO524341 IBK524341 ILG524341 IVC524341 JEY524341 JOU524341 JYQ524341 KIM524341 KSI524341 LCE524341 LMA524341 LVW524341 MFS524341 MPO524341 MZK524341 NJG524341 NTC524341 OCY524341 OMU524341 OWQ524341 PGM524341 PQI524341 QAE524341 QKA524341 QTW524341 RDS524341 RNO524341 RXK524341 SHG524341 SRC524341 TAY524341 TKU524341 TUQ524341 UEM524341 UOI524341 UYE524341 VIA524341 VRW524341 WBS524341 WLO524341 WVK524341 C589877 IY589877 SU589877 ACQ589877 AMM589877 AWI589877 BGE589877 BQA589877 BZW589877 CJS589877 CTO589877 DDK589877 DNG589877 DXC589877 EGY589877 EQU589877 FAQ589877 FKM589877 FUI589877 GEE589877 GOA589877 GXW589877 HHS589877 HRO589877 IBK589877 ILG589877 IVC589877 JEY589877 JOU589877 JYQ589877 KIM589877 KSI589877 LCE589877 LMA589877 LVW589877 MFS589877 MPO589877 MZK589877 NJG589877 NTC589877 OCY589877 OMU589877 OWQ589877 PGM589877 PQI589877 QAE589877 QKA589877 QTW589877 RDS589877 RNO589877 RXK589877 SHG589877 SRC589877 TAY589877 TKU589877 TUQ589877 UEM589877 UOI589877 UYE589877 VIA589877 VRW589877 WBS589877 WLO589877 WVK589877 C655413 IY655413 SU655413 ACQ655413 AMM655413 AWI655413 BGE655413 BQA655413 BZW655413 CJS655413 CTO655413 DDK655413 DNG655413 DXC655413 EGY655413 EQU655413 FAQ655413 FKM655413 FUI655413 GEE655413 GOA655413 GXW655413 HHS655413 HRO655413 IBK655413 ILG655413 IVC655413 JEY655413 JOU655413 JYQ655413 KIM655413 KSI655413 LCE655413 LMA655413 LVW655413 MFS655413 MPO655413 MZK655413 NJG655413 NTC655413 OCY655413 OMU655413 OWQ655413 PGM655413 PQI655413 QAE655413 QKA655413 QTW655413 RDS655413 RNO655413 RXK655413 SHG655413 SRC655413 TAY655413 TKU655413 TUQ655413 UEM655413 UOI655413 UYE655413 VIA655413 VRW655413 WBS655413 WLO655413 WVK655413 C720949 IY720949 SU720949 ACQ720949 AMM720949 AWI720949 BGE720949 BQA720949 BZW720949 CJS720949 CTO720949 DDK720949 DNG720949 DXC720949 EGY720949 EQU720949 FAQ720949 FKM720949 FUI720949 GEE720949 GOA720949 GXW720949 HHS720949 HRO720949 IBK720949 ILG720949 IVC720949 JEY720949 JOU720949 JYQ720949 KIM720949 KSI720949 LCE720949 LMA720949 LVW720949 MFS720949 MPO720949 MZK720949 NJG720949 NTC720949 OCY720949 OMU720949 OWQ720949 PGM720949 PQI720949 QAE720949 QKA720949 QTW720949 RDS720949 RNO720949 RXK720949 SHG720949 SRC720949 TAY720949 TKU720949 TUQ720949 UEM720949 UOI720949 UYE720949 VIA720949 VRW720949 WBS720949 WLO720949 WVK720949 C786485 IY786485 SU786485 ACQ786485 AMM786485 AWI786485 BGE786485 BQA786485 BZW786485 CJS786485 CTO786485 DDK786485 DNG786485 DXC786485 EGY786485 EQU786485 FAQ786485 FKM786485 FUI786485 GEE786485 GOA786485 GXW786485 HHS786485 HRO786485 IBK786485 ILG786485 IVC786485 JEY786485 JOU786485 JYQ786485 KIM786485 KSI786485 LCE786485 LMA786485 LVW786485 MFS786485 MPO786485 MZK786485 NJG786485 NTC786485 OCY786485 OMU786485 OWQ786485 PGM786485 PQI786485 QAE786485 QKA786485 QTW786485 RDS786485 RNO786485 RXK786485 SHG786485 SRC786485 TAY786485 TKU786485 TUQ786485 UEM786485 UOI786485 UYE786485 VIA786485 VRW786485 WBS786485 WLO786485 WVK786485 C852021 IY852021 SU852021 ACQ852021 AMM852021 AWI852021 BGE852021 BQA852021 BZW852021 CJS852021 CTO852021 DDK852021 DNG852021 DXC852021 EGY852021 EQU852021 FAQ852021 FKM852021 FUI852021 GEE852021 GOA852021 GXW852021 HHS852021 HRO852021 IBK852021 ILG852021 IVC852021 JEY852021 JOU852021 JYQ852021 KIM852021 KSI852021 LCE852021 LMA852021 LVW852021 MFS852021 MPO852021 MZK852021 NJG852021 NTC852021 OCY852021 OMU852021 OWQ852021 PGM852021 PQI852021 QAE852021 QKA852021 QTW852021 RDS852021 RNO852021 RXK852021 SHG852021 SRC852021 TAY852021 TKU852021 TUQ852021 UEM852021 UOI852021 UYE852021 VIA852021 VRW852021 WBS852021 WLO852021 WVK852021 C917557 IY917557 SU917557 ACQ917557 AMM917557 AWI917557 BGE917557 BQA917557 BZW917557 CJS917557 CTO917557 DDK917557 DNG917557 DXC917557 EGY917557 EQU917557 FAQ917557 FKM917557 FUI917557 GEE917557 GOA917557 GXW917557 HHS917557 HRO917557 IBK917557 ILG917557 IVC917557 JEY917557 JOU917557 JYQ917557 KIM917557 KSI917557 LCE917557 LMA917557 LVW917557 MFS917557 MPO917557 MZK917557 NJG917557 NTC917557 OCY917557 OMU917557 OWQ917557 PGM917557 PQI917557 QAE917557 QKA917557 QTW917557 RDS917557 RNO917557 RXK917557 SHG917557 SRC917557 TAY917557 TKU917557 TUQ917557 UEM917557 UOI917557 UYE917557 VIA917557 VRW917557 WBS917557 WLO917557 WVK917557 C983093 IY983093 SU983093 ACQ983093 AMM983093 AWI983093 BGE983093 BQA983093 BZW983093 CJS983093 CTO983093 DDK983093 DNG983093 DXC983093 EGY983093 EQU983093 FAQ983093 FKM983093 FUI983093 GEE983093 GOA983093 GXW983093 HHS983093 HRO983093 IBK983093 ILG983093 IVC983093 JEY983093 JOU983093 JYQ983093 KIM983093 KSI983093 LCE983093 LMA983093 LVW983093 MFS983093 MPO983093 MZK983093 NJG983093 NTC983093 OCY983093 OMU983093 OWQ983093 PGM983093 PQI983093 QAE983093 QKA983093 QTW983093 RDS983093 RNO983093 RXK983093 SHG983093 SRC983093 TAY983093 TKU983093 TUQ983093 UEM983093 UOI983093 UYE983093 VIA983093 VRW983093 WBS983093 WLO983093 WVK983093" xr:uid="{80A07FF2-3BAB-4AB0-BC3E-46D23C65E699}">
      <formula1>Link</formula1>
    </dataValidation>
    <dataValidation type="list" allowBlank="1" showInputMessage="1" showErrorMessage="1" prompt="1.50 generally._x000a_1.65 typical if cast against ground." sqref="C27 IY27 SU27 ACQ27 AMM27 AWI27 BGE27 BQA27 BZW27 CJS27 CTO27 DDK27 DNG27 DXC27 EGY27 EQU27 FAQ27 FKM27 FUI27 GEE27 GOA27 GXW27 HHS27 HRO27 IBK27 ILG27 IVC27 JEY27 JOU27 JYQ27 KIM27 KSI27 LCE27 LMA27 LVW27 MFS27 MPO27 MZK27 NJG27 NTC27 OCY27 OMU27 OWQ27 PGM27 PQI27 QAE27 QKA27 QTW27 RDS27 RNO27 RXK27 SHG27 SRC27 TAY27 TKU27 TUQ27 UEM27 UOI27 UYE27 VIA27 VRW27 WBS27 WLO27 WVK27 C65568 IY65568 SU65568 ACQ65568 AMM65568 AWI65568 BGE65568 BQA65568 BZW65568 CJS65568 CTO65568 DDK65568 DNG65568 DXC65568 EGY65568 EQU65568 FAQ65568 FKM65568 FUI65568 GEE65568 GOA65568 GXW65568 HHS65568 HRO65568 IBK65568 ILG65568 IVC65568 JEY65568 JOU65568 JYQ65568 KIM65568 KSI65568 LCE65568 LMA65568 LVW65568 MFS65568 MPO65568 MZK65568 NJG65568 NTC65568 OCY65568 OMU65568 OWQ65568 PGM65568 PQI65568 QAE65568 QKA65568 QTW65568 RDS65568 RNO65568 RXK65568 SHG65568 SRC65568 TAY65568 TKU65568 TUQ65568 UEM65568 UOI65568 UYE65568 VIA65568 VRW65568 WBS65568 WLO65568 WVK65568 C131104 IY131104 SU131104 ACQ131104 AMM131104 AWI131104 BGE131104 BQA131104 BZW131104 CJS131104 CTO131104 DDK131104 DNG131104 DXC131104 EGY131104 EQU131104 FAQ131104 FKM131104 FUI131104 GEE131104 GOA131104 GXW131104 HHS131104 HRO131104 IBK131104 ILG131104 IVC131104 JEY131104 JOU131104 JYQ131104 KIM131104 KSI131104 LCE131104 LMA131104 LVW131104 MFS131104 MPO131104 MZK131104 NJG131104 NTC131104 OCY131104 OMU131104 OWQ131104 PGM131104 PQI131104 QAE131104 QKA131104 QTW131104 RDS131104 RNO131104 RXK131104 SHG131104 SRC131104 TAY131104 TKU131104 TUQ131104 UEM131104 UOI131104 UYE131104 VIA131104 VRW131104 WBS131104 WLO131104 WVK131104 C196640 IY196640 SU196640 ACQ196640 AMM196640 AWI196640 BGE196640 BQA196640 BZW196640 CJS196640 CTO196640 DDK196640 DNG196640 DXC196640 EGY196640 EQU196640 FAQ196640 FKM196640 FUI196640 GEE196640 GOA196640 GXW196640 HHS196640 HRO196640 IBK196640 ILG196640 IVC196640 JEY196640 JOU196640 JYQ196640 KIM196640 KSI196640 LCE196640 LMA196640 LVW196640 MFS196640 MPO196640 MZK196640 NJG196640 NTC196640 OCY196640 OMU196640 OWQ196640 PGM196640 PQI196640 QAE196640 QKA196640 QTW196640 RDS196640 RNO196640 RXK196640 SHG196640 SRC196640 TAY196640 TKU196640 TUQ196640 UEM196640 UOI196640 UYE196640 VIA196640 VRW196640 WBS196640 WLO196640 WVK196640 C262176 IY262176 SU262176 ACQ262176 AMM262176 AWI262176 BGE262176 BQA262176 BZW262176 CJS262176 CTO262176 DDK262176 DNG262176 DXC262176 EGY262176 EQU262176 FAQ262176 FKM262176 FUI262176 GEE262176 GOA262176 GXW262176 HHS262176 HRO262176 IBK262176 ILG262176 IVC262176 JEY262176 JOU262176 JYQ262176 KIM262176 KSI262176 LCE262176 LMA262176 LVW262176 MFS262176 MPO262176 MZK262176 NJG262176 NTC262176 OCY262176 OMU262176 OWQ262176 PGM262176 PQI262176 QAE262176 QKA262176 QTW262176 RDS262176 RNO262176 RXK262176 SHG262176 SRC262176 TAY262176 TKU262176 TUQ262176 UEM262176 UOI262176 UYE262176 VIA262176 VRW262176 WBS262176 WLO262176 WVK262176 C327712 IY327712 SU327712 ACQ327712 AMM327712 AWI327712 BGE327712 BQA327712 BZW327712 CJS327712 CTO327712 DDK327712 DNG327712 DXC327712 EGY327712 EQU327712 FAQ327712 FKM327712 FUI327712 GEE327712 GOA327712 GXW327712 HHS327712 HRO327712 IBK327712 ILG327712 IVC327712 JEY327712 JOU327712 JYQ327712 KIM327712 KSI327712 LCE327712 LMA327712 LVW327712 MFS327712 MPO327712 MZK327712 NJG327712 NTC327712 OCY327712 OMU327712 OWQ327712 PGM327712 PQI327712 QAE327712 QKA327712 QTW327712 RDS327712 RNO327712 RXK327712 SHG327712 SRC327712 TAY327712 TKU327712 TUQ327712 UEM327712 UOI327712 UYE327712 VIA327712 VRW327712 WBS327712 WLO327712 WVK327712 C393248 IY393248 SU393248 ACQ393248 AMM393248 AWI393248 BGE393248 BQA393248 BZW393248 CJS393248 CTO393248 DDK393248 DNG393248 DXC393248 EGY393248 EQU393248 FAQ393248 FKM393248 FUI393248 GEE393248 GOA393248 GXW393248 HHS393248 HRO393248 IBK393248 ILG393248 IVC393248 JEY393248 JOU393248 JYQ393248 KIM393248 KSI393248 LCE393248 LMA393248 LVW393248 MFS393248 MPO393248 MZK393248 NJG393248 NTC393248 OCY393248 OMU393248 OWQ393248 PGM393248 PQI393248 QAE393248 QKA393248 QTW393248 RDS393248 RNO393248 RXK393248 SHG393248 SRC393248 TAY393248 TKU393248 TUQ393248 UEM393248 UOI393248 UYE393248 VIA393248 VRW393248 WBS393248 WLO393248 WVK393248 C458784 IY458784 SU458784 ACQ458784 AMM458784 AWI458784 BGE458784 BQA458784 BZW458784 CJS458784 CTO458784 DDK458784 DNG458784 DXC458784 EGY458784 EQU458784 FAQ458784 FKM458784 FUI458784 GEE458784 GOA458784 GXW458784 HHS458784 HRO458784 IBK458784 ILG458784 IVC458784 JEY458784 JOU458784 JYQ458784 KIM458784 KSI458784 LCE458784 LMA458784 LVW458784 MFS458784 MPO458784 MZK458784 NJG458784 NTC458784 OCY458784 OMU458784 OWQ458784 PGM458784 PQI458784 QAE458784 QKA458784 QTW458784 RDS458784 RNO458784 RXK458784 SHG458784 SRC458784 TAY458784 TKU458784 TUQ458784 UEM458784 UOI458784 UYE458784 VIA458784 VRW458784 WBS458784 WLO458784 WVK458784 C524320 IY524320 SU524320 ACQ524320 AMM524320 AWI524320 BGE524320 BQA524320 BZW524320 CJS524320 CTO524320 DDK524320 DNG524320 DXC524320 EGY524320 EQU524320 FAQ524320 FKM524320 FUI524320 GEE524320 GOA524320 GXW524320 HHS524320 HRO524320 IBK524320 ILG524320 IVC524320 JEY524320 JOU524320 JYQ524320 KIM524320 KSI524320 LCE524320 LMA524320 LVW524320 MFS524320 MPO524320 MZK524320 NJG524320 NTC524320 OCY524320 OMU524320 OWQ524320 PGM524320 PQI524320 QAE524320 QKA524320 QTW524320 RDS524320 RNO524320 RXK524320 SHG524320 SRC524320 TAY524320 TKU524320 TUQ524320 UEM524320 UOI524320 UYE524320 VIA524320 VRW524320 WBS524320 WLO524320 WVK524320 C589856 IY589856 SU589856 ACQ589856 AMM589856 AWI589856 BGE589856 BQA589856 BZW589856 CJS589856 CTO589856 DDK589856 DNG589856 DXC589856 EGY589856 EQU589856 FAQ589856 FKM589856 FUI589856 GEE589856 GOA589856 GXW589856 HHS589856 HRO589856 IBK589856 ILG589856 IVC589856 JEY589856 JOU589856 JYQ589856 KIM589856 KSI589856 LCE589856 LMA589856 LVW589856 MFS589856 MPO589856 MZK589856 NJG589856 NTC589856 OCY589856 OMU589856 OWQ589856 PGM589856 PQI589856 QAE589856 QKA589856 QTW589856 RDS589856 RNO589856 RXK589856 SHG589856 SRC589856 TAY589856 TKU589856 TUQ589856 UEM589856 UOI589856 UYE589856 VIA589856 VRW589856 WBS589856 WLO589856 WVK589856 C655392 IY655392 SU655392 ACQ655392 AMM655392 AWI655392 BGE655392 BQA655392 BZW655392 CJS655392 CTO655392 DDK655392 DNG655392 DXC655392 EGY655392 EQU655392 FAQ655392 FKM655392 FUI655392 GEE655392 GOA655392 GXW655392 HHS655392 HRO655392 IBK655392 ILG655392 IVC655392 JEY655392 JOU655392 JYQ655392 KIM655392 KSI655392 LCE655392 LMA655392 LVW655392 MFS655392 MPO655392 MZK655392 NJG655392 NTC655392 OCY655392 OMU655392 OWQ655392 PGM655392 PQI655392 QAE655392 QKA655392 QTW655392 RDS655392 RNO655392 RXK655392 SHG655392 SRC655392 TAY655392 TKU655392 TUQ655392 UEM655392 UOI655392 UYE655392 VIA655392 VRW655392 WBS655392 WLO655392 WVK655392 C720928 IY720928 SU720928 ACQ720928 AMM720928 AWI720928 BGE720928 BQA720928 BZW720928 CJS720928 CTO720928 DDK720928 DNG720928 DXC720928 EGY720928 EQU720928 FAQ720928 FKM720928 FUI720928 GEE720928 GOA720928 GXW720928 HHS720928 HRO720928 IBK720928 ILG720928 IVC720928 JEY720928 JOU720928 JYQ720928 KIM720928 KSI720928 LCE720928 LMA720928 LVW720928 MFS720928 MPO720928 MZK720928 NJG720928 NTC720928 OCY720928 OMU720928 OWQ720928 PGM720928 PQI720928 QAE720928 QKA720928 QTW720928 RDS720928 RNO720928 RXK720928 SHG720928 SRC720928 TAY720928 TKU720928 TUQ720928 UEM720928 UOI720928 UYE720928 VIA720928 VRW720928 WBS720928 WLO720928 WVK720928 C786464 IY786464 SU786464 ACQ786464 AMM786464 AWI786464 BGE786464 BQA786464 BZW786464 CJS786464 CTO786464 DDK786464 DNG786464 DXC786464 EGY786464 EQU786464 FAQ786464 FKM786464 FUI786464 GEE786464 GOA786464 GXW786464 HHS786464 HRO786464 IBK786464 ILG786464 IVC786464 JEY786464 JOU786464 JYQ786464 KIM786464 KSI786464 LCE786464 LMA786464 LVW786464 MFS786464 MPO786464 MZK786464 NJG786464 NTC786464 OCY786464 OMU786464 OWQ786464 PGM786464 PQI786464 QAE786464 QKA786464 QTW786464 RDS786464 RNO786464 RXK786464 SHG786464 SRC786464 TAY786464 TKU786464 TUQ786464 UEM786464 UOI786464 UYE786464 VIA786464 VRW786464 WBS786464 WLO786464 WVK786464 C852000 IY852000 SU852000 ACQ852000 AMM852000 AWI852000 BGE852000 BQA852000 BZW852000 CJS852000 CTO852000 DDK852000 DNG852000 DXC852000 EGY852000 EQU852000 FAQ852000 FKM852000 FUI852000 GEE852000 GOA852000 GXW852000 HHS852000 HRO852000 IBK852000 ILG852000 IVC852000 JEY852000 JOU852000 JYQ852000 KIM852000 KSI852000 LCE852000 LMA852000 LVW852000 MFS852000 MPO852000 MZK852000 NJG852000 NTC852000 OCY852000 OMU852000 OWQ852000 PGM852000 PQI852000 QAE852000 QKA852000 QTW852000 RDS852000 RNO852000 RXK852000 SHG852000 SRC852000 TAY852000 TKU852000 TUQ852000 UEM852000 UOI852000 UYE852000 VIA852000 VRW852000 WBS852000 WLO852000 WVK852000 C917536 IY917536 SU917536 ACQ917536 AMM917536 AWI917536 BGE917536 BQA917536 BZW917536 CJS917536 CTO917536 DDK917536 DNG917536 DXC917536 EGY917536 EQU917536 FAQ917536 FKM917536 FUI917536 GEE917536 GOA917536 GXW917536 HHS917536 HRO917536 IBK917536 ILG917536 IVC917536 JEY917536 JOU917536 JYQ917536 KIM917536 KSI917536 LCE917536 LMA917536 LVW917536 MFS917536 MPO917536 MZK917536 NJG917536 NTC917536 OCY917536 OMU917536 OWQ917536 PGM917536 PQI917536 QAE917536 QKA917536 QTW917536 RDS917536 RNO917536 RXK917536 SHG917536 SRC917536 TAY917536 TKU917536 TUQ917536 UEM917536 UOI917536 UYE917536 VIA917536 VRW917536 WBS917536 WLO917536 WVK917536 C983072 IY983072 SU983072 ACQ983072 AMM983072 AWI983072 BGE983072 BQA983072 BZW983072 CJS983072 CTO983072 DDK983072 DNG983072 DXC983072 EGY983072 EQU983072 FAQ983072 FKM983072 FUI983072 GEE983072 GOA983072 GXW983072 HHS983072 HRO983072 IBK983072 ILG983072 IVC983072 JEY983072 JOU983072 JYQ983072 KIM983072 KSI983072 LCE983072 LMA983072 LVW983072 MFS983072 MPO983072 MZK983072 NJG983072 NTC983072 OCY983072 OMU983072 OWQ983072 PGM983072 PQI983072 QAE983072 QKA983072 QTW983072 RDS983072 RNO983072 RXK983072 SHG983072 SRC983072 TAY983072 TKU983072 TUQ983072 UEM983072 UOI983072 UYE983072 VIA983072 VRW983072 WBS983072 WLO983072 WVK983072" xr:uid="{048A3F11-6D0E-439F-8853-B3F514EB902F}">
      <formula1>GammaC</formula1>
    </dataValidation>
    <dataValidation type="list" allowBlank="1" showInputMessage="1" showErrorMessage="1" promptTitle="Alpha.cc" prompt="Widely accepted = 1.0 for shear where multiplying fcd by nu1_x000a__x000a_However, NA to BS EN1992-1-1 is not explicit on this. Some references suggest = 0.85" sqref="C30 IY30 SU30 ACQ30 AMM30 AWI30 BGE30 BQA30 BZW30 CJS30 CTO30 DDK30 DNG30 DXC30 EGY30 EQU30 FAQ30 FKM30 FUI30 GEE30 GOA30 GXW30 HHS30 HRO30 IBK30 ILG30 IVC30 JEY30 JOU30 JYQ30 KIM30 KSI30 LCE30 LMA30 LVW30 MFS30 MPO30 MZK30 NJG30 NTC30 OCY30 OMU30 OWQ30 PGM30 PQI30 QAE30 QKA30 QTW30 RDS30 RNO30 RXK30 SHG30 SRC30 TAY30 TKU30 TUQ30 UEM30 UOI30 UYE30 VIA30 VRW30 WBS30 WLO30 WVK30 C65571 IY65571 SU65571 ACQ65571 AMM65571 AWI65571 BGE65571 BQA65571 BZW65571 CJS65571 CTO65571 DDK65571 DNG65571 DXC65571 EGY65571 EQU65571 FAQ65571 FKM65571 FUI65571 GEE65571 GOA65571 GXW65571 HHS65571 HRO65571 IBK65571 ILG65571 IVC65571 JEY65571 JOU65571 JYQ65571 KIM65571 KSI65571 LCE65571 LMA65571 LVW65571 MFS65571 MPO65571 MZK65571 NJG65571 NTC65571 OCY65571 OMU65571 OWQ65571 PGM65571 PQI65571 QAE65571 QKA65571 QTW65571 RDS65571 RNO65571 RXK65571 SHG65571 SRC65571 TAY65571 TKU65571 TUQ65571 UEM65571 UOI65571 UYE65571 VIA65571 VRW65571 WBS65571 WLO65571 WVK65571 C131107 IY131107 SU131107 ACQ131107 AMM131107 AWI131107 BGE131107 BQA131107 BZW131107 CJS131107 CTO131107 DDK131107 DNG131107 DXC131107 EGY131107 EQU131107 FAQ131107 FKM131107 FUI131107 GEE131107 GOA131107 GXW131107 HHS131107 HRO131107 IBK131107 ILG131107 IVC131107 JEY131107 JOU131107 JYQ131107 KIM131107 KSI131107 LCE131107 LMA131107 LVW131107 MFS131107 MPO131107 MZK131107 NJG131107 NTC131107 OCY131107 OMU131107 OWQ131107 PGM131107 PQI131107 QAE131107 QKA131107 QTW131107 RDS131107 RNO131107 RXK131107 SHG131107 SRC131107 TAY131107 TKU131107 TUQ131107 UEM131107 UOI131107 UYE131107 VIA131107 VRW131107 WBS131107 WLO131107 WVK131107 C196643 IY196643 SU196643 ACQ196643 AMM196643 AWI196643 BGE196643 BQA196643 BZW196643 CJS196643 CTO196643 DDK196643 DNG196643 DXC196643 EGY196643 EQU196643 FAQ196643 FKM196643 FUI196643 GEE196643 GOA196643 GXW196643 HHS196643 HRO196643 IBK196643 ILG196643 IVC196643 JEY196643 JOU196643 JYQ196643 KIM196643 KSI196643 LCE196643 LMA196643 LVW196643 MFS196643 MPO196643 MZK196643 NJG196643 NTC196643 OCY196643 OMU196643 OWQ196643 PGM196643 PQI196643 QAE196643 QKA196643 QTW196643 RDS196643 RNO196643 RXK196643 SHG196643 SRC196643 TAY196643 TKU196643 TUQ196643 UEM196643 UOI196643 UYE196643 VIA196643 VRW196643 WBS196643 WLO196643 WVK196643 C262179 IY262179 SU262179 ACQ262179 AMM262179 AWI262179 BGE262179 BQA262179 BZW262179 CJS262179 CTO262179 DDK262179 DNG262179 DXC262179 EGY262179 EQU262179 FAQ262179 FKM262179 FUI262179 GEE262179 GOA262179 GXW262179 HHS262179 HRO262179 IBK262179 ILG262179 IVC262179 JEY262179 JOU262179 JYQ262179 KIM262179 KSI262179 LCE262179 LMA262179 LVW262179 MFS262179 MPO262179 MZK262179 NJG262179 NTC262179 OCY262179 OMU262179 OWQ262179 PGM262179 PQI262179 QAE262179 QKA262179 QTW262179 RDS262179 RNO262179 RXK262179 SHG262179 SRC262179 TAY262179 TKU262179 TUQ262179 UEM262179 UOI262179 UYE262179 VIA262179 VRW262179 WBS262179 WLO262179 WVK262179 C327715 IY327715 SU327715 ACQ327715 AMM327715 AWI327715 BGE327715 BQA327715 BZW327715 CJS327715 CTO327715 DDK327715 DNG327715 DXC327715 EGY327715 EQU327715 FAQ327715 FKM327715 FUI327715 GEE327715 GOA327715 GXW327715 HHS327715 HRO327715 IBK327715 ILG327715 IVC327715 JEY327715 JOU327715 JYQ327715 KIM327715 KSI327715 LCE327715 LMA327715 LVW327715 MFS327715 MPO327715 MZK327715 NJG327715 NTC327715 OCY327715 OMU327715 OWQ327715 PGM327715 PQI327715 QAE327715 QKA327715 QTW327715 RDS327715 RNO327715 RXK327715 SHG327715 SRC327715 TAY327715 TKU327715 TUQ327715 UEM327715 UOI327715 UYE327715 VIA327715 VRW327715 WBS327715 WLO327715 WVK327715 C393251 IY393251 SU393251 ACQ393251 AMM393251 AWI393251 BGE393251 BQA393251 BZW393251 CJS393251 CTO393251 DDK393251 DNG393251 DXC393251 EGY393251 EQU393251 FAQ393251 FKM393251 FUI393251 GEE393251 GOA393251 GXW393251 HHS393251 HRO393251 IBK393251 ILG393251 IVC393251 JEY393251 JOU393251 JYQ393251 KIM393251 KSI393251 LCE393251 LMA393251 LVW393251 MFS393251 MPO393251 MZK393251 NJG393251 NTC393251 OCY393251 OMU393251 OWQ393251 PGM393251 PQI393251 QAE393251 QKA393251 QTW393251 RDS393251 RNO393251 RXK393251 SHG393251 SRC393251 TAY393251 TKU393251 TUQ393251 UEM393251 UOI393251 UYE393251 VIA393251 VRW393251 WBS393251 WLO393251 WVK393251 C458787 IY458787 SU458787 ACQ458787 AMM458787 AWI458787 BGE458787 BQA458787 BZW458787 CJS458787 CTO458787 DDK458787 DNG458787 DXC458787 EGY458787 EQU458787 FAQ458787 FKM458787 FUI458787 GEE458787 GOA458787 GXW458787 HHS458787 HRO458787 IBK458787 ILG458787 IVC458787 JEY458787 JOU458787 JYQ458787 KIM458787 KSI458787 LCE458787 LMA458787 LVW458787 MFS458787 MPO458787 MZK458787 NJG458787 NTC458787 OCY458787 OMU458787 OWQ458787 PGM458787 PQI458787 QAE458787 QKA458787 QTW458787 RDS458787 RNO458787 RXK458787 SHG458787 SRC458787 TAY458787 TKU458787 TUQ458787 UEM458787 UOI458787 UYE458787 VIA458787 VRW458787 WBS458787 WLO458787 WVK458787 C524323 IY524323 SU524323 ACQ524323 AMM524323 AWI524323 BGE524323 BQA524323 BZW524323 CJS524323 CTO524323 DDK524323 DNG524323 DXC524323 EGY524323 EQU524323 FAQ524323 FKM524323 FUI524323 GEE524323 GOA524323 GXW524323 HHS524323 HRO524323 IBK524323 ILG524323 IVC524323 JEY524323 JOU524323 JYQ524323 KIM524323 KSI524323 LCE524323 LMA524323 LVW524323 MFS524323 MPO524323 MZK524323 NJG524323 NTC524323 OCY524323 OMU524323 OWQ524323 PGM524323 PQI524323 QAE524323 QKA524323 QTW524323 RDS524323 RNO524323 RXK524323 SHG524323 SRC524323 TAY524323 TKU524323 TUQ524323 UEM524323 UOI524323 UYE524323 VIA524323 VRW524323 WBS524323 WLO524323 WVK524323 C589859 IY589859 SU589859 ACQ589859 AMM589859 AWI589859 BGE589859 BQA589859 BZW589859 CJS589859 CTO589859 DDK589859 DNG589859 DXC589859 EGY589859 EQU589859 FAQ589859 FKM589859 FUI589859 GEE589859 GOA589859 GXW589859 HHS589859 HRO589859 IBK589859 ILG589859 IVC589859 JEY589859 JOU589859 JYQ589859 KIM589859 KSI589859 LCE589859 LMA589859 LVW589859 MFS589859 MPO589859 MZK589859 NJG589859 NTC589859 OCY589859 OMU589859 OWQ589859 PGM589859 PQI589859 QAE589859 QKA589859 QTW589859 RDS589859 RNO589859 RXK589859 SHG589859 SRC589859 TAY589859 TKU589859 TUQ589859 UEM589859 UOI589859 UYE589859 VIA589859 VRW589859 WBS589859 WLO589859 WVK589859 C655395 IY655395 SU655395 ACQ655395 AMM655395 AWI655395 BGE655395 BQA655395 BZW655395 CJS655395 CTO655395 DDK655395 DNG655395 DXC655395 EGY655395 EQU655395 FAQ655395 FKM655395 FUI655395 GEE655395 GOA655395 GXW655395 HHS655395 HRO655395 IBK655395 ILG655395 IVC655395 JEY655395 JOU655395 JYQ655395 KIM655395 KSI655395 LCE655395 LMA655395 LVW655395 MFS655395 MPO655395 MZK655395 NJG655395 NTC655395 OCY655395 OMU655395 OWQ655395 PGM655395 PQI655395 QAE655395 QKA655395 QTW655395 RDS655395 RNO655395 RXK655395 SHG655395 SRC655395 TAY655395 TKU655395 TUQ655395 UEM655395 UOI655395 UYE655395 VIA655395 VRW655395 WBS655395 WLO655395 WVK655395 C720931 IY720931 SU720931 ACQ720931 AMM720931 AWI720931 BGE720931 BQA720931 BZW720931 CJS720931 CTO720931 DDK720931 DNG720931 DXC720931 EGY720931 EQU720931 FAQ720931 FKM720931 FUI720931 GEE720931 GOA720931 GXW720931 HHS720931 HRO720931 IBK720931 ILG720931 IVC720931 JEY720931 JOU720931 JYQ720931 KIM720931 KSI720931 LCE720931 LMA720931 LVW720931 MFS720931 MPO720931 MZK720931 NJG720931 NTC720931 OCY720931 OMU720931 OWQ720931 PGM720931 PQI720931 QAE720931 QKA720931 QTW720931 RDS720931 RNO720931 RXK720931 SHG720931 SRC720931 TAY720931 TKU720931 TUQ720931 UEM720931 UOI720931 UYE720931 VIA720931 VRW720931 WBS720931 WLO720931 WVK720931 C786467 IY786467 SU786467 ACQ786467 AMM786467 AWI786467 BGE786467 BQA786467 BZW786467 CJS786467 CTO786467 DDK786467 DNG786467 DXC786467 EGY786467 EQU786467 FAQ786467 FKM786467 FUI786467 GEE786467 GOA786467 GXW786467 HHS786467 HRO786467 IBK786467 ILG786467 IVC786467 JEY786467 JOU786467 JYQ786467 KIM786467 KSI786467 LCE786467 LMA786467 LVW786467 MFS786467 MPO786467 MZK786467 NJG786467 NTC786467 OCY786467 OMU786467 OWQ786467 PGM786467 PQI786467 QAE786467 QKA786467 QTW786467 RDS786467 RNO786467 RXK786467 SHG786467 SRC786467 TAY786467 TKU786467 TUQ786467 UEM786467 UOI786467 UYE786467 VIA786467 VRW786467 WBS786467 WLO786467 WVK786467 C852003 IY852003 SU852003 ACQ852003 AMM852003 AWI852003 BGE852003 BQA852003 BZW852003 CJS852003 CTO852003 DDK852003 DNG852003 DXC852003 EGY852003 EQU852003 FAQ852003 FKM852003 FUI852003 GEE852003 GOA852003 GXW852003 HHS852003 HRO852003 IBK852003 ILG852003 IVC852003 JEY852003 JOU852003 JYQ852003 KIM852003 KSI852003 LCE852003 LMA852003 LVW852003 MFS852003 MPO852003 MZK852003 NJG852003 NTC852003 OCY852003 OMU852003 OWQ852003 PGM852003 PQI852003 QAE852003 QKA852003 QTW852003 RDS852003 RNO852003 RXK852003 SHG852003 SRC852003 TAY852003 TKU852003 TUQ852003 UEM852003 UOI852003 UYE852003 VIA852003 VRW852003 WBS852003 WLO852003 WVK852003 C917539 IY917539 SU917539 ACQ917539 AMM917539 AWI917539 BGE917539 BQA917539 BZW917539 CJS917539 CTO917539 DDK917539 DNG917539 DXC917539 EGY917539 EQU917539 FAQ917539 FKM917539 FUI917539 GEE917539 GOA917539 GXW917539 HHS917539 HRO917539 IBK917539 ILG917539 IVC917539 JEY917539 JOU917539 JYQ917539 KIM917539 KSI917539 LCE917539 LMA917539 LVW917539 MFS917539 MPO917539 MZK917539 NJG917539 NTC917539 OCY917539 OMU917539 OWQ917539 PGM917539 PQI917539 QAE917539 QKA917539 QTW917539 RDS917539 RNO917539 RXK917539 SHG917539 SRC917539 TAY917539 TKU917539 TUQ917539 UEM917539 UOI917539 UYE917539 VIA917539 VRW917539 WBS917539 WLO917539 WVK917539 C983075 IY983075 SU983075 ACQ983075 AMM983075 AWI983075 BGE983075 BQA983075 BZW983075 CJS983075 CTO983075 DDK983075 DNG983075 DXC983075 EGY983075 EQU983075 FAQ983075 FKM983075 FUI983075 GEE983075 GOA983075 GXW983075 HHS983075 HRO983075 IBK983075 ILG983075 IVC983075 JEY983075 JOU983075 JYQ983075 KIM983075 KSI983075 LCE983075 LMA983075 LVW983075 MFS983075 MPO983075 MZK983075 NJG983075 NTC983075 OCY983075 OMU983075 OWQ983075 PGM983075 PQI983075 QAE983075 QKA983075 QTW983075 RDS983075 RNO983075 RXK983075 SHG983075 SRC983075 TAY983075 TKU983075 TUQ983075 UEM983075 UOI983075 UYE983075 VIA983075 VRW983075 WBS983075 WLO983075 WVK983075" xr:uid="{2785F6DD-60E2-4B14-A0CD-4F38A98383AC}">
      <formula1>alphacc</formula1>
    </dataValidation>
  </dataValidations>
  <pageMargins left="0.86614173228346458" right="0.78740157480314965" top="0.70866141732283472" bottom="0.39370078740157483" header="0.55118110236220474" footer="0.19685039370078741"/>
  <pageSetup paperSize="9" scale="70" orientation="portrait" r:id="rId1"/>
  <headerFooter>
    <oddFooter>&amp;L&amp;8&amp;Z&amp;F
&amp;F&amp;R&amp;8&amp;T &amp;D</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7">
    <tabColor rgb="FFFF0000"/>
  </sheetPr>
  <dimension ref="A1:AL93"/>
  <sheetViews>
    <sheetView topLeftCell="D64" zoomScaleNormal="100" workbookViewId="0">
      <selection activeCell="AK25" sqref="AK25"/>
    </sheetView>
  </sheetViews>
  <sheetFormatPr defaultRowHeight="15"/>
  <cols>
    <col min="1" max="1" width="14.5703125" customWidth="1"/>
    <col min="2" max="2" width="12.42578125" customWidth="1"/>
    <col min="3" max="3" width="11.42578125" customWidth="1"/>
    <col min="4" max="4" width="10.85546875" customWidth="1"/>
    <col min="5" max="5" width="9.5703125" bestFit="1" customWidth="1"/>
    <col min="6" max="6" width="14.140625" customWidth="1"/>
    <col min="7" max="7" width="12.5703125" customWidth="1"/>
    <col min="8" max="8" width="12.5703125" bestFit="1" customWidth="1"/>
    <col min="9" max="9" width="14.42578125" customWidth="1"/>
    <col min="10" max="10" width="13.85546875" customWidth="1"/>
    <col min="11" max="11" width="12" customWidth="1"/>
    <col min="12" max="12" width="11" customWidth="1"/>
    <col min="14" max="14" width="13.42578125" customWidth="1"/>
    <col min="15" max="15" width="12.42578125" customWidth="1"/>
    <col min="16" max="16" width="11.42578125" customWidth="1"/>
    <col min="17" max="17" width="10" customWidth="1"/>
    <col min="21" max="21" width="9.5703125" customWidth="1"/>
  </cols>
  <sheetData>
    <row r="1" spans="1:36" ht="18.75">
      <c r="A1" s="1" t="s">
        <v>104</v>
      </c>
    </row>
    <row r="2" spans="1:36" ht="18.75">
      <c r="A2" s="1" t="s">
        <v>105</v>
      </c>
      <c r="F2" s="1" t="s">
        <v>106</v>
      </c>
    </row>
    <row r="4" spans="1:36">
      <c r="A4" s="145" t="s">
        <v>107</v>
      </c>
      <c r="B4" s="146" t="s">
        <v>108</v>
      </c>
      <c r="C4" s="146" t="s">
        <v>109</v>
      </c>
      <c r="D4" s="146" t="s">
        <v>110</v>
      </c>
      <c r="F4" s="145" t="s">
        <v>107</v>
      </c>
      <c r="G4" s="146" t="s">
        <v>108</v>
      </c>
      <c r="H4" s="146" t="s">
        <v>109</v>
      </c>
      <c r="I4" s="146" t="s">
        <v>110</v>
      </c>
    </row>
    <row r="5" spans="1:36">
      <c r="A5" s="145"/>
      <c r="B5" s="146"/>
      <c r="C5" s="146"/>
      <c r="D5" s="146"/>
      <c r="F5" s="145"/>
      <c r="G5" s="146"/>
      <c r="H5" s="146"/>
      <c r="I5" s="146"/>
    </row>
    <row r="6" spans="1:36">
      <c r="A6" s="100">
        <v>0</v>
      </c>
      <c r="B6" s="101">
        <v>360</v>
      </c>
      <c r="C6" s="97">
        <f>B6*(PI()*1.2^2/4)</f>
        <v>407.15040790523722</v>
      </c>
      <c r="D6" s="97">
        <f>C6*(A7-A6)</f>
        <v>2035.7520395261861</v>
      </c>
      <c r="F6" s="100">
        <v>0</v>
      </c>
      <c r="G6" s="101">
        <v>180</v>
      </c>
      <c r="H6" s="97">
        <f>G6*(PI()*1.2^2/4)</f>
        <v>203.57520395261861</v>
      </c>
      <c r="I6" s="97">
        <f>H6*(F7-F6)</f>
        <v>5089.3800988154653</v>
      </c>
    </row>
    <row r="7" spans="1:36">
      <c r="A7" s="100">
        <v>5</v>
      </c>
      <c r="B7" s="101">
        <v>180</v>
      </c>
      <c r="C7" s="97">
        <f>B7*(PI()*1.2^2/4)</f>
        <v>203.57520395261861</v>
      </c>
      <c r="D7" s="97">
        <f>C7*(A8-A7)</f>
        <v>3053.628059289279</v>
      </c>
      <c r="F7" s="100">
        <v>25</v>
      </c>
      <c r="G7" s="101">
        <v>0</v>
      </c>
      <c r="H7" s="97">
        <f>G7*(PI()*1.2^2/4)</f>
        <v>0</v>
      </c>
      <c r="I7" s="97">
        <f>H7*(F8-F7)</f>
        <v>0</v>
      </c>
    </row>
    <row r="8" spans="1:36" ht="15.75" thickBot="1">
      <c r="A8" s="100">
        <v>20</v>
      </c>
      <c r="B8" s="100">
        <v>0</v>
      </c>
      <c r="C8" s="97">
        <f>B8*(PI()*1.2^2/4)</f>
        <v>0</v>
      </c>
      <c r="D8" s="97">
        <f>C8*($C$13-A8)</f>
        <v>0</v>
      </c>
      <c r="I8" s="99">
        <f>SUM(I6:I7)</f>
        <v>5089.3800988154653</v>
      </c>
      <c r="J8" t="s">
        <v>111</v>
      </c>
      <c r="P8" s="96"/>
    </row>
    <row r="9" spans="1:36" ht="16.5" thickTop="1" thickBot="1">
      <c r="D9" s="99">
        <f>SUM(D6:D8)</f>
        <v>5089.3800988154653</v>
      </c>
      <c r="E9" t="s">
        <v>111</v>
      </c>
    </row>
    <row r="10" spans="1:36" ht="15.75" thickTop="1">
      <c r="G10" s="144" t="s">
        <v>112</v>
      </c>
      <c r="H10" s="144"/>
      <c r="I10" s="154" t="s">
        <v>113</v>
      </c>
      <c r="J10" s="154"/>
      <c r="K10" s="144" t="s">
        <v>114</v>
      </c>
      <c r="L10" s="144"/>
    </row>
    <row r="11" spans="1:36">
      <c r="A11" t="s">
        <v>115</v>
      </c>
      <c r="C11" s="5">
        <v>7850</v>
      </c>
      <c r="D11" t="s">
        <v>116</v>
      </c>
      <c r="F11" s="3" t="s">
        <v>117</v>
      </c>
      <c r="G11" s="105">
        <f>25*I8</f>
        <v>127234.50247038664</v>
      </c>
      <c r="H11" s="106" t="s">
        <v>118</v>
      </c>
      <c r="I11" s="105">
        <f>25*D9</f>
        <v>127234.50247038664</v>
      </c>
      <c r="J11" s="123" t="s">
        <v>118</v>
      </c>
      <c r="K11" s="105">
        <f>25*D9+25*I8</f>
        <v>254469.00494077327</v>
      </c>
      <c r="L11" s="123" t="s">
        <v>118</v>
      </c>
    </row>
    <row r="12" spans="1:36">
      <c r="A12" t="s">
        <v>119</v>
      </c>
      <c r="C12" s="5">
        <v>1.2</v>
      </c>
      <c r="D12" t="s">
        <v>4</v>
      </c>
      <c r="F12" s="3" t="s">
        <v>120</v>
      </c>
      <c r="G12" s="105" t="e">
        <f>Q40+O65+O90</f>
        <v>#REF!</v>
      </c>
      <c r="H12" s="107" t="e">
        <f>G12/G11</f>
        <v>#REF!</v>
      </c>
      <c r="I12" s="105" t="e">
        <f>Q26+O55+O80</f>
        <v>#REF!</v>
      </c>
      <c r="J12" s="107" t="e">
        <f>I12/I11</f>
        <v>#REF!</v>
      </c>
      <c r="K12" s="105" t="e">
        <f>Q26+Q40+O55+O65+O80+O90</f>
        <v>#REF!</v>
      </c>
      <c r="L12" s="107" t="e">
        <f>K12/K11</f>
        <v>#REF!</v>
      </c>
      <c r="M12" t="s">
        <v>121</v>
      </c>
      <c r="P12" s="96"/>
      <c r="Q12" s="96"/>
      <c r="R12" s="96"/>
    </row>
    <row r="13" spans="1:36">
      <c r="A13" t="s">
        <v>122</v>
      </c>
      <c r="C13">
        <f>AJ14</f>
        <v>37.595000000000006</v>
      </c>
      <c r="D13" t="s">
        <v>4</v>
      </c>
      <c r="R13" s="117"/>
    </row>
    <row r="14" spans="1:36">
      <c r="A14" t="s">
        <v>123</v>
      </c>
      <c r="C14" s="121">
        <f>PI()*(C12-2*(0.085+0.016/2))+0.47</f>
        <v>3.6555749507400499</v>
      </c>
      <c r="D14" t="s">
        <v>4</v>
      </c>
      <c r="G14" s="119"/>
      <c r="H14" s="120"/>
      <c r="I14" s="119"/>
      <c r="J14" s="120"/>
      <c r="K14" s="119"/>
      <c r="L14" s="120"/>
      <c r="R14" s="117"/>
      <c r="AH14" t="s">
        <v>124</v>
      </c>
      <c r="AJ14" s="104">
        <f>AVERAGE(AJ18:AJ25,AJ30:AJ37,AK45:AK50,AK58:AK63,AK69:AK79,AK83:AK93)</f>
        <v>37.595000000000006</v>
      </c>
    </row>
    <row r="15" spans="1:36" ht="14.1" customHeight="1"/>
    <row r="16" spans="1:36" ht="18" customHeight="1">
      <c r="A16" s="1" t="s">
        <v>125</v>
      </c>
      <c r="P16" s="144" t="s">
        <v>126</v>
      </c>
      <c r="Q16" s="144"/>
      <c r="AF16" s="144" t="s">
        <v>127</v>
      </c>
      <c r="AG16" s="144"/>
      <c r="AH16" s="144"/>
      <c r="AI16" s="144"/>
      <c r="AJ16" s="144"/>
    </row>
    <row r="17" spans="1:37">
      <c r="P17" s="3" t="s">
        <v>17</v>
      </c>
      <c r="Q17" s="3" t="s">
        <v>110</v>
      </c>
      <c r="AF17" s="3" t="s">
        <v>17</v>
      </c>
      <c r="AG17" s="3" t="s">
        <v>128</v>
      </c>
      <c r="AH17" s="3" t="s">
        <v>129</v>
      </c>
      <c r="AI17" s="3" t="s">
        <v>130</v>
      </c>
      <c r="AJ17" s="3" t="s">
        <v>131</v>
      </c>
    </row>
    <row r="18" spans="1:37">
      <c r="A18" s="145" t="s">
        <v>107</v>
      </c>
      <c r="B18" s="146" t="s">
        <v>132</v>
      </c>
      <c r="C18" s="144" t="s">
        <v>133</v>
      </c>
      <c r="D18" s="144"/>
      <c r="E18" s="144"/>
      <c r="F18" s="144"/>
      <c r="G18" s="144"/>
      <c r="H18" s="144"/>
      <c r="I18" s="144"/>
      <c r="J18" s="144" t="s">
        <v>72</v>
      </c>
      <c r="K18" s="144"/>
      <c r="L18" s="144"/>
      <c r="M18" s="144"/>
      <c r="N18" s="146" t="s">
        <v>109</v>
      </c>
      <c r="O18" s="146" t="s">
        <v>110</v>
      </c>
      <c r="P18" s="111" t="s">
        <v>134</v>
      </c>
      <c r="Q18" s="3" t="e">
        <f>IF($A$23&gt;AJ18,$N$22*(AJ18-$A$22)+SUM($O$20:$O$21),IF($A$24&gt;AJ18,$N$23*(AJ18-$A$23)+SUM($O$20:$O$22),IF($A$25&gt;AJ18,$N$24*(AJ18-$A$24)+SUM($O$20:$O$23),$N$24*($A$25-$A$24)+SUM($O$20:$O$23))))</f>
        <v>#REF!</v>
      </c>
      <c r="AF18" s="111" t="s">
        <v>134</v>
      </c>
      <c r="AG18" s="112" t="s">
        <v>135</v>
      </c>
      <c r="AH18" s="127">
        <v>-35.5</v>
      </c>
      <c r="AI18" s="114">
        <v>500</v>
      </c>
      <c r="AJ18" s="97">
        <f>AG18-AH18+AI18/1000</f>
        <v>39.965000000000003</v>
      </c>
    </row>
    <row r="19" spans="1:37">
      <c r="A19" s="145"/>
      <c r="B19" s="146"/>
      <c r="C19" s="3" t="s">
        <v>136</v>
      </c>
      <c r="D19" s="3" t="s">
        <v>137</v>
      </c>
      <c r="F19" s="3" t="s">
        <v>136</v>
      </c>
      <c r="G19" s="3" t="s">
        <v>137</v>
      </c>
      <c r="H19" s="3" t="s">
        <v>138</v>
      </c>
      <c r="I19" s="3" t="s">
        <v>109</v>
      </c>
      <c r="J19" s="3" t="s">
        <v>136</v>
      </c>
      <c r="K19" s="3" t="s">
        <v>139</v>
      </c>
      <c r="L19" s="3" t="s">
        <v>138</v>
      </c>
      <c r="M19" s="3" t="s">
        <v>109</v>
      </c>
      <c r="N19" s="146"/>
      <c r="O19" s="146"/>
      <c r="P19" s="111" t="s">
        <v>140</v>
      </c>
      <c r="Q19" s="3" t="e">
        <f t="shared" ref="Q19:Q25" si="0">IF($A$23&gt;AJ19,$N$22*(AJ19-$A$22)+SUM($O$20:$O$21),IF($A$24&gt;AJ19,$N$23*(AJ19-$A$23)+SUM($O$20:$O$22),IF($A$25&gt;AJ19,$N$24*(AJ19-$A$24)+SUM($O$20:$O$23),$N$24*($A$25-$A$24)+SUM($O$20:$O$23))))</f>
        <v>#REF!</v>
      </c>
      <c r="AF19" s="111" t="s">
        <v>140</v>
      </c>
      <c r="AG19" s="112" t="s">
        <v>135</v>
      </c>
      <c r="AH19" s="127">
        <v>-35</v>
      </c>
      <c r="AI19" s="114">
        <v>500</v>
      </c>
      <c r="AJ19" s="97">
        <f t="shared" ref="AJ19:AJ24" si="1">AG19-AH19+AI19/1000</f>
        <v>39.465000000000003</v>
      </c>
    </row>
    <row r="20" spans="1:37">
      <c r="A20" s="100">
        <v>0</v>
      </c>
      <c r="B20" s="100">
        <v>40</v>
      </c>
      <c r="C20" s="100">
        <v>40</v>
      </c>
      <c r="D20" s="100">
        <v>18</v>
      </c>
      <c r="E20" s="103" t="s">
        <v>141</v>
      </c>
      <c r="F20" s="100">
        <v>40</v>
      </c>
      <c r="G20" s="100">
        <v>18</v>
      </c>
      <c r="H20" s="98" t="e">
        <f>#REF!</f>
        <v>#REF!</v>
      </c>
      <c r="I20" s="97">
        <f t="shared" ref="I20:I25" si="2">$C$11*((D20*PI()*((C20/1000)^2)/4)+(G20*PI()*((F20/1000)^2)/4))</f>
        <v>355.12563356179027</v>
      </c>
      <c r="J20" s="100" t="e">
        <f>#REF!</f>
        <v>#REF!</v>
      </c>
      <c r="K20" s="100" t="e">
        <f>#REF!</f>
        <v>#REF!</v>
      </c>
      <c r="L20" s="98" t="e">
        <f>MAX(#REF!,#REF!,#REF!,#REF!)</f>
        <v>#REF!</v>
      </c>
      <c r="M20" s="97" t="e">
        <f t="shared" ref="M20:M25" si="3">$C$11*$C$14*PI()*((J20/1000)^2)/4*1000/K20</f>
        <v>#REF!</v>
      </c>
      <c r="N20" s="97" t="e">
        <f t="shared" ref="N20:N25" si="4">I20+M20</f>
        <v>#REF!</v>
      </c>
      <c r="O20" s="97" t="e">
        <f>N20*(A21-A20)</f>
        <v>#REF!</v>
      </c>
      <c r="P20" s="111" t="s">
        <v>142</v>
      </c>
      <c r="Q20" s="3" t="e">
        <f t="shared" si="0"/>
        <v>#REF!</v>
      </c>
      <c r="AC20" s="104" t="e">
        <f>O20</f>
        <v>#REF!</v>
      </c>
      <c r="AF20" s="111" t="s">
        <v>142</v>
      </c>
      <c r="AG20" s="112" t="s">
        <v>135</v>
      </c>
      <c r="AH20" s="127">
        <v>-34.5</v>
      </c>
      <c r="AI20" s="114">
        <v>500</v>
      </c>
      <c r="AJ20" s="97">
        <f t="shared" si="1"/>
        <v>38.965000000000003</v>
      </c>
    </row>
    <row r="21" spans="1:37">
      <c r="A21" s="100">
        <v>3.5</v>
      </c>
      <c r="B21" s="100">
        <v>40</v>
      </c>
      <c r="C21" s="100">
        <v>40</v>
      </c>
      <c r="D21" s="100">
        <v>18</v>
      </c>
      <c r="E21" s="103" t="s">
        <v>141</v>
      </c>
      <c r="F21" s="100">
        <v>32</v>
      </c>
      <c r="G21" s="100">
        <v>18</v>
      </c>
      <c r="H21" s="98" t="e">
        <f>#REF!</f>
        <v>#REF!</v>
      </c>
      <c r="I21" s="97">
        <f t="shared" si="2"/>
        <v>291.20301952066802</v>
      </c>
      <c r="J21" s="100">
        <v>25</v>
      </c>
      <c r="K21" s="100">
        <v>150</v>
      </c>
      <c r="L21" s="98" t="e">
        <f>MAX(#REF!,#REF!)</f>
        <v>#REF!</v>
      </c>
      <c r="M21" s="97">
        <f t="shared" si="3"/>
        <v>93.90830225796951</v>
      </c>
      <c r="N21" s="97">
        <f t="shared" si="4"/>
        <v>385.11132177863755</v>
      </c>
      <c r="O21" s="97">
        <f>N21*(A22-A21)</f>
        <v>577.66698266795629</v>
      </c>
      <c r="P21" s="111" t="s">
        <v>143</v>
      </c>
      <c r="Q21" s="3" t="e">
        <f t="shared" si="0"/>
        <v>#REF!</v>
      </c>
      <c r="AC21" s="104">
        <f>O21</f>
        <v>577.66698266795629</v>
      </c>
      <c r="AF21" s="111" t="s">
        <v>143</v>
      </c>
      <c r="AG21" s="112" t="s">
        <v>135</v>
      </c>
      <c r="AH21" s="127">
        <v>-34.5</v>
      </c>
      <c r="AI21" s="114">
        <v>500</v>
      </c>
      <c r="AJ21" s="97">
        <f t="shared" si="1"/>
        <v>38.965000000000003</v>
      </c>
    </row>
    <row r="22" spans="1:37">
      <c r="A22" s="100">
        <v>5</v>
      </c>
      <c r="B22" s="100">
        <v>40</v>
      </c>
      <c r="C22" s="100">
        <v>32</v>
      </c>
      <c r="D22" s="100">
        <v>18</v>
      </c>
      <c r="E22" s="103" t="s">
        <v>141</v>
      </c>
      <c r="F22" s="100">
        <v>0</v>
      </c>
      <c r="G22" s="100">
        <v>0</v>
      </c>
      <c r="H22" s="98" t="e">
        <f>H21</f>
        <v>#REF!</v>
      </c>
      <c r="I22" s="97">
        <f t="shared" si="2"/>
        <v>113.64020273977286</v>
      </c>
      <c r="J22" s="100">
        <v>16</v>
      </c>
      <c r="K22" s="100">
        <v>300</v>
      </c>
      <c r="L22" s="98" t="e">
        <f>MAX(#REF!,#REF!)</f>
        <v>#REF!</v>
      </c>
      <c r="M22" s="97">
        <f t="shared" si="3"/>
        <v>19.232420302432153</v>
      </c>
      <c r="N22" s="97">
        <f t="shared" si="4"/>
        <v>132.87262304220502</v>
      </c>
      <c r="O22" s="97">
        <f>N22*(A23-A22)</f>
        <v>1129.4172958587426</v>
      </c>
      <c r="P22" s="111" t="s">
        <v>144</v>
      </c>
      <c r="Q22" s="3" t="e">
        <f t="shared" si="0"/>
        <v>#REF!</v>
      </c>
      <c r="AC22" s="104">
        <f>O22</f>
        <v>1129.4172958587426</v>
      </c>
      <c r="AF22" s="111" t="s">
        <v>144</v>
      </c>
      <c r="AG22" s="112" t="s">
        <v>135</v>
      </c>
      <c r="AH22" s="127">
        <v>-22</v>
      </c>
      <c r="AI22" s="114">
        <v>1000</v>
      </c>
      <c r="AJ22" s="97">
        <f t="shared" si="1"/>
        <v>26.965</v>
      </c>
    </row>
    <row r="23" spans="1:37">
      <c r="A23" s="100">
        <v>13.5</v>
      </c>
      <c r="B23" s="100">
        <v>40</v>
      </c>
      <c r="C23" s="100">
        <v>32</v>
      </c>
      <c r="D23" s="100">
        <v>18</v>
      </c>
      <c r="E23" s="103" t="s">
        <v>141</v>
      </c>
      <c r="F23" s="100">
        <v>16</v>
      </c>
      <c r="G23" s="100">
        <v>18</v>
      </c>
      <c r="H23" s="98" t="e">
        <f>#REF!</f>
        <v>#REF!</v>
      </c>
      <c r="I23" s="97">
        <f t="shared" si="2"/>
        <v>142.05025342471609</v>
      </c>
      <c r="J23" s="100">
        <v>16</v>
      </c>
      <c r="K23" s="100">
        <v>240</v>
      </c>
      <c r="L23" s="98" t="e">
        <f>MAX(#REF!,#REF!)</f>
        <v>#REF!</v>
      </c>
      <c r="M23" s="97">
        <f t="shared" si="3"/>
        <v>24.04052537804019</v>
      </c>
      <c r="N23" s="97">
        <f t="shared" si="4"/>
        <v>166.09077880275629</v>
      </c>
      <c r="O23" s="97">
        <f>N23*(A24-A23)</f>
        <v>132.87262304220516</v>
      </c>
      <c r="P23" s="111" t="s">
        <v>145</v>
      </c>
      <c r="Q23" s="3" t="e">
        <f t="shared" si="0"/>
        <v>#REF!</v>
      </c>
      <c r="AC23" s="104">
        <f>O23</f>
        <v>132.87262304220516</v>
      </c>
      <c r="AF23" s="111" t="s">
        <v>145</v>
      </c>
      <c r="AG23" s="112" t="s">
        <v>135</v>
      </c>
      <c r="AH23" s="127">
        <v>-22</v>
      </c>
      <c r="AI23" s="114">
        <v>1000</v>
      </c>
      <c r="AJ23" s="97">
        <f t="shared" si="1"/>
        <v>26.965</v>
      </c>
    </row>
    <row r="24" spans="1:37">
      <c r="A24" s="100">
        <v>14.3</v>
      </c>
      <c r="B24" s="100">
        <v>40</v>
      </c>
      <c r="C24" s="100">
        <v>16</v>
      </c>
      <c r="D24" s="100">
        <v>18</v>
      </c>
      <c r="E24" s="103" t="s">
        <v>141</v>
      </c>
      <c r="F24" s="100">
        <v>0</v>
      </c>
      <c r="G24" s="100">
        <v>0</v>
      </c>
      <c r="H24" s="98" t="e">
        <f>H23</f>
        <v>#REF!</v>
      </c>
      <c r="I24" s="97">
        <f t="shared" si="2"/>
        <v>28.410050684943215</v>
      </c>
      <c r="J24" s="100">
        <v>16</v>
      </c>
      <c r="K24" s="100">
        <v>300</v>
      </c>
      <c r="L24" s="98" t="e">
        <f>MAX(#REF!,#REF!)</f>
        <v>#REF!</v>
      </c>
      <c r="M24" s="97">
        <f t="shared" si="3"/>
        <v>19.232420302432153</v>
      </c>
      <c r="N24" s="97">
        <f t="shared" si="4"/>
        <v>47.642470987375368</v>
      </c>
      <c r="O24" s="97">
        <f>IF(A25&gt;AK25,N24*(AK25-A24),N24*(A25-A24))</f>
        <v>747.98679450179327</v>
      </c>
      <c r="P24" s="111" t="s">
        <v>146</v>
      </c>
      <c r="Q24" s="3" t="e">
        <f t="shared" si="0"/>
        <v>#REF!</v>
      </c>
      <c r="AC24">
        <f>N24*(21-A24)</f>
        <v>319.20455561541496</v>
      </c>
      <c r="AF24" s="111" t="s">
        <v>146</v>
      </c>
      <c r="AG24" s="112" t="s">
        <v>135</v>
      </c>
      <c r="AH24" s="127">
        <v>-19</v>
      </c>
      <c r="AI24" s="114">
        <v>1000</v>
      </c>
      <c r="AJ24" s="97">
        <f t="shared" si="1"/>
        <v>23.965</v>
      </c>
    </row>
    <row r="25" spans="1:37">
      <c r="A25" s="100">
        <v>30</v>
      </c>
      <c r="B25" s="100">
        <v>40</v>
      </c>
      <c r="C25" s="100">
        <v>0</v>
      </c>
      <c r="D25" s="100">
        <v>0</v>
      </c>
      <c r="E25" s="103" t="s">
        <v>141</v>
      </c>
      <c r="F25" s="100">
        <v>0</v>
      </c>
      <c r="G25" s="100">
        <v>0</v>
      </c>
      <c r="H25" s="98"/>
      <c r="I25" s="97">
        <f t="shared" si="2"/>
        <v>0</v>
      </c>
      <c r="J25" s="100">
        <v>0</v>
      </c>
      <c r="K25" s="100">
        <v>300</v>
      </c>
      <c r="L25" s="98"/>
      <c r="M25" s="97">
        <f t="shared" si="3"/>
        <v>0</v>
      </c>
      <c r="N25" s="97">
        <f t="shared" si="4"/>
        <v>0</v>
      </c>
      <c r="O25" s="97">
        <f>IF(A25&gt;AK25,0,N25*(AK25-A25))</f>
        <v>0</v>
      </c>
      <c r="P25" s="111" t="s">
        <v>147</v>
      </c>
      <c r="Q25" s="3" t="e">
        <f t="shared" si="0"/>
        <v>#REF!</v>
      </c>
      <c r="AF25" s="111" t="s">
        <v>147</v>
      </c>
      <c r="AG25" s="112" t="s">
        <v>135</v>
      </c>
      <c r="AH25" s="127">
        <v>-16</v>
      </c>
      <c r="AI25" s="114">
        <v>1000</v>
      </c>
      <c r="AJ25" s="97">
        <f>AG25-AH25+AI25/1000</f>
        <v>20.965</v>
      </c>
      <c r="AK25" s="104">
        <f>AVERAGE(AJ18:AJ25)</f>
        <v>32.027500000000003</v>
      </c>
    </row>
    <row r="26" spans="1:37" ht="15.75" thickBot="1">
      <c r="Q26" s="99" t="e">
        <f>SUM(Q18:Q25)</f>
        <v>#REF!</v>
      </c>
      <c r="R26" s="89" t="s">
        <v>148</v>
      </c>
      <c r="S26" s="102" t="e">
        <f>Q26/$D$9/8</f>
        <v>#REF!</v>
      </c>
      <c r="T26" t="s">
        <v>121</v>
      </c>
      <c r="V26" s="96"/>
      <c r="AC26" s="99" t="e">
        <f>SUM(AC20:AC24)</f>
        <v>#REF!</v>
      </c>
      <c r="AD26" s="115" t="e">
        <f>O26-AC26</f>
        <v>#REF!</v>
      </c>
    </row>
    <row r="27" spans="1:37" ht="15.75" thickTop="1">
      <c r="Q27" s="110"/>
    </row>
    <row r="28" spans="1:37" ht="18.75">
      <c r="A28" s="1" t="s">
        <v>149</v>
      </c>
      <c r="Q28" s="110"/>
      <c r="AF28" s="144" t="s">
        <v>150</v>
      </c>
      <c r="AG28" s="144"/>
      <c r="AH28" s="144"/>
      <c r="AI28" s="144"/>
      <c r="AJ28" s="144"/>
    </row>
    <row r="29" spans="1:37">
      <c r="Q29" s="110"/>
      <c r="AF29" s="3" t="s">
        <v>17</v>
      </c>
      <c r="AG29" s="3" t="s">
        <v>128</v>
      </c>
      <c r="AH29" s="3" t="s">
        <v>129</v>
      </c>
      <c r="AI29" s="3" t="s">
        <v>130</v>
      </c>
      <c r="AJ29" s="3" t="s">
        <v>131</v>
      </c>
    </row>
    <row r="30" spans="1:37" ht="14.45" customHeight="1">
      <c r="A30" s="145" t="s">
        <v>151</v>
      </c>
      <c r="B30" s="146" t="s">
        <v>132</v>
      </c>
      <c r="C30" s="144" t="s">
        <v>133</v>
      </c>
      <c r="D30" s="144"/>
      <c r="E30" s="144"/>
      <c r="F30" s="144"/>
      <c r="G30" s="144"/>
      <c r="H30" s="144"/>
      <c r="I30" s="144"/>
      <c r="J30" s="144" t="s">
        <v>72</v>
      </c>
      <c r="K30" s="144"/>
      <c r="L30" s="144"/>
      <c r="M30" s="144"/>
      <c r="N30" s="146" t="s">
        <v>109</v>
      </c>
      <c r="O30" s="146" t="s">
        <v>110</v>
      </c>
      <c r="P30" s="144" t="s">
        <v>152</v>
      </c>
      <c r="Q30" s="144"/>
      <c r="AF30" s="111" t="s">
        <v>153</v>
      </c>
      <c r="AG30" s="112" t="s">
        <v>154</v>
      </c>
      <c r="AH30" s="127">
        <v>-35</v>
      </c>
      <c r="AI30" s="114">
        <v>1000</v>
      </c>
      <c r="AJ30" s="97">
        <f t="shared" ref="AJ30:AJ37" si="5">AG30-AH30+AI30/1000</f>
        <v>39.765000000000001</v>
      </c>
    </row>
    <row r="31" spans="1:37">
      <c r="A31" s="145"/>
      <c r="B31" s="146"/>
      <c r="C31" s="3" t="s">
        <v>136</v>
      </c>
      <c r="D31" s="3" t="s">
        <v>137</v>
      </c>
      <c r="F31" s="3" t="s">
        <v>136</v>
      </c>
      <c r="G31" s="3" t="s">
        <v>137</v>
      </c>
      <c r="H31" s="3" t="s">
        <v>138</v>
      </c>
      <c r="I31" s="3" t="s">
        <v>109</v>
      </c>
      <c r="J31" s="3" t="s">
        <v>136</v>
      </c>
      <c r="K31" s="3" t="s">
        <v>139</v>
      </c>
      <c r="L31" s="3" t="s">
        <v>138</v>
      </c>
      <c r="M31" s="3" t="s">
        <v>109</v>
      </c>
      <c r="N31" s="146"/>
      <c r="O31" s="146"/>
      <c r="P31" s="3" t="s">
        <v>17</v>
      </c>
      <c r="Q31" s="3" t="s">
        <v>110</v>
      </c>
      <c r="AF31" s="111" t="s">
        <v>155</v>
      </c>
      <c r="AG31" s="112" t="s">
        <v>154</v>
      </c>
      <c r="AH31" s="127">
        <v>-35</v>
      </c>
      <c r="AI31" s="114">
        <v>1000</v>
      </c>
      <c r="AJ31" s="97">
        <f t="shared" si="5"/>
        <v>39.765000000000001</v>
      </c>
    </row>
    <row r="32" spans="1:37">
      <c r="A32" s="100">
        <v>0</v>
      </c>
      <c r="B32" s="100">
        <v>40</v>
      </c>
      <c r="C32" s="100">
        <v>32</v>
      </c>
      <c r="D32" s="100">
        <v>18</v>
      </c>
      <c r="E32" s="103" t="s">
        <v>141</v>
      </c>
      <c r="F32" s="100">
        <v>0</v>
      </c>
      <c r="G32" s="100">
        <v>0</v>
      </c>
      <c r="H32" s="98" t="e">
        <f>#REF!</f>
        <v>#REF!</v>
      </c>
      <c r="I32" s="97">
        <f t="shared" ref="I32:I39" si="6">$C$11*((D32*PI()*((C32/1000)^2)/4)+(G32*PI()*((F32/1000)^2)/4))</f>
        <v>113.64020273977286</v>
      </c>
      <c r="J32" s="100">
        <v>16</v>
      </c>
      <c r="K32" s="100">
        <v>300</v>
      </c>
      <c r="L32" s="98" t="e">
        <f>MAX(#REF!,#REF!)</f>
        <v>#REF!</v>
      </c>
      <c r="M32" s="97">
        <f t="shared" ref="M32:M39" si="7">$C$11*$C$14*PI()*((J32/1000)^2)/4*1000/K32</f>
        <v>19.232420302432153</v>
      </c>
      <c r="N32" s="97">
        <f t="shared" ref="N32:N39" si="8">I32+M32</f>
        <v>132.87262304220502</v>
      </c>
      <c r="O32" s="97">
        <f t="shared" ref="O32:O37" si="9">N32*(A33-A32)</f>
        <v>398.61786912661506</v>
      </c>
      <c r="P32" s="111" t="s">
        <v>153</v>
      </c>
      <c r="Q32" s="3">
        <f>IF($A$37&gt;AJ30,$N$36*(AJ30-$A$36)+SUM($O$32:$O$35),IF($A$38&gt;AJ30,$N$37*(AJ30-$A$37)+SUM($O$32:$O$36),IF($A$39&gt;AJ30,$N$38*(AJ30-$A$38)+SUM($O$32:$O$37),$N$38*($A$39-$A$38)+SUM($O$32:$O$37))))</f>
        <v>2486.9687748442348</v>
      </c>
      <c r="U32" s="122"/>
      <c r="AC32" s="104">
        <f t="shared" ref="AC32:AC38" si="10">O32</f>
        <v>398.61786912661506</v>
      </c>
      <c r="AF32" s="111" t="s">
        <v>156</v>
      </c>
      <c r="AG32" s="112" t="s">
        <v>154</v>
      </c>
      <c r="AH32" s="127">
        <v>-34.5</v>
      </c>
      <c r="AI32" s="114">
        <v>1000</v>
      </c>
      <c r="AJ32" s="97">
        <f t="shared" si="5"/>
        <v>39.265000000000001</v>
      </c>
    </row>
    <row r="33" spans="1:37">
      <c r="A33" s="100">
        <v>3</v>
      </c>
      <c r="B33" s="100">
        <v>40</v>
      </c>
      <c r="C33" s="100">
        <v>32</v>
      </c>
      <c r="D33" s="100">
        <v>18</v>
      </c>
      <c r="E33" s="103" t="s">
        <v>141</v>
      </c>
      <c r="F33" s="100">
        <v>25</v>
      </c>
      <c r="G33" s="100">
        <v>18</v>
      </c>
      <c r="H33" s="98" t="e">
        <f>#REF!</f>
        <v>#REF!</v>
      </c>
      <c r="I33" s="97">
        <f t="shared" si="6"/>
        <v>183.00067804481006</v>
      </c>
      <c r="J33" s="100">
        <v>16</v>
      </c>
      <c r="K33" s="100">
        <v>240</v>
      </c>
      <c r="L33" s="98" t="e">
        <f>L32</f>
        <v>#REF!</v>
      </c>
      <c r="M33" s="97">
        <f t="shared" si="7"/>
        <v>24.04052537804019</v>
      </c>
      <c r="N33" s="97">
        <f t="shared" si="8"/>
        <v>207.04120342285026</v>
      </c>
      <c r="O33" s="97">
        <f t="shared" si="9"/>
        <v>248.44944410742033</v>
      </c>
      <c r="P33" s="111" t="s">
        <v>155</v>
      </c>
      <c r="Q33" s="3">
        <f t="shared" ref="Q33:Q39" si="11">IF($A$37&gt;AJ31,$N$36*(AJ31-$A$36)+SUM($O$32:$O$35),IF($A$38&gt;AJ31,$N$37*(AJ31-$A$37)+SUM($O$32:$O$36),IF($A$39&gt;AJ31,$N$38*(AJ31-$A$38)+SUM($O$32:$O$37),$N$38*($A$39-$A$38)+SUM($O$32:$O$37))))</f>
        <v>2486.9687748442348</v>
      </c>
      <c r="U33" s="122"/>
      <c r="AC33" s="104">
        <f t="shared" si="10"/>
        <v>248.44944410742033</v>
      </c>
      <c r="AF33" s="111" t="s">
        <v>157</v>
      </c>
      <c r="AG33" s="112" t="s">
        <v>154</v>
      </c>
      <c r="AH33" s="127">
        <v>-34.5</v>
      </c>
      <c r="AI33" s="114">
        <v>1000</v>
      </c>
      <c r="AJ33" s="97">
        <f t="shared" si="5"/>
        <v>39.265000000000001</v>
      </c>
    </row>
    <row r="34" spans="1:37">
      <c r="A34" s="100">
        <v>4.2</v>
      </c>
      <c r="B34" s="100">
        <v>40</v>
      </c>
      <c r="C34" s="100">
        <v>25</v>
      </c>
      <c r="D34" s="100">
        <v>18</v>
      </c>
      <c r="E34" s="103" t="s">
        <v>141</v>
      </c>
      <c r="F34" s="100">
        <v>0</v>
      </c>
      <c r="G34" s="100">
        <v>0</v>
      </c>
      <c r="H34" s="98" t="e">
        <f>H33</f>
        <v>#REF!</v>
      </c>
      <c r="I34" s="97">
        <f t="shared" si="6"/>
        <v>69.36047530503717</v>
      </c>
      <c r="J34" s="100">
        <v>16</v>
      </c>
      <c r="K34" s="100">
        <v>300</v>
      </c>
      <c r="L34" s="98" t="e">
        <f>L32</f>
        <v>#REF!</v>
      </c>
      <c r="M34" s="97">
        <f t="shared" si="7"/>
        <v>19.232420302432153</v>
      </c>
      <c r="N34" s="97">
        <f t="shared" si="8"/>
        <v>88.59289560746933</v>
      </c>
      <c r="O34" s="97">
        <f t="shared" si="9"/>
        <v>868.21037695319956</v>
      </c>
      <c r="P34" s="111" t="s">
        <v>156</v>
      </c>
      <c r="Q34" s="3">
        <f t="shared" si="11"/>
        <v>2486.9687748442348</v>
      </c>
      <c r="U34" s="122"/>
      <c r="AC34" s="104">
        <f t="shared" si="10"/>
        <v>868.21037695319956</v>
      </c>
      <c r="AF34" s="111" t="s">
        <v>158</v>
      </c>
      <c r="AG34" s="112" t="s">
        <v>154</v>
      </c>
      <c r="AH34" s="127">
        <v>-19</v>
      </c>
      <c r="AI34" s="114">
        <v>1500</v>
      </c>
      <c r="AJ34" s="97">
        <f t="shared" si="5"/>
        <v>24.265000000000001</v>
      </c>
    </row>
    <row r="35" spans="1:37">
      <c r="A35" s="100">
        <v>14</v>
      </c>
      <c r="B35" s="100">
        <v>40</v>
      </c>
      <c r="C35" s="100">
        <v>25</v>
      </c>
      <c r="D35" s="100">
        <v>18</v>
      </c>
      <c r="E35" s="103" t="s">
        <v>141</v>
      </c>
      <c r="F35" s="100">
        <v>20</v>
      </c>
      <c r="G35" s="100">
        <v>18</v>
      </c>
      <c r="H35" s="98" t="e">
        <f>#REF!</f>
        <v>#REF!</v>
      </c>
      <c r="I35" s="97">
        <f t="shared" si="6"/>
        <v>113.75117950026096</v>
      </c>
      <c r="J35" s="100">
        <v>16</v>
      </c>
      <c r="K35" s="100">
        <v>240</v>
      </c>
      <c r="L35" s="98" t="e">
        <f>MAX(#REF!,#REF!)</f>
        <v>#REF!</v>
      </c>
      <c r="M35" s="97">
        <f t="shared" si="7"/>
        <v>24.04052537804019</v>
      </c>
      <c r="N35" s="97">
        <f t="shared" si="8"/>
        <v>137.79170487830115</v>
      </c>
      <c r="O35" s="97">
        <f t="shared" si="9"/>
        <v>137.79170487830115</v>
      </c>
      <c r="P35" s="111" t="s">
        <v>157</v>
      </c>
      <c r="Q35" s="3">
        <f t="shared" si="11"/>
        <v>2486.9687748442348</v>
      </c>
      <c r="U35" s="122"/>
      <c r="AC35" s="104">
        <f t="shared" si="10"/>
        <v>137.79170487830115</v>
      </c>
      <c r="AF35" s="111" t="s">
        <v>159</v>
      </c>
      <c r="AG35" s="112" t="s">
        <v>154</v>
      </c>
      <c r="AH35" s="127">
        <v>-19</v>
      </c>
      <c r="AI35" s="114">
        <v>1500</v>
      </c>
      <c r="AJ35" s="97">
        <f t="shared" si="5"/>
        <v>24.265000000000001</v>
      </c>
    </row>
    <row r="36" spans="1:37">
      <c r="A36" s="100">
        <v>15</v>
      </c>
      <c r="B36" s="100">
        <v>40</v>
      </c>
      <c r="C36" s="100">
        <v>20</v>
      </c>
      <c r="D36" s="100">
        <v>18</v>
      </c>
      <c r="E36" s="103" t="s">
        <v>141</v>
      </c>
      <c r="F36" s="100">
        <v>0</v>
      </c>
      <c r="G36" s="100">
        <v>0</v>
      </c>
      <c r="H36" s="98" t="e">
        <f>H35</f>
        <v>#REF!</v>
      </c>
      <c r="I36" s="97">
        <f t="shared" si="6"/>
        <v>44.390704195223783</v>
      </c>
      <c r="J36" s="100">
        <v>16</v>
      </c>
      <c r="K36" s="100">
        <v>300</v>
      </c>
      <c r="L36" s="98" t="e">
        <f>L35</f>
        <v>#REF!</v>
      </c>
      <c r="M36" s="97">
        <f t="shared" si="7"/>
        <v>19.232420302432153</v>
      </c>
      <c r="N36" s="97">
        <f t="shared" si="8"/>
        <v>63.623124497655937</v>
      </c>
      <c r="O36" s="97">
        <f t="shared" si="9"/>
        <v>318.11562248827966</v>
      </c>
      <c r="P36" s="111" t="s">
        <v>158</v>
      </c>
      <c r="Q36" s="3">
        <f t="shared" si="11"/>
        <v>2213.7392037316372</v>
      </c>
      <c r="U36" s="122"/>
      <c r="AC36" s="104">
        <f t="shared" si="10"/>
        <v>318.11562248827966</v>
      </c>
      <c r="AF36" s="111" t="s">
        <v>160</v>
      </c>
      <c r="AG36" s="112" t="s">
        <v>154</v>
      </c>
      <c r="AH36" s="127">
        <v>-17</v>
      </c>
      <c r="AI36" s="114">
        <v>1500</v>
      </c>
      <c r="AJ36" s="97">
        <f t="shared" si="5"/>
        <v>22.265000000000001</v>
      </c>
    </row>
    <row r="37" spans="1:37">
      <c r="A37" s="100">
        <v>20</v>
      </c>
      <c r="B37" s="100">
        <v>40</v>
      </c>
      <c r="C37" s="100">
        <v>20</v>
      </c>
      <c r="D37" s="100">
        <v>18</v>
      </c>
      <c r="E37" s="103" t="s">
        <v>141</v>
      </c>
      <c r="F37" s="100">
        <v>16</v>
      </c>
      <c r="G37" s="100">
        <v>18</v>
      </c>
      <c r="H37" s="98" t="e">
        <f>#REF!</f>
        <v>#REF!</v>
      </c>
      <c r="I37" s="97">
        <f t="shared" si="6"/>
        <v>72.800754880167005</v>
      </c>
      <c r="J37" s="100">
        <v>16</v>
      </c>
      <c r="K37" s="100">
        <v>240</v>
      </c>
      <c r="L37" s="98" t="e">
        <f>MAX(#REF!,#REF!)</f>
        <v>#REF!</v>
      </c>
      <c r="M37" s="97">
        <f t="shared" si="7"/>
        <v>24.04052537804019</v>
      </c>
      <c r="N37" s="97">
        <f t="shared" si="8"/>
        <v>96.841280258207192</v>
      </c>
      <c r="O37" s="97">
        <f t="shared" si="9"/>
        <v>77.473024206565825</v>
      </c>
      <c r="P37" s="111" t="s">
        <v>159</v>
      </c>
      <c r="Q37" s="3">
        <f t="shared" si="11"/>
        <v>2213.7392037316372</v>
      </c>
      <c r="U37" s="122"/>
      <c r="AC37" s="104">
        <f t="shared" si="10"/>
        <v>77.473024206565825</v>
      </c>
      <c r="AF37" s="111" t="s">
        <v>161</v>
      </c>
      <c r="AG37" s="112" t="s">
        <v>154</v>
      </c>
      <c r="AH37" s="127">
        <v>-15</v>
      </c>
      <c r="AI37" s="114">
        <v>1500</v>
      </c>
      <c r="AJ37" s="97">
        <f t="shared" si="5"/>
        <v>20.265000000000001</v>
      </c>
      <c r="AK37" s="104">
        <f>AVERAGE(AJ30:AJ37)</f>
        <v>31.139999999999993</v>
      </c>
    </row>
    <row r="38" spans="1:37">
      <c r="A38" s="100">
        <v>20.8</v>
      </c>
      <c r="B38" s="100">
        <v>40</v>
      </c>
      <c r="C38" s="100">
        <v>16</v>
      </c>
      <c r="D38" s="100">
        <v>18</v>
      </c>
      <c r="E38" s="103" t="s">
        <v>141</v>
      </c>
      <c r="F38" s="100">
        <v>0</v>
      </c>
      <c r="G38" s="100">
        <v>0</v>
      </c>
      <c r="H38" s="98" t="e">
        <f>H37</f>
        <v>#REF!</v>
      </c>
      <c r="I38" s="97">
        <f t="shared" si="6"/>
        <v>28.410050684943215</v>
      </c>
      <c r="J38" s="100">
        <v>16</v>
      </c>
      <c r="K38" s="100">
        <v>300</v>
      </c>
      <c r="L38" s="98" t="e">
        <f>L37</f>
        <v>#REF!</v>
      </c>
      <c r="M38" s="97">
        <f t="shared" si="7"/>
        <v>19.232420302432153</v>
      </c>
      <c r="N38" s="97">
        <f t="shared" si="8"/>
        <v>47.642470987375368</v>
      </c>
      <c r="O38" s="97">
        <f>IF(A39&gt;AK37,N38*(AK37-A38),N38*(A39-A38))</f>
        <v>438.31073308385334</v>
      </c>
      <c r="P38" s="111" t="s">
        <v>160</v>
      </c>
      <c r="Q38" s="3">
        <f t="shared" si="11"/>
        <v>2118.4542617568864</v>
      </c>
      <c r="U38" s="122"/>
      <c r="AC38" s="104">
        <f t="shared" si="10"/>
        <v>438.31073308385334</v>
      </c>
    </row>
    <row r="39" spans="1:37">
      <c r="A39" s="100">
        <v>30</v>
      </c>
      <c r="B39" s="100">
        <v>40</v>
      </c>
      <c r="C39" s="100">
        <v>16</v>
      </c>
      <c r="D39" s="100">
        <v>18</v>
      </c>
      <c r="E39" s="103" t="s">
        <v>141</v>
      </c>
      <c r="F39" s="100">
        <v>0</v>
      </c>
      <c r="G39" s="100">
        <v>0</v>
      </c>
      <c r="H39" s="98" t="e">
        <f>H38</f>
        <v>#REF!</v>
      </c>
      <c r="I39" s="97">
        <f t="shared" si="6"/>
        <v>28.410050684943215</v>
      </c>
      <c r="J39" s="100">
        <v>16</v>
      </c>
      <c r="K39" s="100">
        <v>300</v>
      </c>
      <c r="L39" s="98" t="e">
        <f>L38</f>
        <v>#REF!</v>
      </c>
      <c r="M39" s="97">
        <f t="shared" si="7"/>
        <v>19.232420302432153</v>
      </c>
      <c r="N39" s="97">
        <f t="shared" si="8"/>
        <v>47.642470987375368</v>
      </c>
      <c r="O39" s="97">
        <f>IF(A39&gt;AK37,0,N39*(AK37-A39))</f>
        <v>54.312416925607607</v>
      </c>
      <c r="P39" s="111" t="s">
        <v>161</v>
      </c>
      <c r="Q39" s="3">
        <f t="shared" si="11"/>
        <v>1996.8479568222406</v>
      </c>
      <c r="U39" s="122"/>
      <c r="AC39">
        <f>N39*(30-A39)</f>
        <v>0</v>
      </c>
    </row>
    <row r="40" spans="1:37" ht="15.75" thickBot="1">
      <c r="Q40" s="99">
        <f>SUM(Q32:Q39)</f>
        <v>18490.655725419339</v>
      </c>
      <c r="R40" s="89" t="s">
        <v>148</v>
      </c>
      <c r="S40" s="102">
        <f>Q40/$I$8/8</f>
        <v>0.45414803390600977</v>
      </c>
      <c r="T40" t="s">
        <v>121</v>
      </c>
      <c r="V40" s="96"/>
      <c r="AC40" s="99">
        <f>SUM(AC32:AC38)</f>
        <v>2486.9687748442348</v>
      </c>
      <c r="AD40" s="115">
        <f>O40-AC40</f>
        <v>-2486.9687748442348</v>
      </c>
    </row>
    <row r="41" spans="1:37" ht="15.75" thickTop="1">
      <c r="O41" s="104"/>
    </row>
    <row r="42" spans="1:37" ht="18.75">
      <c r="A42" s="1" t="s">
        <v>162</v>
      </c>
    </row>
    <row r="43" spans="1:37">
      <c r="AG43" s="144" t="s">
        <v>163</v>
      </c>
      <c r="AH43" s="144"/>
      <c r="AI43" s="144"/>
      <c r="AJ43" s="144"/>
      <c r="AK43" s="144"/>
    </row>
    <row r="44" spans="1:37" ht="14.45" customHeight="1">
      <c r="A44" s="145" t="s">
        <v>151</v>
      </c>
      <c r="B44" s="146" t="s">
        <v>132</v>
      </c>
      <c r="C44" s="144" t="s">
        <v>133</v>
      </c>
      <c r="D44" s="144"/>
      <c r="E44" s="144"/>
      <c r="F44" s="144"/>
      <c r="G44" s="144"/>
      <c r="H44" s="144"/>
      <c r="I44" s="144"/>
      <c r="J44" s="144" t="s">
        <v>72</v>
      </c>
      <c r="K44" s="144"/>
      <c r="L44" s="144"/>
      <c r="M44" s="144"/>
      <c r="N44" s="146" t="s">
        <v>109</v>
      </c>
      <c r="O44" s="146" t="s">
        <v>110</v>
      </c>
      <c r="Q44" t="s">
        <v>164</v>
      </c>
      <c r="AG44" s="3" t="s">
        <v>17</v>
      </c>
      <c r="AH44" s="3" t="s">
        <v>128</v>
      </c>
      <c r="AI44" s="3" t="s">
        <v>129</v>
      </c>
      <c r="AJ44" s="3" t="s">
        <v>130</v>
      </c>
      <c r="AK44" s="3" t="s">
        <v>131</v>
      </c>
    </row>
    <row r="45" spans="1:37">
      <c r="A45" s="145"/>
      <c r="B45" s="146"/>
      <c r="C45" s="3" t="s">
        <v>136</v>
      </c>
      <c r="D45" s="3" t="s">
        <v>137</v>
      </c>
      <c r="F45" s="3" t="s">
        <v>136</v>
      </c>
      <c r="G45" s="3" t="s">
        <v>137</v>
      </c>
      <c r="H45" s="3" t="s">
        <v>138</v>
      </c>
      <c r="I45" s="3" t="s">
        <v>109</v>
      </c>
      <c r="J45" s="3" t="s">
        <v>136</v>
      </c>
      <c r="K45" s="3" t="s">
        <v>139</v>
      </c>
      <c r="L45" s="3" t="s">
        <v>138</v>
      </c>
      <c r="M45" s="3" t="s">
        <v>109</v>
      </c>
      <c r="N45" s="146"/>
      <c r="O45" s="146"/>
      <c r="Q45" s="5">
        <v>6</v>
      </c>
      <c r="AC45" s="104">
        <f t="shared" ref="AC45:AC52" si="12">O46</f>
        <v>9242.6717226873006</v>
      </c>
      <c r="AD45" s="104"/>
      <c r="AE45" s="104"/>
      <c r="AF45" s="104"/>
      <c r="AG45" s="111" t="s">
        <v>165</v>
      </c>
      <c r="AH45" s="112" t="s">
        <v>135</v>
      </c>
      <c r="AI45" s="127">
        <v>-33.5</v>
      </c>
      <c r="AJ45" s="114">
        <v>3500</v>
      </c>
      <c r="AK45" s="97">
        <f t="shared" ref="AK45:AK50" si="13">AH45-AI45+AJ45/1000</f>
        <v>40.965000000000003</v>
      </c>
    </row>
    <row r="46" spans="1:37">
      <c r="A46" s="100">
        <v>0</v>
      </c>
      <c r="B46" s="100">
        <v>40</v>
      </c>
      <c r="C46" s="100">
        <v>40</v>
      </c>
      <c r="D46" s="100">
        <v>18</v>
      </c>
      <c r="E46" s="103" t="s">
        <v>141</v>
      </c>
      <c r="F46" s="100">
        <v>32</v>
      </c>
      <c r="G46" s="100">
        <v>18</v>
      </c>
      <c r="H46" s="98" t="e">
        <f>#REF!</f>
        <v>#REF!</v>
      </c>
      <c r="I46" s="97">
        <f>$C$11*((D46*PI()*((C46/1000)^2)/4)+(G46*PI()*((F46/1000)^2)/4))</f>
        <v>291.20301952066802</v>
      </c>
      <c r="J46" s="100">
        <v>25</v>
      </c>
      <c r="K46" s="100">
        <v>150</v>
      </c>
      <c r="L46" s="98" t="e">
        <f>MAX(#REF!,#REF!)</f>
        <v>#REF!</v>
      </c>
      <c r="M46" s="97">
        <f t="shared" ref="M46:M54" si="14">$C$11*$C$14*PI()*((J46/1000)^2)/4*1000/K46</f>
        <v>93.90830225796951</v>
      </c>
      <c r="N46" s="97">
        <f>I46+M46</f>
        <v>385.11132177863755</v>
      </c>
      <c r="O46" s="97">
        <f>$Q$45*N46*(A47-A46)</f>
        <v>9242.6717226873006</v>
      </c>
      <c r="AC46" s="104" t="e">
        <f t="shared" si="12"/>
        <v>#REF!</v>
      </c>
      <c r="AD46" s="104"/>
      <c r="AE46" s="104"/>
      <c r="AF46" s="104"/>
      <c r="AG46" s="111" t="s">
        <v>166</v>
      </c>
      <c r="AH46" s="112" t="s">
        <v>135</v>
      </c>
      <c r="AI46" s="127">
        <v>-33</v>
      </c>
      <c r="AJ46" s="114">
        <v>3500</v>
      </c>
      <c r="AK46" s="97">
        <f t="shared" si="13"/>
        <v>40.465000000000003</v>
      </c>
    </row>
    <row r="47" spans="1:37">
      <c r="A47" s="100">
        <v>4</v>
      </c>
      <c r="B47" s="100">
        <v>40</v>
      </c>
      <c r="C47" s="100">
        <v>40</v>
      </c>
      <c r="D47" s="100" t="e">
        <f>#REF!</f>
        <v>#REF!</v>
      </c>
      <c r="E47" s="103" t="s">
        <v>141</v>
      </c>
      <c r="F47" s="100">
        <v>0</v>
      </c>
      <c r="G47" s="100">
        <v>0</v>
      </c>
      <c r="H47" s="98" t="e">
        <f>#REF!</f>
        <v>#REF!</v>
      </c>
      <c r="I47" s="97" t="e">
        <f>$C$11*((D47*PI()*((C47/1000)^2)/4)+(G47*PI()*((F47/1000)^2)/4))</f>
        <v>#REF!</v>
      </c>
      <c r="J47" s="100">
        <v>25</v>
      </c>
      <c r="K47" s="100">
        <v>150</v>
      </c>
      <c r="L47" s="98" t="e">
        <f>MAX(#REF!,#REF!)</f>
        <v>#REF!</v>
      </c>
      <c r="M47" s="97">
        <f t="shared" si="14"/>
        <v>93.90830225796951</v>
      </c>
      <c r="N47" s="97" t="e">
        <f t="shared" ref="N47:N54" si="15">I47+M47</f>
        <v>#REF!</v>
      </c>
      <c r="O47" s="97" t="e">
        <f t="shared" ref="O47:O53" si="16">$Q$45*N47*(A48-A47)</f>
        <v>#REF!</v>
      </c>
      <c r="AC47" s="104" t="e">
        <f t="shared" si="12"/>
        <v>#REF!</v>
      </c>
      <c r="AD47" s="104"/>
      <c r="AE47" s="104"/>
      <c r="AF47" s="104"/>
      <c r="AG47" s="111" t="s">
        <v>167</v>
      </c>
      <c r="AH47" s="112" t="s">
        <v>135</v>
      </c>
      <c r="AI47" s="127">
        <v>-34.5</v>
      </c>
      <c r="AJ47" s="114">
        <v>3000</v>
      </c>
      <c r="AK47" s="97">
        <f t="shared" si="13"/>
        <v>41.465000000000003</v>
      </c>
    </row>
    <row r="48" spans="1:37">
      <c r="A48" s="100">
        <v>5</v>
      </c>
      <c r="B48" s="100">
        <v>40</v>
      </c>
      <c r="C48" s="100" t="e">
        <f>#REF!</f>
        <v>#REF!</v>
      </c>
      <c r="D48" s="100" t="e">
        <f>#REF!</f>
        <v>#REF!</v>
      </c>
      <c r="E48" s="103" t="s">
        <v>141</v>
      </c>
      <c r="F48" s="100" t="e">
        <f>#REF!</f>
        <v>#REF!</v>
      </c>
      <c r="G48" s="100" t="e">
        <f>#REF!</f>
        <v>#REF!</v>
      </c>
      <c r="H48" s="98" t="e">
        <f>H47</f>
        <v>#REF!</v>
      </c>
      <c r="I48" s="97" t="e">
        <f>$C$11*((D48*PI()*((C48/1000)^2)/4)+(G48*PI()*((F48/1000)^2)/4))</f>
        <v>#REF!</v>
      </c>
      <c r="J48" s="100">
        <v>16</v>
      </c>
      <c r="K48" s="100">
        <v>300</v>
      </c>
      <c r="L48" s="98" t="e">
        <f>MAX(#REF!,#REF!)</f>
        <v>#REF!</v>
      </c>
      <c r="M48" s="97">
        <f t="shared" si="14"/>
        <v>19.232420302432153</v>
      </c>
      <c r="N48" s="97" t="e">
        <f t="shared" si="15"/>
        <v>#REF!</v>
      </c>
      <c r="O48" s="97" t="e">
        <f t="shared" si="16"/>
        <v>#REF!</v>
      </c>
      <c r="AC48" s="104">
        <f t="shared" si="12"/>
        <v>4549.9939072779653</v>
      </c>
      <c r="AD48" s="104"/>
      <c r="AE48" s="104"/>
      <c r="AF48" s="104"/>
      <c r="AG48" s="111" t="s">
        <v>168</v>
      </c>
      <c r="AH48" s="112" t="s">
        <v>135</v>
      </c>
      <c r="AI48" s="127">
        <v>-28</v>
      </c>
      <c r="AJ48" s="114">
        <v>3500</v>
      </c>
      <c r="AK48" s="97">
        <f t="shared" si="13"/>
        <v>35.465000000000003</v>
      </c>
    </row>
    <row r="49" spans="1:38">
      <c r="A49" s="100">
        <v>8.5</v>
      </c>
      <c r="B49" s="100">
        <v>40</v>
      </c>
      <c r="C49" s="100">
        <v>40</v>
      </c>
      <c r="D49" s="100">
        <v>18</v>
      </c>
      <c r="E49" s="103" t="s">
        <v>141</v>
      </c>
      <c r="F49" s="100">
        <v>40</v>
      </c>
      <c r="G49" s="100">
        <v>18</v>
      </c>
      <c r="H49" s="98" t="e">
        <f>H48</f>
        <v>#REF!</v>
      </c>
      <c r="I49" s="97">
        <f t="shared" ref="I49:I54" si="17">$C$11*((D49*PI()*((C49/1000)^2)/4)+(G49*PI()*((F49/1000)^2)/4))</f>
        <v>355.12563356179027</v>
      </c>
      <c r="J49" s="100">
        <v>16</v>
      </c>
      <c r="K49" s="100">
        <v>240</v>
      </c>
      <c r="L49" s="98" t="e">
        <f>L48</f>
        <v>#REF!</v>
      </c>
      <c r="M49" s="97">
        <f t="shared" si="14"/>
        <v>24.04052537804019</v>
      </c>
      <c r="N49" s="97">
        <f t="shared" si="15"/>
        <v>379.16615893983044</v>
      </c>
      <c r="O49" s="97">
        <f t="shared" si="16"/>
        <v>4549.9939072779653</v>
      </c>
      <c r="AC49" s="104">
        <f t="shared" si="12"/>
        <v>6494.2428237498007</v>
      </c>
      <c r="AD49" s="104"/>
      <c r="AE49" s="104"/>
      <c r="AF49" s="104"/>
      <c r="AG49" s="111" t="s">
        <v>169</v>
      </c>
      <c r="AH49" s="112" t="s">
        <v>135</v>
      </c>
      <c r="AI49" s="127">
        <v>-27</v>
      </c>
      <c r="AJ49" s="114">
        <v>3500</v>
      </c>
      <c r="AK49" s="97">
        <f t="shared" si="13"/>
        <v>34.465000000000003</v>
      </c>
    </row>
    <row r="50" spans="1:38">
      <c r="A50" s="100">
        <v>10.5</v>
      </c>
      <c r="B50" s="100">
        <v>40</v>
      </c>
      <c r="C50" s="100">
        <v>40</v>
      </c>
      <c r="D50" s="100">
        <v>18</v>
      </c>
      <c r="E50" s="103" t="s">
        <v>141</v>
      </c>
      <c r="F50" s="100">
        <v>0</v>
      </c>
      <c r="G50" s="100">
        <v>0</v>
      </c>
      <c r="H50" s="98" t="e">
        <f>H49</f>
        <v>#REF!</v>
      </c>
      <c r="I50" s="97">
        <f t="shared" si="17"/>
        <v>177.56281678089513</v>
      </c>
      <c r="J50" s="100">
        <v>16</v>
      </c>
      <c r="K50" s="100">
        <v>300</v>
      </c>
      <c r="L50" s="98" t="e">
        <f>L49</f>
        <v>#REF!</v>
      </c>
      <c r="M50" s="97">
        <f t="shared" si="14"/>
        <v>19.232420302432153</v>
      </c>
      <c r="N50" s="97">
        <f t="shared" si="15"/>
        <v>196.79523708332729</v>
      </c>
      <c r="O50" s="97">
        <f t="shared" si="16"/>
        <v>6494.2428237498007</v>
      </c>
      <c r="AC50" s="104">
        <f t="shared" si="12"/>
        <v>2837.1919040883736</v>
      </c>
      <c r="AD50" s="104"/>
      <c r="AE50" s="104"/>
      <c r="AF50" s="104"/>
      <c r="AG50" s="111" t="s">
        <v>170</v>
      </c>
      <c r="AH50" s="112" t="s">
        <v>135</v>
      </c>
      <c r="AI50" s="127">
        <v>-24.5</v>
      </c>
      <c r="AJ50" s="114">
        <v>3500</v>
      </c>
      <c r="AK50" s="97">
        <f t="shared" si="13"/>
        <v>31.965</v>
      </c>
      <c r="AL50" s="104">
        <f>AVERAGE(AK45:AK50)</f>
        <v>37.465000000000003</v>
      </c>
    </row>
    <row r="51" spans="1:38">
      <c r="A51" s="100">
        <v>16</v>
      </c>
      <c r="B51" s="100">
        <v>40</v>
      </c>
      <c r="C51" s="100">
        <v>40</v>
      </c>
      <c r="D51" s="100">
        <v>18</v>
      </c>
      <c r="E51" s="103" t="s">
        <v>141</v>
      </c>
      <c r="F51" s="100">
        <v>32</v>
      </c>
      <c r="G51" s="100">
        <v>18</v>
      </c>
      <c r="H51" s="98" t="e">
        <f>#REF!</f>
        <v>#REF!</v>
      </c>
      <c r="I51" s="97">
        <f t="shared" si="17"/>
        <v>291.20301952066802</v>
      </c>
      <c r="J51" s="100">
        <v>16</v>
      </c>
      <c r="K51" s="100">
        <v>240</v>
      </c>
      <c r="L51" s="98" t="e">
        <f>MAX(#REF!,#REF!)</f>
        <v>#REF!</v>
      </c>
      <c r="M51" s="97">
        <f t="shared" si="14"/>
        <v>24.04052537804019</v>
      </c>
      <c r="N51" s="97">
        <f t="shared" si="15"/>
        <v>315.24354489870819</v>
      </c>
      <c r="O51" s="97">
        <f t="shared" si="16"/>
        <v>2837.1919040883736</v>
      </c>
      <c r="AC51" s="104">
        <f t="shared" si="12"/>
        <v>5182.032298645996</v>
      </c>
    </row>
    <row r="52" spans="1:38">
      <c r="A52" s="100">
        <v>17.5</v>
      </c>
      <c r="B52" s="100">
        <v>40</v>
      </c>
      <c r="C52" s="100">
        <v>32</v>
      </c>
      <c r="D52" s="100">
        <v>18</v>
      </c>
      <c r="E52" s="103" t="s">
        <v>141</v>
      </c>
      <c r="F52" s="100">
        <v>0</v>
      </c>
      <c r="G52" s="100">
        <v>0</v>
      </c>
      <c r="H52" s="98" t="e">
        <f>H51</f>
        <v>#REF!</v>
      </c>
      <c r="I52" s="97">
        <f t="shared" si="17"/>
        <v>113.64020273977286</v>
      </c>
      <c r="J52" s="100">
        <v>16</v>
      </c>
      <c r="K52" s="100">
        <v>300</v>
      </c>
      <c r="L52" s="98" t="e">
        <f>L51</f>
        <v>#REF!</v>
      </c>
      <c r="M52" s="97">
        <f t="shared" si="14"/>
        <v>19.232420302432153</v>
      </c>
      <c r="N52" s="97">
        <f t="shared" si="15"/>
        <v>132.87262304220502</v>
      </c>
      <c r="O52" s="97">
        <f t="shared" si="16"/>
        <v>5182.032298645996</v>
      </c>
      <c r="AC52" s="104">
        <f t="shared" si="12"/>
        <v>2286.8386073940178</v>
      </c>
    </row>
    <row r="53" spans="1:38">
      <c r="A53" s="100">
        <v>24</v>
      </c>
      <c r="B53" s="100">
        <v>40</v>
      </c>
      <c r="C53" s="100">
        <v>16</v>
      </c>
      <c r="D53" s="100">
        <v>18</v>
      </c>
      <c r="E53" s="103" t="s">
        <v>141</v>
      </c>
      <c r="F53" s="100">
        <v>0</v>
      </c>
      <c r="G53" s="100">
        <v>0</v>
      </c>
      <c r="H53" s="98" t="e">
        <f>MAX(#REF!)</f>
        <v>#REF!</v>
      </c>
      <c r="I53" s="97">
        <f t="shared" si="17"/>
        <v>28.410050684943215</v>
      </c>
      <c r="J53" s="100">
        <v>16</v>
      </c>
      <c r="K53" s="100">
        <v>300</v>
      </c>
      <c r="L53" s="98"/>
      <c r="M53" s="97">
        <f t="shared" si="14"/>
        <v>19.232420302432153</v>
      </c>
      <c r="N53" s="97">
        <f t="shared" si="15"/>
        <v>47.642470987375368</v>
      </c>
      <c r="O53" s="97">
        <f t="shared" si="16"/>
        <v>2286.8386073940178</v>
      </c>
      <c r="AC53">
        <f>N54*(21-A54)</f>
        <v>-524.06718086112903</v>
      </c>
    </row>
    <row r="54" spans="1:38" ht="15.75" thickBot="1">
      <c r="A54" s="100">
        <v>32</v>
      </c>
      <c r="B54" s="100">
        <v>40</v>
      </c>
      <c r="C54" s="100">
        <v>16</v>
      </c>
      <c r="D54" s="100">
        <v>18</v>
      </c>
      <c r="E54" s="103" t="s">
        <v>141</v>
      </c>
      <c r="F54" s="100">
        <v>0</v>
      </c>
      <c r="G54" s="100">
        <v>0</v>
      </c>
      <c r="H54" s="98" t="e">
        <f>H53</f>
        <v>#REF!</v>
      </c>
      <c r="I54" s="97">
        <f t="shared" si="17"/>
        <v>28.410050684943215</v>
      </c>
      <c r="J54" s="100">
        <v>16</v>
      </c>
      <c r="K54" s="100">
        <v>300</v>
      </c>
      <c r="L54" s="98"/>
      <c r="M54" s="97">
        <f t="shared" si="14"/>
        <v>19.232420302432153</v>
      </c>
      <c r="N54" s="97">
        <f t="shared" si="15"/>
        <v>47.642470987375368</v>
      </c>
      <c r="O54" s="97">
        <f>$Q$45*N54*($AL$50-A54)</f>
        <v>1562.1966236760393</v>
      </c>
      <c r="AC54" s="99" t="e">
        <f>SUM(AC45:AC53)</f>
        <v>#REF!</v>
      </c>
      <c r="AD54" s="115" t="e">
        <f>O55-AC54</f>
        <v>#REF!</v>
      </c>
      <c r="AE54" s="115"/>
      <c r="AF54" s="115"/>
    </row>
    <row r="55" spans="1:38" ht="16.5" thickTop="1" thickBot="1">
      <c r="O55" s="99" t="e">
        <f>SUM(O46:O54)</f>
        <v>#REF!</v>
      </c>
      <c r="P55" s="89" t="s">
        <v>148</v>
      </c>
      <c r="Q55" s="102" t="e">
        <f>O55/$D$9/Q45</f>
        <v>#REF!</v>
      </c>
      <c r="R55" t="s">
        <v>121</v>
      </c>
    </row>
    <row r="56" spans="1:38" ht="15.75" thickTop="1">
      <c r="AG56" s="144" t="s">
        <v>171</v>
      </c>
      <c r="AH56" s="144"/>
      <c r="AI56" s="144"/>
      <c r="AJ56" s="144"/>
      <c r="AK56" s="144"/>
    </row>
    <row r="57" spans="1:38" ht="18.75">
      <c r="A57" s="1" t="s">
        <v>172</v>
      </c>
      <c r="AG57" s="3" t="s">
        <v>17</v>
      </c>
      <c r="AH57" s="3" t="s">
        <v>128</v>
      </c>
      <c r="AI57" s="3" t="s">
        <v>129</v>
      </c>
      <c r="AJ57" s="3" t="s">
        <v>130</v>
      </c>
      <c r="AK57" s="3" t="s">
        <v>131</v>
      </c>
    </row>
    <row r="58" spans="1:38">
      <c r="AG58" s="111" t="s">
        <v>173</v>
      </c>
      <c r="AH58" s="112" t="s">
        <v>154</v>
      </c>
      <c r="AI58" s="127">
        <v>-34</v>
      </c>
      <c r="AJ58" s="114">
        <v>4000</v>
      </c>
      <c r="AK58" s="97">
        <f t="shared" ref="AK58:AK63" si="18">AH58-AI58+AJ58/1000</f>
        <v>41.765000000000001</v>
      </c>
    </row>
    <row r="59" spans="1:38" ht="14.45" customHeight="1">
      <c r="A59" s="145" t="s">
        <v>151</v>
      </c>
      <c r="B59" s="146" t="s">
        <v>132</v>
      </c>
      <c r="C59" s="144" t="s">
        <v>133</v>
      </c>
      <c r="D59" s="144"/>
      <c r="E59" s="144"/>
      <c r="F59" s="144"/>
      <c r="G59" s="144"/>
      <c r="H59" s="144"/>
      <c r="I59" s="144"/>
      <c r="J59" s="144" t="s">
        <v>72</v>
      </c>
      <c r="K59" s="144"/>
      <c r="L59" s="144"/>
      <c r="M59" s="144"/>
      <c r="N59" s="146" t="s">
        <v>109</v>
      </c>
      <c r="O59" s="146" t="s">
        <v>110</v>
      </c>
      <c r="Q59" t="s">
        <v>174</v>
      </c>
      <c r="AG59" s="111" t="s">
        <v>175</v>
      </c>
      <c r="AH59" s="112" t="s">
        <v>154</v>
      </c>
      <c r="AI59" s="127">
        <v>-33</v>
      </c>
      <c r="AJ59" s="114">
        <v>4000</v>
      </c>
      <c r="AK59" s="97">
        <f t="shared" si="18"/>
        <v>40.765000000000001</v>
      </c>
    </row>
    <row r="60" spans="1:38">
      <c r="A60" s="145"/>
      <c r="B60" s="146"/>
      <c r="C60" s="3" t="s">
        <v>136</v>
      </c>
      <c r="D60" s="3" t="s">
        <v>137</v>
      </c>
      <c r="F60" s="3" t="s">
        <v>136</v>
      </c>
      <c r="G60" s="3" t="s">
        <v>137</v>
      </c>
      <c r="H60" s="3" t="s">
        <v>138</v>
      </c>
      <c r="I60" s="3" t="s">
        <v>109</v>
      </c>
      <c r="J60" s="3" t="s">
        <v>136</v>
      </c>
      <c r="K60" s="3" t="s">
        <v>139</v>
      </c>
      <c r="L60" s="3" t="s">
        <v>138</v>
      </c>
      <c r="M60" s="3" t="s">
        <v>109</v>
      </c>
      <c r="N60" s="146"/>
      <c r="O60" s="146"/>
      <c r="Q60" s="5">
        <v>6</v>
      </c>
      <c r="AC60" s="104" t="e">
        <f>O61</f>
        <v>#REF!</v>
      </c>
      <c r="AG60" s="111" t="s">
        <v>176</v>
      </c>
      <c r="AH60" s="112" t="s">
        <v>154</v>
      </c>
      <c r="AI60" s="127">
        <v>-33</v>
      </c>
      <c r="AJ60" s="114">
        <v>4000</v>
      </c>
      <c r="AK60" s="97">
        <f t="shared" si="18"/>
        <v>40.765000000000001</v>
      </c>
    </row>
    <row r="61" spans="1:38">
      <c r="A61" s="100">
        <v>0</v>
      </c>
      <c r="B61" s="100">
        <v>40</v>
      </c>
      <c r="C61" s="100">
        <v>32</v>
      </c>
      <c r="D61" s="100" t="e">
        <f>#REF!</f>
        <v>#REF!</v>
      </c>
      <c r="E61" s="103" t="s">
        <v>141</v>
      </c>
      <c r="F61" s="100">
        <v>0</v>
      </c>
      <c r="G61" s="100">
        <v>0</v>
      </c>
      <c r="H61" s="98" t="e">
        <f>#REF!</f>
        <v>#REF!</v>
      </c>
      <c r="I61" s="97" t="e">
        <f>$C$11*((D61*PI()*((C61/1000)^2)/4)+(G61*PI()*((F61/1000)^2)/4))</f>
        <v>#REF!</v>
      </c>
      <c r="J61" s="100">
        <v>16</v>
      </c>
      <c r="K61" s="100">
        <v>300</v>
      </c>
      <c r="L61" s="98" t="e">
        <f>MAX(#REF!,#REF!)</f>
        <v>#REF!</v>
      </c>
      <c r="M61" s="97">
        <f>$C$11*$C$14*PI()*((J61/1000)^2)/4*1000/K61</f>
        <v>19.232420302432153</v>
      </c>
      <c r="N61" s="97" t="e">
        <f>I61+M61</f>
        <v>#REF!</v>
      </c>
      <c r="O61" s="97" t="e">
        <f>$Q$60*N61*(A62-A61)</f>
        <v>#REF!</v>
      </c>
      <c r="AC61" s="104">
        <f>O62</f>
        <v>11912.095590355215</v>
      </c>
      <c r="AG61" s="111" t="s">
        <v>177</v>
      </c>
      <c r="AH61" s="112" t="s">
        <v>154</v>
      </c>
      <c r="AI61" s="127">
        <v>-26</v>
      </c>
      <c r="AJ61" s="114">
        <v>4000</v>
      </c>
      <c r="AK61" s="97">
        <f t="shared" si="18"/>
        <v>33.765000000000001</v>
      </c>
    </row>
    <row r="62" spans="1:38">
      <c r="A62" s="100">
        <v>12.4</v>
      </c>
      <c r="B62" s="100">
        <v>40</v>
      </c>
      <c r="C62" s="100">
        <v>32</v>
      </c>
      <c r="D62" s="100">
        <v>18</v>
      </c>
      <c r="E62" s="103" t="s">
        <v>141</v>
      </c>
      <c r="F62" s="100">
        <v>20</v>
      </c>
      <c r="G62" s="100">
        <v>18</v>
      </c>
      <c r="H62" s="98" t="e">
        <f>#REF!</f>
        <v>#REF!</v>
      </c>
      <c r="I62" s="97">
        <f>$C$11*((D62*PI()*((C62/1000)^2)/4)+(G62*PI()*((F62/1000)^2)/4))</f>
        <v>158.03090693499664</v>
      </c>
      <c r="J62" s="100">
        <v>16</v>
      </c>
      <c r="K62" s="100">
        <v>300</v>
      </c>
      <c r="L62" s="98" t="e">
        <f>MAX(#REF!,#REF!)</f>
        <v>#REF!</v>
      </c>
      <c r="M62" s="97">
        <f>$C$11*$C$14*PI()*((J62/1000)^2)/4*1000/K62</f>
        <v>19.232420302432153</v>
      </c>
      <c r="N62" s="97">
        <f>I62+M62</f>
        <v>177.2633272374288</v>
      </c>
      <c r="O62" s="97">
        <f>$Q$60*N62*(A63-A62)</f>
        <v>11912.095590355215</v>
      </c>
      <c r="AC62" s="104">
        <f>O63</f>
        <v>6696.7802013271321</v>
      </c>
      <c r="AG62" s="111" t="s">
        <v>178</v>
      </c>
      <c r="AH62" s="112" t="s">
        <v>154</v>
      </c>
      <c r="AI62" s="127">
        <v>-22.5</v>
      </c>
      <c r="AJ62" s="114">
        <v>4000</v>
      </c>
      <c r="AK62" s="97">
        <f t="shared" si="18"/>
        <v>30.265000000000001</v>
      </c>
    </row>
    <row r="63" spans="1:38">
      <c r="A63" s="100">
        <v>23.6</v>
      </c>
      <c r="B63" s="100">
        <v>40</v>
      </c>
      <c r="C63" s="100">
        <v>32</v>
      </c>
      <c r="D63" s="100">
        <v>18</v>
      </c>
      <c r="E63" s="103" t="s">
        <v>141</v>
      </c>
      <c r="F63" s="100">
        <v>0</v>
      </c>
      <c r="G63" s="100">
        <v>0</v>
      </c>
      <c r="H63" s="98" t="e">
        <f>#REF!</f>
        <v>#REF!</v>
      </c>
      <c r="I63" s="97">
        <f>$C$11*((D63*PI()*((C63/1000)^2)/4)+(G63*PI()*((F63/1000)^2)/4))</f>
        <v>113.64020273977286</v>
      </c>
      <c r="J63" s="100">
        <v>16</v>
      </c>
      <c r="K63" s="100">
        <v>300</v>
      </c>
      <c r="L63" s="98" t="e">
        <f>MAX(#REF!,#REF!)</f>
        <v>#REF!</v>
      </c>
      <c r="M63" s="97">
        <f>$C$11*$C$14*PI()*((J63/1000)^2)/4*1000/K63</f>
        <v>19.232420302432153</v>
      </c>
      <c r="N63" s="97">
        <f>I63+M63</f>
        <v>132.87262304220502</v>
      </c>
      <c r="O63" s="97">
        <f>$Q$60*N63*(A64-A63)</f>
        <v>6696.7802013271321</v>
      </c>
      <c r="AC63">
        <f>N64*(30-A64)</f>
        <v>-177.18579121493866</v>
      </c>
      <c r="AG63" s="111" t="s">
        <v>179</v>
      </c>
      <c r="AH63" s="112" t="s">
        <v>154</v>
      </c>
      <c r="AI63" s="127">
        <v>-20.5</v>
      </c>
      <c r="AJ63" s="114">
        <v>4000</v>
      </c>
      <c r="AK63" s="97">
        <f t="shared" si="18"/>
        <v>28.265000000000001</v>
      </c>
      <c r="AL63" s="104">
        <f>AVERAGE(AK58:AK63)</f>
        <v>35.931666666666665</v>
      </c>
    </row>
    <row r="64" spans="1:38" ht="15.75" thickBot="1">
      <c r="A64" s="100">
        <v>32</v>
      </c>
      <c r="B64" s="100">
        <v>40</v>
      </c>
      <c r="C64" s="100">
        <v>25</v>
      </c>
      <c r="D64" s="100">
        <v>18</v>
      </c>
      <c r="E64" s="103" t="s">
        <v>141</v>
      </c>
      <c r="F64" s="100">
        <v>0</v>
      </c>
      <c r="G64" s="100">
        <v>0</v>
      </c>
      <c r="H64" s="98" t="e">
        <f>MAX(#REF!)</f>
        <v>#REF!</v>
      </c>
      <c r="I64" s="97">
        <f>$C$11*((D64*PI()*((C64/1000)^2)/4)+(G64*PI()*((F64/1000)^2)/4))</f>
        <v>69.36047530503717</v>
      </c>
      <c r="J64" s="100">
        <v>16</v>
      </c>
      <c r="K64" s="100">
        <v>300</v>
      </c>
      <c r="L64" s="98"/>
      <c r="M64" s="97">
        <f>$C$11*$C$14*PI()*((J64/1000)^2)/4*1000/K64</f>
        <v>19.232420302432153</v>
      </c>
      <c r="N64" s="97">
        <f>I64+M64</f>
        <v>88.59289560746933</v>
      </c>
      <c r="O64" s="97">
        <f>$Q$60*N64*($AL$63-A64)</f>
        <v>2089.9064073802001</v>
      </c>
      <c r="AC64" s="99" t="e">
        <f>SUM(AC60:AC63)</f>
        <v>#REF!</v>
      </c>
      <c r="AD64" s="115" t="e">
        <f>O65-AC64</f>
        <v>#REF!</v>
      </c>
    </row>
    <row r="65" spans="1:38" ht="16.5" thickTop="1" thickBot="1">
      <c r="O65" s="99" t="e">
        <f>SUM(O61:O64)</f>
        <v>#REF!</v>
      </c>
      <c r="P65" s="89" t="s">
        <v>148</v>
      </c>
      <c r="Q65" s="102" t="e">
        <f>O65/$I$8/Q60</f>
        <v>#REF!</v>
      </c>
      <c r="R65" t="s">
        <v>121</v>
      </c>
    </row>
    <row r="66" spans="1:38" ht="15.75" thickTop="1">
      <c r="K66" s="104"/>
    </row>
    <row r="67" spans="1:38" ht="18.75">
      <c r="A67" s="1" t="s">
        <v>180</v>
      </c>
      <c r="AG67" s="144" t="s">
        <v>181</v>
      </c>
      <c r="AH67" s="144"/>
      <c r="AI67" s="144"/>
      <c r="AJ67" s="144"/>
      <c r="AK67" s="144"/>
    </row>
    <row r="68" spans="1:38">
      <c r="AG68" s="3" t="s">
        <v>17</v>
      </c>
      <c r="AH68" s="3" t="s">
        <v>128</v>
      </c>
      <c r="AI68" s="3" t="s">
        <v>129</v>
      </c>
      <c r="AJ68" s="3" t="s">
        <v>130</v>
      </c>
      <c r="AK68" s="3" t="s">
        <v>131</v>
      </c>
    </row>
    <row r="69" spans="1:38" ht="14.45" customHeight="1">
      <c r="A69" s="147" t="s">
        <v>151</v>
      </c>
      <c r="B69" s="149" t="s">
        <v>132</v>
      </c>
      <c r="C69" s="144" t="s">
        <v>133</v>
      </c>
      <c r="D69" s="144"/>
      <c r="E69" s="144"/>
      <c r="F69" s="144"/>
      <c r="G69" s="144"/>
      <c r="H69" s="144"/>
      <c r="I69" s="144"/>
      <c r="J69" s="151" t="s">
        <v>72</v>
      </c>
      <c r="K69" s="152"/>
      <c r="L69" s="152"/>
      <c r="M69" s="153"/>
      <c r="N69" s="149" t="s">
        <v>109</v>
      </c>
      <c r="O69" s="149" t="s">
        <v>110</v>
      </c>
      <c r="Q69" t="s">
        <v>182</v>
      </c>
      <c r="AG69" s="111" t="s">
        <v>183</v>
      </c>
      <c r="AH69" s="112" t="s">
        <v>135</v>
      </c>
      <c r="AI69" s="127">
        <v>-35</v>
      </c>
      <c r="AJ69" s="114">
        <v>3000</v>
      </c>
      <c r="AK69" s="97">
        <f>AH69-AI69+AJ69/1000</f>
        <v>41.965000000000003</v>
      </c>
    </row>
    <row r="70" spans="1:38">
      <c r="A70" s="148"/>
      <c r="B70" s="150"/>
      <c r="C70" s="3" t="s">
        <v>136</v>
      </c>
      <c r="D70" s="3" t="s">
        <v>137</v>
      </c>
      <c r="F70" s="3" t="s">
        <v>136</v>
      </c>
      <c r="G70" s="3" t="s">
        <v>137</v>
      </c>
      <c r="H70" s="3" t="s">
        <v>138</v>
      </c>
      <c r="I70" s="3" t="s">
        <v>109</v>
      </c>
      <c r="J70" s="3" t="s">
        <v>136</v>
      </c>
      <c r="K70" s="3" t="s">
        <v>139</v>
      </c>
      <c r="L70" s="3" t="s">
        <v>138</v>
      </c>
      <c r="M70" s="3" t="s">
        <v>109</v>
      </c>
      <c r="N70" s="150"/>
      <c r="O70" s="150"/>
      <c r="Q70" s="5">
        <v>11</v>
      </c>
      <c r="AC70" s="104">
        <f t="shared" ref="AC70:AC77" si="19">O71</f>
        <v>9697.9556260922618</v>
      </c>
      <c r="AD70" s="104"/>
      <c r="AE70" s="104"/>
      <c r="AF70" s="104"/>
      <c r="AG70" s="111" t="s">
        <v>184</v>
      </c>
      <c r="AH70" s="112" t="s">
        <v>135</v>
      </c>
      <c r="AI70" s="127">
        <v>-35</v>
      </c>
      <c r="AJ70" s="114">
        <v>3000</v>
      </c>
      <c r="AK70" s="97">
        <f t="shared" ref="AK70:AK79" si="20">AH70-AI70+AJ70/1000</f>
        <v>41.965000000000003</v>
      </c>
    </row>
    <row r="71" spans="1:38">
      <c r="A71" s="100">
        <v>0</v>
      </c>
      <c r="B71" s="100">
        <v>40</v>
      </c>
      <c r="C71" s="100">
        <v>40</v>
      </c>
      <c r="D71" s="100">
        <v>18</v>
      </c>
      <c r="E71" s="103" t="s">
        <v>141</v>
      </c>
      <c r="F71" s="100">
        <v>25</v>
      </c>
      <c r="G71" s="100">
        <v>18</v>
      </c>
      <c r="H71" s="98" t="e">
        <f>#REF!</f>
        <v>#REF!</v>
      </c>
      <c r="I71" s="97">
        <f>$C$11*((D71*PI()*((C71/1000)^2)/4)+(G71*PI()*((F71/1000)^2)/4))</f>
        <v>246.9232920859323</v>
      </c>
      <c r="J71" s="100">
        <v>25</v>
      </c>
      <c r="K71" s="100">
        <v>300</v>
      </c>
      <c r="L71" s="98" t="e">
        <f>MAX(#REF!,#REF!)</f>
        <v>#REF!</v>
      </c>
      <c r="M71" s="97">
        <f t="shared" ref="M71:M79" si="21">$C$11*$C$14*PI()*((J71/1000)^2)/4*1000/K71</f>
        <v>46.954151128984755</v>
      </c>
      <c r="N71" s="97">
        <f t="shared" ref="N71:N79" si="22">I71+M71</f>
        <v>293.87744321491704</v>
      </c>
      <c r="O71" s="97">
        <f>$Q$70*N71*(A72-A71)</f>
        <v>9697.9556260922618</v>
      </c>
      <c r="AC71" s="104">
        <f t="shared" si="19"/>
        <v>4939.3732940173577</v>
      </c>
      <c r="AD71" s="104"/>
      <c r="AE71" s="104"/>
      <c r="AF71" s="104"/>
      <c r="AG71" s="111" t="s">
        <v>185</v>
      </c>
      <c r="AH71" s="112" t="s">
        <v>135</v>
      </c>
      <c r="AI71" s="127">
        <v>-35.5</v>
      </c>
      <c r="AJ71" s="114">
        <v>3000</v>
      </c>
      <c r="AK71" s="97">
        <f t="shared" si="20"/>
        <v>42.465000000000003</v>
      </c>
    </row>
    <row r="72" spans="1:38">
      <c r="A72" s="100">
        <v>3</v>
      </c>
      <c r="B72" s="100">
        <v>40</v>
      </c>
      <c r="C72" s="100">
        <v>40</v>
      </c>
      <c r="D72" s="100">
        <v>18</v>
      </c>
      <c r="E72" s="103" t="s">
        <v>141</v>
      </c>
      <c r="F72" s="100">
        <v>0</v>
      </c>
      <c r="G72" s="100">
        <v>0</v>
      </c>
      <c r="H72" s="98" t="e">
        <f>#REF!</f>
        <v>#REF!</v>
      </c>
      <c r="I72" s="97">
        <f t="shared" ref="I72:I79" si="23">$C$11*((D72*PI()*((C72/1000)^2)/4)+(G72*PI()*((F72/1000)^2)/4))</f>
        <v>177.56281678089513</v>
      </c>
      <c r="J72" s="100">
        <v>25</v>
      </c>
      <c r="K72" s="100">
        <v>300</v>
      </c>
      <c r="L72" s="98" t="e">
        <f>MAX(#REF!,#REF!)</f>
        <v>#REF!</v>
      </c>
      <c r="M72" s="97">
        <f t="shared" si="21"/>
        <v>46.954151128984755</v>
      </c>
      <c r="N72" s="97">
        <f t="shared" si="22"/>
        <v>224.5169679098799</v>
      </c>
      <c r="O72" s="97">
        <f t="shared" ref="O72:O78" si="24">$Q$70*N72*(A73-A72)</f>
        <v>4939.3732940173577</v>
      </c>
      <c r="AC72" s="104">
        <f t="shared" si="19"/>
        <v>11906.111843541303</v>
      </c>
      <c r="AD72" s="104"/>
      <c r="AE72" s="104"/>
      <c r="AF72" s="104"/>
      <c r="AG72" s="111" t="s">
        <v>186</v>
      </c>
      <c r="AH72" s="112" t="s">
        <v>135</v>
      </c>
      <c r="AI72" s="127">
        <v>-36</v>
      </c>
      <c r="AJ72" s="114">
        <v>3000</v>
      </c>
      <c r="AK72" s="97">
        <f t="shared" si="20"/>
        <v>42.965000000000003</v>
      </c>
    </row>
    <row r="73" spans="1:38">
      <c r="A73" s="100">
        <v>5</v>
      </c>
      <c r="B73" s="100">
        <v>40</v>
      </c>
      <c r="C73" s="100">
        <v>40</v>
      </c>
      <c r="D73" s="100">
        <v>18</v>
      </c>
      <c r="E73" s="103" t="s">
        <v>141</v>
      </c>
      <c r="F73" s="100">
        <v>0</v>
      </c>
      <c r="G73" s="100">
        <v>0</v>
      </c>
      <c r="H73" s="98" t="e">
        <f>#REF!</f>
        <v>#REF!</v>
      </c>
      <c r="I73" s="97">
        <f t="shared" si="23"/>
        <v>177.56281678089513</v>
      </c>
      <c r="J73" s="100">
        <v>16</v>
      </c>
      <c r="K73" s="100">
        <v>300</v>
      </c>
      <c r="L73" s="98" t="e">
        <f>MAX(#REF!,#REF!)</f>
        <v>#REF!</v>
      </c>
      <c r="M73" s="97">
        <f t="shared" si="21"/>
        <v>19.232420302432153</v>
      </c>
      <c r="N73" s="97">
        <f t="shared" si="22"/>
        <v>196.79523708332729</v>
      </c>
      <c r="O73" s="97">
        <f t="shared" si="24"/>
        <v>11906.111843541303</v>
      </c>
      <c r="AC73" s="104">
        <f t="shared" si="19"/>
        <v>8341.6554966762706</v>
      </c>
      <c r="AD73" s="104"/>
      <c r="AE73" s="104"/>
      <c r="AF73" s="104"/>
      <c r="AG73" s="111" t="s">
        <v>187</v>
      </c>
      <c r="AH73" s="112" t="s">
        <v>135</v>
      </c>
      <c r="AI73" s="127">
        <v>-37</v>
      </c>
      <c r="AJ73" s="114">
        <v>3000</v>
      </c>
      <c r="AK73" s="97">
        <f t="shared" si="20"/>
        <v>43.965000000000003</v>
      </c>
    </row>
    <row r="74" spans="1:38">
      <c r="A74" s="100">
        <v>10.5</v>
      </c>
      <c r="B74" s="100">
        <v>40</v>
      </c>
      <c r="C74" s="100">
        <v>40</v>
      </c>
      <c r="D74" s="100">
        <v>18</v>
      </c>
      <c r="E74" s="103" t="s">
        <v>141</v>
      </c>
      <c r="F74" s="100">
        <v>40</v>
      </c>
      <c r="G74" s="100">
        <v>18</v>
      </c>
      <c r="H74" s="98" t="e">
        <f>H73</f>
        <v>#REF!</v>
      </c>
      <c r="I74" s="97">
        <f t="shared" si="23"/>
        <v>355.12563356179027</v>
      </c>
      <c r="J74" s="100">
        <v>16</v>
      </c>
      <c r="K74" s="100">
        <v>240</v>
      </c>
      <c r="L74" s="98" t="e">
        <f>L73</f>
        <v>#REF!</v>
      </c>
      <c r="M74" s="97">
        <f t="shared" si="21"/>
        <v>24.04052537804019</v>
      </c>
      <c r="N74" s="97">
        <f t="shared" si="22"/>
        <v>379.16615893983044</v>
      </c>
      <c r="O74" s="97">
        <f t="shared" si="24"/>
        <v>8341.6554966762706</v>
      </c>
      <c r="AC74" s="104">
        <f t="shared" si="19"/>
        <v>7576.6166277081011</v>
      </c>
      <c r="AD74" s="104"/>
      <c r="AE74" s="104"/>
      <c r="AF74" s="104"/>
      <c r="AG74" s="111" t="s">
        <v>188</v>
      </c>
      <c r="AH74" s="112" t="s">
        <v>135</v>
      </c>
      <c r="AI74" s="127">
        <v>-37</v>
      </c>
      <c r="AJ74" s="114">
        <v>3000</v>
      </c>
      <c r="AK74" s="97">
        <f t="shared" si="20"/>
        <v>43.965000000000003</v>
      </c>
    </row>
    <row r="75" spans="1:38">
      <c r="A75" s="100">
        <v>12.5</v>
      </c>
      <c r="B75" s="100">
        <v>40</v>
      </c>
      <c r="C75" s="100">
        <v>40</v>
      </c>
      <c r="D75" s="100">
        <v>18</v>
      </c>
      <c r="E75" s="103" t="s">
        <v>141</v>
      </c>
      <c r="F75" s="100">
        <v>0</v>
      </c>
      <c r="G75" s="100">
        <v>0</v>
      </c>
      <c r="H75" s="98" t="e">
        <f>H74</f>
        <v>#REF!</v>
      </c>
      <c r="I75" s="97">
        <f t="shared" si="23"/>
        <v>177.56281678089513</v>
      </c>
      <c r="J75" s="100">
        <v>16</v>
      </c>
      <c r="K75" s="100">
        <v>300</v>
      </c>
      <c r="L75" s="98" t="e">
        <f>L74</f>
        <v>#REF!</v>
      </c>
      <c r="M75" s="97">
        <f t="shared" si="21"/>
        <v>19.232420302432153</v>
      </c>
      <c r="N75" s="97">
        <f t="shared" si="22"/>
        <v>196.79523708332729</v>
      </c>
      <c r="O75" s="97">
        <f t="shared" si="24"/>
        <v>7576.6166277081011</v>
      </c>
      <c r="AC75" s="104">
        <f t="shared" si="19"/>
        <v>5201.5184908286847</v>
      </c>
      <c r="AD75" s="104"/>
      <c r="AE75" s="104"/>
      <c r="AF75" s="104"/>
      <c r="AG75" s="111" t="s">
        <v>189</v>
      </c>
      <c r="AH75" s="112" t="s">
        <v>135</v>
      </c>
      <c r="AI75" s="127">
        <v>-37.5</v>
      </c>
      <c r="AJ75" s="114">
        <v>3000</v>
      </c>
      <c r="AK75" s="97">
        <f t="shared" si="20"/>
        <v>44.465000000000003</v>
      </c>
    </row>
    <row r="76" spans="1:38">
      <c r="A76" s="100">
        <v>16</v>
      </c>
      <c r="B76" s="100">
        <v>40</v>
      </c>
      <c r="C76" s="100">
        <v>40</v>
      </c>
      <c r="D76" s="100">
        <v>18</v>
      </c>
      <c r="E76" s="103" t="s">
        <v>141</v>
      </c>
      <c r="F76" s="100">
        <v>32</v>
      </c>
      <c r="G76" s="100">
        <v>18</v>
      </c>
      <c r="H76" s="98" t="e">
        <f>#REF!</f>
        <v>#REF!</v>
      </c>
      <c r="I76" s="97">
        <f t="shared" si="23"/>
        <v>291.20301952066802</v>
      </c>
      <c r="J76" s="100">
        <v>16</v>
      </c>
      <c r="K76" s="100">
        <v>240</v>
      </c>
      <c r="L76" s="98" t="e">
        <f>MAX(#REF!,#REF!)</f>
        <v>#REF!</v>
      </c>
      <c r="M76" s="97">
        <f t="shared" si="21"/>
        <v>24.04052537804019</v>
      </c>
      <c r="N76" s="97">
        <f t="shared" si="22"/>
        <v>315.24354489870819</v>
      </c>
      <c r="O76" s="97">
        <f t="shared" si="24"/>
        <v>5201.5184908286847</v>
      </c>
      <c r="AC76" s="104">
        <f t="shared" si="19"/>
        <v>9500.3925475176584</v>
      </c>
      <c r="AG76" s="111" t="s">
        <v>190</v>
      </c>
      <c r="AH76" s="112" t="s">
        <v>135</v>
      </c>
      <c r="AI76" s="127">
        <v>-37.5</v>
      </c>
      <c r="AJ76" s="114">
        <v>3000</v>
      </c>
      <c r="AK76" s="97">
        <f t="shared" si="20"/>
        <v>44.465000000000003</v>
      </c>
    </row>
    <row r="77" spans="1:38">
      <c r="A77" s="100">
        <v>17.5</v>
      </c>
      <c r="B77" s="100">
        <v>40</v>
      </c>
      <c r="C77" s="100">
        <v>32</v>
      </c>
      <c r="D77" s="100">
        <v>18</v>
      </c>
      <c r="E77" s="103" t="s">
        <v>141</v>
      </c>
      <c r="F77" s="100">
        <v>0</v>
      </c>
      <c r="G77" s="100">
        <v>0</v>
      </c>
      <c r="H77" s="98" t="e">
        <f>H76</f>
        <v>#REF!</v>
      </c>
      <c r="I77" s="97">
        <f t="shared" si="23"/>
        <v>113.64020273977286</v>
      </c>
      <c r="J77" s="100">
        <v>16</v>
      </c>
      <c r="K77" s="100">
        <v>300</v>
      </c>
      <c r="L77" s="98" t="e">
        <f>L76</f>
        <v>#REF!</v>
      </c>
      <c r="M77" s="97">
        <f t="shared" si="21"/>
        <v>19.232420302432153</v>
      </c>
      <c r="N77" s="97">
        <f t="shared" si="22"/>
        <v>132.87262304220502</v>
      </c>
      <c r="O77" s="97">
        <f t="shared" si="24"/>
        <v>9500.3925475176584</v>
      </c>
      <c r="AC77" s="104">
        <f t="shared" si="19"/>
        <v>1419.2875287989059</v>
      </c>
      <c r="AG77" s="111" t="s">
        <v>191</v>
      </c>
      <c r="AH77" s="112" t="s">
        <v>135</v>
      </c>
      <c r="AI77" s="127">
        <v>-35</v>
      </c>
      <c r="AJ77" s="114">
        <v>3500</v>
      </c>
      <c r="AK77" s="97">
        <f t="shared" si="20"/>
        <v>42.465000000000003</v>
      </c>
    </row>
    <row r="78" spans="1:38">
      <c r="A78" s="100">
        <v>24</v>
      </c>
      <c r="B78" s="100">
        <v>40</v>
      </c>
      <c r="C78" s="100">
        <v>16</v>
      </c>
      <c r="D78" s="100">
        <v>18</v>
      </c>
      <c r="E78" s="103" t="s">
        <v>141</v>
      </c>
      <c r="F78" s="100">
        <v>32</v>
      </c>
      <c r="G78" s="100">
        <v>18</v>
      </c>
      <c r="H78" s="98" t="e">
        <f>MAX(#REF!)</f>
        <v>#REF!</v>
      </c>
      <c r="I78" s="97">
        <f t="shared" si="23"/>
        <v>142.05025342471609</v>
      </c>
      <c r="J78" s="100">
        <v>16</v>
      </c>
      <c r="K78" s="100">
        <v>300</v>
      </c>
      <c r="L78" s="98"/>
      <c r="M78" s="97">
        <f t="shared" si="21"/>
        <v>19.232420302432153</v>
      </c>
      <c r="N78" s="97">
        <f t="shared" si="22"/>
        <v>161.28267372714825</v>
      </c>
      <c r="O78" s="97">
        <f t="shared" si="24"/>
        <v>1419.2875287989059</v>
      </c>
      <c r="AC78">
        <f>N79*(21-A79)</f>
        <v>-181.04138975202645</v>
      </c>
      <c r="AG78" s="111" t="s">
        <v>192</v>
      </c>
      <c r="AH78" s="112" t="s">
        <v>135</v>
      </c>
      <c r="AI78" s="127">
        <v>-32.5</v>
      </c>
      <c r="AJ78" s="114">
        <v>3500</v>
      </c>
      <c r="AK78" s="97">
        <f t="shared" si="20"/>
        <v>39.965000000000003</v>
      </c>
    </row>
    <row r="79" spans="1:38" ht="15.75" thickBot="1">
      <c r="A79" s="100">
        <v>24.8</v>
      </c>
      <c r="B79" s="100">
        <v>40</v>
      </c>
      <c r="C79" s="100">
        <v>16</v>
      </c>
      <c r="D79" s="100">
        <v>18</v>
      </c>
      <c r="E79" s="103" t="s">
        <v>141</v>
      </c>
      <c r="F79" s="100">
        <v>0</v>
      </c>
      <c r="G79" s="100">
        <v>0</v>
      </c>
      <c r="H79" s="98" t="e">
        <f>H78</f>
        <v>#REF!</v>
      </c>
      <c r="I79" s="97">
        <f t="shared" si="23"/>
        <v>28.410050684943215</v>
      </c>
      <c r="J79" s="100">
        <v>16</v>
      </c>
      <c r="K79" s="100">
        <v>300</v>
      </c>
      <c r="L79" s="98"/>
      <c r="M79" s="97">
        <f t="shared" si="21"/>
        <v>19.232420302432153</v>
      </c>
      <c r="N79" s="97">
        <f t="shared" si="22"/>
        <v>47.642470987375368</v>
      </c>
      <c r="O79" s="97">
        <f>$Q$70*N79*(AL79-A79)</f>
        <v>9186.1830434307885</v>
      </c>
      <c r="AC79" s="99">
        <f>SUM(AC70:AC78)</f>
        <v>58401.870065428513</v>
      </c>
      <c r="AD79" s="115">
        <f>O80-AC79</f>
        <v>9367.2244331828188</v>
      </c>
      <c r="AE79" s="116"/>
      <c r="AF79" s="116"/>
      <c r="AG79" s="111" t="s">
        <v>193</v>
      </c>
      <c r="AH79" s="112" t="s">
        <v>135</v>
      </c>
      <c r="AI79" s="127">
        <v>-29.5</v>
      </c>
      <c r="AJ79" s="114">
        <v>3500</v>
      </c>
      <c r="AK79" s="97">
        <f t="shared" si="20"/>
        <v>36.965000000000003</v>
      </c>
      <c r="AL79" s="104">
        <f>AVERAGE(AK69:AK79)</f>
        <v>42.328636363636377</v>
      </c>
    </row>
    <row r="80" spans="1:38" ht="16.5" thickTop="1" thickBot="1">
      <c r="O80" s="99">
        <f>SUM(O71:O79)</f>
        <v>67769.094498611332</v>
      </c>
      <c r="P80" s="89" t="s">
        <v>148</v>
      </c>
      <c r="Q80" s="102">
        <f>O80/$D$9/Q70</f>
        <v>1.2105259683856076</v>
      </c>
      <c r="R80" t="s">
        <v>121</v>
      </c>
    </row>
    <row r="81" spans="1:38" ht="15.75" thickTop="1">
      <c r="AG81" s="144" t="s">
        <v>194</v>
      </c>
      <c r="AH81" s="144"/>
      <c r="AI81" s="144"/>
      <c r="AJ81" s="144"/>
      <c r="AK81" s="144"/>
    </row>
    <row r="82" spans="1:38" ht="18.75">
      <c r="A82" s="1" t="s">
        <v>195</v>
      </c>
      <c r="AG82" s="3" t="s">
        <v>17</v>
      </c>
      <c r="AH82" s="3" t="s">
        <v>128</v>
      </c>
      <c r="AI82" s="3" t="s">
        <v>129</v>
      </c>
      <c r="AJ82" s="3" t="s">
        <v>130</v>
      </c>
      <c r="AK82" s="3" t="s">
        <v>131</v>
      </c>
    </row>
    <row r="83" spans="1:38">
      <c r="AG83" s="111" t="s">
        <v>196</v>
      </c>
      <c r="AH83" s="112" t="s">
        <v>154</v>
      </c>
      <c r="AI83" s="127">
        <v>-34.5</v>
      </c>
      <c r="AJ83" s="114">
        <v>3500</v>
      </c>
      <c r="AK83" s="97">
        <f t="shared" ref="AK83:AK93" si="25">AH83-AI83+AJ83/1000</f>
        <v>41.765000000000001</v>
      </c>
    </row>
    <row r="84" spans="1:38">
      <c r="A84" s="145" t="s">
        <v>151</v>
      </c>
      <c r="B84" s="146" t="s">
        <v>132</v>
      </c>
      <c r="C84" s="144" t="s">
        <v>133</v>
      </c>
      <c r="D84" s="144"/>
      <c r="E84" s="144"/>
      <c r="F84" s="144"/>
      <c r="G84" s="144"/>
      <c r="H84" s="144"/>
      <c r="I84" s="144"/>
      <c r="J84" s="144" t="s">
        <v>72</v>
      </c>
      <c r="K84" s="144"/>
      <c r="L84" s="144"/>
      <c r="M84" s="144"/>
      <c r="N84" s="146" t="s">
        <v>109</v>
      </c>
      <c r="O84" s="146" t="s">
        <v>110</v>
      </c>
      <c r="Q84" t="s">
        <v>197</v>
      </c>
      <c r="AG84" s="111" t="s">
        <v>198</v>
      </c>
      <c r="AH84" s="112" t="s">
        <v>154</v>
      </c>
      <c r="AI84" s="127">
        <v>-35</v>
      </c>
      <c r="AJ84" s="114">
        <v>3500</v>
      </c>
      <c r="AK84" s="97">
        <f t="shared" si="25"/>
        <v>42.265000000000001</v>
      </c>
    </row>
    <row r="85" spans="1:38">
      <c r="A85" s="145"/>
      <c r="B85" s="146"/>
      <c r="C85" s="3" t="s">
        <v>136</v>
      </c>
      <c r="D85" s="3" t="s">
        <v>137</v>
      </c>
      <c r="F85" s="3" t="s">
        <v>136</v>
      </c>
      <c r="G85" s="3" t="s">
        <v>137</v>
      </c>
      <c r="H85" s="3" t="s">
        <v>138</v>
      </c>
      <c r="I85" s="3" t="s">
        <v>109</v>
      </c>
      <c r="J85" s="3" t="s">
        <v>136</v>
      </c>
      <c r="K85" s="3" t="s">
        <v>139</v>
      </c>
      <c r="L85" s="3" t="s">
        <v>138</v>
      </c>
      <c r="M85" s="3" t="s">
        <v>109</v>
      </c>
      <c r="N85" s="146"/>
      <c r="O85" s="146"/>
      <c r="Q85" s="5">
        <v>11</v>
      </c>
      <c r="AC85" s="104" t="e">
        <f>O86</f>
        <v>#REF!</v>
      </c>
      <c r="AG85" s="111" t="s">
        <v>199</v>
      </c>
      <c r="AH85" s="112" t="s">
        <v>154</v>
      </c>
      <c r="AI85" s="127">
        <v>-36</v>
      </c>
      <c r="AJ85" s="114">
        <v>3500</v>
      </c>
      <c r="AK85" s="97">
        <f t="shared" si="25"/>
        <v>43.265000000000001</v>
      </c>
    </row>
    <row r="86" spans="1:38">
      <c r="A86" s="100">
        <v>0</v>
      </c>
      <c r="B86" s="100">
        <v>40</v>
      </c>
      <c r="C86" s="100">
        <v>32</v>
      </c>
      <c r="D86" s="100" t="e">
        <f>#REF!</f>
        <v>#REF!</v>
      </c>
      <c r="E86" s="103" t="s">
        <v>141</v>
      </c>
      <c r="F86" s="100">
        <v>0</v>
      </c>
      <c r="G86" s="100">
        <v>0</v>
      </c>
      <c r="H86" s="98" t="e">
        <f>#REF!</f>
        <v>#REF!</v>
      </c>
      <c r="I86" s="97" t="e">
        <f>$C$11*((D86*PI()*((C86/1000)^2)/4)+(G86*PI()*((F86/1000)^2)/4))</f>
        <v>#REF!</v>
      </c>
      <c r="J86" s="100">
        <v>16</v>
      </c>
      <c r="K86" s="100">
        <v>300</v>
      </c>
      <c r="L86" s="98" t="e">
        <f>MAX(#REF!,#REF!)</f>
        <v>#REF!</v>
      </c>
      <c r="M86" s="97">
        <f>$C$11*$C$14*PI()*((J86/1000)^2)/4*1000/K86</f>
        <v>19.232420302432153</v>
      </c>
      <c r="N86" s="97" t="e">
        <f>I86+M86</f>
        <v>#REF!</v>
      </c>
      <c r="O86" s="97" t="e">
        <f>$Q$85*N86*(A87-A86)</f>
        <v>#REF!</v>
      </c>
      <c r="AC86" s="104">
        <f>O87</f>
        <v>32256.179186385132</v>
      </c>
      <c r="AG86" s="111" t="s">
        <v>200</v>
      </c>
      <c r="AH86" s="112" t="s">
        <v>154</v>
      </c>
      <c r="AI86" s="127">
        <v>-36.5</v>
      </c>
      <c r="AJ86" s="114">
        <v>3500</v>
      </c>
      <c r="AK86" s="97">
        <f t="shared" si="25"/>
        <v>43.765000000000001</v>
      </c>
    </row>
    <row r="87" spans="1:38">
      <c r="A87" s="100">
        <v>12.25</v>
      </c>
      <c r="B87" s="100">
        <v>40</v>
      </c>
      <c r="C87" s="100">
        <v>32</v>
      </c>
      <c r="D87" s="100">
        <v>18</v>
      </c>
      <c r="E87" s="103" t="s">
        <v>141</v>
      </c>
      <c r="F87" s="100">
        <v>25</v>
      </c>
      <c r="G87" s="100">
        <v>18</v>
      </c>
      <c r="H87" s="98" t="e">
        <f>#REF!</f>
        <v>#REF!</v>
      </c>
      <c r="I87" s="97">
        <f>$C$11*((D87*PI()*((C87/1000)^2)/4)+(G87*PI()*((F87/1000)^2)/4))</f>
        <v>183.00067804481006</v>
      </c>
      <c r="J87" s="100">
        <v>16</v>
      </c>
      <c r="K87" s="100">
        <v>300</v>
      </c>
      <c r="L87" s="98" t="e">
        <f>MAX(#REF!,#REF!)</f>
        <v>#REF!</v>
      </c>
      <c r="M87" s="97">
        <f>$C$11*$C$14*PI()*((J87/1000)^2)/4*1000/K87</f>
        <v>19.232420302432153</v>
      </c>
      <c r="N87" s="97">
        <f>I87+M87</f>
        <v>202.23309834724222</v>
      </c>
      <c r="O87" s="97">
        <f>$Q$85*N87*(A88-A87)</f>
        <v>32256.179186385132</v>
      </c>
      <c r="AC87">
        <f>N88*(30-A88)</f>
        <v>431.83602488716633</v>
      </c>
      <c r="AG87" s="111" t="s">
        <v>201</v>
      </c>
      <c r="AH87" s="112" t="s">
        <v>154</v>
      </c>
      <c r="AI87" s="127">
        <v>-37.5</v>
      </c>
      <c r="AJ87" s="114">
        <v>3500</v>
      </c>
      <c r="AK87" s="97">
        <f t="shared" si="25"/>
        <v>44.765000000000001</v>
      </c>
    </row>
    <row r="88" spans="1:38">
      <c r="A88" s="100">
        <v>26.75</v>
      </c>
      <c r="B88" s="100">
        <v>40</v>
      </c>
      <c r="C88" s="100">
        <v>32</v>
      </c>
      <c r="D88" s="100">
        <v>18</v>
      </c>
      <c r="E88" s="103" t="s">
        <v>141</v>
      </c>
      <c r="F88" s="100">
        <v>0</v>
      </c>
      <c r="G88" s="100">
        <v>0</v>
      </c>
      <c r="H88" s="98" t="e">
        <f>#REF!</f>
        <v>#REF!</v>
      </c>
      <c r="I88" s="97">
        <f>$C$11*((D88*PI()*((C88/1000)^2)/4)+(G88*PI()*((F88/1000)^2)/4))</f>
        <v>113.64020273977286</v>
      </c>
      <c r="J88" s="100">
        <v>16</v>
      </c>
      <c r="K88" s="100">
        <v>300</v>
      </c>
      <c r="L88" s="98"/>
      <c r="M88" s="97">
        <f>$C$11*$C$14*PI()*((J88/1000)^2)/4*1000/K88</f>
        <v>19.232420302432153</v>
      </c>
      <c r="N88" s="97">
        <f>I88+M88</f>
        <v>132.87262304220502</v>
      </c>
      <c r="O88" s="97">
        <f>$Q$85*N88*(A89-A88)</f>
        <v>10596.59168761585</v>
      </c>
      <c r="AC88">
        <f>N89*(30-A89)</f>
        <v>-354.37158242987732</v>
      </c>
      <c r="AG88" s="111" t="s">
        <v>202</v>
      </c>
      <c r="AH88" s="112" t="s">
        <v>154</v>
      </c>
      <c r="AI88" s="127">
        <v>-37</v>
      </c>
      <c r="AJ88" s="114">
        <v>3500</v>
      </c>
      <c r="AK88" s="97">
        <f t="shared" si="25"/>
        <v>44.265000000000001</v>
      </c>
    </row>
    <row r="89" spans="1:38" ht="15.75" thickBot="1">
      <c r="A89" s="100">
        <v>34</v>
      </c>
      <c r="B89" s="100">
        <v>40</v>
      </c>
      <c r="C89" s="100">
        <v>25</v>
      </c>
      <c r="D89" s="100">
        <v>18</v>
      </c>
      <c r="E89" s="103" t="s">
        <v>141</v>
      </c>
      <c r="F89" s="100">
        <v>0</v>
      </c>
      <c r="G89" s="100">
        <v>0</v>
      </c>
      <c r="H89" s="98" t="e">
        <f>MAX(#REF!)</f>
        <v>#REF!</v>
      </c>
      <c r="I89" s="97">
        <f>$C$11*((D89*PI()*((C89/1000)^2)/4)+(G89*PI()*((F89/1000)^2)/4))</f>
        <v>69.36047530503717</v>
      </c>
      <c r="J89" s="100">
        <v>16</v>
      </c>
      <c r="K89" s="100">
        <v>300</v>
      </c>
      <c r="L89" s="98"/>
      <c r="M89" s="97">
        <f>$C$11*$C$14*PI()*((J89/1000)^2)/4*1000/K89</f>
        <v>19.232420302432153</v>
      </c>
      <c r="N89" s="97">
        <f>I89+M89</f>
        <v>88.59289560746933</v>
      </c>
      <c r="O89" s="97">
        <f>$Q$85*N89*($AL$93-A89)</f>
        <v>8364.4982387792061</v>
      </c>
      <c r="AC89" s="99" t="e">
        <f>SUM(AC85:AC88)</f>
        <v>#REF!</v>
      </c>
      <c r="AD89" s="115" t="e">
        <f>O90-AC89</f>
        <v>#REF!</v>
      </c>
      <c r="AG89" s="111" t="s">
        <v>203</v>
      </c>
      <c r="AH89" s="112" t="s">
        <v>154</v>
      </c>
      <c r="AI89" s="127">
        <v>-37</v>
      </c>
      <c r="AJ89" s="114">
        <v>3500</v>
      </c>
      <c r="AK89" s="97">
        <f t="shared" si="25"/>
        <v>44.265000000000001</v>
      </c>
    </row>
    <row r="90" spans="1:38" ht="16.5" thickTop="1" thickBot="1">
      <c r="O90" s="99" t="e">
        <f>SUM(O86:O89)</f>
        <v>#REF!</v>
      </c>
      <c r="P90" s="89" t="s">
        <v>148</v>
      </c>
      <c r="Q90" s="102" t="e">
        <f>O90/$I$8/Q85</f>
        <v>#REF!</v>
      </c>
      <c r="R90" t="s">
        <v>121</v>
      </c>
      <c r="AG90" s="111" t="s">
        <v>204</v>
      </c>
      <c r="AH90" s="112" t="s">
        <v>154</v>
      </c>
      <c r="AI90" s="127">
        <v>-36</v>
      </c>
      <c r="AJ90" s="114">
        <v>3500</v>
      </c>
      <c r="AK90" s="97">
        <f t="shared" si="25"/>
        <v>43.265000000000001</v>
      </c>
    </row>
    <row r="91" spans="1:38" ht="15.75" thickTop="1">
      <c r="AG91" s="111" t="s">
        <v>205</v>
      </c>
      <c r="AH91" s="112" t="s">
        <v>154</v>
      </c>
      <c r="AI91" s="127">
        <v>-35</v>
      </c>
      <c r="AJ91" s="114">
        <v>3500</v>
      </c>
      <c r="AK91" s="97">
        <f t="shared" si="25"/>
        <v>42.265000000000001</v>
      </c>
    </row>
    <row r="92" spans="1:38">
      <c r="AG92" s="111" t="s">
        <v>206</v>
      </c>
      <c r="AH92" s="112" t="s">
        <v>154</v>
      </c>
      <c r="AI92" s="127">
        <v>-32.5</v>
      </c>
      <c r="AJ92" s="114">
        <v>4000</v>
      </c>
      <c r="AK92" s="97">
        <f t="shared" si="25"/>
        <v>40.265000000000001</v>
      </c>
    </row>
    <row r="93" spans="1:38">
      <c r="AG93" s="111" t="s">
        <v>207</v>
      </c>
      <c r="AH93" s="112" t="s">
        <v>154</v>
      </c>
      <c r="AI93" s="127">
        <v>-30.5</v>
      </c>
      <c r="AJ93" s="114">
        <v>4000</v>
      </c>
      <c r="AK93" s="97">
        <f t="shared" si="25"/>
        <v>38.265000000000001</v>
      </c>
      <c r="AL93" s="104">
        <f>AVERAGE(AK83:AK93)</f>
        <v>42.583181818181806</v>
      </c>
    </row>
  </sheetData>
  <mergeCells count="55">
    <mergeCell ref="A4:A5"/>
    <mergeCell ref="B4:B5"/>
    <mergeCell ref="C4:C5"/>
    <mergeCell ref="D4:D5"/>
    <mergeCell ref="F4:F5"/>
    <mergeCell ref="H4:H5"/>
    <mergeCell ref="I4:I5"/>
    <mergeCell ref="G10:H10"/>
    <mergeCell ref="I10:J10"/>
    <mergeCell ref="K10:L10"/>
    <mergeCell ref="G4:G5"/>
    <mergeCell ref="AF16:AJ16"/>
    <mergeCell ref="A18:A19"/>
    <mergeCell ref="B18:B19"/>
    <mergeCell ref="C18:I18"/>
    <mergeCell ref="J18:M18"/>
    <mergeCell ref="N18:N19"/>
    <mergeCell ref="O18:O19"/>
    <mergeCell ref="P16:Q16"/>
    <mergeCell ref="AF28:AJ28"/>
    <mergeCell ref="A30:A31"/>
    <mergeCell ref="B30:B31"/>
    <mergeCell ref="C30:I30"/>
    <mergeCell ref="J30:M30"/>
    <mergeCell ref="N30:N31"/>
    <mergeCell ref="O30:O31"/>
    <mergeCell ref="P30:Q30"/>
    <mergeCell ref="AG43:AK43"/>
    <mergeCell ref="A44:A45"/>
    <mergeCell ref="B44:B45"/>
    <mergeCell ref="C44:I44"/>
    <mergeCell ref="J44:M44"/>
    <mergeCell ref="N44:N45"/>
    <mergeCell ref="O44:O45"/>
    <mergeCell ref="AG56:AK56"/>
    <mergeCell ref="A59:A60"/>
    <mergeCell ref="B59:B60"/>
    <mergeCell ref="C59:I59"/>
    <mergeCell ref="J59:M59"/>
    <mergeCell ref="N59:N60"/>
    <mergeCell ref="O59:O60"/>
    <mergeCell ref="AG67:AK67"/>
    <mergeCell ref="A69:A70"/>
    <mergeCell ref="B69:B70"/>
    <mergeCell ref="C69:I69"/>
    <mergeCell ref="J69:M69"/>
    <mergeCell ref="N69:N70"/>
    <mergeCell ref="O69:O70"/>
    <mergeCell ref="AG81:AK81"/>
    <mergeCell ref="A84:A85"/>
    <mergeCell ref="B84:B85"/>
    <mergeCell ref="C84:I84"/>
    <mergeCell ref="J84:M84"/>
    <mergeCell ref="N84:N85"/>
    <mergeCell ref="O84:O85"/>
  </mergeCells>
  <conditionalFormatting sqref="H20 L20 H32 L32 L22 H22:H25 H46:H51 L46:L54 H61:H64 H71:H79 L61:L64 L71:L79">
    <cfRule type="cellIs" dxfId="143" priority="27" operator="between">
      <formula>0</formula>
      <formula>1</formula>
    </cfRule>
    <cfRule type="cellIs" dxfId="142" priority="28" operator="greaterThan">
      <formula>1</formula>
    </cfRule>
  </conditionalFormatting>
  <conditionalFormatting sqref="H52:H54">
    <cfRule type="cellIs" dxfId="141" priority="25" operator="between">
      <formula>0</formula>
      <formula>1</formula>
    </cfRule>
    <cfRule type="cellIs" dxfId="140" priority="26" operator="greaterThan">
      <formula>1</formula>
    </cfRule>
  </conditionalFormatting>
  <conditionalFormatting sqref="H21">
    <cfRule type="cellIs" dxfId="139" priority="23" operator="between">
      <formula>0</formula>
      <formula>1</formula>
    </cfRule>
    <cfRule type="cellIs" dxfId="138" priority="24" operator="greaterThan">
      <formula>1</formula>
    </cfRule>
  </conditionalFormatting>
  <conditionalFormatting sqref="H86:H89 L86:L88">
    <cfRule type="cellIs" dxfId="137" priority="21" operator="between">
      <formula>0</formula>
      <formula>1</formula>
    </cfRule>
    <cfRule type="cellIs" dxfId="136" priority="22" operator="greaterThan">
      <formula>1</formula>
    </cfRule>
  </conditionalFormatting>
  <conditionalFormatting sqref="L89">
    <cfRule type="cellIs" dxfId="135" priority="19" operator="between">
      <formula>0</formula>
      <formula>1</formula>
    </cfRule>
    <cfRule type="cellIs" dxfId="134" priority="20" operator="greaterThan">
      <formula>1</formula>
    </cfRule>
  </conditionalFormatting>
  <conditionalFormatting sqref="L21">
    <cfRule type="cellIs" dxfId="133" priority="17" operator="between">
      <formula>0</formula>
      <formula>1</formula>
    </cfRule>
    <cfRule type="cellIs" dxfId="132" priority="18" operator="greaterThan">
      <formula>1</formula>
    </cfRule>
  </conditionalFormatting>
  <conditionalFormatting sqref="L23:L24">
    <cfRule type="cellIs" dxfId="131" priority="15" operator="between">
      <formula>0</formula>
      <formula>1</formula>
    </cfRule>
    <cfRule type="cellIs" dxfId="130" priority="16" operator="greaterThan">
      <formula>1</formula>
    </cfRule>
  </conditionalFormatting>
  <conditionalFormatting sqref="H39">
    <cfRule type="cellIs" dxfId="129" priority="3" operator="between">
      <formula>0</formula>
      <formula>1</formula>
    </cfRule>
    <cfRule type="cellIs" dxfId="128" priority="4" operator="greaterThan">
      <formula>1</formula>
    </cfRule>
  </conditionalFormatting>
  <conditionalFormatting sqref="L25">
    <cfRule type="cellIs" dxfId="127" priority="13" operator="between">
      <formula>0</formula>
      <formula>1</formula>
    </cfRule>
    <cfRule type="cellIs" dxfId="126" priority="14" operator="greaterThan">
      <formula>1</formula>
    </cfRule>
  </conditionalFormatting>
  <conditionalFormatting sqref="L33:L34">
    <cfRule type="cellIs" dxfId="125" priority="11" operator="between">
      <formula>0</formula>
      <formula>1</formula>
    </cfRule>
    <cfRule type="cellIs" dxfId="124" priority="12" operator="greaterThan">
      <formula>1</formula>
    </cfRule>
  </conditionalFormatting>
  <conditionalFormatting sqref="L35">
    <cfRule type="cellIs" dxfId="123" priority="9" operator="between">
      <formula>0</formula>
      <formula>1</formula>
    </cfRule>
    <cfRule type="cellIs" dxfId="122" priority="10" operator="greaterThan">
      <formula>1</formula>
    </cfRule>
  </conditionalFormatting>
  <conditionalFormatting sqref="L36:L39">
    <cfRule type="cellIs" dxfId="121" priority="7" operator="between">
      <formula>0</formula>
      <formula>1</formula>
    </cfRule>
    <cfRule type="cellIs" dxfId="120" priority="8" operator="greaterThan">
      <formula>1</formula>
    </cfRule>
  </conditionalFormatting>
  <conditionalFormatting sqref="H38">
    <cfRule type="cellIs" dxfId="119" priority="5" operator="between">
      <formula>0</formula>
      <formula>1</formula>
    </cfRule>
    <cfRule type="cellIs" dxfId="118" priority="6" operator="greaterThan">
      <formula>1</formula>
    </cfRule>
  </conditionalFormatting>
  <conditionalFormatting sqref="H33:H37">
    <cfRule type="cellIs" dxfId="117" priority="1" operator="between">
      <formula>0</formula>
      <formula>1</formula>
    </cfRule>
    <cfRule type="cellIs" dxfId="116" priority="2" operator="greaterThan">
      <formula>1</formula>
    </cfRule>
  </conditionalFormatting>
  <pageMargins left="0.7" right="0.7" top="0.75" bottom="0.75" header="0.3" footer="0.3"/>
  <pageSetup paperSize="9" scale="57" orientation="landscape" r:id="rId1"/>
  <rowBreaks count="1" manualBreakCount="1">
    <brk id="55" max="16383" man="1"/>
  </rowBreaks>
  <colBreaks count="1" manualBreakCount="1">
    <brk id="20" max="1048575" man="1"/>
  </col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9">
    <tabColor rgb="FF00B050"/>
  </sheetPr>
  <dimension ref="A1:AL93"/>
  <sheetViews>
    <sheetView zoomScale="80" zoomScaleNormal="80" workbookViewId="0">
      <selection activeCell="H28" sqref="H28"/>
    </sheetView>
  </sheetViews>
  <sheetFormatPr defaultRowHeight="15"/>
  <cols>
    <col min="1" max="1" width="14.5703125" customWidth="1"/>
    <col min="2" max="2" width="12.42578125" customWidth="1"/>
    <col min="3" max="3" width="11.42578125" customWidth="1"/>
    <col min="4" max="4" width="10.85546875" customWidth="1"/>
    <col min="5" max="5" width="9.5703125" bestFit="1" customWidth="1"/>
    <col min="6" max="6" width="14.140625" customWidth="1"/>
    <col min="7" max="7" width="12.5703125" customWidth="1"/>
    <col min="8" max="8" width="12.5703125" bestFit="1" customWidth="1"/>
    <col min="9" max="9" width="14.42578125" customWidth="1"/>
    <col min="10" max="10" width="13.85546875" customWidth="1"/>
    <col min="11" max="11" width="12" customWidth="1"/>
    <col min="12" max="12" width="11" customWidth="1"/>
    <col min="14" max="14" width="13.42578125" customWidth="1"/>
    <col min="15" max="15" width="12.42578125" customWidth="1"/>
    <col min="16" max="16" width="11.42578125" customWidth="1"/>
    <col min="17" max="17" width="10" customWidth="1"/>
    <col min="21" max="21" width="9.5703125" customWidth="1"/>
  </cols>
  <sheetData>
    <row r="1" spans="1:36" ht="18.75">
      <c r="A1" s="1" t="s">
        <v>104</v>
      </c>
    </row>
    <row r="2" spans="1:36" ht="18.75">
      <c r="A2" s="1" t="s">
        <v>105</v>
      </c>
      <c r="F2" s="1" t="s">
        <v>106</v>
      </c>
    </row>
    <row r="4" spans="1:36">
      <c r="A4" s="145" t="s">
        <v>107</v>
      </c>
      <c r="B4" s="146" t="s">
        <v>108</v>
      </c>
      <c r="C4" s="146" t="s">
        <v>109</v>
      </c>
      <c r="D4" s="146" t="s">
        <v>110</v>
      </c>
      <c r="F4" s="145" t="s">
        <v>107</v>
      </c>
      <c r="G4" s="146" t="s">
        <v>108</v>
      </c>
      <c r="H4" s="146" t="s">
        <v>109</v>
      </c>
      <c r="I4" s="146" t="s">
        <v>110</v>
      </c>
    </row>
    <row r="5" spans="1:36">
      <c r="A5" s="145"/>
      <c r="B5" s="146"/>
      <c r="C5" s="146"/>
      <c r="D5" s="146"/>
      <c r="F5" s="145"/>
      <c r="G5" s="146"/>
      <c r="H5" s="146"/>
      <c r="I5" s="146"/>
    </row>
    <row r="6" spans="1:36">
      <c r="A6" s="100">
        <v>0</v>
      </c>
      <c r="B6" s="101">
        <v>360</v>
      </c>
      <c r="C6" s="97">
        <f>B6*(PI()*1.2^2/4)</f>
        <v>407.15040790523722</v>
      </c>
      <c r="D6" s="97">
        <f>C6*(A7-A6)</f>
        <v>2035.7520395261861</v>
      </c>
      <c r="F6" s="100">
        <v>0</v>
      </c>
      <c r="G6" s="101">
        <v>180</v>
      </c>
      <c r="H6" s="97">
        <f>G6*(PI()*1.2^2/4)</f>
        <v>203.57520395261861</v>
      </c>
      <c r="I6" s="97">
        <f>H6*(F7-F6)</f>
        <v>3257.2032632418977</v>
      </c>
    </row>
    <row r="7" spans="1:36">
      <c r="A7" s="100">
        <v>5</v>
      </c>
      <c r="B7" s="101">
        <v>180</v>
      </c>
      <c r="C7" s="97">
        <f>B7*(PI()*1.2^2/4)</f>
        <v>203.57520395261861</v>
      </c>
      <c r="D7" s="97">
        <f>C7*(A8-A7)</f>
        <v>2239.3272434788046</v>
      </c>
      <c r="F7" s="100">
        <f>MIN(25,C13)</f>
        <v>16</v>
      </c>
      <c r="G7" s="101">
        <v>0</v>
      </c>
      <c r="H7" s="97">
        <f>G7*(PI()*1.2^2/4)</f>
        <v>0</v>
      </c>
      <c r="I7" s="97">
        <f>H7*(F8-F7)</f>
        <v>0</v>
      </c>
    </row>
    <row r="8" spans="1:36" ht="15.75" thickBot="1">
      <c r="A8" s="100">
        <f>MIN(20,C13)</f>
        <v>16</v>
      </c>
      <c r="B8" s="100">
        <v>0</v>
      </c>
      <c r="C8" s="97">
        <f>B8*(PI()*1.2^2/4)</f>
        <v>0</v>
      </c>
      <c r="D8" s="97">
        <f>C8*($C$13-A8)</f>
        <v>0</v>
      </c>
      <c r="I8" s="99">
        <f>SUM(I6:I7)</f>
        <v>3257.2032632418977</v>
      </c>
      <c r="J8" t="s">
        <v>111</v>
      </c>
      <c r="P8" s="96"/>
    </row>
    <row r="9" spans="1:36" ht="16.5" thickTop="1" thickBot="1">
      <c r="D9" s="99">
        <f>SUM(D6:D8)</f>
        <v>4275.0792830049904</v>
      </c>
      <c r="E9" t="s">
        <v>111</v>
      </c>
    </row>
    <row r="10" spans="1:36" ht="15.75" thickTop="1">
      <c r="G10" s="144" t="s">
        <v>208</v>
      </c>
      <c r="H10" s="144"/>
      <c r="I10" s="154" t="s">
        <v>209</v>
      </c>
      <c r="J10" s="154"/>
      <c r="K10" s="144" t="s">
        <v>114</v>
      </c>
      <c r="L10" s="144"/>
    </row>
    <row r="11" spans="1:36">
      <c r="A11" t="s">
        <v>115</v>
      </c>
      <c r="C11" s="5">
        <v>7850</v>
      </c>
      <c r="D11" t="s">
        <v>116</v>
      </c>
      <c r="E11" s="146" t="s">
        <v>210</v>
      </c>
      <c r="F11" s="3" t="s">
        <v>117</v>
      </c>
      <c r="G11" s="105">
        <f>23*I8</f>
        <v>74915.675054563646</v>
      </c>
      <c r="H11" s="106" t="s">
        <v>118</v>
      </c>
      <c r="I11" s="105">
        <f>23*D9</f>
        <v>98326.82350911478</v>
      </c>
      <c r="J11" s="123" t="s">
        <v>118</v>
      </c>
      <c r="K11" s="105">
        <f t="shared" ref="K11:K16" si="0">G11+I11</f>
        <v>173242.49856367841</v>
      </c>
      <c r="L11" s="123" t="s">
        <v>118</v>
      </c>
    </row>
    <row r="12" spans="1:36">
      <c r="A12" t="s">
        <v>119</v>
      </c>
      <c r="C12" s="5">
        <v>1.2</v>
      </c>
      <c r="D12" t="s">
        <v>4</v>
      </c>
      <c r="E12" s="146"/>
      <c r="F12" s="3" t="s">
        <v>120</v>
      </c>
      <c r="G12" s="105" t="e">
        <f>O40+O65+O90</f>
        <v>#REF!</v>
      </c>
      <c r="H12" s="107" t="e">
        <f>G12/G11</f>
        <v>#REF!</v>
      </c>
      <c r="I12" s="105" t="e">
        <f>O26+O55+O80</f>
        <v>#REF!</v>
      </c>
      <c r="J12" s="107" t="e">
        <f>I12/I11</f>
        <v>#REF!</v>
      </c>
      <c r="K12" s="105" t="e">
        <f t="shared" si="0"/>
        <v>#REF!</v>
      </c>
      <c r="L12" s="107" t="e">
        <f>K12/K11</f>
        <v>#REF!</v>
      </c>
      <c r="M12" t="s">
        <v>121</v>
      </c>
      <c r="P12" s="96"/>
      <c r="Q12" s="96"/>
      <c r="R12" s="96"/>
    </row>
    <row r="13" spans="1:36">
      <c r="A13" t="s">
        <v>122</v>
      </c>
      <c r="C13" s="5">
        <v>16</v>
      </c>
      <c r="D13" t="s">
        <v>4</v>
      </c>
      <c r="E13" s="155" t="s">
        <v>211</v>
      </c>
      <c r="F13" s="3" t="s">
        <v>117</v>
      </c>
      <c r="G13" s="105" t="e">
        <f>#REF!</f>
        <v>#REF!</v>
      </c>
      <c r="H13" s="106" t="s">
        <v>118</v>
      </c>
      <c r="I13" s="105" t="e">
        <f>#REF!</f>
        <v>#REF!</v>
      </c>
      <c r="J13" s="123" t="s">
        <v>118</v>
      </c>
      <c r="K13" s="105" t="e">
        <f t="shared" si="0"/>
        <v>#REF!</v>
      </c>
      <c r="L13" s="123" t="s">
        <v>118</v>
      </c>
      <c r="M13" s="118"/>
      <c r="R13" s="117"/>
    </row>
    <row r="14" spans="1:36">
      <c r="A14" t="s">
        <v>123</v>
      </c>
      <c r="C14" s="121">
        <f>PI()*(C12-2*(0.085+0.016/2))+0.47</f>
        <v>3.6555749507400499</v>
      </c>
      <c r="D14" t="s">
        <v>4</v>
      </c>
      <c r="E14" s="155"/>
      <c r="F14" s="3" t="s">
        <v>120</v>
      </c>
      <c r="G14" s="105" t="e">
        <f>#REF!</f>
        <v>#REF!</v>
      </c>
      <c r="H14" s="107" t="e">
        <f>G14/G13</f>
        <v>#REF!</v>
      </c>
      <c r="I14" s="105" t="e">
        <f>#REF!</f>
        <v>#REF!</v>
      </c>
      <c r="J14" s="107" t="e">
        <f>I14/I13</f>
        <v>#REF!</v>
      </c>
      <c r="K14" s="105" t="e">
        <f t="shared" si="0"/>
        <v>#REF!</v>
      </c>
      <c r="L14" s="107" t="e">
        <f>K14/K13</f>
        <v>#REF!</v>
      </c>
      <c r="M14" t="s">
        <v>121</v>
      </c>
      <c r="R14" s="117"/>
      <c r="AH14" t="s">
        <v>124</v>
      </c>
      <c r="AJ14" s="104">
        <f>AVERAGE(AJ18:AJ25,AJ30:AJ37,AK45:AK50,AK58:AK63,AK69:AK79,AK83:AK93)</f>
        <v>36.609400000000008</v>
      </c>
    </row>
    <row r="15" spans="1:36" ht="14.1" customHeight="1">
      <c r="E15" s="146" t="s">
        <v>212</v>
      </c>
      <c r="F15" s="3" t="s">
        <v>117</v>
      </c>
      <c r="G15" s="105" t="e">
        <f>G11+G13</f>
        <v>#REF!</v>
      </c>
      <c r="H15" s="106" t="s">
        <v>118</v>
      </c>
      <c r="I15" s="105" t="e">
        <f>I11+I13</f>
        <v>#REF!</v>
      </c>
      <c r="J15" s="123" t="s">
        <v>118</v>
      </c>
      <c r="K15" s="105" t="e">
        <f t="shared" si="0"/>
        <v>#REF!</v>
      </c>
      <c r="L15" s="123" t="s">
        <v>118</v>
      </c>
    </row>
    <row r="16" spans="1:36" ht="18" customHeight="1">
      <c r="A16" s="1" t="s">
        <v>125</v>
      </c>
      <c r="E16" s="146"/>
      <c r="F16" s="3" t="s">
        <v>120</v>
      </c>
      <c r="G16" s="105" t="e">
        <f>G12+G14</f>
        <v>#REF!</v>
      </c>
      <c r="H16" s="107" t="e">
        <f>G16/G15</f>
        <v>#REF!</v>
      </c>
      <c r="I16" s="105" t="e">
        <f>I12+I14</f>
        <v>#REF!</v>
      </c>
      <c r="J16" s="107" t="e">
        <f>I16/I15</f>
        <v>#REF!</v>
      </c>
      <c r="K16" s="105" t="e">
        <f t="shared" si="0"/>
        <v>#REF!</v>
      </c>
      <c r="L16" s="107" t="e">
        <f>K16/K15</f>
        <v>#REF!</v>
      </c>
      <c r="M16" t="s">
        <v>121</v>
      </c>
      <c r="AF16" s="144" t="s">
        <v>127</v>
      </c>
      <c r="AG16" s="144"/>
      <c r="AH16" s="144"/>
      <c r="AI16" s="144"/>
      <c r="AJ16" s="144"/>
    </row>
    <row r="17" spans="1:37">
      <c r="AF17" s="3" t="s">
        <v>17</v>
      </c>
      <c r="AG17" s="3" t="s">
        <v>128</v>
      </c>
      <c r="AH17" s="3" t="s">
        <v>129</v>
      </c>
      <c r="AI17" s="3" t="s">
        <v>130</v>
      </c>
      <c r="AJ17" s="3" t="s">
        <v>131</v>
      </c>
    </row>
    <row r="18" spans="1:37">
      <c r="A18" s="145" t="s">
        <v>107</v>
      </c>
      <c r="B18" s="146" t="s">
        <v>132</v>
      </c>
      <c r="C18" s="144" t="s">
        <v>133</v>
      </c>
      <c r="D18" s="144"/>
      <c r="E18" s="144"/>
      <c r="F18" s="144"/>
      <c r="G18" s="144"/>
      <c r="H18" s="144"/>
      <c r="I18" s="144"/>
      <c r="J18" s="144" t="s">
        <v>72</v>
      </c>
      <c r="K18" s="144"/>
      <c r="L18" s="144"/>
      <c r="M18" s="144"/>
      <c r="N18" s="146" t="s">
        <v>109</v>
      </c>
      <c r="O18" s="146" t="s">
        <v>110</v>
      </c>
      <c r="Q18" t="s">
        <v>213</v>
      </c>
      <c r="AF18" s="111" t="s">
        <v>134</v>
      </c>
      <c r="AG18" s="112" t="s">
        <v>135</v>
      </c>
      <c r="AH18" s="113">
        <v>-35.1</v>
      </c>
      <c r="AI18" s="114">
        <v>500</v>
      </c>
      <c r="AJ18" s="97">
        <f>AG18-AH18+AI18/1000</f>
        <v>39.564999999999998</v>
      </c>
    </row>
    <row r="19" spans="1:37">
      <c r="A19" s="147"/>
      <c r="B19" s="149"/>
      <c r="C19" s="125" t="s">
        <v>136</v>
      </c>
      <c r="D19" s="125" t="s">
        <v>137</v>
      </c>
      <c r="F19" s="125" t="s">
        <v>136</v>
      </c>
      <c r="G19" s="125" t="s">
        <v>137</v>
      </c>
      <c r="H19" s="125" t="s">
        <v>138</v>
      </c>
      <c r="I19" s="125" t="s">
        <v>109</v>
      </c>
      <c r="J19" s="125" t="s">
        <v>136</v>
      </c>
      <c r="K19" s="125" t="s">
        <v>139</v>
      </c>
      <c r="L19" s="125" t="s">
        <v>138</v>
      </c>
      <c r="M19" s="125" t="s">
        <v>109</v>
      </c>
      <c r="N19" s="146"/>
      <c r="O19" s="146"/>
      <c r="Q19" s="5">
        <v>5</v>
      </c>
      <c r="AF19" s="111" t="s">
        <v>140</v>
      </c>
      <c r="AG19" s="112" t="s">
        <v>135</v>
      </c>
      <c r="AH19" s="113">
        <v>-34.799999999999997</v>
      </c>
      <c r="AI19" s="114">
        <v>500</v>
      </c>
      <c r="AJ19" s="97">
        <f t="shared" ref="AJ19:AJ24" si="1">AG19-AH19+AI19/1000</f>
        <v>39.265000000000001</v>
      </c>
    </row>
    <row r="20" spans="1:37">
      <c r="A20" s="3" t="e">
        <f>IF(#REF!&lt;'North Quay Estimate'!$C$13,#REF!,'North Quay Estimate'!$C$13)</f>
        <v>#REF!</v>
      </c>
      <c r="B20" s="3">
        <v>40</v>
      </c>
      <c r="C20" s="3">
        <v>40</v>
      </c>
      <c r="D20" s="3">
        <v>18</v>
      </c>
      <c r="E20" s="3" t="s">
        <v>141</v>
      </c>
      <c r="F20" s="3">
        <v>40</v>
      </c>
      <c r="G20" s="3">
        <v>18</v>
      </c>
      <c r="H20" s="3"/>
      <c r="I20" s="3">
        <f t="shared" ref="I20:I25" si="2">$C$11*((D20*PI()*((C20/1000)^2)/4)+(G20*PI()*((F20/1000)^2)/4))</f>
        <v>355.12563356179027</v>
      </c>
      <c r="J20" s="3" t="e">
        <f>#REF!</f>
        <v>#REF!</v>
      </c>
      <c r="K20" s="3" t="e">
        <f>#REF!</f>
        <v>#REF!</v>
      </c>
      <c r="L20" s="3"/>
      <c r="M20" s="3" t="e">
        <f t="shared" ref="M20:M25" si="3">$C$11*$C$14*PI()*((J20/1000)^2)/4*1000/K20</f>
        <v>#REF!</v>
      </c>
      <c r="N20" s="97" t="e">
        <f t="shared" ref="N20:N25" si="4">I20+M20</f>
        <v>#REF!</v>
      </c>
      <c r="O20" s="97" t="e">
        <f>$Q$19*N20*(A21-A20)</f>
        <v>#REF!</v>
      </c>
      <c r="AC20" s="104" t="e">
        <f>O20</f>
        <v>#REF!</v>
      </c>
      <c r="AF20" s="111" t="s">
        <v>142</v>
      </c>
      <c r="AG20" s="112" t="s">
        <v>135</v>
      </c>
      <c r="AH20" s="113">
        <v>-34.5</v>
      </c>
      <c r="AI20" s="114">
        <v>500</v>
      </c>
      <c r="AJ20" s="97">
        <f t="shared" si="1"/>
        <v>38.965000000000003</v>
      </c>
    </row>
    <row r="21" spans="1:37">
      <c r="A21" s="3" t="e">
        <f>IF(#REF!&lt;'North Quay Estimate'!$C$13,#REF!,'North Quay Estimate'!$C$13)</f>
        <v>#REF!</v>
      </c>
      <c r="B21" s="3">
        <v>40</v>
      </c>
      <c r="C21" s="3">
        <v>40</v>
      </c>
      <c r="D21" s="3">
        <v>18</v>
      </c>
      <c r="E21" s="3" t="s">
        <v>141</v>
      </c>
      <c r="F21" s="3">
        <v>32</v>
      </c>
      <c r="G21" s="3">
        <v>18</v>
      </c>
      <c r="H21" s="3"/>
      <c r="I21" s="3">
        <f t="shared" si="2"/>
        <v>291.20301952066802</v>
      </c>
      <c r="J21" s="3">
        <v>25</v>
      </c>
      <c r="K21" s="3">
        <v>150</v>
      </c>
      <c r="L21" s="3"/>
      <c r="M21" s="3">
        <f t="shared" si="3"/>
        <v>93.90830225796951</v>
      </c>
      <c r="N21" s="97">
        <f t="shared" si="4"/>
        <v>385.11132177863755</v>
      </c>
      <c r="O21" s="97" t="e">
        <f>$Q$19*N21*(A22-A21)</f>
        <v>#REF!</v>
      </c>
      <c r="AC21" s="104" t="e">
        <f>O21</f>
        <v>#REF!</v>
      </c>
      <c r="AF21" s="111" t="s">
        <v>143</v>
      </c>
      <c r="AG21" s="112" t="s">
        <v>135</v>
      </c>
      <c r="AH21" s="113">
        <v>-33.9</v>
      </c>
      <c r="AI21" s="114">
        <v>500</v>
      </c>
      <c r="AJ21" s="97">
        <f t="shared" si="1"/>
        <v>38.364999999999995</v>
      </c>
    </row>
    <row r="22" spans="1:37">
      <c r="A22" s="3" t="e">
        <f>IF(#REF!&lt;'North Quay Estimate'!$C$13,#REF!,'North Quay Estimate'!$C$13)</f>
        <v>#REF!</v>
      </c>
      <c r="B22" s="3">
        <v>40</v>
      </c>
      <c r="C22" s="3">
        <v>32</v>
      </c>
      <c r="D22" s="3">
        <v>18</v>
      </c>
      <c r="E22" s="3" t="s">
        <v>141</v>
      </c>
      <c r="F22" s="3">
        <v>0</v>
      </c>
      <c r="G22" s="3">
        <v>0</v>
      </c>
      <c r="H22" s="3"/>
      <c r="I22" s="3">
        <f t="shared" si="2"/>
        <v>113.64020273977286</v>
      </c>
      <c r="J22" s="3">
        <v>16</v>
      </c>
      <c r="K22" s="3">
        <v>300</v>
      </c>
      <c r="L22" s="3"/>
      <c r="M22" s="3">
        <f t="shared" si="3"/>
        <v>19.232420302432153</v>
      </c>
      <c r="N22" s="97">
        <f t="shared" si="4"/>
        <v>132.87262304220502</v>
      </c>
      <c r="O22" s="97" t="e">
        <f>$Q$19*N22*(A23-A22)</f>
        <v>#REF!</v>
      </c>
      <c r="AC22" s="104" t="e">
        <f>O22</f>
        <v>#REF!</v>
      </c>
      <c r="AF22" s="111" t="s">
        <v>144</v>
      </c>
      <c r="AG22" s="112" t="s">
        <v>135</v>
      </c>
      <c r="AH22" s="113">
        <f>-5.75*3</f>
        <v>-17.25</v>
      </c>
      <c r="AI22" s="114">
        <v>1000</v>
      </c>
      <c r="AJ22" s="97">
        <f t="shared" si="1"/>
        <v>22.215</v>
      </c>
    </row>
    <row r="23" spans="1:37">
      <c r="A23" s="3" t="e">
        <f>IF(#REF!&lt;'North Quay Estimate'!$C$13,#REF!,'North Quay Estimate'!$C$13)</f>
        <v>#REF!</v>
      </c>
      <c r="B23" s="3">
        <v>40</v>
      </c>
      <c r="C23" s="3">
        <v>32</v>
      </c>
      <c r="D23" s="3">
        <v>18</v>
      </c>
      <c r="E23" s="3" t="s">
        <v>141</v>
      </c>
      <c r="F23" s="3">
        <v>16</v>
      </c>
      <c r="G23" s="3">
        <v>18</v>
      </c>
      <c r="H23" s="3"/>
      <c r="I23" s="3">
        <f t="shared" si="2"/>
        <v>142.05025342471609</v>
      </c>
      <c r="J23" s="3">
        <v>16</v>
      </c>
      <c r="K23" s="3">
        <v>240</v>
      </c>
      <c r="L23" s="3"/>
      <c r="M23" s="3">
        <f t="shared" si="3"/>
        <v>24.04052537804019</v>
      </c>
      <c r="N23" s="97">
        <f t="shared" si="4"/>
        <v>166.09077880275629</v>
      </c>
      <c r="O23" s="97" t="e">
        <f>$Q$19*N23*(A24-A23)</f>
        <v>#REF!</v>
      </c>
      <c r="AC23" s="104" t="e">
        <f>O23</f>
        <v>#REF!</v>
      </c>
      <c r="AF23" s="111" t="s">
        <v>145</v>
      </c>
      <c r="AG23" s="112" t="s">
        <v>135</v>
      </c>
      <c r="AH23" s="113">
        <v>-15</v>
      </c>
      <c r="AI23" s="114">
        <v>1000</v>
      </c>
      <c r="AJ23" s="97">
        <f t="shared" si="1"/>
        <v>19.965</v>
      </c>
    </row>
    <row r="24" spans="1:37">
      <c r="A24" s="3" t="e">
        <f>IF(#REF!&lt;'North Quay Estimate'!$C$13,#REF!,'North Quay Estimate'!$C$13)</f>
        <v>#REF!</v>
      </c>
      <c r="B24" s="3">
        <v>40</v>
      </c>
      <c r="C24" s="3">
        <v>16</v>
      </c>
      <c r="D24" s="3">
        <v>18</v>
      </c>
      <c r="E24" s="3" t="s">
        <v>141</v>
      </c>
      <c r="F24" s="3">
        <v>0</v>
      </c>
      <c r="G24" s="3">
        <v>0</v>
      </c>
      <c r="H24" s="3"/>
      <c r="I24" s="3">
        <f t="shared" si="2"/>
        <v>28.410050684943215</v>
      </c>
      <c r="J24" s="3">
        <v>16</v>
      </c>
      <c r="K24" s="3">
        <v>300</v>
      </c>
      <c r="L24" s="3"/>
      <c r="M24" s="3">
        <f t="shared" si="3"/>
        <v>19.232420302432153</v>
      </c>
      <c r="N24" s="97">
        <f t="shared" si="4"/>
        <v>47.642470987375368</v>
      </c>
      <c r="O24" s="97" t="e">
        <f>$Q$19*N24*(A25-A24)</f>
        <v>#REF!</v>
      </c>
      <c r="AC24" t="e">
        <f>N24*(21-A24)</f>
        <v>#REF!</v>
      </c>
      <c r="AF24" s="111" t="s">
        <v>146</v>
      </c>
      <c r="AG24" s="112" t="s">
        <v>135</v>
      </c>
      <c r="AH24" s="113">
        <f>-4.5*3</f>
        <v>-13.5</v>
      </c>
      <c r="AI24" s="114">
        <v>1000</v>
      </c>
      <c r="AJ24" s="97">
        <f t="shared" si="1"/>
        <v>18.465</v>
      </c>
    </row>
    <row r="25" spans="1:37">
      <c r="A25" s="3" t="e">
        <f>IF(#REF!&lt;'North Quay Estimate'!$C$13,#REF!,'North Quay Estimate'!$C$13)</f>
        <v>#REF!</v>
      </c>
      <c r="B25" s="3">
        <v>40</v>
      </c>
      <c r="C25" s="3">
        <v>0</v>
      </c>
      <c r="D25" s="3">
        <v>0</v>
      </c>
      <c r="E25" s="3" t="s">
        <v>141</v>
      </c>
      <c r="F25" s="3">
        <v>0</v>
      </c>
      <c r="G25" s="3">
        <v>0</v>
      </c>
      <c r="H25" s="3"/>
      <c r="I25" s="3">
        <f t="shared" si="2"/>
        <v>0</v>
      </c>
      <c r="J25" s="3">
        <v>0</v>
      </c>
      <c r="K25" s="3">
        <v>300</v>
      </c>
      <c r="L25" s="3"/>
      <c r="M25" s="3">
        <f t="shared" si="3"/>
        <v>0</v>
      </c>
      <c r="N25" s="97">
        <f t="shared" si="4"/>
        <v>0</v>
      </c>
      <c r="O25" s="124">
        <v>0</v>
      </c>
      <c r="AF25" s="111" t="s">
        <v>147</v>
      </c>
      <c r="AG25" s="112" t="s">
        <v>135</v>
      </c>
      <c r="AH25" s="113">
        <v>-11.5</v>
      </c>
      <c r="AI25" s="114">
        <v>1000</v>
      </c>
      <c r="AJ25" s="97">
        <f>AG25-AH25+AI25/1000</f>
        <v>16.465</v>
      </c>
      <c r="AK25" s="104">
        <f>AVERAGE(AJ18:AJ25)</f>
        <v>29.158750000000001</v>
      </c>
    </row>
    <row r="26" spans="1:37" ht="15.75" thickBot="1">
      <c r="O26" s="99" t="e">
        <f>SUM(O20:O25)</f>
        <v>#REF!</v>
      </c>
      <c r="P26" s="89" t="s">
        <v>148</v>
      </c>
      <c r="Q26" s="102" t="e">
        <f>O26/$D$9/Q19</f>
        <v>#REF!</v>
      </c>
      <c r="R26" t="s">
        <v>121</v>
      </c>
      <c r="V26" s="96"/>
      <c r="AC26" s="99" t="e">
        <f>SUM(AC20:AC24)</f>
        <v>#REF!</v>
      </c>
      <c r="AD26" s="115" t="e">
        <f>#REF!-AC26</f>
        <v>#REF!</v>
      </c>
    </row>
    <row r="27" spans="1:37" ht="15.75" thickTop="1">
      <c r="Q27" s="110"/>
    </row>
    <row r="28" spans="1:37" ht="18.75">
      <c r="A28" s="1" t="s">
        <v>149</v>
      </c>
      <c r="Q28" s="110"/>
      <c r="AF28" s="144" t="s">
        <v>150</v>
      </c>
      <c r="AG28" s="144"/>
      <c r="AH28" s="144"/>
      <c r="AI28" s="144"/>
      <c r="AJ28" s="144"/>
    </row>
    <row r="29" spans="1:37">
      <c r="Q29" s="110"/>
      <c r="AF29" s="3" t="s">
        <v>17</v>
      </c>
      <c r="AG29" s="3" t="s">
        <v>128</v>
      </c>
      <c r="AH29" s="3" t="s">
        <v>129</v>
      </c>
      <c r="AI29" s="3" t="s">
        <v>130</v>
      </c>
      <c r="AJ29" s="3" t="s">
        <v>131</v>
      </c>
    </row>
    <row r="30" spans="1:37" ht="14.45" customHeight="1">
      <c r="A30" s="156" t="s">
        <v>151</v>
      </c>
      <c r="B30" s="156" t="s">
        <v>132</v>
      </c>
      <c r="C30" s="156" t="s">
        <v>133</v>
      </c>
      <c r="D30" s="156"/>
      <c r="E30" s="156"/>
      <c r="F30" s="156"/>
      <c r="G30" s="156"/>
      <c r="H30" s="156"/>
      <c r="I30" s="156"/>
      <c r="J30" s="156" t="s">
        <v>72</v>
      </c>
      <c r="K30" s="156"/>
      <c r="L30" s="156"/>
      <c r="M30" s="156"/>
      <c r="N30" s="146" t="s">
        <v>109</v>
      </c>
      <c r="O30" s="146" t="s">
        <v>110</v>
      </c>
      <c r="Q30" t="s">
        <v>214</v>
      </c>
      <c r="AF30" s="111" t="s">
        <v>153</v>
      </c>
      <c r="AG30" s="112" t="s">
        <v>154</v>
      </c>
      <c r="AH30" s="113">
        <v>-35.1</v>
      </c>
      <c r="AI30" s="114">
        <v>1000</v>
      </c>
      <c r="AJ30" s="97">
        <f t="shared" ref="AJ30:AJ37" si="5">AG30-AH30+AI30/1000</f>
        <v>39.865000000000002</v>
      </c>
    </row>
    <row r="31" spans="1:37">
      <c r="A31" s="156"/>
      <c r="B31" s="156"/>
      <c r="C31" s="3" t="s">
        <v>136</v>
      </c>
      <c r="D31" s="3" t="s">
        <v>137</v>
      </c>
      <c r="E31" s="3"/>
      <c r="F31" s="3" t="s">
        <v>136</v>
      </c>
      <c r="G31" s="3" t="s">
        <v>137</v>
      </c>
      <c r="H31" s="3" t="s">
        <v>138</v>
      </c>
      <c r="I31" s="3" t="s">
        <v>109</v>
      </c>
      <c r="J31" s="3" t="s">
        <v>136</v>
      </c>
      <c r="K31" s="3" t="s">
        <v>139</v>
      </c>
      <c r="L31" s="3" t="s">
        <v>138</v>
      </c>
      <c r="M31" s="3" t="s">
        <v>109</v>
      </c>
      <c r="N31" s="146"/>
      <c r="O31" s="146"/>
      <c r="Q31" s="5">
        <v>5</v>
      </c>
      <c r="AF31" s="111" t="s">
        <v>155</v>
      </c>
      <c r="AG31" s="112" t="s">
        <v>154</v>
      </c>
      <c r="AH31" s="113">
        <v>-34.799999999999997</v>
      </c>
      <c r="AI31" s="114">
        <v>1000</v>
      </c>
      <c r="AJ31" s="97">
        <f t="shared" si="5"/>
        <v>39.564999999999998</v>
      </c>
    </row>
    <row r="32" spans="1:37">
      <c r="A32" s="3" t="e">
        <f>IF(#REF!&lt;'North Quay Estimate'!$C$13,#REF!,'North Quay Estimate'!$C$13)</f>
        <v>#REF!</v>
      </c>
      <c r="B32" s="3">
        <v>40</v>
      </c>
      <c r="C32" s="3">
        <v>32</v>
      </c>
      <c r="D32" s="3">
        <v>18</v>
      </c>
      <c r="E32" s="3" t="s">
        <v>141</v>
      </c>
      <c r="F32" s="3">
        <v>0</v>
      </c>
      <c r="G32" s="3">
        <v>0</v>
      </c>
      <c r="H32" s="3"/>
      <c r="I32" s="3">
        <f t="shared" ref="I32:I39" si="6">$C$11*((D32*PI()*((C32/1000)^2)/4)+(G32*PI()*((F32/1000)^2)/4))</f>
        <v>113.64020273977286</v>
      </c>
      <c r="J32" s="3">
        <v>16</v>
      </c>
      <c r="K32" s="3">
        <v>300</v>
      </c>
      <c r="L32" s="3"/>
      <c r="M32" s="3">
        <f t="shared" ref="M32:M39" si="7">$C$11*$C$14*PI()*((J32/1000)^2)/4*1000/K32</f>
        <v>19.232420302432153</v>
      </c>
      <c r="N32" s="97">
        <f t="shared" ref="N32:N39" si="8">I32+M32</f>
        <v>132.87262304220502</v>
      </c>
      <c r="O32" s="97" t="e">
        <f>$Q$31*N32*(A33-A32)</f>
        <v>#REF!</v>
      </c>
      <c r="U32" s="122"/>
      <c r="AC32" s="104" t="e">
        <f t="shared" ref="AC32:AC38" si="9">O32</f>
        <v>#REF!</v>
      </c>
      <c r="AF32" s="111" t="s">
        <v>156</v>
      </c>
      <c r="AG32" s="112" t="s">
        <v>154</v>
      </c>
      <c r="AH32" s="113">
        <v>-34.5</v>
      </c>
      <c r="AI32" s="114">
        <v>1000</v>
      </c>
      <c r="AJ32" s="97">
        <f t="shared" si="5"/>
        <v>39.265000000000001</v>
      </c>
    </row>
    <row r="33" spans="1:37">
      <c r="A33" s="3" t="e">
        <f>IF(#REF!&lt;'North Quay Estimate'!$C$13,#REF!,'North Quay Estimate'!$C$13)</f>
        <v>#REF!</v>
      </c>
      <c r="B33" s="3">
        <v>40</v>
      </c>
      <c r="C33" s="3">
        <v>32</v>
      </c>
      <c r="D33" s="3">
        <v>18</v>
      </c>
      <c r="E33" s="3" t="s">
        <v>141</v>
      </c>
      <c r="F33" s="3">
        <v>25</v>
      </c>
      <c r="G33" s="3">
        <v>18</v>
      </c>
      <c r="H33" s="3"/>
      <c r="I33" s="3">
        <f t="shared" si="6"/>
        <v>183.00067804481006</v>
      </c>
      <c r="J33" s="3">
        <v>16</v>
      </c>
      <c r="K33" s="3">
        <v>240</v>
      </c>
      <c r="L33" s="3"/>
      <c r="M33" s="3">
        <f t="shared" si="7"/>
        <v>24.04052537804019</v>
      </c>
      <c r="N33" s="97">
        <f t="shared" si="8"/>
        <v>207.04120342285026</v>
      </c>
      <c r="O33" s="97" t="e">
        <f t="shared" ref="O33:O38" si="10">$Q$31*N33*(A34-A33)</f>
        <v>#REF!</v>
      </c>
      <c r="U33" s="122"/>
      <c r="AC33" s="104" t="e">
        <f t="shared" si="9"/>
        <v>#REF!</v>
      </c>
      <c r="AF33" s="111" t="s">
        <v>157</v>
      </c>
      <c r="AG33" s="112" t="s">
        <v>154</v>
      </c>
      <c r="AH33" s="113">
        <v>-33.9</v>
      </c>
      <c r="AI33" s="114">
        <v>1000</v>
      </c>
      <c r="AJ33" s="97">
        <f t="shared" si="5"/>
        <v>38.664999999999999</v>
      </c>
    </row>
    <row r="34" spans="1:37">
      <c r="A34" s="3" t="e">
        <f>IF(#REF!&lt;'North Quay Estimate'!$C$13,#REF!,'North Quay Estimate'!$C$13)</f>
        <v>#REF!</v>
      </c>
      <c r="B34" s="3">
        <v>40</v>
      </c>
      <c r="C34" s="3">
        <v>25</v>
      </c>
      <c r="D34" s="3">
        <v>18</v>
      </c>
      <c r="E34" s="3" t="s">
        <v>141</v>
      </c>
      <c r="F34" s="3">
        <v>0</v>
      </c>
      <c r="G34" s="3">
        <v>0</v>
      </c>
      <c r="H34" s="3"/>
      <c r="I34" s="3">
        <f t="shared" si="6"/>
        <v>69.36047530503717</v>
      </c>
      <c r="J34" s="3">
        <v>16</v>
      </c>
      <c r="K34" s="3">
        <v>300</v>
      </c>
      <c r="L34" s="3"/>
      <c r="M34" s="3">
        <f t="shared" si="7"/>
        <v>19.232420302432153</v>
      </c>
      <c r="N34" s="97">
        <f t="shared" si="8"/>
        <v>88.59289560746933</v>
      </c>
      <c r="O34" s="97" t="e">
        <f t="shared" si="10"/>
        <v>#REF!</v>
      </c>
      <c r="U34" s="122"/>
      <c r="AC34" s="104" t="e">
        <f t="shared" si="9"/>
        <v>#REF!</v>
      </c>
      <c r="AF34" s="111" t="s">
        <v>158</v>
      </c>
      <c r="AG34" s="112" t="s">
        <v>154</v>
      </c>
      <c r="AH34" s="113">
        <f>-5.75*3</f>
        <v>-17.25</v>
      </c>
      <c r="AI34" s="114">
        <v>1500</v>
      </c>
      <c r="AJ34" s="97">
        <f t="shared" si="5"/>
        <v>22.515000000000001</v>
      </c>
    </row>
    <row r="35" spans="1:37">
      <c r="A35" s="3" t="e">
        <f>IF(#REF!&lt;'North Quay Estimate'!$C$13,#REF!,'North Quay Estimate'!$C$13)</f>
        <v>#REF!</v>
      </c>
      <c r="B35" s="3">
        <v>40</v>
      </c>
      <c r="C35" s="3">
        <v>25</v>
      </c>
      <c r="D35" s="3">
        <v>18</v>
      </c>
      <c r="E35" s="3" t="s">
        <v>141</v>
      </c>
      <c r="F35" s="3">
        <v>20</v>
      </c>
      <c r="G35" s="3">
        <v>18</v>
      </c>
      <c r="H35" s="3"/>
      <c r="I35" s="3">
        <f t="shared" si="6"/>
        <v>113.75117950026096</v>
      </c>
      <c r="J35" s="3">
        <v>16</v>
      </c>
      <c r="K35" s="3">
        <v>240</v>
      </c>
      <c r="L35" s="3"/>
      <c r="M35" s="3">
        <f t="shared" si="7"/>
        <v>24.04052537804019</v>
      </c>
      <c r="N35" s="97">
        <f t="shared" si="8"/>
        <v>137.79170487830115</v>
      </c>
      <c r="O35" s="97" t="e">
        <f t="shared" si="10"/>
        <v>#REF!</v>
      </c>
      <c r="U35" s="122"/>
      <c r="AC35" s="104" t="e">
        <f t="shared" si="9"/>
        <v>#REF!</v>
      </c>
      <c r="AF35" s="111" t="s">
        <v>159</v>
      </c>
      <c r="AG35" s="112" t="s">
        <v>154</v>
      </c>
      <c r="AH35" s="113">
        <v>-15</v>
      </c>
      <c r="AI35" s="114">
        <v>1500</v>
      </c>
      <c r="AJ35" s="97">
        <f t="shared" si="5"/>
        <v>20.265000000000001</v>
      </c>
    </row>
    <row r="36" spans="1:37">
      <c r="A36" s="3" t="e">
        <f>IF(#REF!&lt;'North Quay Estimate'!$C$13,#REF!,'North Quay Estimate'!$C$13)</f>
        <v>#REF!</v>
      </c>
      <c r="B36" s="3">
        <v>40</v>
      </c>
      <c r="C36" s="3">
        <v>20</v>
      </c>
      <c r="D36" s="3">
        <v>18</v>
      </c>
      <c r="E36" s="3" t="s">
        <v>141</v>
      </c>
      <c r="F36" s="3">
        <v>0</v>
      </c>
      <c r="G36" s="3">
        <v>0</v>
      </c>
      <c r="H36" s="3"/>
      <c r="I36" s="3">
        <f t="shared" si="6"/>
        <v>44.390704195223783</v>
      </c>
      <c r="J36" s="3">
        <v>16</v>
      </c>
      <c r="K36" s="3">
        <v>300</v>
      </c>
      <c r="L36" s="3"/>
      <c r="M36" s="3">
        <f t="shared" si="7"/>
        <v>19.232420302432153</v>
      </c>
      <c r="N36" s="97">
        <f t="shared" si="8"/>
        <v>63.623124497655937</v>
      </c>
      <c r="O36" s="97" t="e">
        <f t="shared" si="10"/>
        <v>#REF!</v>
      </c>
      <c r="U36" s="122"/>
      <c r="AC36" s="104" t="e">
        <f t="shared" si="9"/>
        <v>#REF!</v>
      </c>
      <c r="AF36" s="111" t="s">
        <v>160</v>
      </c>
      <c r="AG36" s="112" t="s">
        <v>154</v>
      </c>
      <c r="AH36" s="113">
        <f>-4.5*3</f>
        <v>-13.5</v>
      </c>
      <c r="AI36" s="114">
        <v>1500</v>
      </c>
      <c r="AJ36" s="97">
        <f t="shared" si="5"/>
        <v>18.765000000000001</v>
      </c>
    </row>
    <row r="37" spans="1:37">
      <c r="A37" s="3" t="e">
        <f>IF(#REF!&lt;'North Quay Estimate'!$C$13,#REF!,'North Quay Estimate'!$C$13)</f>
        <v>#REF!</v>
      </c>
      <c r="B37" s="3">
        <v>40</v>
      </c>
      <c r="C37" s="3">
        <v>20</v>
      </c>
      <c r="D37" s="3">
        <v>18</v>
      </c>
      <c r="E37" s="3" t="s">
        <v>141</v>
      </c>
      <c r="F37" s="3">
        <v>0</v>
      </c>
      <c r="G37" s="3">
        <v>0</v>
      </c>
      <c r="H37" s="3"/>
      <c r="I37" s="3">
        <f t="shared" si="6"/>
        <v>44.390704195223783</v>
      </c>
      <c r="J37" s="3">
        <v>16</v>
      </c>
      <c r="K37" s="3">
        <v>300</v>
      </c>
      <c r="L37" s="3"/>
      <c r="M37" s="3">
        <f t="shared" si="7"/>
        <v>19.232420302432153</v>
      </c>
      <c r="N37" s="97">
        <f t="shared" si="8"/>
        <v>63.623124497655937</v>
      </c>
      <c r="O37" s="97" t="e">
        <f t="shared" si="10"/>
        <v>#REF!</v>
      </c>
      <c r="U37" s="122"/>
      <c r="AC37" s="104" t="e">
        <f t="shared" si="9"/>
        <v>#REF!</v>
      </c>
      <c r="AF37" s="111" t="s">
        <v>161</v>
      </c>
      <c r="AG37" s="112" t="s">
        <v>154</v>
      </c>
      <c r="AH37" s="113">
        <v>-11.5</v>
      </c>
      <c r="AI37" s="114">
        <v>1500</v>
      </c>
      <c r="AJ37" s="97">
        <f t="shared" si="5"/>
        <v>16.765000000000001</v>
      </c>
      <c r="AK37" s="104">
        <f>AVERAGE(AJ30:AJ37)</f>
        <v>29.458749999999995</v>
      </c>
    </row>
    <row r="38" spans="1:37">
      <c r="A38" s="3" t="e">
        <f>IF(#REF!&lt;'North Quay Estimate'!$C$13,#REF!,'North Quay Estimate'!$C$13)</f>
        <v>#REF!</v>
      </c>
      <c r="B38" s="3">
        <v>40</v>
      </c>
      <c r="C38" s="3">
        <v>16</v>
      </c>
      <c r="D38" s="3">
        <v>18</v>
      </c>
      <c r="E38" s="3" t="s">
        <v>141</v>
      </c>
      <c r="F38" s="3">
        <v>0</v>
      </c>
      <c r="G38" s="3">
        <v>0</v>
      </c>
      <c r="H38" s="3"/>
      <c r="I38" s="3">
        <f t="shared" si="6"/>
        <v>28.410050684943215</v>
      </c>
      <c r="J38" s="3">
        <v>16</v>
      </c>
      <c r="K38" s="3">
        <v>300</v>
      </c>
      <c r="L38" s="3"/>
      <c r="M38" s="3">
        <f t="shared" si="7"/>
        <v>19.232420302432153</v>
      </c>
      <c r="N38" s="97">
        <f t="shared" si="8"/>
        <v>47.642470987375368</v>
      </c>
      <c r="O38" s="97" t="e">
        <f t="shared" si="10"/>
        <v>#REF!</v>
      </c>
      <c r="U38" s="122"/>
      <c r="AC38" s="104" t="e">
        <f t="shared" si="9"/>
        <v>#REF!</v>
      </c>
    </row>
    <row r="39" spans="1:37">
      <c r="A39" s="3" t="e">
        <f>IF(#REF!&lt;'North Quay Estimate'!$C$13,#REF!,'North Quay Estimate'!$C$13)</f>
        <v>#REF!</v>
      </c>
      <c r="B39" s="3">
        <v>40</v>
      </c>
      <c r="C39" s="3">
        <v>0</v>
      </c>
      <c r="D39" s="3">
        <v>0</v>
      </c>
      <c r="E39" s="3" t="s">
        <v>141</v>
      </c>
      <c r="F39" s="3">
        <v>0</v>
      </c>
      <c r="G39" s="3">
        <v>0</v>
      </c>
      <c r="H39" s="3"/>
      <c r="I39" s="3">
        <f t="shared" si="6"/>
        <v>0</v>
      </c>
      <c r="J39" s="3">
        <v>0</v>
      </c>
      <c r="K39" s="3">
        <v>300</v>
      </c>
      <c r="L39" s="3"/>
      <c r="M39" s="3">
        <f t="shared" si="7"/>
        <v>0</v>
      </c>
      <c r="N39" s="97">
        <f t="shared" si="8"/>
        <v>0</v>
      </c>
      <c r="O39" s="124">
        <v>0</v>
      </c>
      <c r="U39" s="122"/>
      <c r="AC39" t="e">
        <f>N39*(30-A39)</f>
        <v>#REF!</v>
      </c>
    </row>
    <row r="40" spans="1:37" ht="15.75" thickBot="1">
      <c r="O40" s="99" t="e">
        <f>SUM(O32:O39)</f>
        <v>#REF!</v>
      </c>
      <c r="P40" s="89" t="s">
        <v>148</v>
      </c>
      <c r="Q40" s="102" t="e">
        <f>O40/$I$8/Q31</f>
        <v>#REF!</v>
      </c>
      <c r="R40" t="s">
        <v>121</v>
      </c>
      <c r="V40" s="96"/>
      <c r="AC40" s="99" t="e">
        <f>SUM(AC32:AC38)</f>
        <v>#REF!</v>
      </c>
      <c r="AD40" s="115" t="e">
        <f>#REF!-AC40</f>
        <v>#REF!</v>
      </c>
    </row>
    <row r="41" spans="1:37" ht="15.75" thickTop="1">
      <c r="O41" s="104"/>
    </row>
    <row r="42" spans="1:37" ht="18.75">
      <c r="A42" s="1" t="s">
        <v>162</v>
      </c>
    </row>
    <row r="43" spans="1:37">
      <c r="AG43" s="144" t="s">
        <v>163</v>
      </c>
      <c r="AH43" s="144"/>
      <c r="AI43" s="144"/>
      <c r="AJ43" s="144"/>
      <c r="AK43" s="144"/>
    </row>
    <row r="44" spans="1:37" ht="14.45" customHeight="1">
      <c r="A44" s="156" t="s">
        <v>151</v>
      </c>
      <c r="B44" s="156" t="s">
        <v>132</v>
      </c>
      <c r="C44" s="156" t="s">
        <v>133</v>
      </c>
      <c r="D44" s="156"/>
      <c r="E44" s="156"/>
      <c r="F44" s="156"/>
      <c r="G44" s="156"/>
      <c r="H44" s="156"/>
      <c r="I44" s="156"/>
      <c r="J44" s="156" t="s">
        <v>72</v>
      </c>
      <c r="K44" s="156"/>
      <c r="L44" s="156"/>
      <c r="M44" s="156"/>
      <c r="N44" s="146" t="s">
        <v>109</v>
      </c>
      <c r="O44" s="146" t="s">
        <v>110</v>
      </c>
      <c r="Q44" t="s">
        <v>164</v>
      </c>
      <c r="AG44" s="3" t="s">
        <v>17</v>
      </c>
      <c r="AH44" s="3" t="s">
        <v>128</v>
      </c>
      <c r="AI44" s="3" t="s">
        <v>129</v>
      </c>
      <c r="AJ44" s="3" t="s">
        <v>130</v>
      </c>
      <c r="AK44" s="3" t="s">
        <v>131</v>
      </c>
    </row>
    <row r="45" spans="1:37">
      <c r="A45" s="156"/>
      <c r="B45" s="156"/>
      <c r="C45" s="3" t="s">
        <v>136</v>
      </c>
      <c r="D45" s="3" t="s">
        <v>137</v>
      </c>
      <c r="E45" s="3"/>
      <c r="F45" s="3" t="s">
        <v>136</v>
      </c>
      <c r="G45" s="3" t="s">
        <v>137</v>
      </c>
      <c r="H45" s="3" t="s">
        <v>138</v>
      </c>
      <c r="I45" s="3" t="s">
        <v>109</v>
      </c>
      <c r="J45" s="3" t="s">
        <v>136</v>
      </c>
      <c r="K45" s="3" t="s">
        <v>139</v>
      </c>
      <c r="L45" s="3" t="s">
        <v>138</v>
      </c>
      <c r="M45" s="3" t="s">
        <v>109</v>
      </c>
      <c r="N45" s="146"/>
      <c r="O45" s="146"/>
      <c r="Q45" s="5">
        <v>8</v>
      </c>
      <c r="AC45" s="104" t="e">
        <f t="shared" ref="AC45:AC52" si="11">O46</f>
        <v>#REF!</v>
      </c>
      <c r="AD45" s="104"/>
      <c r="AE45" s="104"/>
      <c r="AF45" s="104"/>
      <c r="AG45" s="111" t="s">
        <v>165</v>
      </c>
      <c r="AH45" s="112" t="s">
        <v>135</v>
      </c>
      <c r="AI45" s="113">
        <v>-33</v>
      </c>
      <c r="AJ45" s="114">
        <v>3500</v>
      </c>
      <c r="AK45" s="97">
        <f t="shared" ref="AK45:AK50" si="12">AH45-AI45+AJ45/1000</f>
        <v>40.465000000000003</v>
      </c>
    </row>
    <row r="46" spans="1:37">
      <c r="A46" s="3" t="e">
        <f>IF(#REF!&lt;'North Quay Estimate'!$C$13,#REF!,'North Quay Estimate'!$C$13)</f>
        <v>#REF!</v>
      </c>
      <c r="B46" s="3">
        <v>40</v>
      </c>
      <c r="C46" s="3">
        <v>40</v>
      </c>
      <c r="D46" s="3">
        <v>18</v>
      </c>
      <c r="E46" s="3" t="s">
        <v>141</v>
      </c>
      <c r="F46" s="3">
        <v>32</v>
      </c>
      <c r="G46" s="3">
        <v>18</v>
      </c>
      <c r="H46" s="3"/>
      <c r="I46" s="3">
        <f>$C$11*((D46*PI()*((C46/1000)^2)/4)+(G46*PI()*((F46/1000)^2)/4))</f>
        <v>291.20301952066802</v>
      </c>
      <c r="J46" s="3">
        <v>25</v>
      </c>
      <c r="K46" s="3">
        <v>150</v>
      </c>
      <c r="L46" s="3"/>
      <c r="M46" s="3">
        <f t="shared" ref="M46:M54" si="13">$C$11*$C$14*PI()*((J46/1000)^2)/4*1000/K46</f>
        <v>93.90830225796951</v>
      </c>
      <c r="N46" s="97">
        <f>I46+M46</f>
        <v>385.11132177863755</v>
      </c>
      <c r="O46" s="97" t="e">
        <f>$Q$45*N46*(A47-A46)</f>
        <v>#REF!</v>
      </c>
      <c r="AC46" s="104" t="e">
        <f t="shared" si="11"/>
        <v>#REF!</v>
      </c>
      <c r="AD46" s="104"/>
      <c r="AE46" s="104"/>
      <c r="AF46" s="104"/>
      <c r="AG46" s="111" t="s">
        <v>166</v>
      </c>
      <c r="AH46" s="112" t="s">
        <v>135</v>
      </c>
      <c r="AI46" s="113">
        <f>-11.2*3</f>
        <v>-33.599999999999994</v>
      </c>
      <c r="AJ46" s="114">
        <v>3500</v>
      </c>
      <c r="AK46" s="97">
        <f t="shared" si="12"/>
        <v>41.064999999999998</v>
      </c>
    </row>
    <row r="47" spans="1:37">
      <c r="A47" s="3" t="e">
        <f>IF(#REF!&lt;'North Quay Estimate'!$C$13,#REF!,'North Quay Estimate'!$C$13)</f>
        <v>#REF!</v>
      </c>
      <c r="B47" s="3">
        <v>40</v>
      </c>
      <c r="C47" s="3">
        <v>40</v>
      </c>
      <c r="D47" s="3" t="e">
        <f>#REF!</f>
        <v>#REF!</v>
      </c>
      <c r="E47" s="3" t="s">
        <v>141</v>
      </c>
      <c r="F47" s="3">
        <v>0</v>
      </c>
      <c r="G47" s="3">
        <v>0</v>
      </c>
      <c r="H47" s="3"/>
      <c r="I47" s="3" t="e">
        <f>$C$11*((D47*PI()*((C47/1000)^2)/4)+(G47*PI()*((F47/1000)^2)/4))</f>
        <v>#REF!</v>
      </c>
      <c r="J47" s="3">
        <v>25</v>
      </c>
      <c r="K47" s="3">
        <v>150</v>
      </c>
      <c r="L47" s="3"/>
      <c r="M47" s="3">
        <f t="shared" si="13"/>
        <v>93.90830225796951</v>
      </c>
      <c r="N47" s="97" t="e">
        <f t="shared" ref="N47:N54" si="14">I47+M47</f>
        <v>#REF!</v>
      </c>
      <c r="O47" s="97" t="e">
        <f t="shared" ref="O47:O53" si="15">$Q$45*N47*(A48-A47)</f>
        <v>#REF!</v>
      </c>
      <c r="AC47" s="104" t="e">
        <f t="shared" si="11"/>
        <v>#REF!</v>
      </c>
      <c r="AD47" s="104"/>
      <c r="AE47" s="104"/>
      <c r="AF47" s="104"/>
      <c r="AG47" s="111" t="s">
        <v>167</v>
      </c>
      <c r="AH47" s="112" t="s">
        <v>135</v>
      </c>
      <c r="AI47" s="113">
        <f>-11.4*3</f>
        <v>-34.200000000000003</v>
      </c>
      <c r="AJ47" s="114">
        <v>3000</v>
      </c>
      <c r="AK47" s="97">
        <f t="shared" si="12"/>
        <v>41.165000000000006</v>
      </c>
    </row>
    <row r="48" spans="1:37">
      <c r="A48" s="3" t="e">
        <f>IF(#REF!&lt;'North Quay Estimate'!$C$13,#REF!,'North Quay Estimate'!$C$13)</f>
        <v>#REF!</v>
      </c>
      <c r="B48" s="3">
        <v>40</v>
      </c>
      <c r="C48" s="3" t="e">
        <f>#REF!</f>
        <v>#REF!</v>
      </c>
      <c r="D48" s="3" t="e">
        <f>#REF!</f>
        <v>#REF!</v>
      </c>
      <c r="E48" s="3" t="s">
        <v>141</v>
      </c>
      <c r="F48" s="3" t="e">
        <f>#REF!</f>
        <v>#REF!</v>
      </c>
      <c r="G48" s="3" t="e">
        <f>#REF!</f>
        <v>#REF!</v>
      </c>
      <c r="H48" s="3"/>
      <c r="I48" s="3" t="e">
        <f>$C$11*((D48*PI()*((C48/1000)^2)/4)+(G48*PI()*((F48/1000)^2)/4))</f>
        <v>#REF!</v>
      </c>
      <c r="J48" s="3">
        <v>16</v>
      </c>
      <c r="K48" s="3">
        <v>300</v>
      </c>
      <c r="L48" s="3"/>
      <c r="M48" s="3">
        <f t="shared" si="13"/>
        <v>19.232420302432153</v>
      </c>
      <c r="N48" s="97" t="e">
        <f t="shared" si="14"/>
        <v>#REF!</v>
      </c>
      <c r="O48" s="97" t="e">
        <f t="shared" si="15"/>
        <v>#REF!</v>
      </c>
      <c r="AC48" s="104" t="e">
        <f t="shared" si="11"/>
        <v>#REF!</v>
      </c>
      <c r="AD48" s="104"/>
      <c r="AE48" s="104"/>
      <c r="AF48" s="104"/>
      <c r="AG48" s="111" t="s">
        <v>168</v>
      </c>
      <c r="AH48" s="112" t="s">
        <v>135</v>
      </c>
      <c r="AI48" s="113">
        <f>-8.67*3</f>
        <v>-26.009999999999998</v>
      </c>
      <c r="AJ48" s="114">
        <v>3500</v>
      </c>
      <c r="AK48" s="97">
        <f t="shared" si="12"/>
        <v>33.474999999999994</v>
      </c>
    </row>
    <row r="49" spans="1:38">
      <c r="A49" s="3" t="e">
        <f>IF(#REF!&lt;'North Quay Estimate'!$C$13,#REF!,'North Quay Estimate'!$C$13)</f>
        <v>#REF!</v>
      </c>
      <c r="B49" s="3">
        <v>40</v>
      </c>
      <c r="C49" s="3">
        <v>40</v>
      </c>
      <c r="D49" s="3">
        <v>18</v>
      </c>
      <c r="E49" s="3" t="s">
        <v>141</v>
      </c>
      <c r="F49" s="3">
        <v>40</v>
      </c>
      <c r="G49" s="3">
        <v>18</v>
      </c>
      <c r="H49" s="3"/>
      <c r="I49" s="3">
        <f t="shared" ref="I49:I54" si="16">$C$11*((D49*PI()*((C49/1000)^2)/4)+(G49*PI()*((F49/1000)^2)/4))</f>
        <v>355.12563356179027</v>
      </c>
      <c r="J49" s="3">
        <v>16</v>
      </c>
      <c r="K49" s="3">
        <v>240</v>
      </c>
      <c r="L49" s="3"/>
      <c r="M49" s="3">
        <f t="shared" si="13"/>
        <v>24.04052537804019</v>
      </c>
      <c r="N49" s="97">
        <f t="shared" si="14"/>
        <v>379.16615893983044</v>
      </c>
      <c r="O49" s="97" t="e">
        <f t="shared" si="15"/>
        <v>#REF!</v>
      </c>
      <c r="AC49" s="104" t="e">
        <f t="shared" si="11"/>
        <v>#REF!</v>
      </c>
      <c r="AD49" s="104"/>
      <c r="AE49" s="104"/>
      <c r="AF49" s="104"/>
      <c r="AG49" s="111" t="s">
        <v>169</v>
      </c>
      <c r="AH49" s="112" t="s">
        <v>135</v>
      </c>
      <c r="AI49" s="113">
        <f>-7.6*3</f>
        <v>-22.799999999999997</v>
      </c>
      <c r="AJ49" s="114">
        <v>3500</v>
      </c>
      <c r="AK49" s="97">
        <f t="shared" si="12"/>
        <v>30.264999999999997</v>
      </c>
    </row>
    <row r="50" spans="1:38">
      <c r="A50" s="3" t="e">
        <f>IF(#REF!&lt;'North Quay Estimate'!$C$13,#REF!,'North Quay Estimate'!$C$13)</f>
        <v>#REF!</v>
      </c>
      <c r="B50" s="3">
        <v>40</v>
      </c>
      <c r="C50" s="3">
        <v>40</v>
      </c>
      <c r="D50" s="3">
        <v>18</v>
      </c>
      <c r="E50" s="3" t="s">
        <v>141</v>
      </c>
      <c r="F50" s="3">
        <v>0</v>
      </c>
      <c r="G50" s="3">
        <v>0</v>
      </c>
      <c r="H50" s="3"/>
      <c r="I50" s="3">
        <f t="shared" si="16"/>
        <v>177.56281678089513</v>
      </c>
      <c r="J50" s="3">
        <v>16</v>
      </c>
      <c r="K50" s="3">
        <v>300</v>
      </c>
      <c r="L50" s="3"/>
      <c r="M50" s="3">
        <f t="shared" si="13"/>
        <v>19.232420302432153</v>
      </c>
      <c r="N50" s="97">
        <f t="shared" si="14"/>
        <v>196.79523708332729</v>
      </c>
      <c r="O50" s="97" t="e">
        <f t="shared" si="15"/>
        <v>#REF!</v>
      </c>
      <c r="AC50" s="104" t="e">
        <f t="shared" si="11"/>
        <v>#REF!</v>
      </c>
      <c r="AD50" s="104"/>
      <c r="AE50" s="104"/>
      <c r="AF50" s="104"/>
      <c r="AG50" s="111" t="s">
        <v>170</v>
      </c>
      <c r="AH50" s="112" t="s">
        <v>135</v>
      </c>
      <c r="AI50" s="113">
        <f>-6.9*3</f>
        <v>-20.700000000000003</v>
      </c>
      <c r="AJ50" s="114">
        <v>3500</v>
      </c>
      <c r="AK50" s="97">
        <f t="shared" si="12"/>
        <v>28.165000000000003</v>
      </c>
      <c r="AL50" s="104">
        <f>AVERAGE(AK45:AK50)</f>
        <v>35.766666666666666</v>
      </c>
    </row>
    <row r="51" spans="1:38">
      <c r="A51" s="3" t="e">
        <f>IF(#REF!&lt;'North Quay Estimate'!$C$13,#REF!,'North Quay Estimate'!$C$13)</f>
        <v>#REF!</v>
      </c>
      <c r="B51" s="3">
        <v>40</v>
      </c>
      <c r="C51" s="3">
        <v>40</v>
      </c>
      <c r="D51" s="3">
        <v>18</v>
      </c>
      <c r="E51" s="3" t="s">
        <v>141</v>
      </c>
      <c r="F51" s="3">
        <v>32</v>
      </c>
      <c r="G51" s="3">
        <v>18</v>
      </c>
      <c r="H51" s="3"/>
      <c r="I51" s="3">
        <f t="shared" si="16"/>
        <v>291.20301952066802</v>
      </c>
      <c r="J51" s="3">
        <v>16</v>
      </c>
      <c r="K51" s="3">
        <v>240</v>
      </c>
      <c r="L51" s="3"/>
      <c r="M51" s="3">
        <f t="shared" si="13"/>
        <v>24.04052537804019</v>
      </c>
      <c r="N51" s="97">
        <f t="shared" si="14"/>
        <v>315.24354489870819</v>
      </c>
      <c r="O51" s="97" t="e">
        <f t="shared" si="15"/>
        <v>#REF!</v>
      </c>
      <c r="AC51" s="104" t="e">
        <f t="shared" si="11"/>
        <v>#REF!</v>
      </c>
    </row>
    <row r="52" spans="1:38">
      <c r="A52" s="3" t="e">
        <f>IF(#REF!&lt;'North Quay Estimate'!$C$13,#REF!,'North Quay Estimate'!$C$13)</f>
        <v>#REF!</v>
      </c>
      <c r="B52" s="3">
        <v>40</v>
      </c>
      <c r="C52" s="3">
        <v>32</v>
      </c>
      <c r="D52" s="3">
        <v>18</v>
      </c>
      <c r="E52" s="3" t="s">
        <v>141</v>
      </c>
      <c r="F52" s="3">
        <v>0</v>
      </c>
      <c r="G52" s="3">
        <v>0</v>
      </c>
      <c r="H52" s="3"/>
      <c r="I52" s="3">
        <f t="shared" si="16"/>
        <v>113.64020273977286</v>
      </c>
      <c r="J52" s="3">
        <v>16</v>
      </c>
      <c r="K52" s="3">
        <v>300</v>
      </c>
      <c r="L52" s="3"/>
      <c r="M52" s="3">
        <f t="shared" si="13"/>
        <v>19.232420302432153</v>
      </c>
      <c r="N52" s="97">
        <f t="shared" si="14"/>
        <v>132.87262304220502</v>
      </c>
      <c r="O52" s="97" t="e">
        <f t="shared" si="15"/>
        <v>#REF!</v>
      </c>
      <c r="AC52" s="104" t="e">
        <f t="shared" si="11"/>
        <v>#REF!</v>
      </c>
    </row>
    <row r="53" spans="1:38">
      <c r="A53" s="3" t="e">
        <f>IF(#REF!&lt;'North Quay Estimate'!$C$13,#REF!,'North Quay Estimate'!$C$13)</f>
        <v>#REF!</v>
      </c>
      <c r="B53" s="3">
        <v>40</v>
      </c>
      <c r="C53" s="3">
        <v>16</v>
      </c>
      <c r="D53" s="3">
        <v>18</v>
      </c>
      <c r="E53" s="3" t="s">
        <v>141</v>
      </c>
      <c r="F53" s="3">
        <v>0</v>
      </c>
      <c r="G53" s="3">
        <v>0</v>
      </c>
      <c r="H53" s="3"/>
      <c r="I53" s="3">
        <f t="shared" si="16"/>
        <v>28.410050684943215</v>
      </c>
      <c r="J53" s="3">
        <v>16</v>
      </c>
      <c r="K53" s="3">
        <v>300</v>
      </c>
      <c r="L53" s="3"/>
      <c r="M53" s="3">
        <f t="shared" si="13"/>
        <v>19.232420302432153</v>
      </c>
      <c r="N53" s="97">
        <f t="shared" si="14"/>
        <v>47.642470987375368</v>
      </c>
      <c r="O53" s="97" t="e">
        <f t="shared" si="15"/>
        <v>#REF!</v>
      </c>
      <c r="AC53" t="e">
        <f>N54*(21-A54)</f>
        <v>#REF!</v>
      </c>
    </row>
    <row r="54" spans="1:38" ht="15.75" thickBot="1">
      <c r="A54" s="3" t="e">
        <f>IF(#REF!&lt;'North Quay Estimate'!$C$13,#REF!,'North Quay Estimate'!$C$13)</f>
        <v>#REF!</v>
      </c>
      <c r="B54" s="3">
        <v>40</v>
      </c>
      <c r="C54" s="3">
        <v>16</v>
      </c>
      <c r="D54" s="3">
        <v>18</v>
      </c>
      <c r="E54" s="3" t="s">
        <v>141</v>
      </c>
      <c r="F54" s="3">
        <v>0</v>
      </c>
      <c r="G54" s="3">
        <v>0</v>
      </c>
      <c r="H54" s="3"/>
      <c r="I54" s="3">
        <f t="shared" si="16"/>
        <v>28.410050684943215</v>
      </c>
      <c r="J54" s="3">
        <v>16</v>
      </c>
      <c r="K54" s="3">
        <v>300</v>
      </c>
      <c r="L54" s="3"/>
      <c r="M54" s="3">
        <f t="shared" si="13"/>
        <v>19.232420302432153</v>
      </c>
      <c r="N54" s="97">
        <f t="shared" si="14"/>
        <v>47.642470987375368</v>
      </c>
      <c r="O54" s="124">
        <v>0</v>
      </c>
      <c r="AC54" s="99" t="e">
        <f>SUM(AC45:AC53)</f>
        <v>#REF!</v>
      </c>
      <c r="AD54" s="115" t="e">
        <f>O55-AC54</f>
        <v>#REF!</v>
      </c>
      <c r="AE54" s="115"/>
      <c r="AF54" s="115"/>
    </row>
    <row r="55" spans="1:38" ht="16.5" thickTop="1" thickBot="1">
      <c r="O55" s="99" t="e">
        <f>SUM(O46:O54)</f>
        <v>#REF!</v>
      </c>
      <c r="P55" s="89" t="s">
        <v>148</v>
      </c>
      <c r="Q55" s="102" t="e">
        <f>O55/$D$9/Q45</f>
        <v>#REF!</v>
      </c>
      <c r="R55" t="s">
        <v>121</v>
      </c>
    </row>
    <row r="56" spans="1:38" ht="15.75" thickTop="1">
      <c r="AG56" s="144" t="s">
        <v>171</v>
      </c>
      <c r="AH56" s="144"/>
      <c r="AI56" s="144"/>
      <c r="AJ56" s="144"/>
      <c r="AK56" s="144"/>
    </row>
    <row r="57" spans="1:38" ht="18.75">
      <c r="A57" s="1" t="s">
        <v>172</v>
      </c>
      <c r="AG57" s="3" t="s">
        <v>17</v>
      </c>
      <c r="AH57" s="3" t="s">
        <v>128</v>
      </c>
      <c r="AI57" s="3" t="s">
        <v>129</v>
      </c>
      <c r="AJ57" s="3" t="s">
        <v>130</v>
      </c>
      <c r="AK57" s="3" t="s">
        <v>131</v>
      </c>
    </row>
    <row r="58" spans="1:38">
      <c r="AG58" s="111" t="s">
        <v>173</v>
      </c>
      <c r="AH58" s="112" t="s">
        <v>154</v>
      </c>
      <c r="AI58" s="113">
        <v>-33</v>
      </c>
      <c r="AJ58" s="114">
        <v>4000</v>
      </c>
      <c r="AK58" s="97">
        <f t="shared" ref="AK58:AK63" si="17">AH58-AI58+AJ58/1000</f>
        <v>40.765000000000001</v>
      </c>
    </row>
    <row r="59" spans="1:38" ht="14.45" customHeight="1">
      <c r="A59" s="156" t="s">
        <v>151</v>
      </c>
      <c r="B59" s="156" t="s">
        <v>132</v>
      </c>
      <c r="C59" s="156" t="s">
        <v>133</v>
      </c>
      <c r="D59" s="156"/>
      <c r="E59" s="156"/>
      <c r="F59" s="156"/>
      <c r="G59" s="156"/>
      <c r="H59" s="156"/>
      <c r="I59" s="156"/>
      <c r="J59" s="156" t="s">
        <v>72</v>
      </c>
      <c r="K59" s="156"/>
      <c r="L59" s="156"/>
      <c r="M59" s="156"/>
      <c r="N59" s="146" t="s">
        <v>109</v>
      </c>
      <c r="O59" s="146" t="s">
        <v>110</v>
      </c>
      <c r="Q59" t="s">
        <v>174</v>
      </c>
      <c r="AG59" s="111" t="s">
        <v>175</v>
      </c>
      <c r="AH59" s="112" t="s">
        <v>154</v>
      </c>
      <c r="AI59" s="113">
        <f>-11.2*3</f>
        <v>-33.599999999999994</v>
      </c>
      <c r="AJ59" s="114">
        <v>4000</v>
      </c>
      <c r="AK59" s="97">
        <f t="shared" si="17"/>
        <v>41.364999999999995</v>
      </c>
    </row>
    <row r="60" spans="1:38">
      <c r="A60" s="156"/>
      <c r="B60" s="156"/>
      <c r="C60" s="3" t="s">
        <v>136</v>
      </c>
      <c r="D60" s="3" t="s">
        <v>137</v>
      </c>
      <c r="E60" s="3"/>
      <c r="F60" s="3" t="s">
        <v>136</v>
      </c>
      <c r="G60" s="3" t="s">
        <v>137</v>
      </c>
      <c r="H60" s="3" t="s">
        <v>138</v>
      </c>
      <c r="I60" s="3" t="s">
        <v>109</v>
      </c>
      <c r="J60" s="3" t="s">
        <v>136</v>
      </c>
      <c r="K60" s="3" t="s">
        <v>139</v>
      </c>
      <c r="L60" s="3" t="s">
        <v>138</v>
      </c>
      <c r="M60" s="3" t="s">
        <v>109</v>
      </c>
      <c r="N60" s="146"/>
      <c r="O60" s="146"/>
      <c r="Q60" s="5">
        <v>8</v>
      </c>
      <c r="AC60" s="104" t="e">
        <f>O61</f>
        <v>#REF!</v>
      </c>
      <c r="AG60" s="111" t="s">
        <v>176</v>
      </c>
      <c r="AH60" s="112" t="s">
        <v>154</v>
      </c>
      <c r="AI60" s="113">
        <f>-11.4*3</f>
        <v>-34.200000000000003</v>
      </c>
      <c r="AJ60" s="114">
        <v>4000</v>
      </c>
      <c r="AK60" s="97">
        <f t="shared" si="17"/>
        <v>41.965000000000003</v>
      </c>
    </row>
    <row r="61" spans="1:38">
      <c r="A61" s="3" t="e">
        <f>IF(#REF!&lt;'North Quay Estimate'!$C$13,#REF!,'North Quay Estimate'!$C$13)</f>
        <v>#REF!</v>
      </c>
      <c r="B61" s="3">
        <v>40</v>
      </c>
      <c r="C61" s="3">
        <v>32</v>
      </c>
      <c r="D61" s="3" t="e">
        <f>#REF!</f>
        <v>#REF!</v>
      </c>
      <c r="E61" s="3" t="s">
        <v>141</v>
      </c>
      <c r="F61" s="3">
        <v>0</v>
      </c>
      <c r="G61" s="3">
        <v>0</v>
      </c>
      <c r="H61" s="3"/>
      <c r="I61" s="3" t="e">
        <f>$C$11*((D61*PI()*((C61/1000)^2)/4)+(G61*PI()*((F61/1000)^2)/4))</f>
        <v>#REF!</v>
      </c>
      <c r="J61" s="3">
        <v>16</v>
      </c>
      <c r="K61" s="3">
        <v>300</v>
      </c>
      <c r="L61" s="3"/>
      <c r="M61" s="3">
        <f>$C$11*$C$14*PI()*((J61/1000)^2)/4*1000/K61</f>
        <v>19.232420302432153</v>
      </c>
      <c r="N61" s="97" t="e">
        <f>I61+M61</f>
        <v>#REF!</v>
      </c>
      <c r="O61" s="97" t="e">
        <f>$Q$60*N61*(A62-A61)</f>
        <v>#REF!</v>
      </c>
      <c r="AC61" s="104" t="e">
        <f>O62</f>
        <v>#REF!</v>
      </c>
      <c r="AG61" s="111" t="s">
        <v>177</v>
      </c>
      <c r="AH61" s="112" t="s">
        <v>154</v>
      </c>
      <c r="AI61" s="113">
        <f>-8.67*3</f>
        <v>-26.009999999999998</v>
      </c>
      <c r="AJ61" s="114">
        <v>4000</v>
      </c>
      <c r="AK61" s="97">
        <f t="shared" si="17"/>
        <v>33.774999999999999</v>
      </c>
    </row>
    <row r="62" spans="1:38">
      <c r="A62" s="3" t="e">
        <f>IF(#REF!&lt;'North Quay Estimate'!$C$13,#REF!,'North Quay Estimate'!$C$13)</f>
        <v>#REF!</v>
      </c>
      <c r="B62" s="3">
        <v>40</v>
      </c>
      <c r="C62" s="3">
        <v>32</v>
      </c>
      <c r="D62" s="3">
        <v>18</v>
      </c>
      <c r="E62" s="3" t="s">
        <v>141</v>
      </c>
      <c r="F62" s="3">
        <v>20</v>
      </c>
      <c r="G62" s="3">
        <v>18</v>
      </c>
      <c r="H62" s="3"/>
      <c r="I62" s="3">
        <f>$C$11*((D62*PI()*((C62/1000)^2)/4)+(G62*PI()*((F62/1000)^2)/4))</f>
        <v>158.03090693499664</v>
      </c>
      <c r="J62" s="3">
        <v>16</v>
      </c>
      <c r="K62" s="3">
        <v>300</v>
      </c>
      <c r="L62" s="3"/>
      <c r="M62" s="3">
        <f>$C$11*$C$14*PI()*((J62/1000)^2)/4*1000/K62</f>
        <v>19.232420302432153</v>
      </c>
      <c r="N62" s="97">
        <f>I62+M62</f>
        <v>177.2633272374288</v>
      </c>
      <c r="O62" s="97" t="e">
        <f>$Q$60*N62*(A63-A62)</f>
        <v>#REF!</v>
      </c>
      <c r="AC62" s="104" t="e">
        <f>O63</f>
        <v>#REF!</v>
      </c>
      <c r="AG62" s="111" t="s">
        <v>178</v>
      </c>
      <c r="AH62" s="112" t="s">
        <v>154</v>
      </c>
      <c r="AI62" s="113">
        <f>-7.6*3</f>
        <v>-22.799999999999997</v>
      </c>
      <c r="AJ62" s="114">
        <v>4000</v>
      </c>
      <c r="AK62" s="97">
        <f t="shared" si="17"/>
        <v>30.564999999999998</v>
      </c>
    </row>
    <row r="63" spans="1:38">
      <c r="A63" s="3" t="e">
        <f>IF(#REF!&lt;'North Quay Estimate'!$C$13,#REF!,'North Quay Estimate'!$C$13)</f>
        <v>#REF!</v>
      </c>
      <c r="B63" s="3">
        <v>40</v>
      </c>
      <c r="C63" s="3">
        <v>32</v>
      </c>
      <c r="D63" s="3">
        <v>18</v>
      </c>
      <c r="E63" s="3" t="s">
        <v>141</v>
      </c>
      <c r="F63" s="3">
        <v>0</v>
      </c>
      <c r="G63" s="3">
        <v>0</v>
      </c>
      <c r="H63" s="3"/>
      <c r="I63" s="3">
        <f>$C$11*((D63*PI()*((C63/1000)^2)/4)+(G63*PI()*((F63/1000)^2)/4))</f>
        <v>113.64020273977286</v>
      </c>
      <c r="J63" s="3">
        <v>16</v>
      </c>
      <c r="K63" s="3">
        <v>300</v>
      </c>
      <c r="L63" s="3"/>
      <c r="M63" s="3">
        <f>$C$11*$C$14*PI()*((J63/1000)^2)/4*1000/K63</f>
        <v>19.232420302432153</v>
      </c>
      <c r="N63" s="97">
        <f>I63+M63</f>
        <v>132.87262304220502</v>
      </c>
      <c r="O63" s="97" t="e">
        <f>$Q$60*N63*(A64-A63)</f>
        <v>#REF!</v>
      </c>
      <c r="AC63" t="e">
        <f>N64*(30-A64)</f>
        <v>#REF!</v>
      </c>
      <c r="AG63" s="111" t="s">
        <v>179</v>
      </c>
      <c r="AH63" s="112" t="s">
        <v>154</v>
      </c>
      <c r="AI63" s="113">
        <f>-6.9*3</f>
        <v>-20.700000000000003</v>
      </c>
      <c r="AJ63" s="114">
        <v>4000</v>
      </c>
      <c r="AK63" s="97">
        <f t="shared" si="17"/>
        <v>28.465000000000003</v>
      </c>
      <c r="AL63" s="104">
        <f>AVERAGE(AK58:AK63)</f>
        <v>36.15</v>
      </c>
    </row>
    <row r="64" spans="1:38" ht="15.75" thickBot="1">
      <c r="A64" s="3" t="e">
        <f>IF(#REF!&lt;'North Quay Estimate'!$C$13,#REF!,'North Quay Estimate'!$C$13)</f>
        <v>#REF!</v>
      </c>
      <c r="B64" s="3">
        <v>40</v>
      </c>
      <c r="C64" s="3">
        <v>25</v>
      </c>
      <c r="D64" s="3">
        <v>18</v>
      </c>
      <c r="E64" s="3" t="s">
        <v>141</v>
      </c>
      <c r="F64" s="3">
        <v>0</v>
      </c>
      <c r="G64" s="3">
        <v>0</v>
      </c>
      <c r="H64" s="3"/>
      <c r="I64" s="3">
        <f>$C$11*((D64*PI()*((C64/1000)^2)/4)+(G64*PI()*((F64/1000)^2)/4))</f>
        <v>69.36047530503717</v>
      </c>
      <c r="J64" s="3">
        <v>16</v>
      </c>
      <c r="K64" s="3">
        <v>300</v>
      </c>
      <c r="L64" s="3"/>
      <c r="M64" s="3">
        <f>$C$11*$C$14*PI()*((J64/1000)^2)/4*1000/K64</f>
        <v>19.232420302432153</v>
      </c>
      <c r="N64" s="97">
        <f>I64+M64</f>
        <v>88.59289560746933</v>
      </c>
      <c r="O64" s="124">
        <v>0</v>
      </c>
      <c r="AC64" s="99" t="e">
        <f>SUM(AC60:AC63)</f>
        <v>#REF!</v>
      </c>
      <c r="AD64" s="115" t="e">
        <f>O65-AC64</f>
        <v>#REF!</v>
      </c>
    </row>
    <row r="65" spans="1:38" ht="16.5" thickTop="1" thickBot="1">
      <c r="O65" s="99" t="e">
        <f>SUM(O61:O64)</f>
        <v>#REF!</v>
      </c>
      <c r="P65" s="89" t="s">
        <v>148</v>
      </c>
      <c r="Q65" s="102" t="e">
        <f>O65/$I$8/Q60</f>
        <v>#REF!</v>
      </c>
      <c r="R65" t="s">
        <v>121</v>
      </c>
    </row>
    <row r="66" spans="1:38" ht="15.75" thickTop="1"/>
    <row r="67" spans="1:38" ht="18.75">
      <c r="A67" s="1" t="s">
        <v>180</v>
      </c>
      <c r="AG67" s="144" t="s">
        <v>181</v>
      </c>
      <c r="AH67" s="144"/>
      <c r="AI67" s="144"/>
      <c r="AJ67" s="144"/>
      <c r="AK67" s="144"/>
    </row>
    <row r="68" spans="1:38">
      <c r="AG68" s="3" t="s">
        <v>17</v>
      </c>
      <c r="AH68" s="3" t="s">
        <v>128</v>
      </c>
      <c r="AI68" s="3" t="s">
        <v>129</v>
      </c>
      <c r="AJ68" s="3" t="s">
        <v>130</v>
      </c>
      <c r="AK68" s="3" t="s">
        <v>131</v>
      </c>
    </row>
    <row r="69" spans="1:38" ht="14.45" customHeight="1">
      <c r="A69" s="156" t="s">
        <v>151</v>
      </c>
      <c r="B69" s="156" t="s">
        <v>132</v>
      </c>
      <c r="C69" s="156" t="s">
        <v>133</v>
      </c>
      <c r="D69" s="156"/>
      <c r="E69" s="156"/>
      <c r="F69" s="156"/>
      <c r="G69" s="156"/>
      <c r="H69" s="156"/>
      <c r="I69" s="156"/>
      <c r="J69" s="156" t="s">
        <v>72</v>
      </c>
      <c r="K69" s="156"/>
      <c r="L69" s="156"/>
      <c r="M69" s="156"/>
      <c r="N69" s="149" t="s">
        <v>109</v>
      </c>
      <c r="O69" s="149" t="s">
        <v>110</v>
      </c>
      <c r="Q69" t="s">
        <v>182</v>
      </c>
      <c r="AG69" s="111" t="s">
        <v>183</v>
      </c>
      <c r="AH69" s="112" t="s">
        <v>135</v>
      </c>
      <c r="AI69" s="113">
        <f>-11.6*3</f>
        <v>-34.799999999999997</v>
      </c>
      <c r="AJ69" s="114">
        <v>3000</v>
      </c>
      <c r="AK69" s="97">
        <f>AH69-AI69+AJ69/1000</f>
        <v>41.765000000000001</v>
      </c>
    </row>
    <row r="70" spans="1:38">
      <c r="A70" s="156"/>
      <c r="B70" s="156"/>
      <c r="C70" s="3" t="s">
        <v>136</v>
      </c>
      <c r="D70" s="3" t="s">
        <v>137</v>
      </c>
      <c r="E70" s="3"/>
      <c r="F70" s="3" t="s">
        <v>136</v>
      </c>
      <c r="G70" s="3" t="s">
        <v>137</v>
      </c>
      <c r="H70" s="3" t="s">
        <v>138</v>
      </c>
      <c r="I70" s="3" t="s">
        <v>109</v>
      </c>
      <c r="J70" s="3" t="s">
        <v>136</v>
      </c>
      <c r="K70" s="3" t="s">
        <v>139</v>
      </c>
      <c r="L70" s="3" t="s">
        <v>138</v>
      </c>
      <c r="M70" s="3" t="s">
        <v>109</v>
      </c>
      <c r="N70" s="150"/>
      <c r="O70" s="150"/>
      <c r="Q70" s="5">
        <v>8</v>
      </c>
      <c r="AC70" s="104" t="e">
        <f t="shared" ref="AC70:AC77" si="18">O71</f>
        <v>#REF!</v>
      </c>
      <c r="AD70" s="104"/>
      <c r="AE70" s="104"/>
      <c r="AF70" s="104"/>
      <c r="AG70" s="111" t="s">
        <v>184</v>
      </c>
      <c r="AH70" s="112" t="s">
        <v>135</v>
      </c>
      <c r="AI70" s="113">
        <f>-11.8*3</f>
        <v>-35.400000000000006</v>
      </c>
      <c r="AJ70" s="114">
        <v>3000</v>
      </c>
      <c r="AK70" s="97">
        <f t="shared" ref="AK70:AK79" si="19">AH70-AI70+AJ70/1000</f>
        <v>42.365000000000009</v>
      </c>
    </row>
    <row r="71" spans="1:38">
      <c r="A71" s="3" t="e">
        <f>IF(#REF!&lt;'North Quay Estimate'!$C$13,#REF!,'North Quay Estimate'!$C$13)</f>
        <v>#REF!</v>
      </c>
      <c r="B71" s="3">
        <v>40</v>
      </c>
      <c r="C71" s="3">
        <v>40</v>
      </c>
      <c r="D71" s="3">
        <v>18</v>
      </c>
      <c r="E71" s="3" t="s">
        <v>141</v>
      </c>
      <c r="F71" s="3">
        <v>25</v>
      </c>
      <c r="G71" s="3">
        <v>18</v>
      </c>
      <c r="H71" s="3"/>
      <c r="I71" s="3">
        <f>$C$11*((D71*PI()*((C71/1000)^2)/4)+(G71*PI()*((F71/1000)^2)/4))</f>
        <v>246.9232920859323</v>
      </c>
      <c r="J71" s="3">
        <v>25</v>
      </c>
      <c r="K71" s="3">
        <v>150</v>
      </c>
      <c r="L71" s="3"/>
      <c r="M71" s="3">
        <f t="shared" ref="M71:M79" si="20">$C$11*$C$14*PI()*((J71/1000)^2)/4*1000/K71</f>
        <v>93.90830225796951</v>
      </c>
      <c r="N71" s="97">
        <f t="shared" ref="N71:N79" si="21">I71+M71</f>
        <v>340.83159434390183</v>
      </c>
      <c r="O71" s="97" t="e">
        <f>$Q$70*N71*(A72-A71)</f>
        <v>#REF!</v>
      </c>
      <c r="AC71" s="104" t="e">
        <f t="shared" si="18"/>
        <v>#REF!</v>
      </c>
      <c r="AD71" s="104"/>
      <c r="AE71" s="104"/>
      <c r="AF71" s="104"/>
      <c r="AG71" s="111" t="s">
        <v>185</v>
      </c>
      <c r="AH71" s="112" t="s">
        <v>135</v>
      </c>
      <c r="AI71" s="113">
        <f>-12*3</f>
        <v>-36</v>
      </c>
      <c r="AJ71" s="114">
        <v>3000</v>
      </c>
      <c r="AK71" s="97">
        <f t="shared" si="19"/>
        <v>42.965000000000003</v>
      </c>
    </row>
    <row r="72" spans="1:38">
      <c r="A72" s="3" t="e">
        <f>IF(#REF!&lt;'North Quay Estimate'!$C$13,#REF!,'North Quay Estimate'!$C$13)</f>
        <v>#REF!</v>
      </c>
      <c r="B72" s="3">
        <v>40</v>
      </c>
      <c r="C72" s="3">
        <v>40</v>
      </c>
      <c r="D72" s="3">
        <v>18</v>
      </c>
      <c r="E72" s="3" t="s">
        <v>141</v>
      </c>
      <c r="F72" s="3">
        <v>0</v>
      </c>
      <c r="G72" s="3">
        <v>0</v>
      </c>
      <c r="H72" s="3"/>
      <c r="I72" s="3">
        <f t="shared" ref="I72:I79" si="22">$C$11*((D72*PI()*((C72/1000)^2)/4)+(G72*PI()*((F72/1000)^2)/4))</f>
        <v>177.56281678089513</v>
      </c>
      <c r="J72" s="3">
        <v>25</v>
      </c>
      <c r="K72" s="3">
        <v>150</v>
      </c>
      <c r="L72" s="3"/>
      <c r="M72" s="3">
        <f t="shared" si="20"/>
        <v>93.90830225796951</v>
      </c>
      <c r="N72" s="97">
        <f t="shared" si="21"/>
        <v>271.47111903886463</v>
      </c>
      <c r="O72" s="97" t="e">
        <f t="shared" ref="O72:O78" si="23">$Q$70*N72*(A73-A72)</f>
        <v>#REF!</v>
      </c>
      <c r="AC72" s="104" t="e">
        <f t="shared" si="18"/>
        <v>#REF!</v>
      </c>
      <c r="AD72" s="104"/>
      <c r="AE72" s="104"/>
      <c r="AF72" s="104"/>
      <c r="AG72" s="111" t="s">
        <v>186</v>
      </c>
      <c r="AH72" s="112" t="s">
        <v>135</v>
      </c>
      <c r="AI72" s="113">
        <f>-12.3*3</f>
        <v>-36.900000000000006</v>
      </c>
      <c r="AJ72" s="114">
        <v>3000</v>
      </c>
      <c r="AK72" s="97">
        <f t="shared" si="19"/>
        <v>43.865000000000009</v>
      </c>
    </row>
    <row r="73" spans="1:38">
      <c r="A73" s="3" t="e">
        <f>IF(#REF!&lt;'North Quay Estimate'!$C$13,#REF!,'North Quay Estimate'!$C$13)</f>
        <v>#REF!</v>
      </c>
      <c r="B73" s="3">
        <v>40</v>
      </c>
      <c r="C73" s="3">
        <v>40</v>
      </c>
      <c r="D73" s="3">
        <v>18</v>
      </c>
      <c r="E73" s="3" t="s">
        <v>141</v>
      </c>
      <c r="F73" s="3">
        <v>0</v>
      </c>
      <c r="G73" s="3">
        <v>0</v>
      </c>
      <c r="H73" s="3"/>
      <c r="I73" s="3">
        <f t="shared" si="22"/>
        <v>177.56281678089513</v>
      </c>
      <c r="J73" s="3">
        <v>16</v>
      </c>
      <c r="K73" s="3">
        <v>300</v>
      </c>
      <c r="L73" s="3"/>
      <c r="M73" s="3">
        <f t="shared" si="20"/>
        <v>19.232420302432153</v>
      </c>
      <c r="N73" s="97">
        <f t="shared" si="21"/>
        <v>196.79523708332729</v>
      </c>
      <c r="O73" s="97" t="e">
        <f t="shared" si="23"/>
        <v>#REF!</v>
      </c>
      <c r="AC73" s="104" t="e">
        <f t="shared" si="18"/>
        <v>#REF!</v>
      </c>
      <c r="AD73" s="104"/>
      <c r="AE73" s="104"/>
      <c r="AF73" s="104"/>
      <c r="AG73" s="111" t="s">
        <v>187</v>
      </c>
      <c r="AH73" s="112" t="s">
        <v>135</v>
      </c>
      <c r="AI73" s="113">
        <f>-12.5*3</f>
        <v>-37.5</v>
      </c>
      <c r="AJ73" s="114">
        <v>3000</v>
      </c>
      <c r="AK73" s="97">
        <f t="shared" si="19"/>
        <v>44.465000000000003</v>
      </c>
    </row>
    <row r="74" spans="1:38">
      <c r="A74" s="3" t="e">
        <f>IF(#REF!&lt;'North Quay Estimate'!$C$13,#REF!,'North Quay Estimate'!$C$13)</f>
        <v>#REF!</v>
      </c>
      <c r="B74" s="3">
        <v>40</v>
      </c>
      <c r="C74" s="3">
        <v>40</v>
      </c>
      <c r="D74" s="3">
        <v>18</v>
      </c>
      <c r="E74" s="3" t="s">
        <v>141</v>
      </c>
      <c r="F74" s="3">
        <v>40</v>
      </c>
      <c r="G74" s="3">
        <v>18</v>
      </c>
      <c r="H74" s="3"/>
      <c r="I74" s="3">
        <f t="shared" si="22"/>
        <v>355.12563356179027</v>
      </c>
      <c r="J74" s="3">
        <v>16</v>
      </c>
      <c r="K74" s="3">
        <v>240</v>
      </c>
      <c r="L74" s="3"/>
      <c r="M74" s="3">
        <f t="shared" si="20"/>
        <v>24.04052537804019</v>
      </c>
      <c r="N74" s="97">
        <f t="shared" si="21"/>
        <v>379.16615893983044</v>
      </c>
      <c r="O74" s="97" t="e">
        <f t="shared" si="23"/>
        <v>#REF!</v>
      </c>
      <c r="AC74" s="104" t="e">
        <f t="shared" si="18"/>
        <v>#REF!</v>
      </c>
      <c r="AD74" s="104"/>
      <c r="AE74" s="104"/>
      <c r="AF74" s="104"/>
      <c r="AG74" s="111" t="s">
        <v>188</v>
      </c>
      <c r="AH74" s="112" t="s">
        <v>135</v>
      </c>
      <c r="AI74" s="113">
        <f>-12.5*3</f>
        <v>-37.5</v>
      </c>
      <c r="AJ74" s="114">
        <v>3000</v>
      </c>
      <c r="AK74" s="97">
        <f t="shared" si="19"/>
        <v>44.465000000000003</v>
      </c>
    </row>
    <row r="75" spans="1:38">
      <c r="A75" s="3" t="e">
        <f>IF(#REF!&lt;'North Quay Estimate'!$C$13,#REF!,'North Quay Estimate'!$C$13)</f>
        <v>#REF!</v>
      </c>
      <c r="B75" s="3">
        <v>40</v>
      </c>
      <c r="C75" s="3">
        <v>40</v>
      </c>
      <c r="D75" s="3">
        <v>18</v>
      </c>
      <c r="E75" s="3" t="s">
        <v>141</v>
      </c>
      <c r="F75" s="3">
        <v>0</v>
      </c>
      <c r="G75" s="3">
        <v>0</v>
      </c>
      <c r="H75" s="3"/>
      <c r="I75" s="3">
        <f t="shared" si="22"/>
        <v>177.56281678089513</v>
      </c>
      <c r="J75" s="3">
        <v>16</v>
      </c>
      <c r="K75" s="3">
        <v>300</v>
      </c>
      <c r="L75" s="3"/>
      <c r="M75" s="3">
        <f t="shared" si="20"/>
        <v>19.232420302432153</v>
      </c>
      <c r="N75" s="97">
        <f t="shared" si="21"/>
        <v>196.79523708332729</v>
      </c>
      <c r="O75" s="97" t="e">
        <f t="shared" si="23"/>
        <v>#REF!</v>
      </c>
      <c r="AC75" s="104" t="e">
        <f t="shared" si="18"/>
        <v>#REF!</v>
      </c>
      <c r="AD75" s="104"/>
      <c r="AE75" s="104"/>
      <c r="AF75" s="104"/>
      <c r="AG75" s="111" t="s">
        <v>189</v>
      </c>
      <c r="AH75" s="112" t="s">
        <v>135</v>
      </c>
      <c r="AI75" s="113">
        <f>-12.2*3</f>
        <v>-36.599999999999994</v>
      </c>
      <c r="AJ75" s="114">
        <v>3000</v>
      </c>
      <c r="AK75" s="97">
        <f t="shared" si="19"/>
        <v>43.564999999999998</v>
      </c>
    </row>
    <row r="76" spans="1:38">
      <c r="A76" s="3" t="e">
        <f>IF(#REF!&lt;'North Quay Estimate'!$C$13,#REF!,'North Quay Estimate'!$C$13)</f>
        <v>#REF!</v>
      </c>
      <c r="B76" s="3">
        <v>40</v>
      </c>
      <c r="C76" s="3">
        <v>40</v>
      </c>
      <c r="D76" s="3">
        <v>18</v>
      </c>
      <c r="E76" s="3" t="s">
        <v>141</v>
      </c>
      <c r="F76" s="3">
        <v>32</v>
      </c>
      <c r="G76" s="3">
        <v>18</v>
      </c>
      <c r="H76" s="3"/>
      <c r="I76" s="3">
        <f t="shared" si="22"/>
        <v>291.20301952066802</v>
      </c>
      <c r="J76" s="3">
        <v>16</v>
      </c>
      <c r="K76" s="3">
        <v>240</v>
      </c>
      <c r="L76" s="3"/>
      <c r="M76" s="3">
        <f t="shared" si="20"/>
        <v>24.04052537804019</v>
      </c>
      <c r="N76" s="97">
        <f t="shared" si="21"/>
        <v>315.24354489870819</v>
      </c>
      <c r="O76" s="97" t="e">
        <f t="shared" si="23"/>
        <v>#REF!</v>
      </c>
      <c r="AC76" s="104" t="e">
        <f t="shared" si="18"/>
        <v>#REF!</v>
      </c>
      <c r="AG76" s="111" t="s">
        <v>190</v>
      </c>
      <c r="AH76" s="112" t="s">
        <v>135</v>
      </c>
      <c r="AI76" s="113">
        <f>-12*3</f>
        <v>-36</v>
      </c>
      <c r="AJ76" s="114">
        <v>3000</v>
      </c>
      <c r="AK76" s="97">
        <f t="shared" si="19"/>
        <v>42.965000000000003</v>
      </c>
    </row>
    <row r="77" spans="1:38">
      <c r="A77" s="3" t="e">
        <f>IF(#REF!&lt;'North Quay Estimate'!$C$13,#REF!,'North Quay Estimate'!$C$13)</f>
        <v>#REF!</v>
      </c>
      <c r="B77" s="3">
        <v>40</v>
      </c>
      <c r="C77" s="3">
        <v>32</v>
      </c>
      <c r="D77" s="3">
        <v>18</v>
      </c>
      <c r="E77" s="3" t="s">
        <v>141</v>
      </c>
      <c r="F77" s="3">
        <v>0</v>
      </c>
      <c r="G77" s="3">
        <v>0</v>
      </c>
      <c r="H77" s="3"/>
      <c r="I77" s="3">
        <f t="shared" si="22"/>
        <v>113.64020273977286</v>
      </c>
      <c r="J77" s="3">
        <v>16</v>
      </c>
      <c r="K77" s="3">
        <v>300</v>
      </c>
      <c r="L77" s="3"/>
      <c r="M77" s="3">
        <f t="shared" si="20"/>
        <v>19.232420302432153</v>
      </c>
      <c r="N77" s="97">
        <f t="shared" si="21"/>
        <v>132.87262304220502</v>
      </c>
      <c r="O77" s="97" t="e">
        <f t="shared" si="23"/>
        <v>#REF!</v>
      </c>
      <c r="AC77" s="104" t="e">
        <f t="shared" si="18"/>
        <v>#REF!</v>
      </c>
      <c r="AG77" s="111" t="s">
        <v>191</v>
      </c>
      <c r="AH77" s="112" t="s">
        <v>135</v>
      </c>
      <c r="AI77" s="113">
        <f>-11.5*3</f>
        <v>-34.5</v>
      </c>
      <c r="AJ77" s="114">
        <v>3500</v>
      </c>
      <c r="AK77" s="97">
        <f t="shared" si="19"/>
        <v>41.965000000000003</v>
      </c>
    </row>
    <row r="78" spans="1:38">
      <c r="A78" s="3" t="e">
        <f>IF(#REF!&lt;'North Quay Estimate'!$C$13,#REF!,'North Quay Estimate'!$C$13)</f>
        <v>#REF!</v>
      </c>
      <c r="B78" s="3">
        <v>40</v>
      </c>
      <c r="C78" s="3">
        <v>16</v>
      </c>
      <c r="D78" s="3">
        <v>18</v>
      </c>
      <c r="E78" s="3" t="s">
        <v>141</v>
      </c>
      <c r="F78" s="3">
        <v>0</v>
      </c>
      <c r="G78" s="3">
        <v>0</v>
      </c>
      <c r="H78" s="3"/>
      <c r="I78" s="3">
        <f t="shared" si="22"/>
        <v>28.410050684943215</v>
      </c>
      <c r="J78" s="3">
        <v>16</v>
      </c>
      <c r="K78" s="3">
        <v>300</v>
      </c>
      <c r="L78" s="3"/>
      <c r="M78" s="3">
        <f t="shared" si="20"/>
        <v>19.232420302432153</v>
      </c>
      <c r="N78" s="97">
        <f t="shared" si="21"/>
        <v>47.642470987375368</v>
      </c>
      <c r="O78" s="97" t="e">
        <f t="shared" si="23"/>
        <v>#REF!</v>
      </c>
      <c r="AC78" t="e">
        <f>N79*(21-A79)</f>
        <v>#REF!</v>
      </c>
      <c r="AG78" s="111" t="s">
        <v>192</v>
      </c>
      <c r="AH78" s="112" t="s">
        <v>135</v>
      </c>
      <c r="AI78" s="113">
        <f>-10.6*3</f>
        <v>-31.799999999999997</v>
      </c>
      <c r="AJ78" s="114">
        <v>3500</v>
      </c>
      <c r="AK78" s="97">
        <f t="shared" si="19"/>
        <v>39.265000000000001</v>
      </c>
    </row>
    <row r="79" spans="1:38" ht="15.75" thickBot="1">
      <c r="A79" s="3" t="e">
        <f>IF(#REF!&lt;'North Quay Estimate'!$C$13,#REF!,'North Quay Estimate'!$C$13)</f>
        <v>#REF!</v>
      </c>
      <c r="B79" s="3">
        <v>40</v>
      </c>
      <c r="C79" s="3">
        <v>16</v>
      </c>
      <c r="D79" s="3">
        <v>18</v>
      </c>
      <c r="E79" s="3" t="s">
        <v>141</v>
      </c>
      <c r="F79" s="3">
        <v>0</v>
      </c>
      <c r="G79" s="3">
        <v>0</v>
      </c>
      <c r="H79" s="3"/>
      <c r="I79" s="3">
        <f t="shared" si="22"/>
        <v>28.410050684943215</v>
      </c>
      <c r="J79" s="3">
        <v>16</v>
      </c>
      <c r="K79" s="3">
        <v>300</v>
      </c>
      <c r="L79" s="3"/>
      <c r="M79" s="3">
        <f t="shared" si="20"/>
        <v>19.232420302432153</v>
      </c>
      <c r="N79" s="97">
        <f t="shared" si="21"/>
        <v>47.642470987375368</v>
      </c>
      <c r="O79" s="124">
        <v>0</v>
      </c>
      <c r="AC79" s="99" t="e">
        <f>SUM(AC70:AC78)</f>
        <v>#REF!</v>
      </c>
      <c r="AD79" s="115" t="e">
        <f>O80-AC79</f>
        <v>#REF!</v>
      </c>
      <c r="AE79" s="116"/>
      <c r="AF79" s="116"/>
      <c r="AG79" s="111" t="s">
        <v>193</v>
      </c>
      <c r="AH79" s="112" t="s">
        <v>135</v>
      </c>
      <c r="AI79" s="113">
        <f>-9.5*3</f>
        <v>-28.5</v>
      </c>
      <c r="AJ79" s="114">
        <v>3500</v>
      </c>
      <c r="AK79" s="97">
        <f t="shared" si="19"/>
        <v>35.965000000000003</v>
      </c>
      <c r="AL79" s="104">
        <f>AVERAGE(AK69:AK79)</f>
        <v>42.14681818181819</v>
      </c>
    </row>
    <row r="80" spans="1:38" ht="16.5" thickTop="1" thickBot="1">
      <c r="O80" s="99" t="e">
        <f>SUM(O71:O79)</f>
        <v>#REF!</v>
      </c>
      <c r="P80" s="89" t="s">
        <v>148</v>
      </c>
      <c r="Q80" s="102" t="e">
        <f>O80/$D$9/Q70</f>
        <v>#REF!</v>
      </c>
      <c r="R80" t="s">
        <v>121</v>
      </c>
    </row>
    <row r="81" spans="1:38" ht="15.75" thickTop="1">
      <c r="AG81" s="144" t="s">
        <v>194</v>
      </c>
      <c r="AH81" s="144"/>
      <c r="AI81" s="144"/>
      <c r="AJ81" s="144"/>
      <c r="AK81" s="144"/>
    </row>
    <row r="82" spans="1:38" ht="18.75">
      <c r="A82" s="1" t="s">
        <v>195</v>
      </c>
      <c r="AG82" s="3" t="s">
        <v>17</v>
      </c>
      <c r="AH82" s="3" t="s">
        <v>128</v>
      </c>
      <c r="AI82" s="3" t="s">
        <v>129</v>
      </c>
      <c r="AJ82" s="3" t="s">
        <v>130</v>
      </c>
      <c r="AK82" s="3" t="s">
        <v>131</v>
      </c>
    </row>
    <row r="83" spans="1:38">
      <c r="AG83" s="111" t="s">
        <v>196</v>
      </c>
      <c r="AH83" s="112" t="s">
        <v>154</v>
      </c>
      <c r="AI83" s="113">
        <f>-11.6*3</f>
        <v>-34.799999999999997</v>
      </c>
      <c r="AJ83" s="114">
        <v>3500</v>
      </c>
      <c r="AK83" s="97">
        <f t="shared" ref="AK83:AK93" si="24">AH83-AI83+AJ83/1000</f>
        <v>42.064999999999998</v>
      </c>
    </row>
    <row r="84" spans="1:38">
      <c r="A84" s="156" t="s">
        <v>151</v>
      </c>
      <c r="B84" s="156" t="s">
        <v>132</v>
      </c>
      <c r="C84" s="156" t="s">
        <v>133</v>
      </c>
      <c r="D84" s="156"/>
      <c r="E84" s="156"/>
      <c r="F84" s="156"/>
      <c r="G84" s="156"/>
      <c r="H84" s="156"/>
      <c r="I84" s="156"/>
      <c r="J84" s="156" t="s">
        <v>72</v>
      </c>
      <c r="K84" s="156"/>
      <c r="L84" s="156"/>
      <c r="M84" s="156"/>
      <c r="N84" s="146" t="s">
        <v>109</v>
      </c>
      <c r="O84" s="146" t="s">
        <v>110</v>
      </c>
      <c r="Q84" t="s">
        <v>197</v>
      </c>
      <c r="AG84" s="111" t="s">
        <v>198</v>
      </c>
      <c r="AH84" s="112" t="s">
        <v>154</v>
      </c>
      <c r="AI84" s="113">
        <f>-11.8*3</f>
        <v>-35.400000000000006</v>
      </c>
      <c r="AJ84" s="114">
        <v>3500</v>
      </c>
      <c r="AK84" s="97">
        <f t="shared" si="24"/>
        <v>42.665000000000006</v>
      </c>
    </row>
    <row r="85" spans="1:38">
      <c r="A85" s="156"/>
      <c r="B85" s="156"/>
      <c r="C85" s="3" t="s">
        <v>136</v>
      </c>
      <c r="D85" s="3" t="s">
        <v>137</v>
      </c>
      <c r="E85" s="3"/>
      <c r="F85" s="3" t="s">
        <v>136</v>
      </c>
      <c r="G85" s="3" t="s">
        <v>137</v>
      </c>
      <c r="H85" s="3" t="s">
        <v>138</v>
      </c>
      <c r="I85" s="3" t="s">
        <v>109</v>
      </c>
      <c r="J85" s="3" t="s">
        <v>136</v>
      </c>
      <c r="K85" s="3" t="s">
        <v>139</v>
      </c>
      <c r="L85" s="3" t="s">
        <v>138</v>
      </c>
      <c r="M85" s="3" t="s">
        <v>109</v>
      </c>
      <c r="N85" s="146"/>
      <c r="O85" s="146"/>
      <c r="Q85" s="5">
        <v>8</v>
      </c>
      <c r="AC85" s="104" t="e">
        <f>O86</f>
        <v>#REF!</v>
      </c>
      <c r="AG85" s="111" t="s">
        <v>199</v>
      </c>
      <c r="AH85" s="112" t="s">
        <v>154</v>
      </c>
      <c r="AI85" s="113">
        <f>-12*3</f>
        <v>-36</v>
      </c>
      <c r="AJ85" s="114">
        <v>3500</v>
      </c>
      <c r="AK85" s="97">
        <f t="shared" si="24"/>
        <v>43.265000000000001</v>
      </c>
    </row>
    <row r="86" spans="1:38">
      <c r="A86" s="3" t="e">
        <f>IF(#REF!&lt;'North Quay Estimate'!$C$13,#REF!,'North Quay Estimate'!$C$13)</f>
        <v>#REF!</v>
      </c>
      <c r="B86" s="3">
        <v>40</v>
      </c>
      <c r="C86" s="3">
        <v>32</v>
      </c>
      <c r="D86" s="3" t="e">
        <f>#REF!</f>
        <v>#REF!</v>
      </c>
      <c r="E86" s="3" t="s">
        <v>141</v>
      </c>
      <c r="F86" s="3">
        <v>0</v>
      </c>
      <c r="G86" s="3">
        <v>0</v>
      </c>
      <c r="H86" s="3"/>
      <c r="I86" s="3" t="e">
        <f>$C$11*((D86*PI()*((C86/1000)^2)/4)+(G86*PI()*((F86/1000)^2)/4))</f>
        <v>#REF!</v>
      </c>
      <c r="J86" s="3">
        <v>16</v>
      </c>
      <c r="K86" s="3">
        <v>300</v>
      </c>
      <c r="L86" s="3"/>
      <c r="M86" s="3">
        <f>$C$11*$C$14*PI()*((J86/1000)^2)/4*1000/K86</f>
        <v>19.232420302432153</v>
      </c>
      <c r="N86" s="97" t="e">
        <f>I86+M86</f>
        <v>#REF!</v>
      </c>
      <c r="O86" s="97" t="e">
        <f>$Q$85*N86*(A87-A86)</f>
        <v>#REF!</v>
      </c>
      <c r="AC86" s="104" t="e">
        <f>O87</f>
        <v>#REF!</v>
      </c>
      <c r="AG86" s="111" t="s">
        <v>200</v>
      </c>
      <c r="AH86" s="112" t="s">
        <v>154</v>
      </c>
      <c r="AI86" s="113">
        <f>-12.3*3</f>
        <v>-36.900000000000006</v>
      </c>
      <c r="AJ86" s="114">
        <v>3500</v>
      </c>
      <c r="AK86" s="97">
        <f t="shared" si="24"/>
        <v>44.165000000000006</v>
      </c>
    </row>
    <row r="87" spans="1:38">
      <c r="A87" s="3" t="e">
        <f>IF(#REF!&lt;'North Quay Estimate'!$C$13,#REF!,'North Quay Estimate'!$C$13)</f>
        <v>#REF!</v>
      </c>
      <c r="B87" s="3">
        <v>40</v>
      </c>
      <c r="C87" s="3">
        <v>32</v>
      </c>
      <c r="D87" s="3">
        <v>18</v>
      </c>
      <c r="E87" s="3" t="s">
        <v>141</v>
      </c>
      <c r="F87" s="3">
        <v>25</v>
      </c>
      <c r="G87" s="3">
        <v>18</v>
      </c>
      <c r="H87" s="3"/>
      <c r="I87" s="3">
        <f>$C$11*((D87*PI()*((C87/1000)^2)/4)+(G87*PI()*((F87/1000)^2)/4))</f>
        <v>183.00067804481006</v>
      </c>
      <c r="J87" s="3">
        <v>16</v>
      </c>
      <c r="K87" s="3">
        <v>300</v>
      </c>
      <c r="L87" s="3"/>
      <c r="M87" s="3">
        <f>$C$11*$C$14*PI()*((J87/1000)^2)/4*1000/K87</f>
        <v>19.232420302432153</v>
      </c>
      <c r="N87" s="97">
        <f>I87+M87</f>
        <v>202.23309834724222</v>
      </c>
      <c r="O87" s="97" t="e">
        <f>$Q$85*N87*(A88-A87)</f>
        <v>#REF!</v>
      </c>
      <c r="AC87" t="e">
        <f>N88*(30-A88)</f>
        <v>#REF!</v>
      </c>
      <c r="AG87" s="111" t="s">
        <v>201</v>
      </c>
      <c r="AH87" s="112" t="s">
        <v>154</v>
      </c>
      <c r="AI87" s="113">
        <f>-12.5*3</f>
        <v>-37.5</v>
      </c>
      <c r="AJ87" s="114">
        <v>3500</v>
      </c>
      <c r="AK87" s="97">
        <f t="shared" si="24"/>
        <v>44.765000000000001</v>
      </c>
    </row>
    <row r="88" spans="1:38">
      <c r="A88" s="3" t="e">
        <f>IF(#REF!&lt;'North Quay Estimate'!$C$13,#REF!,'North Quay Estimate'!$C$13)</f>
        <v>#REF!</v>
      </c>
      <c r="B88" s="3">
        <v>40</v>
      </c>
      <c r="C88" s="3">
        <v>32</v>
      </c>
      <c r="D88" s="3">
        <v>18</v>
      </c>
      <c r="E88" s="3" t="s">
        <v>141</v>
      </c>
      <c r="F88" s="3">
        <v>0</v>
      </c>
      <c r="G88" s="3">
        <v>0</v>
      </c>
      <c r="H88" s="3"/>
      <c r="I88" s="3">
        <f>$C$11*((D88*PI()*((C88/1000)^2)/4)+(G88*PI()*((F88/1000)^2)/4))</f>
        <v>113.64020273977286</v>
      </c>
      <c r="J88" s="3">
        <v>16</v>
      </c>
      <c r="K88" s="3">
        <v>300</v>
      </c>
      <c r="L88" s="3"/>
      <c r="M88" s="3">
        <f>$C$11*$C$14*PI()*((J88/1000)^2)/4*1000/K88</f>
        <v>19.232420302432153</v>
      </c>
      <c r="N88" s="97">
        <f>I88+M88</f>
        <v>132.87262304220502</v>
      </c>
      <c r="O88" s="97" t="e">
        <f>$Q$85*N88*(A89-A88)</f>
        <v>#REF!</v>
      </c>
      <c r="AC88" t="e">
        <f>N89*(30-A89)</f>
        <v>#REF!</v>
      </c>
      <c r="AG88" s="111" t="s">
        <v>202</v>
      </c>
      <c r="AH88" s="112" t="s">
        <v>154</v>
      </c>
      <c r="AI88" s="113">
        <f>-12.5*3</f>
        <v>-37.5</v>
      </c>
      <c r="AJ88" s="114">
        <v>3500</v>
      </c>
      <c r="AK88" s="97">
        <f t="shared" si="24"/>
        <v>44.765000000000001</v>
      </c>
    </row>
    <row r="89" spans="1:38" ht="15.75" thickBot="1">
      <c r="A89" s="3" t="e">
        <f>IF(#REF!&lt;'North Quay Estimate'!$C$13,#REF!,'North Quay Estimate'!$C$13)</f>
        <v>#REF!</v>
      </c>
      <c r="B89" s="3">
        <v>40</v>
      </c>
      <c r="C89" s="3">
        <v>25</v>
      </c>
      <c r="D89" s="3">
        <v>18</v>
      </c>
      <c r="E89" s="3" t="s">
        <v>141</v>
      </c>
      <c r="F89" s="3">
        <v>0</v>
      </c>
      <c r="G89" s="3">
        <v>0</v>
      </c>
      <c r="H89" s="3"/>
      <c r="I89" s="3">
        <f>$C$11*((D89*PI()*((C89/1000)^2)/4)+(G89*PI()*((F89/1000)^2)/4))</f>
        <v>69.36047530503717</v>
      </c>
      <c r="J89" s="3">
        <v>16</v>
      </c>
      <c r="K89" s="3">
        <v>300</v>
      </c>
      <c r="L89" s="3"/>
      <c r="M89" s="3">
        <f>$C$11*$C$14*PI()*((J89/1000)^2)/4*1000/K89</f>
        <v>19.232420302432153</v>
      </c>
      <c r="N89" s="97">
        <f>I89+M89</f>
        <v>88.59289560746933</v>
      </c>
      <c r="O89" s="124">
        <v>0</v>
      </c>
      <c r="AC89" s="99" t="e">
        <f>SUM(AC85:AC88)</f>
        <v>#REF!</v>
      </c>
      <c r="AD89" s="115" t="e">
        <f>O90-AC89</f>
        <v>#REF!</v>
      </c>
      <c r="AG89" s="111" t="s">
        <v>203</v>
      </c>
      <c r="AH89" s="112" t="s">
        <v>154</v>
      </c>
      <c r="AI89" s="113">
        <f>-12.2*3</f>
        <v>-36.599999999999994</v>
      </c>
      <c r="AJ89" s="114">
        <v>3500</v>
      </c>
      <c r="AK89" s="97">
        <f t="shared" si="24"/>
        <v>43.864999999999995</v>
      </c>
    </row>
    <row r="90" spans="1:38" ht="16.5" thickTop="1" thickBot="1">
      <c r="O90" s="99" t="e">
        <f>SUM(O86:O89)</f>
        <v>#REF!</v>
      </c>
      <c r="P90" s="89" t="s">
        <v>148</v>
      </c>
      <c r="Q90" s="102" t="e">
        <f>O90/$I$8/Q85</f>
        <v>#REF!</v>
      </c>
      <c r="R90" t="s">
        <v>121</v>
      </c>
      <c r="AG90" s="111" t="s">
        <v>204</v>
      </c>
      <c r="AH90" s="112" t="s">
        <v>154</v>
      </c>
      <c r="AI90" s="113">
        <f>-12*3</f>
        <v>-36</v>
      </c>
      <c r="AJ90" s="114">
        <v>3500</v>
      </c>
      <c r="AK90" s="97">
        <f t="shared" si="24"/>
        <v>43.265000000000001</v>
      </c>
    </row>
    <row r="91" spans="1:38" ht="15.75" thickTop="1">
      <c r="AG91" s="111" t="s">
        <v>205</v>
      </c>
      <c r="AH91" s="112" t="s">
        <v>154</v>
      </c>
      <c r="AI91" s="113">
        <f>-11.5*3</f>
        <v>-34.5</v>
      </c>
      <c r="AJ91" s="114">
        <v>3500</v>
      </c>
      <c r="AK91" s="97">
        <f t="shared" si="24"/>
        <v>41.765000000000001</v>
      </c>
    </row>
    <row r="92" spans="1:38">
      <c r="AG92" s="111" t="s">
        <v>206</v>
      </c>
      <c r="AH92" s="112" t="s">
        <v>154</v>
      </c>
      <c r="AI92" s="113">
        <f>-10.6*3</f>
        <v>-31.799999999999997</v>
      </c>
      <c r="AJ92" s="114">
        <v>4000</v>
      </c>
      <c r="AK92" s="97">
        <f t="shared" si="24"/>
        <v>39.564999999999998</v>
      </c>
    </row>
    <row r="93" spans="1:38">
      <c r="AG93" s="111" t="s">
        <v>207</v>
      </c>
      <c r="AH93" s="112" t="s">
        <v>154</v>
      </c>
      <c r="AI93" s="113">
        <f>-9.5*3</f>
        <v>-28.5</v>
      </c>
      <c r="AJ93" s="114">
        <v>4000</v>
      </c>
      <c r="AK93" s="97">
        <f t="shared" si="24"/>
        <v>36.265000000000001</v>
      </c>
      <c r="AL93" s="104">
        <f>AVERAGE(AK83:AK93)</f>
        <v>42.401363636363634</v>
      </c>
    </row>
  </sheetData>
  <mergeCells count="56">
    <mergeCell ref="A4:A5"/>
    <mergeCell ref="B4:B5"/>
    <mergeCell ref="C4:C5"/>
    <mergeCell ref="D4:D5"/>
    <mergeCell ref="F4:F5"/>
    <mergeCell ref="H4:H5"/>
    <mergeCell ref="I4:I5"/>
    <mergeCell ref="G10:H10"/>
    <mergeCell ref="I10:J10"/>
    <mergeCell ref="K10:L10"/>
    <mergeCell ref="G4:G5"/>
    <mergeCell ref="AF16:AJ16"/>
    <mergeCell ref="A18:A19"/>
    <mergeCell ref="B18:B19"/>
    <mergeCell ref="C18:I18"/>
    <mergeCell ref="J18:M18"/>
    <mergeCell ref="N18:N19"/>
    <mergeCell ref="O18:O19"/>
    <mergeCell ref="AF28:AJ28"/>
    <mergeCell ref="A30:A31"/>
    <mergeCell ref="B30:B31"/>
    <mergeCell ref="C30:I30"/>
    <mergeCell ref="J30:M30"/>
    <mergeCell ref="N30:N31"/>
    <mergeCell ref="O30:O31"/>
    <mergeCell ref="AG43:AK43"/>
    <mergeCell ref="A44:A45"/>
    <mergeCell ref="B44:B45"/>
    <mergeCell ref="C44:I44"/>
    <mergeCell ref="J44:M44"/>
    <mergeCell ref="N44:N45"/>
    <mergeCell ref="O44:O45"/>
    <mergeCell ref="O69:O70"/>
    <mergeCell ref="AG56:AK56"/>
    <mergeCell ref="A59:A60"/>
    <mergeCell ref="B59:B60"/>
    <mergeCell ref="C59:I59"/>
    <mergeCell ref="J59:M59"/>
    <mergeCell ref="N59:N60"/>
    <mergeCell ref="O59:O60"/>
    <mergeCell ref="E11:E12"/>
    <mergeCell ref="E13:E14"/>
    <mergeCell ref="E15:E16"/>
    <mergeCell ref="AG81:AK81"/>
    <mergeCell ref="A84:A85"/>
    <mergeCell ref="B84:B85"/>
    <mergeCell ref="C84:I84"/>
    <mergeCell ref="J84:M84"/>
    <mergeCell ref="N84:N85"/>
    <mergeCell ref="O84:O85"/>
    <mergeCell ref="AG67:AK67"/>
    <mergeCell ref="A69:A70"/>
    <mergeCell ref="B69:B70"/>
    <mergeCell ref="C69:I69"/>
    <mergeCell ref="J69:M69"/>
    <mergeCell ref="N69:N70"/>
  </mergeCells>
  <conditionalFormatting sqref="H20 L20 H32 L32 H46:H48 H61:H62 L61:L62 H22 L22 H71:H76 L71:L76 L46:L54">
    <cfRule type="cellIs" dxfId="115" priority="31" operator="between">
      <formula>0</formula>
      <formula>1</formula>
    </cfRule>
    <cfRule type="cellIs" dxfId="114" priority="32" operator="greaterThan">
      <formula>1</formula>
    </cfRule>
  </conditionalFormatting>
  <conditionalFormatting sqref="H49:H54">
    <cfRule type="cellIs" dxfId="113" priority="29" operator="between">
      <formula>0</formula>
      <formula>1</formula>
    </cfRule>
    <cfRule type="cellIs" dxfId="112" priority="30" operator="greaterThan">
      <formula>1</formula>
    </cfRule>
  </conditionalFormatting>
  <conditionalFormatting sqref="H21">
    <cfRule type="cellIs" dxfId="111" priority="27" operator="between">
      <formula>0</formula>
      <formula>1</formula>
    </cfRule>
    <cfRule type="cellIs" dxfId="110" priority="28" operator="greaterThan">
      <formula>1</formula>
    </cfRule>
  </conditionalFormatting>
  <conditionalFormatting sqref="H86:H87 L86:L87">
    <cfRule type="cellIs" dxfId="109" priority="25" operator="between">
      <formula>0</formula>
      <formula>1</formula>
    </cfRule>
    <cfRule type="cellIs" dxfId="108" priority="26" operator="greaterThan">
      <formula>1</formula>
    </cfRule>
  </conditionalFormatting>
  <conditionalFormatting sqref="L89 H89">
    <cfRule type="cellIs" dxfId="107" priority="23" operator="between">
      <formula>0</formula>
      <formula>1</formula>
    </cfRule>
    <cfRule type="cellIs" dxfId="106" priority="24" operator="greaterThan">
      <formula>1</formula>
    </cfRule>
  </conditionalFormatting>
  <conditionalFormatting sqref="H88">
    <cfRule type="cellIs" dxfId="105" priority="21" operator="between">
      <formula>0</formula>
      <formula>1</formula>
    </cfRule>
    <cfRule type="cellIs" dxfId="104" priority="22" operator="greaterThan">
      <formula>1</formula>
    </cfRule>
  </conditionalFormatting>
  <conditionalFormatting sqref="L88">
    <cfRule type="cellIs" dxfId="103" priority="19" operator="between">
      <formula>0</formula>
      <formula>1</formula>
    </cfRule>
    <cfRule type="cellIs" dxfId="102" priority="20" operator="greaterThan">
      <formula>1</formula>
    </cfRule>
  </conditionalFormatting>
  <conditionalFormatting sqref="L77:L79">
    <cfRule type="cellIs" dxfId="101" priority="17" operator="between">
      <formula>0</formula>
      <formula>1</formula>
    </cfRule>
    <cfRule type="cellIs" dxfId="100" priority="18" operator="greaterThan">
      <formula>1</formula>
    </cfRule>
  </conditionalFormatting>
  <conditionalFormatting sqref="H77:H79">
    <cfRule type="cellIs" dxfId="99" priority="15" operator="between">
      <formula>0</formula>
      <formula>1</formula>
    </cfRule>
    <cfRule type="cellIs" dxfId="98" priority="16" operator="greaterThan">
      <formula>1</formula>
    </cfRule>
  </conditionalFormatting>
  <conditionalFormatting sqref="H63:H64">
    <cfRule type="cellIs" dxfId="97" priority="13" operator="between">
      <formula>0</formula>
      <formula>1</formula>
    </cfRule>
    <cfRule type="cellIs" dxfId="96" priority="14" operator="greaterThan">
      <formula>1</formula>
    </cfRule>
  </conditionalFormatting>
  <conditionalFormatting sqref="L63:L64">
    <cfRule type="cellIs" dxfId="95" priority="11" operator="between">
      <formula>0</formula>
      <formula>1</formula>
    </cfRule>
    <cfRule type="cellIs" dxfId="94" priority="12" operator="greaterThan">
      <formula>1</formula>
    </cfRule>
  </conditionalFormatting>
  <conditionalFormatting sqref="L33:L39">
    <cfRule type="cellIs" dxfId="93" priority="9" operator="between">
      <formula>0</formula>
      <formula>1</formula>
    </cfRule>
    <cfRule type="cellIs" dxfId="92" priority="10" operator="greaterThan">
      <formula>1</formula>
    </cfRule>
  </conditionalFormatting>
  <conditionalFormatting sqref="H33:H39">
    <cfRule type="cellIs" dxfId="91" priority="7" operator="between">
      <formula>0</formula>
      <formula>1</formula>
    </cfRule>
    <cfRule type="cellIs" dxfId="90" priority="8" operator="greaterThan">
      <formula>1</formula>
    </cfRule>
  </conditionalFormatting>
  <conditionalFormatting sqref="H23:H25">
    <cfRule type="cellIs" dxfId="89" priority="5" operator="between">
      <formula>0</formula>
      <formula>1</formula>
    </cfRule>
    <cfRule type="cellIs" dxfId="88" priority="6" operator="greaterThan">
      <formula>1</formula>
    </cfRule>
  </conditionalFormatting>
  <conditionalFormatting sqref="L23:L25">
    <cfRule type="cellIs" dxfId="87" priority="3" operator="between">
      <formula>0</formula>
      <formula>1</formula>
    </cfRule>
    <cfRule type="cellIs" dxfId="86" priority="4" operator="greaterThan">
      <formula>1</formula>
    </cfRule>
  </conditionalFormatting>
  <conditionalFormatting sqref="L21">
    <cfRule type="cellIs" dxfId="85" priority="1" operator="between">
      <formula>0</formula>
      <formula>1</formula>
    </cfRule>
    <cfRule type="cellIs" dxfId="84" priority="2" operator="greaterThan">
      <formula>1</formula>
    </cfRule>
  </conditionalFormatting>
  <pageMargins left="0.7" right="0.7" top="0.75" bottom="0.75" header="0.3" footer="0.3"/>
  <pageSetup paperSize="9" scale="57" orientation="landscape" r:id="rId1"/>
  <rowBreaks count="1" manualBreakCount="1">
    <brk id="55" max="16383" man="1"/>
  </rowBreaks>
  <colBreaks count="1" manualBreakCount="1">
    <brk id="20" max="1048575" man="1"/>
  </col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0">
    <tabColor rgb="FFFF0000"/>
    <pageSetUpPr fitToPage="1"/>
  </sheetPr>
  <dimension ref="A1:AN93"/>
  <sheetViews>
    <sheetView view="pageBreakPreview" topLeftCell="A64" zoomScale="85" zoomScaleNormal="70" zoomScaleSheetLayoutView="85" workbookViewId="0">
      <selection activeCell="AK25" sqref="AK25"/>
    </sheetView>
  </sheetViews>
  <sheetFormatPr defaultColWidth="9.140625" defaultRowHeight="15"/>
  <cols>
    <col min="1" max="1" width="14.5703125" customWidth="1"/>
    <col min="2" max="2" width="12.42578125" customWidth="1"/>
    <col min="3" max="3" width="11.42578125" customWidth="1"/>
    <col min="4" max="4" width="10.85546875" customWidth="1"/>
    <col min="5" max="5" width="9.5703125" bestFit="1" customWidth="1"/>
    <col min="6" max="6" width="14.140625" customWidth="1"/>
    <col min="7" max="7" width="12.5703125" customWidth="1"/>
    <col min="8" max="8" width="12.5703125" hidden="1" customWidth="1"/>
    <col min="9" max="9" width="14.42578125" customWidth="1"/>
    <col min="10" max="10" width="13.85546875" hidden="1" customWidth="1"/>
    <col min="11" max="11" width="12" hidden="1" customWidth="1"/>
    <col min="12" max="12" width="11" hidden="1" customWidth="1"/>
    <col min="13" max="13" width="0" hidden="1" customWidth="1"/>
    <col min="14" max="14" width="13.42578125" hidden="1" customWidth="1"/>
    <col min="15" max="15" width="12.42578125" customWidth="1"/>
    <col min="16" max="16" width="11.42578125" customWidth="1"/>
    <col min="17" max="17" width="10" customWidth="1"/>
    <col min="21" max="21" width="9.5703125" customWidth="1"/>
  </cols>
  <sheetData>
    <row r="1" spans="1:40" ht="18.75">
      <c r="A1" s="1" t="s">
        <v>104</v>
      </c>
    </row>
    <row r="2" spans="1:40" ht="18.75">
      <c r="AA2" s="1" t="s">
        <v>105</v>
      </c>
      <c r="AF2" s="1" t="s">
        <v>106</v>
      </c>
    </row>
    <row r="4" spans="1:40">
      <c r="AA4" s="145" t="s">
        <v>107</v>
      </c>
      <c r="AB4" s="146" t="s">
        <v>108</v>
      </c>
      <c r="AC4" s="146" t="s">
        <v>109</v>
      </c>
      <c r="AD4" s="146" t="s">
        <v>110</v>
      </c>
      <c r="AF4" s="145" t="s">
        <v>107</v>
      </c>
      <c r="AG4" s="146" t="s">
        <v>108</v>
      </c>
      <c r="AH4" s="146" t="s">
        <v>109</v>
      </c>
      <c r="AI4" s="146" t="s">
        <v>110</v>
      </c>
      <c r="AK4" t="s">
        <v>122</v>
      </c>
      <c r="AM4">
        <f>AJ14</f>
        <v>37.595000000000006</v>
      </c>
      <c r="AN4" t="s">
        <v>4</v>
      </c>
    </row>
    <row r="5" spans="1:40">
      <c r="AA5" s="145"/>
      <c r="AB5" s="146"/>
      <c r="AC5" s="146"/>
      <c r="AD5" s="146"/>
      <c r="AF5" s="145"/>
      <c r="AG5" s="146"/>
      <c r="AH5" s="146"/>
      <c r="AI5" s="146"/>
      <c r="AK5" t="s">
        <v>123</v>
      </c>
      <c r="AM5" s="121">
        <f>PI()*(C14-2*(0.085+0.016/2))+0.47</f>
        <v>3.6555749507400499</v>
      </c>
      <c r="AN5" t="s">
        <v>4</v>
      </c>
    </row>
    <row r="6" spans="1:40">
      <c r="AA6" s="100">
        <v>0</v>
      </c>
      <c r="AB6" s="101">
        <v>360</v>
      </c>
      <c r="AC6" s="97">
        <f>AB6*(PI()*1.2^2/4)</f>
        <v>407.15040790523722</v>
      </c>
      <c r="AD6" s="97">
        <f>AC6*(AA7-AA6)</f>
        <v>2035.7520395261861</v>
      </c>
      <c r="AF6" s="100">
        <v>0</v>
      </c>
      <c r="AG6" s="101">
        <v>180</v>
      </c>
      <c r="AH6" s="97">
        <f>AG6*(PI()*1.2^2/4)</f>
        <v>203.57520395261861</v>
      </c>
      <c r="AI6" s="97">
        <f>AH6*(AF7-AF6)</f>
        <v>5089.3800988154653</v>
      </c>
    </row>
    <row r="7" spans="1:40">
      <c r="AA7" s="100">
        <v>5</v>
      </c>
      <c r="AB7" s="101">
        <v>180</v>
      </c>
      <c r="AC7" s="97">
        <f>AB7*(PI()*1.2^2/4)</f>
        <v>203.57520395261861</v>
      </c>
      <c r="AD7" s="97">
        <f>AC7*(AA8-AA7)</f>
        <v>3053.628059289279</v>
      </c>
      <c r="AF7" s="100">
        <v>25</v>
      </c>
      <c r="AG7" s="101">
        <v>0</v>
      </c>
      <c r="AH7" s="97">
        <f>AG7*(PI()*1.2^2/4)</f>
        <v>0</v>
      </c>
      <c r="AI7" s="97">
        <f>AH7*(AF8-AF7)</f>
        <v>0</v>
      </c>
    </row>
    <row r="8" spans="1:40" ht="15.75" thickBot="1">
      <c r="P8" s="96"/>
      <c r="AA8" s="100">
        <v>20</v>
      </c>
      <c r="AB8" s="100">
        <v>0</v>
      </c>
      <c r="AC8" s="97">
        <f>AB8*(PI()*1.2^2/4)</f>
        <v>0</v>
      </c>
      <c r="AD8" s="97">
        <f>AC8*($AM$4-AA8)</f>
        <v>0</v>
      </c>
      <c r="AI8" s="99">
        <f>SUM(AI6:AI7)</f>
        <v>5089.3800988154653</v>
      </c>
      <c r="AJ8" t="s">
        <v>111</v>
      </c>
    </row>
    <row r="9" spans="1:40" ht="16.5" thickTop="1" thickBot="1">
      <c r="AD9" s="99">
        <f>SUM(AD6:AD8)</f>
        <v>5089.3800988154653</v>
      </c>
      <c r="AE9" t="s">
        <v>111</v>
      </c>
    </row>
    <row r="10" spans="1:40" ht="15.75" thickTop="1">
      <c r="AB10" s="144" t="s">
        <v>208</v>
      </c>
      <c r="AC10" s="144"/>
      <c r="AD10" s="154" t="s">
        <v>209</v>
      </c>
      <c r="AE10" s="154"/>
      <c r="AF10" s="144" t="s">
        <v>114</v>
      </c>
      <c r="AG10" s="144"/>
    </row>
    <row r="11" spans="1:40" ht="18.75">
      <c r="A11" s="1" t="s">
        <v>215</v>
      </c>
      <c r="AA11" s="3" t="s">
        <v>117</v>
      </c>
      <c r="AB11" s="105">
        <f>25*AI8</f>
        <v>127234.50247038664</v>
      </c>
      <c r="AC11" s="106" t="s">
        <v>118</v>
      </c>
      <c r="AD11" s="105">
        <f>25*AD9</f>
        <v>127234.50247038664</v>
      </c>
      <c r="AE11" s="123" t="s">
        <v>118</v>
      </c>
      <c r="AF11" s="105">
        <f>25*AD9+25*AI8</f>
        <v>254469.00494077327</v>
      </c>
      <c r="AG11" s="123" t="s">
        <v>118</v>
      </c>
    </row>
    <row r="12" spans="1:40">
      <c r="P12" s="96"/>
      <c r="Q12" s="96"/>
      <c r="R12" s="96"/>
      <c r="AA12" s="3" t="s">
        <v>120</v>
      </c>
      <c r="AB12" s="105" t="e">
        <f>X40+O65+O90</f>
        <v>#REF!</v>
      </c>
      <c r="AC12" s="107" t="e">
        <f>AB12/AB11</f>
        <v>#REF!</v>
      </c>
      <c r="AD12" s="105" t="e">
        <f>X27+O55+O80</f>
        <v>#REF!</v>
      </c>
      <c r="AE12" s="107" t="e">
        <f>AD12/AD11</f>
        <v>#REF!</v>
      </c>
      <c r="AF12" s="105" t="e">
        <f>X27+X40+O55+O65+O80+O90</f>
        <v>#REF!</v>
      </c>
      <c r="AG12" s="107" t="e">
        <f>AF12/AF11</f>
        <v>#REF!</v>
      </c>
      <c r="AH12" t="s">
        <v>121</v>
      </c>
    </row>
    <row r="13" spans="1:40">
      <c r="A13" t="s">
        <v>115</v>
      </c>
      <c r="C13" s="5">
        <v>7850</v>
      </c>
      <c r="D13" t="s">
        <v>116</v>
      </c>
      <c r="R13" s="117"/>
    </row>
    <row r="14" spans="1:40">
      <c r="A14" t="s">
        <v>119</v>
      </c>
      <c r="C14" s="5">
        <v>1.2</v>
      </c>
      <c r="D14" t="s">
        <v>4</v>
      </c>
      <c r="G14" s="119"/>
      <c r="H14" s="120"/>
      <c r="I14" s="119"/>
      <c r="J14" s="120"/>
      <c r="K14" s="119"/>
      <c r="L14" s="120"/>
      <c r="R14" s="117"/>
      <c r="AH14" t="s">
        <v>124</v>
      </c>
      <c r="AJ14" s="104">
        <f>AVERAGE(AJ18:AJ25,AJ30:AJ37,AK45:AK50,AK58:AK63,AK69:AK79,AK83:AK93)</f>
        <v>37.595000000000006</v>
      </c>
    </row>
    <row r="15" spans="1:40" ht="14.1" customHeight="1"/>
    <row r="16" spans="1:40" ht="18" customHeight="1">
      <c r="A16" s="1" t="s">
        <v>125</v>
      </c>
      <c r="AF16" s="144" t="s">
        <v>127</v>
      </c>
      <c r="AG16" s="144"/>
      <c r="AH16" s="144"/>
      <c r="AI16" s="144"/>
      <c r="AJ16" s="144"/>
    </row>
    <row r="17" spans="1:37">
      <c r="W17" s="144" t="s">
        <v>126</v>
      </c>
      <c r="X17" s="144"/>
      <c r="AF17" s="3" t="s">
        <v>17</v>
      </c>
      <c r="AG17" s="3" t="s">
        <v>128</v>
      </c>
      <c r="AH17" s="3" t="s">
        <v>129</v>
      </c>
      <c r="AI17" s="3" t="s">
        <v>130</v>
      </c>
      <c r="AJ17" s="3" t="s">
        <v>131</v>
      </c>
    </row>
    <row r="18" spans="1:37">
      <c r="A18" s="145" t="s">
        <v>107</v>
      </c>
      <c r="B18" s="146" t="s">
        <v>132</v>
      </c>
      <c r="C18" s="144" t="s">
        <v>133</v>
      </c>
      <c r="D18" s="144"/>
      <c r="E18" s="144"/>
      <c r="F18" s="144"/>
      <c r="G18" s="144"/>
      <c r="H18" s="144"/>
      <c r="I18" s="144"/>
      <c r="J18" s="144" t="s">
        <v>72</v>
      </c>
      <c r="K18" s="144"/>
      <c r="L18" s="144"/>
      <c r="M18" s="144"/>
      <c r="N18" s="146" t="s">
        <v>109</v>
      </c>
      <c r="O18" s="146" t="s">
        <v>110</v>
      </c>
      <c r="Q18" t="s">
        <v>164</v>
      </c>
      <c r="W18" s="3" t="s">
        <v>17</v>
      </c>
      <c r="X18" s="3" t="s">
        <v>110</v>
      </c>
      <c r="AF18" s="111" t="s">
        <v>134</v>
      </c>
      <c r="AG18" s="112" t="s">
        <v>135</v>
      </c>
      <c r="AH18" s="127">
        <v>-35.5</v>
      </c>
      <c r="AI18" s="114">
        <v>500</v>
      </c>
      <c r="AJ18" s="97">
        <f>AG18-AH18+AI18/1000</f>
        <v>39.965000000000003</v>
      </c>
    </row>
    <row r="19" spans="1:37">
      <c r="A19" s="145"/>
      <c r="B19" s="146"/>
      <c r="C19" s="3" t="s">
        <v>136</v>
      </c>
      <c r="D19" s="3" t="s">
        <v>137</v>
      </c>
      <c r="F19" s="3" t="s">
        <v>136</v>
      </c>
      <c r="G19" s="3" t="s">
        <v>137</v>
      </c>
      <c r="H19" s="3" t="s">
        <v>138</v>
      </c>
      <c r="I19" s="3" t="s">
        <v>109</v>
      </c>
      <c r="J19" s="3" t="s">
        <v>136</v>
      </c>
      <c r="K19" s="3" t="s">
        <v>139</v>
      </c>
      <c r="L19" s="3" t="s">
        <v>138</v>
      </c>
      <c r="M19" s="3" t="s">
        <v>109</v>
      </c>
      <c r="N19" s="146"/>
      <c r="O19" s="146"/>
      <c r="Q19" s="5">
        <v>8</v>
      </c>
      <c r="W19" s="111" t="s">
        <v>134</v>
      </c>
      <c r="X19" s="3" t="e">
        <f t="shared" ref="X19:X26" si="0">IF($A$23&gt;AJ18,$N$22*(AJ18-$A$22)+SUM($O$20:$O$21),IF($A$24&gt;AJ18,$N$23*(AJ18-$A$23)+SUM($O$20:$O$22),IF($A$25&gt;AJ18,$N$24*(AJ18-$A$24)+SUM($O$20:$O$23),$N$24*($A$25-$A$24)+SUM($O$20:$O$23))))</f>
        <v>#REF!</v>
      </c>
      <c r="AF19" s="111" t="s">
        <v>140</v>
      </c>
      <c r="AG19" s="112" t="s">
        <v>135</v>
      </c>
      <c r="AH19" s="127">
        <v>-35</v>
      </c>
      <c r="AI19" s="114">
        <v>500</v>
      </c>
      <c r="AJ19" s="97">
        <f t="shared" ref="AJ19:AJ24" si="1">AG19-AH19+AI19/1000</f>
        <v>39.465000000000003</v>
      </c>
    </row>
    <row r="20" spans="1:37">
      <c r="A20" s="100">
        <v>0</v>
      </c>
      <c r="B20" s="100">
        <v>40</v>
      </c>
      <c r="C20" s="100">
        <v>40</v>
      </c>
      <c r="D20" s="100">
        <v>18</v>
      </c>
      <c r="E20" s="103" t="s">
        <v>141</v>
      </c>
      <c r="F20" s="100">
        <v>40</v>
      </c>
      <c r="G20" s="100">
        <v>18</v>
      </c>
      <c r="H20" s="98" t="e">
        <f>#REF!</f>
        <v>#REF!</v>
      </c>
      <c r="I20" s="97">
        <f t="shared" ref="I20:I25" si="2">$C$13*((D20*PI()*((C20/1000)^2)/4)+(G20*PI()*((F20/1000)^2)/4))</f>
        <v>355.12563356179027</v>
      </c>
      <c r="J20" s="100"/>
      <c r="K20" s="100" t="e">
        <f>#REF!</f>
        <v>#REF!</v>
      </c>
      <c r="L20" s="98" t="e">
        <f>MAX(#REF!,#REF!,#REF!,#REF!)</f>
        <v>#REF!</v>
      </c>
      <c r="M20" s="97" t="e">
        <f t="shared" ref="M20:M25" si="3">$C$13*$AM$5*PI()*((J20/1000)^2)/4*1000/K20</f>
        <v>#REF!</v>
      </c>
      <c r="N20" s="97" t="e">
        <f t="shared" ref="N20:N25" si="4">I20+M20</f>
        <v>#REF!</v>
      </c>
      <c r="O20" s="97" t="e">
        <f>N20*(A21-A20)*$Q$19</f>
        <v>#REF!</v>
      </c>
      <c r="W20" s="111" t="s">
        <v>140</v>
      </c>
      <c r="X20" s="3" t="e">
        <f t="shared" si="0"/>
        <v>#REF!</v>
      </c>
      <c r="AC20" s="104" t="e">
        <f>O20</f>
        <v>#REF!</v>
      </c>
      <c r="AF20" s="111" t="s">
        <v>142</v>
      </c>
      <c r="AG20" s="112" t="s">
        <v>135</v>
      </c>
      <c r="AH20" s="127">
        <v>-34.5</v>
      </c>
      <c r="AI20" s="114">
        <v>500</v>
      </c>
      <c r="AJ20" s="97">
        <f t="shared" si="1"/>
        <v>38.965000000000003</v>
      </c>
    </row>
    <row r="21" spans="1:37">
      <c r="A21" s="100">
        <v>3.5</v>
      </c>
      <c r="B21" s="100">
        <v>40</v>
      </c>
      <c r="C21" s="100">
        <v>40</v>
      </c>
      <c r="D21" s="100">
        <v>18</v>
      </c>
      <c r="E21" s="103" t="s">
        <v>141</v>
      </c>
      <c r="F21" s="100">
        <v>32</v>
      </c>
      <c r="G21" s="100">
        <v>18</v>
      </c>
      <c r="H21" s="98" t="e">
        <f>#REF!</f>
        <v>#REF!</v>
      </c>
      <c r="I21" s="97">
        <f t="shared" si="2"/>
        <v>291.20301952066802</v>
      </c>
      <c r="J21" s="100"/>
      <c r="K21" s="100">
        <v>150</v>
      </c>
      <c r="L21" s="98" t="e">
        <f>MAX(#REF!,#REF!)</f>
        <v>#REF!</v>
      </c>
      <c r="M21" s="97">
        <f t="shared" si="3"/>
        <v>0</v>
      </c>
      <c r="N21" s="97">
        <f t="shared" si="4"/>
        <v>291.20301952066802</v>
      </c>
      <c r="O21" s="97">
        <f>N21*(A22-A21)*$Q$19</f>
        <v>3494.4362342480163</v>
      </c>
      <c r="W21" s="111" t="s">
        <v>142</v>
      </c>
      <c r="X21" s="3" t="e">
        <f t="shared" si="0"/>
        <v>#REF!</v>
      </c>
      <c r="AC21" s="104">
        <f>O21</f>
        <v>3494.4362342480163</v>
      </c>
      <c r="AF21" s="111" t="s">
        <v>143</v>
      </c>
      <c r="AG21" s="112" t="s">
        <v>135</v>
      </c>
      <c r="AH21" s="127">
        <v>-34.5</v>
      </c>
      <c r="AI21" s="114">
        <v>500</v>
      </c>
      <c r="AJ21" s="97">
        <f t="shared" si="1"/>
        <v>38.965000000000003</v>
      </c>
    </row>
    <row r="22" spans="1:37">
      <c r="A22" s="100">
        <v>5</v>
      </c>
      <c r="B22" s="100">
        <v>40</v>
      </c>
      <c r="C22" s="100">
        <v>32</v>
      </c>
      <c r="D22" s="100">
        <v>18</v>
      </c>
      <c r="E22" s="103" t="s">
        <v>141</v>
      </c>
      <c r="F22" s="100">
        <v>0</v>
      </c>
      <c r="G22" s="100">
        <v>0</v>
      </c>
      <c r="H22" s="98" t="e">
        <f>H21</f>
        <v>#REF!</v>
      </c>
      <c r="I22" s="97">
        <f t="shared" si="2"/>
        <v>113.64020273977286</v>
      </c>
      <c r="J22" s="100"/>
      <c r="K22" s="100">
        <v>300</v>
      </c>
      <c r="L22" s="98" t="e">
        <f>MAX(#REF!,#REF!)</f>
        <v>#REF!</v>
      </c>
      <c r="M22" s="97">
        <f t="shared" si="3"/>
        <v>0</v>
      </c>
      <c r="N22" s="97">
        <f t="shared" si="4"/>
        <v>113.64020273977286</v>
      </c>
      <c r="O22" s="97">
        <f>N22*(A23-A22)*$Q$19</f>
        <v>7727.5337863045543</v>
      </c>
      <c r="W22" s="111" t="s">
        <v>143</v>
      </c>
      <c r="X22" s="3" t="e">
        <f t="shared" si="0"/>
        <v>#REF!</v>
      </c>
      <c r="AC22" s="104">
        <f>O22</f>
        <v>7727.5337863045543</v>
      </c>
      <c r="AF22" s="111" t="s">
        <v>144</v>
      </c>
      <c r="AG22" s="112" t="s">
        <v>135</v>
      </c>
      <c r="AH22" s="127">
        <v>-22</v>
      </c>
      <c r="AI22" s="114">
        <v>1000</v>
      </c>
      <c r="AJ22" s="97">
        <f t="shared" si="1"/>
        <v>26.965</v>
      </c>
    </row>
    <row r="23" spans="1:37">
      <c r="A23" s="100">
        <v>13.5</v>
      </c>
      <c r="B23" s="100">
        <v>40</v>
      </c>
      <c r="C23" s="100">
        <v>32</v>
      </c>
      <c r="D23" s="100">
        <v>18</v>
      </c>
      <c r="E23" s="103" t="s">
        <v>141</v>
      </c>
      <c r="F23" s="100">
        <v>16</v>
      </c>
      <c r="G23" s="100">
        <v>18</v>
      </c>
      <c r="H23" s="98" t="e">
        <f>#REF!</f>
        <v>#REF!</v>
      </c>
      <c r="I23" s="97">
        <f t="shared" si="2"/>
        <v>142.05025342471609</v>
      </c>
      <c r="J23" s="100"/>
      <c r="K23" s="100">
        <v>240</v>
      </c>
      <c r="L23" s="98" t="e">
        <f>MAX(#REF!,#REF!)</f>
        <v>#REF!</v>
      </c>
      <c r="M23" s="97">
        <f t="shared" si="3"/>
        <v>0</v>
      </c>
      <c r="N23" s="97">
        <f t="shared" si="4"/>
        <v>142.05025342471609</v>
      </c>
      <c r="O23" s="97">
        <f>N23*(A24-A23)*$Q$19</f>
        <v>909.12162191818379</v>
      </c>
      <c r="W23" s="111" t="s">
        <v>144</v>
      </c>
      <c r="X23" s="3" t="e">
        <f t="shared" si="0"/>
        <v>#REF!</v>
      </c>
      <c r="AC23" s="104">
        <f>O23</f>
        <v>909.12162191818379</v>
      </c>
      <c r="AF23" s="111" t="s">
        <v>145</v>
      </c>
      <c r="AG23" s="112" t="s">
        <v>135</v>
      </c>
      <c r="AH23" s="127">
        <v>-22</v>
      </c>
      <c r="AI23" s="114">
        <v>1000</v>
      </c>
      <c r="AJ23" s="97">
        <f t="shared" si="1"/>
        <v>26.965</v>
      </c>
    </row>
    <row r="24" spans="1:37">
      <c r="A24" s="100">
        <v>14.3</v>
      </c>
      <c r="B24" s="100">
        <v>40</v>
      </c>
      <c r="C24" s="100">
        <v>16</v>
      </c>
      <c r="D24" s="100">
        <v>18</v>
      </c>
      <c r="E24" s="103" t="s">
        <v>141</v>
      </c>
      <c r="F24" s="100">
        <v>0</v>
      </c>
      <c r="G24" s="100">
        <v>0</v>
      </c>
      <c r="H24" s="98" t="e">
        <f>H23</f>
        <v>#REF!</v>
      </c>
      <c r="I24" s="97">
        <f t="shared" si="2"/>
        <v>28.410050684943215</v>
      </c>
      <c r="J24" s="100"/>
      <c r="K24" s="100">
        <v>300</v>
      </c>
      <c r="L24" s="98" t="e">
        <f>MAX(#REF!,#REF!)</f>
        <v>#REF!</v>
      </c>
      <c r="M24" s="97">
        <f t="shared" si="3"/>
        <v>0</v>
      </c>
      <c r="N24" s="97">
        <f t="shared" si="4"/>
        <v>28.410050684943215</v>
      </c>
      <c r="O24" s="97">
        <f>IF(A25&gt;AK25,N24*(AK25-A24),N24*(A25-A24))*$Q$19</f>
        <v>3568.3023660288677</v>
      </c>
      <c r="W24" s="111" t="s">
        <v>145</v>
      </c>
      <c r="X24" s="3" t="e">
        <f t="shared" si="0"/>
        <v>#REF!</v>
      </c>
      <c r="AC24">
        <f>N24*(21-A24)</f>
        <v>190.34733958911951</v>
      </c>
      <c r="AF24" s="111" t="s">
        <v>146</v>
      </c>
      <c r="AG24" s="112" t="s">
        <v>135</v>
      </c>
      <c r="AH24" s="127">
        <v>-19</v>
      </c>
      <c r="AI24" s="114">
        <v>1000</v>
      </c>
      <c r="AJ24" s="97">
        <f t="shared" si="1"/>
        <v>23.965</v>
      </c>
    </row>
    <row r="25" spans="1:37">
      <c r="A25" s="100">
        <v>30</v>
      </c>
      <c r="B25" s="100">
        <v>40</v>
      </c>
      <c r="C25" s="100">
        <v>0</v>
      </c>
      <c r="D25" s="100">
        <v>0</v>
      </c>
      <c r="E25" s="103" t="s">
        <v>141</v>
      </c>
      <c r="F25" s="100">
        <v>0</v>
      </c>
      <c r="G25" s="100">
        <v>0</v>
      </c>
      <c r="H25" s="98"/>
      <c r="I25" s="97">
        <f t="shared" si="2"/>
        <v>0</v>
      </c>
      <c r="J25" s="100"/>
      <c r="K25" s="100">
        <v>300</v>
      </c>
      <c r="L25" s="98"/>
      <c r="M25" s="97">
        <f t="shared" si="3"/>
        <v>0</v>
      </c>
      <c r="N25" s="97">
        <f t="shared" si="4"/>
        <v>0</v>
      </c>
      <c r="O25" s="97">
        <f>IF(A25&gt;AK25,0,N25*(AK25-A25))*$Q$19</f>
        <v>0</v>
      </c>
      <c r="W25" s="111" t="s">
        <v>146</v>
      </c>
      <c r="X25" s="3" t="e">
        <f t="shared" si="0"/>
        <v>#REF!</v>
      </c>
      <c r="AF25" s="111" t="s">
        <v>147</v>
      </c>
      <c r="AG25" s="112" t="s">
        <v>135</v>
      </c>
      <c r="AH25" s="127">
        <v>-16</v>
      </c>
      <c r="AI25" s="114">
        <v>1000</v>
      </c>
      <c r="AJ25" s="97">
        <f>AG25-AH25+AI25/1000</f>
        <v>20.965</v>
      </c>
      <c r="AK25" s="104">
        <f>AVERAGE(AJ18:AJ25)</f>
        <v>32.027500000000003</v>
      </c>
    </row>
    <row r="26" spans="1:37" ht="15.75" thickBot="1">
      <c r="A26" s="104">
        <f>AK25</f>
        <v>32.027500000000003</v>
      </c>
      <c r="B26" t="s">
        <v>216</v>
      </c>
      <c r="O26" s="99" t="e">
        <f>SUM(O20:O25)</f>
        <v>#REF!</v>
      </c>
      <c r="V26" s="96"/>
      <c r="W26" s="111" t="s">
        <v>147</v>
      </c>
      <c r="X26" s="3" t="e">
        <f t="shared" si="0"/>
        <v>#REF!</v>
      </c>
      <c r="AC26" s="99" t="e">
        <f>SUM(AC20:AC24)</f>
        <v>#REF!</v>
      </c>
      <c r="AD26" s="115" t="e">
        <f>O26-AC26</f>
        <v>#REF!</v>
      </c>
    </row>
    <row r="27" spans="1:37" ht="16.5" thickTop="1" thickBot="1">
      <c r="Q27" s="110"/>
      <c r="X27" s="99" t="e">
        <f>SUM(X19:X26)</f>
        <v>#REF!</v>
      </c>
      <c r="Y27" s="89" t="s">
        <v>148</v>
      </c>
      <c r="Z27" s="102" t="e">
        <f>X27/$AD$9/8</f>
        <v>#REF!</v>
      </c>
      <c r="AA27" t="s">
        <v>121</v>
      </c>
    </row>
    <row r="28" spans="1:37" ht="19.5" thickTop="1">
      <c r="A28" s="1" t="s">
        <v>149</v>
      </c>
      <c r="Q28" s="110"/>
      <c r="AF28" s="144" t="s">
        <v>150</v>
      </c>
      <c r="AG28" s="144"/>
      <c r="AH28" s="144"/>
      <c r="AI28" s="144"/>
      <c r="AJ28" s="144"/>
    </row>
    <row r="29" spans="1:37">
      <c r="Q29" s="110"/>
      <c r="AF29" s="3" t="s">
        <v>17</v>
      </c>
      <c r="AG29" s="3" t="s">
        <v>128</v>
      </c>
      <c r="AH29" s="3" t="s">
        <v>129</v>
      </c>
      <c r="AI29" s="3" t="s">
        <v>130</v>
      </c>
      <c r="AJ29" s="3" t="s">
        <v>131</v>
      </c>
    </row>
    <row r="30" spans="1:37" ht="14.45" customHeight="1">
      <c r="A30" s="145" t="s">
        <v>151</v>
      </c>
      <c r="B30" s="146" t="s">
        <v>132</v>
      </c>
      <c r="C30" s="144" t="s">
        <v>133</v>
      </c>
      <c r="D30" s="144"/>
      <c r="E30" s="144"/>
      <c r="F30" s="144"/>
      <c r="G30" s="144"/>
      <c r="H30" s="144"/>
      <c r="I30" s="144"/>
      <c r="J30" s="144" t="s">
        <v>72</v>
      </c>
      <c r="K30" s="144"/>
      <c r="L30" s="144"/>
      <c r="M30" s="144"/>
      <c r="N30" s="146" t="s">
        <v>109</v>
      </c>
      <c r="O30" s="146" t="s">
        <v>110</v>
      </c>
      <c r="W30" s="144" t="s">
        <v>152</v>
      </c>
      <c r="X30" s="144"/>
      <c r="AF30" s="111" t="s">
        <v>153</v>
      </c>
      <c r="AG30" s="112" t="s">
        <v>154</v>
      </c>
      <c r="AH30" s="127">
        <v>-35</v>
      </c>
      <c r="AI30" s="114">
        <v>1000</v>
      </c>
      <c r="AJ30" s="97">
        <f t="shared" ref="AJ30:AJ37" si="5">AG30-AH30+AI30/1000</f>
        <v>39.765000000000001</v>
      </c>
    </row>
    <row r="31" spans="1:37">
      <c r="A31" s="145"/>
      <c r="B31" s="146"/>
      <c r="C31" s="3" t="s">
        <v>136</v>
      </c>
      <c r="D31" s="3" t="s">
        <v>137</v>
      </c>
      <c r="F31" s="3" t="s">
        <v>136</v>
      </c>
      <c r="G31" s="3" t="s">
        <v>137</v>
      </c>
      <c r="H31" s="3" t="s">
        <v>138</v>
      </c>
      <c r="I31" s="3" t="s">
        <v>109</v>
      </c>
      <c r="J31" s="3" t="s">
        <v>136</v>
      </c>
      <c r="K31" s="3" t="s">
        <v>139</v>
      </c>
      <c r="L31" s="3" t="s">
        <v>138</v>
      </c>
      <c r="M31" s="3" t="s">
        <v>109</v>
      </c>
      <c r="N31" s="146"/>
      <c r="O31" s="146"/>
      <c r="W31" s="3" t="s">
        <v>17</v>
      </c>
      <c r="X31" s="3" t="s">
        <v>110</v>
      </c>
      <c r="AF31" s="111" t="s">
        <v>155</v>
      </c>
      <c r="AG31" s="112" t="s">
        <v>154</v>
      </c>
      <c r="AH31" s="127">
        <v>-35</v>
      </c>
      <c r="AI31" s="114">
        <v>1000</v>
      </c>
      <c r="AJ31" s="97">
        <f t="shared" si="5"/>
        <v>39.765000000000001</v>
      </c>
    </row>
    <row r="32" spans="1:37">
      <c r="A32" s="100">
        <v>0</v>
      </c>
      <c r="B32" s="100">
        <v>40</v>
      </c>
      <c r="C32" s="100">
        <v>32</v>
      </c>
      <c r="D32" s="100">
        <v>18</v>
      </c>
      <c r="E32" s="103" t="s">
        <v>141</v>
      </c>
      <c r="F32" s="100">
        <v>0</v>
      </c>
      <c r="G32" s="100">
        <v>0</v>
      </c>
      <c r="H32" s="98" t="e">
        <f>#REF!</f>
        <v>#REF!</v>
      </c>
      <c r="I32" s="97">
        <f t="shared" ref="I32:I39" si="6">$C$13*((D32*PI()*((C32/1000)^2)/4)+(G32*PI()*((F32/1000)^2)/4))</f>
        <v>113.64020273977286</v>
      </c>
      <c r="J32" s="100">
        <v>16</v>
      </c>
      <c r="K32" s="100">
        <v>300</v>
      </c>
      <c r="L32" s="98" t="e">
        <f>MAX(#REF!,#REF!)</f>
        <v>#REF!</v>
      </c>
      <c r="M32" s="97">
        <f t="shared" ref="M32:M39" si="7">$C$13*$AM$5*PI()*((J32/1000)^2)/4*1000/K32</f>
        <v>19.232420302432153</v>
      </c>
      <c r="N32" s="97">
        <f t="shared" ref="N32:N39" si="8">I32+M32</f>
        <v>132.87262304220502</v>
      </c>
      <c r="O32" s="97">
        <f t="shared" ref="O32:O37" si="9">N32*(A33-A32)</f>
        <v>398.61786912661506</v>
      </c>
      <c r="U32" s="122"/>
      <c r="W32" s="111" t="s">
        <v>153</v>
      </c>
      <c r="X32" s="3">
        <f t="shared" ref="X32:X39" si="10">IF($A$37&gt;AJ30,$N$36*(AJ30-$A$36)+SUM($O$32:$O$35),IF($A$38&gt;AJ30,$N$37*(AJ30-$A$37)+SUM($O$32:$O$36),IF($A$39&gt;AJ30,$N$38*(AJ30-$A$38)+SUM($O$32:$O$37),$N$38*($A$39-$A$38)+SUM($O$32:$O$37))))</f>
        <v>2486.9687748442348</v>
      </c>
      <c r="AC32" s="104">
        <f t="shared" ref="AC32:AC38" si="11">O32</f>
        <v>398.61786912661506</v>
      </c>
      <c r="AF32" s="111" t="s">
        <v>156</v>
      </c>
      <c r="AG32" s="112" t="s">
        <v>154</v>
      </c>
      <c r="AH32" s="127">
        <v>-34.5</v>
      </c>
      <c r="AI32" s="114">
        <v>1000</v>
      </c>
      <c r="AJ32" s="97">
        <f t="shared" si="5"/>
        <v>39.265000000000001</v>
      </c>
    </row>
    <row r="33" spans="1:37">
      <c r="A33" s="100">
        <v>3</v>
      </c>
      <c r="B33" s="100">
        <v>40</v>
      </c>
      <c r="C33" s="100">
        <v>32</v>
      </c>
      <c r="D33" s="100">
        <v>18</v>
      </c>
      <c r="E33" s="103" t="s">
        <v>141</v>
      </c>
      <c r="F33" s="100">
        <v>25</v>
      </c>
      <c r="G33" s="100">
        <v>18</v>
      </c>
      <c r="H33" s="98" t="e">
        <f>#REF!</f>
        <v>#REF!</v>
      </c>
      <c r="I33" s="97">
        <f t="shared" si="6"/>
        <v>183.00067804481006</v>
      </c>
      <c r="J33" s="100">
        <v>16</v>
      </c>
      <c r="K33" s="100">
        <v>240</v>
      </c>
      <c r="L33" s="98" t="e">
        <f>L32</f>
        <v>#REF!</v>
      </c>
      <c r="M33" s="97">
        <f t="shared" si="7"/>
        <v>24.04052537804019</v>
      </c>
      <c r="N33" s="97">
        <f t="shared" si="8"/>
        <v>207.04120342285026</v>
      </c>
      <c r="O33" s="97">
        <f t="shared" si="9"/>
        <v>248.44944410742033</v>
      </c>
      <c r="U33" s="122"/>
      <c r="W33" s="111" t="s">
        <v>155</v>
      </c>
      <c r="X33" s="3">
        <f t="shared" si="10"/>
        <v>2486.9687748442348</v>
      </c>
      <c r="AC33" s="104">
        <f t="shared" si="11"/>
        <v>248.44944410742033</v>
      </c>
      <c r="AF33" s="111" t="s">
        <v>157</v>
      </c>
      <c r="AG33" s="112" t="s">
        <v>154</v>
      </c>
      <c r="AH33" s="127">
        <v>-34.5</v>
      </c>
      <c r="AI33" s="114">
        <v>1000</v>
      </c>
      <c r="AJ33" s="97">
        <f t="shared" si="5"/>
        <v>39.265000000000001</v>
      </c>
    </row>
    <row r="34" spans="1:37">
      <c r="A34" s="100">
        <v>4.2</v>
      </c>
      <c r="B34" s="100">
        <v>40</v>
      </c>
      <c r="C34" s="100">
        <v>25</v>
      </c>
      <c r="D34" s="100">
        <v>18</v>
      </c>
      <c r="E34" s="103" t="s">
        <v>141</v>
      </c>
      <c r="F34" s="100">
        <v>0</v>
      </c>
      <c r="G34" s="100">
        <v>0</v>
      </c>
      <c r="H34" s="98" t="e">
        <f>H33</f>
        <v>#REF!</v>
      </c>
      <c r="I34" s="97">
        <f t="shared" si="6"/>
        <v>69.36047530503717</v>
      </c>
      <c r="J34" s="100">
        <v>16</v>
      </c>
      <c r="K34" s="100">
        <v>300</v>
      </c>
      <c r="L34" s="98" t="e">
        <f>L32</f>
        <v>#REF!</v>
      </c>
      <c r="M34" s="97">
        <f t="shared" si="7"/>
        <v>19.232420302432153</v>
      </c>
      <c r="N34" s="97">
        <f t="shared" si="8"/>
        <v>88.59289560746933</v>
      </c>
      <c r="O34" s="97">
        <f t="shared" si="9"/>
        <v>868.21037695319956</v>
      </c>
      <c r="U34" s="122"/>
      <c r="W34" s="111" t="s">
        <v>156</v>
      </c>
      <c r="X34" s="3">
        <f t="shared" si="10"/>
        <v>2486.9687748442348</v>
      </c>
      <c r="AC34" s="104">
        <f t="shared" si="11"/>
        <v>868.21037695319956</v>
      </c>
      <c r="AF34" s="111" t="s">
        <v>158</v>
      </c>
      <c r="AG34" s="112" t="s">
        <v>154</v>
      </c>
      <c r="AH34" s="127">
        <v>-19</v>
      </c>
      <c r="AI34" s="114">
        <v>1500</v>
      </c>
      <c r="AJ34" s="97">
        <f t="shared" si="5"/>
        <v>24.265000000000001</v>
      </c>
    </row>
    <row r="35" spans="1:37">
      <c r="A35" s="100">
        <v>14</v>
      </c>
      <c r="B35" s="100">
        <v>40</v>
      </c>
      <c r="C35" s="100">
        <v>25</v>
      </c>
      <c r="D35" s="100">
        <v>18</v>
      </c>
      <c r="E35" s="103" t="s">
        <v>141</v>
      </c>
      <c r="F35" s="100">
        <v>20</v>
      </c>
      <c r="G35" s="100">
        <v>18</v>
      </c>
      <c r="H35" s="98" t="e">
        <f>#REF!</f>
        <v>#REF!</v>
      </c>
      <c r="I35" s="97">
        <f t="shared" si="6"/>
        <v>113.75117950026096</v>
      </c>
      <c r="J35" s="100">
        <v>16</v>
      </c>
      <c r="K35" s="100">
        <v>240</v>
      </c>
      <c r="L35" s="98" t="e">
        <f>MAX(#REF!,#REF!)</f>
        <v>#REF!</v>
      </c>
      <c r="M35" s="97">
        <f t="shared" si="7"/>
        <v>24.04052537804019</v>
      </c>
      <c r="N35" s="97">
        <f t="shared" si="8"/>
        <v>137.79170487830115</v>
      </c>
      <c r="O35" s="97">
        <f t="shared" si="9"/>
        <v>137.79170487830115</v>
      </c>
      <c r="U35" s="122"/>
      <c r="W35" s="111" t="s">
        <v>157</v>
      </c>
      <c r="X35" s="3">
        <f t="shared" si="10"/>
        <v>2486.9687748442348</v>
      </c>
      <c r="AC35" s="104">
        <f t="shared" si="11"/>
        <v>137.79170487830115</v>
      </c>
      <c r="AF35" s="111" t="s">
        <v>159</v>
      </c>
      <c r="AG35" s="112" t="s">
        <v>154</v>
      </c>
      <c r="AH35" s="127">
        <v>-19</v>
      </c>
      <c r="AI35" s="114">
        <v>1500</v>
      </c>
      <c r="AJ35" s="97">
        <f t="shared" si="5"/>
        <v>24.265000000000001</v>
      </c>
    </row>
    <row r="36" spans="1:37">
      <c r="A36" s="100">
        <v>15</v>
      </c>
      <c r="B36" s="100">
        <v>40</v>
      </c>
      <c r="C36" s="100">
        <v>20</v>
      </c>
      <c r="D36" s="100">
        <v>18</v>
      </c>
      <c r="E36" s="103" t="s">
        <v>141</v>
      </c>
      <c r="F36" s="100">
        <v>0</v>
      </c>
      <c r="G36" s="100">
        <v>0</v>
      </c>
      <c r="H36" s="98" t="e">
        <f>H35</f>
        <v>#REF!</v>
      </c>
      <c r="I36" s="97">
        <f t="shared" si="6"/>
        <v>44.390704195223783</v>
      </c>
      <c r="J36" s="100">
        <v>16</v>
      </c>
      <c r="K36" s="100">
        <v>300</v>
      </c>
      <c r="L36" s="98" t="e">
        <f>L35</f>
        <v>#REF!</v>
      </c>
      <c r="M36" s="97">
        <f t="shared" si="7"/>
        <v>19.232420302432153</v>
      </c>
      <c r="N36" s="97">
        <f t="shared" si="8"/>
        <v>63.623124497655937</v>
      </c>
      <c r="O36" s="97">
        <f t="shared" si="9"/>
        <v>318.11562248827966</v>
      </c>
      <c r="U36" s="122"/>
      <c r="W36" s="111" t="s">
        <v>158</v>
      </c>
      <c r="X36" s="3">
        <f t="shared" si="10"/>
        <v>2213.7392037316372</v>
      </c>
      <c r="AC36" s="104">
        <f t="shared" si="11"/>
        <v>318.11562248827966</v>
      </c>
      <c r="AF36" s="111" t="s">
        <v>160</v>
      </c>
      <c r="AG36" s="112" t="s">
        <v>154</v>
      </c>
      <c r="AH36" s="127">
        <v>-17</v>
      </c>
      <c r="AI36" s="114">
        <v>1500</v>
      </c>
      <c r="AJ36" s="97">
        <f t="shared" si="5"/>
        <v>22.265000000000001</v>
      </c>
    </row>
    <row r="37" spans="1:37">
      <c r="A37" s="100">
        <v>20</v>
      </c>
      <c r="B37" s="100">
        <v>40</v>
      </c>
      <c r="C37" s="100">
        <v>20</v>
      </c>
      <c r="D37" s="100">
        <v>18</v>
      </c>
      <c r="E37" s="103" t="s">
        <v>141</v>
      </c>
      <c r="F37" s="100">
        <v>16</v>
      </c>
      <c r="G37" s="100">
        <v>18</v>
      </c>
      <c r="H37" s="98" t="e">
        <f>#REF!</f>
        <v>#REF!</v>
      </c>
      <c r="I37" s="97">
        <f t="shared" si="6"/>
        <v>72.800754880167005</v>
      </c>
      <c r="J37" s="100">
        <v>16</v>
      </c>
      <c r="K37" s="100">
        <v>240</v>
      </c>
      <c r="L37" s="98" t="e">
        <f>MAX(#REF!,#REF!)</f>
        <v>#REF!</v>
      </c>
      <c r="M37" s="97">
        <f t="shared" si="7"/>
        <v>24.04052537804019</v>
      </c>
      <c r="N37" s="97">
        <f t="shared" si="8"/>
        <v>96.841280258207192</v>
      </c>
      <c r="O37" s="97">
        <f t="shared" si="9"/>
        <v>77.473024206565825</v>
      </c>
      <c r="U37" s="122"/>
      <c r="W37" s="111" t="s">
        <v>159</v>
      </c>
      <c r="X37" s="3">
        <f t="shared" si="10"/>
        <v>2213.7392037316372</v>
      </c>
      <c r="AC37" s="104">
        <f t="shared" si="11"/>
        <v>77.473024206565825</v>
      </c>
      <c r="AF37" s="111" t="s">
        <v>161</v>
      </c>
      <c r="AG37" s="112" t="s">
        <v>154</v>
      </c>
      <c r="AH37" s="127">
        <v>-15</v>
      </c>
      <c r="AI37" s="114">
        <v>1500</v>
      </c>
      <c r="AJ37" s="97">
        <f t="shared" si="5"/>
        <v>20.265000000000001</v>
      </c>
      <c r="AK37" s="104">
        <f>AVERAGE(AJ30:AJ37)</f>
        <v>31.139999999999993</v>
      </c>
    </row>
    <row r="38" spans="1:37">
      <c r="A38" s="100">
        <v>20.8</v>
      </c>
      <c r="B38" s="100">
        <v>40</v>
      </c>
      <c r="C38" s="100">
        <v>16</v>
      </c>
      <c r="D38" s="100">
        <v>18</v>
      </c>
      <c r="E38" s="103" t="s">
        <v>141</v>
      </c>
      <c r="F38" s="100">
        <v>0</v>
      </c>
      <c r="G38" s="100">
        <v>0</v>
      </c>
      <c r="H38" s="98" t="e">
        <f>H37</f>
        <v>#REF!</v>
      </c>
      <c r="I38" s="97">
        <f t="shared" si="6"/>
        <v>28.410050684943215</v>
      </c>
      <c r="J38" s="100">
        <v>16</v>
      </c>
      <c r="K38" s="100">
        <v>300</v>
      </c>
      <c r="L38" s="98" t="e">
        <f>L37</f>
        <v>#REF!</v>
      </c>
      <c r="M38" s="97">
        <f t="shared" si="7"/>
        <v>19.232420302432153</v>
      </c>
      <c r="N38" s="97">
        <f t="shared" si="8"/>
        <v>47.642470987375368</v>
      </c>
      <c r="O38" s="97">
        <f>IF(A39&gt;AK37,N38*(AK37-A38),N38*(A39-A38))</f>
        <v>438.31073308385334</v>
      </c>
      <c r="U38" s="122"/>
      <c r="W38" s="111" t="s">
        <v>160</v>
      </c>
      <c r="X38" s="3">
        <f t="shared" si="10"/>
        <v>2118.4542617568864</v>
      </c>
      <c r="AC38" s="104">
        <f t="shared" si="11"/>
        <v>438.31073308385334</v>
      </c>
    </row>
    <row r="39" spans="1:37">
      <c r="A39" s="100">
        <v>30</v>
      </c>
      <c r="B39" s="100">
        <v>40</v>
      </c>
      <c r="C39" s="100">
        <v>16</v>
      </c>
      <c r="D39" s="100">
        <v>18</v>
      </c>
      <c r="E39" s="103" t="s">
        <v>141</v>
      </c>
      <c r="F39" s="100">
        <v>0</v>
      </c>
      <c r="G39" s="100">
        <v>0</v>
      </c>
      <c r="H39" s="98" t="e">
        <f>H38</f>
        <v>#REF!</v>
      </c>
      <c r="I39" s="97">
        <f t="shared" si="6"/>
        <v>28.410050684943215</v>
      </c>
      <c r="J39" s="100">
        <v>16</v>
      </c>
      <c r="K39" s="100">
        <v>300</v>
      </c>
      <c r="L39" s="98" t="e">
        <f>L38</f>
        <v>#REF!</v>
      </c>
      <c r="M39" s="97">
        <f t="shared" si="7"/>
        <v>19.232420302432153</v>
      </c>
      <c r="N39" s="97">
        <f t="shared" si="8"/>
        <v>47.642470987375368</v>
      </c>
      <c r="O39" s="97">
        <f>IF(A39&gt;AK37,0,N39*(AK37-A39))</f>
        <v>54.312416925607607</v>
      </c>
      <c r="U39" s="122"/>
      <c r="W39" s="111" t="s">
        <v>161</v>
      </c>
      <c r="X39" s="3">
        <f t="shared" si="10"/>
        <v>1996.8479568222406</v>
      </c>
      <c r="AC39">
        <f>N39*(30-A39)</f>
        <v>0</v>
      </c>
    </row>
    <row r="40" spans="1:37" ht="15.75" thickBot="1">
      <c r="V40" s="96"/>
      <c r="X40" s="99">
        <f>SUM(X32:X39)</f>
        <v>18490.655725419339</v>
      </c>
      <c r="Y40" s="89" t="s">
        <v>148</v>
      </c>
      <c r="Z40" s="102">
        <f>X40/$AI$8/8</f>
        <v>0.45414803390600977</v>
      </c>
      <c r="AA40" t="s">
        <v>121</v>
      </c>
      <c r="AC40" s="99">
        <f>SUM(AC32:AC38)</f>
        <v>2486.9687748442348</v>
      </c>
      <c r="AD40" s="115">
        <f>O40-AC40</f>
        <v>-2486.9687748442348</v>
      </c>
    </row>
    <row r="41" spans="1:37" ht="15.75" thickTop="1">
      <c r="O41" s="104"/>
    </row>
    <row r="42" spans="1:37" ht="18.75">
      <c r="A42" s="1" t="s">
        <v>162</v>
      </c>
    </row>
    <row r="43" spans="1:37">
      <c r="AG43" s="144" t="s">
        <v>163</v>
      </c>
      <c r="AH43" s="144"/>
      <c r="AI43" s="144"/>
      <c r="AJ43" s="144"/>
      <c r="AK43" s="144"/>
    </row>
    <row r="44" spans="1:37" ht="14.45" customHeight="1">
      <c r="A44" s="145" t="s">
        <v>151</v>
      </c>
      <c r="B44" s="146" t="s">
        <v>132</v>
      </c>
      <c r="C44" s="144" t="s">
        <v>133</v>
      </c>
      <c r="D44" s="144"/>
      <c r="E44" s="144"/>
      <c r="F44" s="144"/>
      <c r="G44" s="144"/>
      <c r="H44" s="144"/>
      <c r="I44" s="144"/>
      <c r="J44" s="144" t="s">
        <v>72</v>
      </c>
      <c r="K44" s="144"/>
      <c r="L44" s="144"/>
      <c r="M44" s="144"/>
      <c r="N44" s="146" t="s">
        <v>109</v>
      </c>
      <c r="O44" s="146" t="s">
        <v>110</v>
      </c>
      <c r="Q44" t="s">
        <v>164</v>
      </c>
      <c r="AG44" s="3" t="s">
        <v>17</v>
      </c>
      <c r="AH44" s="3" t="s">
        <v>128</v>
      </c>
      <c r="AI44" s="3" t="s">
        <v>129</v>
      </c>
      <c r="AJ44" s="3" t="s">
        <v>130</v>
      </c>
      <c r="AK44" s="3" t="s">
        <v>131</v>
      </c>
    </row>
    <row r="45" spans="1:37">
      <c r="A45" s="145"/>
      <c r="B45" s="146"/>
      <c r="C45" s="3" t="s">
        <v>136</v>
      </c>
      <c r="D45" s="3" t="s">
        <v>137</v>
      </c>
      <c r="F45" s="3" t="s">
        <v>136</v>
      </c>
      <c r="G45" s="3" t="s">
        <v>137</v>
      </c>
      <c r="H45" s="3" t="s">
        <v>138</v>
      </c>
      <c r="I45" s="3" t="s">
        <v>109</v>
      </c>
      <c r="J45" s="3" t="s">
        <v>136</v>
      </c>
      <c r="K45" s="3" t="s">
        <v>139</v>
      </c>
      <c r="L45" s="3" t="s">
        <v>138</v>
      </c>
      <c r="M45" s="3" t="s">
        <v>109</v>
      </c>
      <c r="N45" s="146"/>
      <c r="O45" s="146"/>
      <c r="Q45" s="5">
        <v>6</v>
      </c>
      <c r="AC45" s="104">
        <f t="shared" ref="AC45:AC52" si="12">O46</f>
        <v>9242.6717226873006</v>
      </c>
      <c r="AD45" s="104"/>
      <c r="AE45" s="104"/>
      <c r="AF45" s="104"/>
      <c r="AG45" s="111" t="s">
        <v>165</v>
      </c>
      <c r="AH45" s="112" t="s">
        <v>135</v>
      </c>
      <c r="AI45" s="127">
        <v>-33.5</v>
      </c>
      <c r="AJ45" s="114">
        <v>3500</v>
      </c>
      <c r="AK45" s="97">
        <f t="shared" ref="AK45:AK50" si="13">AH45-AI45+AJ45/1000</f>
        <v>40.965000000000003</v>
      </c>
    </row>
    <row r="46" spans="1:37">
      <c r="A46" s="100">
        <v>0</v>
      </c>
      <c r="B46" s="100">
        <v>40</v>
      </c>
      <c r="C46" s="100">
        <v>40</v>
      </c>
      <c r="D46" s="100">
        <v>18</v>
      </c>
      <c r="E46" s="103" t="s">
        <v>141</v>
      </c>
      <c r="F46" s="100">
        <v>32</v>
      </c>
      <c r="G46" s="100">
        <v>18</v>
      </c>
      <c r="H46" s="98" t="e">
        <f>#REF!</f>
        <v>#REF!</v>
      </c>
      <c r="I46" s="97">
        <f t="shared" ref="I46:I54" si="14">$C$13*((D46*PI()*((C46/1000)^2)/4)+(G46*PI()*((F46/1000)^2)/4))</f>
        <v>291.20301952066802</v>
      </c>
      <c r="J46" s="100">
        <v>25</v>
      </c>
      <c r="K46" s="100">
        <v>150</v>
      </c>
      <c r="L46" s="98" t="e">
        <f>MAX(#REF!,#REF!)</f>
        <v>#REF!</v>
      </c>
      <c r="M46" s="97">
        <f t="shared" ref="M46:M54" si="15">$C$13*$AM$5*PI()*((J46/1000)^2)/4*1000/K46</f>
        <v>93.90830225796951</v>
      </c>
      <c r="N46" s="97">
        <f>I46+M46</f>
        <v>385.11132177863755</v>
      </c>
      <c r="O46" s="97">
        <f>$Q$45*N46*(A47-A46)</f>
        <v>9242.6717226873006</v>
      </c>
      <c r="AC46" s="104" t="e">
        <f t="shared" si="12"/>
        <v>#REF!</v>
      </c>
      <c r="AD46" s="104"/>
      <c r="AE46" s="104"/>
      <c r="AF46" s="104"/>
      <c r="AG46" s="111" t="s">
        <v>166</v>
      </c>
      <c r="AH46" s="112" t="s">
        <v>135</v>
      </c>
      <c r="AI46" s="127">
        <v>-33</v>
      </c>
      <c r="AJ46" s="114">
        <v>3500</v>
      </c>
      <c r="AK46" s="97">
        <f t="shared" si="13"/>
        <v>40.465000000000003</v>
      </c>
    </row>
    <row r="47" spans="1:37">
      <c r="A47" s="100">
        <v>4</v>
      </c>
      <c r="B47" s="100">
        <v>40</v>
      </c>
      <c r="C47" s="100">
        <v>40</v>
      </c>
      <c r="D47" s="100" t="e">
        <f>#REF!</f>
        <v>#REF!</v>
      </c>
      <c r="E47" s="103" t="s">
        <v>141</v>
      </c>
      <c r="F47" s="100">
        <v>0</v>
      </c>
      <c r="G47" s="100">
        <v>0</v>
      </c>
      <c r="H47" s="98" t="e">
        <f>#REF!</f>
        <v>#REF!</v>
      </c>
      <c r="I47" s="97" t="e">
        <f t="shared" si="14"/>
        <v>#REF!</v>
      </c>
      <c r="J47" s="100">
        <v>25</v>
      </c>
      <c r="K47" s="100">
        <v>150</v>
      </c>
      <c r="L47" s="98" t="e">
        <f>MAX(#REF!,#REF!)</f>
        <v>#REF!</v>
      </c>
      <c r="M47" s="97">
        <f t="shared" si="15"/>
        <v>93.90830225796951</v>
      </c>
      <c r="N47" s="97" t="e">
        <f t="shared" ref="N47:N54" si="16">I47+M47</f>
        <v>#REF!</v>
      </c>
      <c r="O47" s="97" t="e">
        <f t="shared" ref="O47:O53" si="17">$Q$45*N47*(A48-A47)</f>
        <v>#REF!</v>
      </c>
      <c r="AC47" s="104" t="e">
        <f t="shared" si="12"/>
        <v>#REF!</v>
      </c>
      <c r="AD47" s="104"/>
      <c r="AE47" s="104"/>
      <c r="AF47" s="104"/>
      <c r="AG47" s="111" t="s">
        <v>167</v>
      </c>
      <c r="AH47" s="112" t="s">
        <v>135</v>
      </c>
      <c r="AI47" s="127">
        <v>-34.5</v>
      </c>
      <c r="AJ47" s="114">
        <v>3000</v>
      </c>
      <c r="AK47" s="97">
        <f t="shared" si="13"/>
        <v>41.465000000000003</v>
      </c>
    </row>
    <row r="48" spans="1:37">
      <c r="A48" s="100">
        <v>5</v>
      </c>
      <c r="B48" s="100">
        <v>40</v>
      </c>
      <c r="C48" s="100" t="e">
        <f>#REF!</f>
        <v>#REF!</v>
      </c>
      <c r="D48" s="100" t="e">
        <f>#REF!</f>
        <v>#REF!</v>
      </c>
      <c r="E48" s="103" t="s">
        <v>141</v>
      </c>
      <c r="F48" s="100" t="e">
        <f>#REF!</f>
        <v>#REF!</v>
      </c>
      <c r="G48" s="100" t="e">
        <f>#REF!</f>
        <v>#REF!</v>
      </c>
      <c r="H48" s="98" t="e">
        <f>H47</f>
        <v>#REF!</v>
      </c>
      <c r="I48" s="97" t="e">
        <f t="shared" si="14"/>
        <v>#REF!</v>
      </c>
      <c r="J48" s="100">
        <v>16</v>
      </c>
      <c r="K48" s="100">
        <v>300</v>
      </c>
      <c r="L48" s="98" t="e">
        <f>MAX(#REF!,#REF!)</f>
        <v>#REF!</v>
      </c>
      <c r="M48" s="97">
        <f t="shared" si="15"/>
        <v>19.232420302432153</v>
      </c>
      <c r="N48" s="97" t="e">
        <f t="shared" si="16"/>
        <v>#REF!</v>
      </c>
      <c r="O48" s="97" t="e">
        <f t="shared" si="17"/>
        <v>#REF!</v>
      </c>
      <c r="AC48" s="104">
        <f t="shared" si="12"/>
        <v>4549.9939072779653</v>
      </c>
      <c r="AD48" s="104"/>
      <c r="AE48" s="104"/>
      <c r="AF48" s="104"/>
      <c r="AG48" s="111" t="s">
        <v>168</v>
      </c>
      <c r="AH48" s="112" t="s">
        <v>135</v>
      </c>
      <c r="AI48" s="127">
        <v>-28</v>
      </c>
      <c r="AJ48" s="114">
        <v>3500</v>
      </c>
      <c r="AK48" s="97">
        <f t="shared" si="13"/>
        <v>35.465000000000003</v>
      </c>
    </row>
    <row r="49" spans="1:38">
      <c r="A49" s="100">
        <v>8.5</v>
      </c>
      <c r="B49" s="100">
        <v>40</v>
      </c>
      <c r="C49" s="100">
        <v>40</v>
      </c>
      <c r="D49" s="100">
        <v>18</v>
      </c>
      <c r="E49" s="103" t="s">
        <v>141</v>
      </c>
      <c r="F49" s="100">
        <v>40</v>
      </c>
      <c r="G49" s="100">
        <v>18</v>
      </c>
      <c r="H49" s="98" t="e">
        <f>H48</f>
        <v>#REF!</v>
      </c>
      <c r="I49" s="97">
        <f t="shared" si="14"/>
        <v>355.12563356179027</v>
      </c>
      <c r="J49" s="100">
        <v>16</v>
      </c>
      <c r="K49" s="100">
        <v>240</v>
      </c>
      <c r="L49" s="98" t="e">
        <f>L48</f>
        <v>#REF!</v>
      </c>
      <c r="M49" s="97">
        <f t="shared" si="15"/>
        <v>24.04052537804019</v>
      </c>
      <c r="N49" s="97">
        <f t="shared" si="16"/>
        <v>379.16615893983044</v>
      </c>
      <c r="O49" s="97">
        <f t="shared" si="17"/>
        <v>4549.9939072779653</v>
      </c>
      <c r="AC49" s="104">
        <f t="shared" si="12"/>
        <v>6494.2428237498007</v>
      </c>
      <c r="AD49" s="104"/>
      <c r="AE49" s="104"/>
      <c r="AF49" s="104"/>
      <c r="AG49" s="111" t="s">
        <v>169</v>
      </c>
      <c r="AH49" s="112" t="s">
        <v>135</v>
      </c>
      <c r="AI49" s="127">
        <v>-27</v>
      </c>
      <c r="AJ49" s="114">
        <v>3500</v>
      </c>
      <c r="AK49" s="97">
        <f t="shared" si="13"/>
        <v>34.465000000000003</v>
      </c>
    </row>
    <row r="50" spans="1:38">
      <c r="A50" s="100">
        <v>10.5</v>
      </c>
      <c r="B50" s="100">
        <v>40</v>
      </c>
      <c r="C50" s="100">
        <v>40</v>
      </c>
      <c r="D50" s="100">
        <v>18</v>
      </c>
      <c r="E50" s="103" t="s">
        <v>141</v>
      </c>
      <c r="F50" s="100">
        <v>0</v>
      </c>
      <c r="G50" s="100">
        <v>0</v>
      </c>
      <c r="H50" s="98" t="e">
        <f>H49</f>
        <v>#REF!</v>
      </c>
      <c r="I50" s="97">
        <f t="shared" si="14"/>
        <v>177.56281678089513</v>
      </c>
      <c r="J50" s="100">
        <v>16</v>
      </c>
      <c r="K50" s="100">
        <v>300</v>
      </c>
      <c r="L50" s="98" t="e">
        <f>L49</f>
        <v>#REF!</v>
      </c>
      <c r="M50" s="97">
        <f t="shared" si="15"/>
        <v>19.232420302432153</v>
      </c>
      <c r="N50" s="97">
        <f t="shared" si="16"/>
        <v>196.79523708332729</v>
      </c>
      <c r="O50" s="97">
        <f t="shared" si="17"/>
        <v>6494.2428237498007</v>
      </c>
      <c r="AC50" s="104">
        <f t="shared" si="12"/>
        <v>2837.1919040883736</v>
      </c>
      <c r="AD50" s="104"/>
      <c r="AE50" s="104"/>
      <c r="AF50" s="104"/>
      <c r="AG50" s="111" t="s">
        <v>170</v>
      </c>
      <c r="AH50" s="112" t="s">
        <v>135</v>
      </c>
      <c r="AI50" s="127">
        <v>-24.5</v>
      </c>
      <c r="AJ50" s="114">
        <v>3500</v>
      </c>
      <c r="AK50" s="97">
        <f t="shared" si="13"/>
        <v>31.965</v>
      </c>
      <c r="AL50" s="104">
        <f>AVERAGE(AK45:AK50)</f>
        <v>37.465000000000003</v>
      </c>
    </row>
    <row r="51" spans="1:38">
      <c r="A51" s="100">
        <v>16</v>
      </c>
      <c r="B51" s="100">
        <v>40</v>
      </c>
      <c r="C51" s="100">
        <v>40</v>
      </c>
      <c r="D51" s="100">
        <v>18</v>
      </c>
      <c r="E51" s="103" t="s">
        <v>141</v>
      </c>
      <c r="F51" s="100">
        <v>32</v>
      </c>
      <c r="G51" s="100">
        <v>18</v>
      </c>
      <c r="H51" s="98" t="e">
        <f>#REF!</f>
        <v>#REF!</v>
      </c>
      <c r="I51" s="97">
        <f t="shared" si="14"/>
        <v>291.20301952066802</v>
      </c>
      <c r="J51" s="100">
        <v>16</v>
      </c>
      <c r="K51" s="100">
        <v>240</v>
      </c>
      <c r="L51" s="98" t="e">
        <f>MAX(#REF!,#REF!)</f>
        <v>#REF!</v>
      </c>
      <c r="M51" s="97">
        <f t="shared" si="15"/>
        <v>24.04052537804019</v>
      </c>
      <c r="N51" s="97">
        <f t="shared" si="16"/>
        <v>315.24354489870819</v>
      </c>
      <c r="O51" s="97">
        <f t="shared" si="17"/>
        <v>2837.1919040883736</v>
      </c>
      <c r="AC51" s="104">
        <f t="shared" si="12"/>
        <v>5182.032298645996</v>
      </c>
    </row>
    <row r="52" spans="1:38">
      <c r="A52" s="100">
        <v>17.5</v>
      </c>
      <c r="B52" s="100">
        <v>40</v>
      </c>
      <c r="C52" s="100">
        <v>32</v>
      </c>
      <c r="D52" s="100">
        <v>18</v>
      </c>
      <c r="E52" s="103" t="s">
        <v>141</v>
      </c>
      <c r="F52" s="100">
        <v>0</v>
      </c>
      <c r="G52" s="100">
        <v>0</v>
      </c>
      <c r="H52" s="98" t="e">
        <f>H51</f>
        <v>#REF!</v>
      </c>
      <c r="I52" s="97">
        <f t="shared" si="14"/>
        <v>113.64020273977286</v>
      </c>
      <c r="J52" s="100">
        <v>16</v>
      </c>
      <c r="K52" s="100">
        <v>300</v>
      </c>
      <c r="L52" s="98" t="e">
        <f>L51</f>
        <v>#REF!</v>
      </c>
      <c r="M52" s="97">
        <f t="shared" si="15"/>
        <v>19.232420302432153</v>
      </c>
      <c r="N52" s="97">
        <f t="shared" si="16"/>
        <v>132.87262304220502</v>
      </c>
      <c r="O52" s="97">
        <f t="shared" si="17"/>
        <v>5182.032298645996</v>
      </c>
      <c r="AC52" s="104">
        <f t="shared" si="12"/>
        <v>2286.8386073940178</v>
      </c>
    </row>
    <row r="53" spans="1:38">
      <c r="A53" s="100">
        <v>24</v>
      </c>
      <c r="B53" s="100">
        <v>40</v>
      </c>
      <c r="C53" s="100">
        <v>16</v>
      </c>
      <c r="D53" s="100">
        <v>18</v>
      </c>
      <c r="E53" s="103" t="s">
        <v>141</v>
      </c>
      <c r="F53" s="100">
        <v>0</v>
      </c>
      <c r="G53" s="100">
        <v>0</v>
      </c>
      <c r="H53" s="98" t="e">
        <f>MAX(#REF!)</f>
        <v>#REF!</v>
      </c>
      <c r="I53" s="97">
        <f t="shared" si="14"/>
        <v>28.410050684943215</v>
      </c>
      <c r="J53" s="100">
        <v>16</v>
      </c>
      <c r="K53" s="100">
        <v>300</v>
      </c>
      <c r="L53" s="98"/>
      <c r="M53" s="97">
        <f t="shared" si="15"/>
        <v>19.232420302432153</v>
      </c>
      <c r="N53" s="97">
        <f t="shared" si="16"/>
        <v>47.642470987375368</v>
      </c>
      <c r="O53" s="97">
        <f t="shared" si="17"/>
        <v>2286.8386073940178</v>
      </c>
      <c r="AC53">
        <f>N54*(21-A54)</f>
        <v>-524.06718086112903</v>
      </c>
    </row>
    <row r="54" spans="1:38" ht="15.75" thickBot="1">
      <c r="A54" s="100">
        <v>32</v>
      </c>
      <c r="B54" s="100">
        <v>40</v>
      </c>
      <c r="C54" s="100">
        <v>16</v>
      </c>
      <c r="D54" s="100">
        <v>18</v>
      </c>
      <c r="E54" s="103" t="s">
        <v>141</v>
      </c>
      <c r="F54" s="100">
        <v>0</v>
      </c>
      <c r="G54" s="100">
        <v>0</v>
      </c>
      <c r="H54" s="98" t="e">
        <f>H53</f>
        <v>#REF!</v>
      </c>
      <c r="I54" s="97">
        <f t="shared" si="14"/>
        <v>28.410050684943215</v>
      </c>
      <c r="J54" s="100">
        <v>16</v>
      </c>
      <c r="K54" s="100">
        <v>300</v>
      </c>
      <c r="L54" s="98"/>
      <c r="M54" s="97">
        <f t="shared" si="15"/>
        <v>19.232420302432153</v>
      </c>
      <c r="N54" s="97">
        <f t="shared" si="16"/>
        <v>47.642470987375368</v>
      </c>
      <c r="O54" s="97">
        <f>$Q$45*N54*($AL$50-A54)</f>
        <v>1562.1966236760393</v>
      </c>
      <c r="AC54" s="99" t="e">
        <f>SUM(AC45:AC53)</f>
        <v>#REF!</v>
      </c>
      <c r="AD54" s="115" t="e">
        <f>O55-AC54</f>
        <v>#REF!</v>
      </c>
      <c r="AE54" s="115"/>
      <c r="AF54" s="115"/>
    </row>
    <row r="55" spans="1:38" ht="16.5" thickTop="1" thickBot="1">
      <c r="O55" s="99" t="e">
        <f>SUM(O46:O54)</f>
        <v>#REF!</v>
      </c>
      <c r="P55" s="89" t="s">
        <v>148</v>
      </c>
      <c r="Q55" s="102" t="e">
        <f>O55/$AD$9/Q45</f>
        <v>#REF!</v>
      </c>
      <c r="R55" t="s">
        <v>121</v>
      </c>
    </row>
    <row r="56" spans="1:38" ht="15.75" thickTop="1">
      <c r="AG56" s="144" t="s">
        <v>171</v>
      </c>
      <c r="AH56" s="144"/>
      <c r="AI56" s="144"/>
      <c r="AJ56" s="144"/>
      <c r="AK56" s="144"/>
    </row>
    <row r="57" spans="1:38" ht="18.75">
      <c r="A57" s="1" t="s">
        <v>172</v>
      </c>
      <c r="AG57" s="3" t="s">
        <v>17</v>
      </c>
      <c r="AH57" s="3" t="s">
        <v>128</v>
      </c>
      <c r="AI57" s="3" t="s">
        <v>129</v>
      </c>
      <c r="AJ57" s="3" t="s">
        <v>130</v>
      </c>
      <c r="AK57" s="3" t="s">
        <v>131</v>
      </c>
    </row>
    <row r="58" spans="1:38">
      <c r="AG58" s="111" t="s">
        <v>173</v>
      </c>
      <c r="AH58" s="112" t="s">
        <v>154</v>
      </c>
      <c r="AI58" s="127">
        <v>-34</v>
      </c>
      <c r="AJ58" s="114">
        <v>4000</v>
      </c>
      <c r="AK58" s="97">
        <f t="shared" ref="AK58:AK63" si="18">AH58-AI58+AJ58/1000</f>
        <v>41.765000000000001</v>
      </c>
    </row>
    <row r="59" spans="1:38" ht="14.45" customHeight="1">
      <c r="A59" s="145" t="s">
        <v>151</v>
      </c>
      <c r="B59" s="146" t="s">
        <v>132</v>
      </c>
      <c r="C59" s="144" t="s">
        <v>133</v>
      </c>
      <c r="D59" s="144"/>
      <c r="E59" s="144"/>
      <c r="F59" s="144"/>
      <c r="G59" s="144"/>
      <c r="H59" s="144"/>
      <c r="I59" s="144"/>
      <c r="J59" s="144" t="s">
        <v>72</v>
      </c>
      <c r="K59" s="144"/>
      <c r="L59" s="144"/>
      <c r="M59" s="144"/>
      <c r="N59" s="146" t="s">
        <v>109</v>
      </c>
      <c r="O59" s="146" t="s">
        <v>110</v>
      </c>
      <c r="Q59" t="s">
        <v>174</v>
      </c>
      <c r="AG59" s="111" t="s">
        <v>175</v>
      </c>
      <c r="AH59" s="112" t="s">
        <v>154</v>
      </c>
      <c r="AI59" s="127">
        <v>-33</v>
      </c>
      <c r="AJ59" s="114">
        <v>4000</v>
      </c>
      <c r="AK59" s="97">
        <f t="shared" si="18"/>
        <v>40.765000000000001</v>
      </c>
    </row>
    <row r="60" spans="1:38">
      <c r="A60" s="145"/>
      <c r="B60" s="146"/>
      <c r="C60" s="3" t="s">
        <v>136</v>
      </c>
      <c r="D60" s="3" t="s">
        <v>137</v>
      </c>
      <c r="F60" s="3" t="s">
        <v>136</v>
      </c>
      <c r="G60" s="3" t="s">
        <v>137</v>
      </c>
      <c r="H60" s="3" t="s">
        <v>138</v>
      </c>
      <c r="I60" s="3" t="s">
        <v>109</v>
      </c>
      <c r="J60" s="3" t="s">
        <v>136</v>
      </c>
      <c r="K60" s="3" t="s">
        <v>139</v>
      </c>
      <c r="L60" s="3" t="s">
        <v>138</v>
      </c>
      <c r="M60" s="3" t="s">
        <v>109</v>
      </c>
      <c r="N60" s="146"/>
      <c r="O60" s="146"/>
      <c r="Q60" s="5">
        <v>6</v>
      </c>
      <c r="AC60" s="104" t="e">
        <f>O61</f>
        <v>#REF!</v>
      </c>
      <c r="AG60" s="111" t="s">
        <v>176</v>
      </c>
      <c r="AH60" s="112" t="s">
        <v>154</v>
      </c>
      <c r="AI60" s="127">
        <v>-33</v>
      </c>
      <c r="AJ60" s="114">
        <v>4000</v>
      </c>
      <c r="AK60" s="97">
        <f t="shared" si="18"/>
        <v>40.765000000000001</v>
      </c>
    </row>
    <row r="61" spans="1:38">
      <c r="A61" s="100">
        <v>0</v>
      </c>
      <c r="B61" s="100">
        <v>40</v>
      </c>
      <c r="C61" s="100">
        <v>32</v>
      </c>
      <c r="D61" s="100" t="e">
        <f>#REF!</f>
        <v>#REF!</v>
      </c>
      <c r="E61" s="103" t="s">
        <v>141</v>
      </c>
      <c r="F61" s="100">
        <v>0</v>
      </c>
      <c r="G61" s="100">
        <v>0</v>
      </c>
      <c r="H61" s="98" t="e">
        <f>#REF!</f>
        <v>#REF!</v>
      </c>
      <c r="I61" s="97" t="e">
        <f>$C$13*((D61*PI()*((C61/1000)^2)/4)+(G61*PI()*((F61/1000)^2)/4))</f>
        <v>#REF!</v>
      </c>
      <c r="J61" s="100">
        <v>16</v>
      </c>
      <c r="K61" s="100">
        <v>300</v>
      </c>
      <c r="L61" s="98" t="e">
        <f>MAX(#REF!,#REF!)</f>
        <v>#REF!</v>
      </c>
      <c r="M61" s="97">
        <f>$C$13*$AM$5*PI()*((J61/1000)^2)/4*1000/K61</f>
        <v>19.232420302432153</v>
      </c>
      <c r="N61" s="97" t="e">
        <f>I61+M61</f>
        <v>#REF!</v>
      </c>
      <c r="O61" s="97" t="e">
        <f>$Q$60*N61*(A62-A61)</f>
        <v>#REF!</v>
      </c>
      <c r="AC61" s="104">
        <f>O62</f>
        <v>11912.095590355215</v>
      </c>
      <c r="AG61" s="111" t="s">
        <v>177</v>
      </c>
      <c r="AH61" s="112" t="s">
        <v>154</v>
      </c>
      <c r="AI61" s="127">
        <v>-26</v>
      </c>
      <c r="AJ61" s="114">
        <v>4000</v>
      </c>
      <c r="AK61" s="97">
        <f t="shared" si="18"/>
        <v>33.765000000000001</v>
      </c>
    </row>
    <row r="62" spans="1:38">
      <c r="A62" s="100">
        <v>12.4</v>
      </c>
      <c r="B62" s="100">
        <v>40</v>
      </c>
      <c r="C62" s="100">
        <v>32</v>
      </c>
      <c r="D62" s="100">
        <v>18</v>
      </c>
      <c r="E62" s="103" t="s">
        <v>141</v>
      </c>
      <c r="F62" s="100">
        <v>20</v>
      </c>
      <c r="G62" s="100">
        <v>18</v>
      </c>
      <c r="H62" s="98" t="e">
        <f>#REF!</f>
        <v>#REF!</v>
      </c>
      <c r="I62" s="97">
        <f>$C$13*((D62*PI()*((C62/1000)^2)/4)+(G62*PI()*((F62/1000)^2)/4))</f>
        <v>158.03090693499664</v>
      </c>
      <c r="J62" s="100">
        <v>16</v>
      </c>
      <c r="K62" s="100">
        <v>300</v>
      </c>
      <c r="L62" s="98" t="e">
        <f>MAX(#REF!,#REF!)</f>
        <v>#REF!</v>
      </c>
      <c r="M62" s="97">
        <f>$C$13*$AM$5*PI()*((J62/1000)^2)/4*1000/K62</f>
        <v>19.232420302432153</v>
      </c>
      <c r="N62" s="97">
        <f>I62+M62</f>
        <v>177.2633272374288</v>
      </c>
      <c r="O62" s="97">
        <f>$Q$60*N62*(A63-A62)</f>
        <v>11912.095590355215</v>
      </c>
      <c r="AC62" s="104">
        <f>O63</f>
        <v>6696.7802013271321</v>
      </c>
      <c r="AG62" s="111" t="s">
        <v>178</v>
      </c>
      <c r="AH62" s="112" t="s">
        <v>154</v>
      </c>
      <c r="AI62" s="127">
        <v>-22.5</v>
      </c>
      <c r="AJ62" s="114">
        <v>4000</v>
      </c>
      <c r="AK62" s="97">
        <f t="shared" si="18"/>
        <v>30.265000000000001</v>
      </c>
    </row>
    <row r="63" spans="1:38">
      <c r="A63" s="100">
        <v>23.6</v>
      </c>
      <c r="B63" s="100">
        <v>40</v>
      </c>
      <c r="C63" s="100">
        <v>32</v>
      </c>
      <c r="D63" s="100">
        <v>18</v>
      </c>
      <c r="E63" s="103" t="s">
        <v>141</v>
      </c>
      <c r="F63" s="100">
        <v>0</v>
      </c>
      <c r="G63" s="100">
        <v>0</v>
      </c>
      <c r="H63" s="98" t="e">
        <f>#REF!</f>
        <v>#REF!</v>
      </c>
      <c r="I63" s="97">
        <f>$C$13*((D63*PI()*((C63/1000)^2)/4)+(G63*PI()*((F63/1000)^2)/4))</f>
        <v>113.64020273977286</v>
      </c>
      <c r="J63" s="100">
        <v>16</v>
      </c>
      <c r="K63" s="100">
        <v>300</v>
      </c>
      <c r="L63" s="98" t="e">
        <f>MAX(#REF!,#REF!)</f>
        <v>#REF!</v>
      </c>
      <c r="M63" s="97">
        <f>$C$13*$AM$5*PI()*((J63/1000)^2)/4*1000/K63</f>
        <v>19.232420302432153</v>
      </c>
      <c r="N63" s="97">
        <f>I63+M63</f>
        <v>132.87262304220502</v>
      </c>
      <c r="O63" s="97">
        <f>$Q$60*N63*(A64-A63)</f>
        <v>6696.7802013271321</v>
      </c>
      <c r="AC63">
        <f>N64*(30-A64)</f>
        <v>-177.18579121493866</v>
      </c>
      <c r="AG63" s="111" t="s">
        <v>179</v>
      </c>
      <c r="AH63" s="112" t="s">
        <v>154</v>
      </c>
      <c r="AI63" s="127">
        <v>-20.5</v>
      </c>
      <c r="AJ63" s="114">
        <v>4000</v>
      </c>
      <c r="AK63" s="97">
        <f t="shared" si="18"/>
        <v>28.265000000000001</v>
      </c>
      <c r="AL63" s="104">
        <f>AVERAGE(AK58:AK63)</f>
        <v>35.931666666666665</v>
      </c>
    </row>
    <row r="64" spans="1:38" ht="15.75" thickBot="1">
      <c r="A64" s="100">
        <v>32</v>
      </c>
      <c r="B64" s="100">
        <v>40</v>
      </c>
      <c r="C64" s="100">
        <v>25</v>
      </c>
      <c r="D64" s="100">
        <v>18</v>
      </c>
      <c r="E64" s="103" t="s">
        <v>141</v>
      </c>
      <c r="F64" s="100">
        <v>0</v>
      </c>
      <c r="G64" s="100">
        <v>0</v>
      </c>
      <c r="H64" s="98" t="e">
        <f>MAX(#REF!)</f>
        <v>#REF!</v>
      </c>
      <c r="I64" s="97">
        <f>$C$13*((D64*PI()*((C64/1000)^2)/4)+(G64*PI()*((F64/1000)^2)/4))</f>
        <v>69.36047530503717</v>
      </c>
      <c r="J64" s="100">
        <v>16</v>
      </c>
      <c r="K64" s="100">
        <v>300</v>
      </c>
      <c r="L64" s="98"/>
      <c r="M64" s="97">
        <f>$C$13*$AM$5*PI()*((J64/1000)^2)/4*1000/K64</f>
        <v>19.232420302432153</v>
      </c>
      <c r="N64" s="97">
        <f>I64+M64</f>
        <v>88.59289560746933</v>
      </c>
      <c r="O64" s="97">
        <f>$Q$60*N64*($AL$63-A64)</f>
        <v>2089.9064073802001</v>
      </c>
      <c r="AC64" s="99" t="e">
        <f>SUM(AC60:AC63)</f>
        <v>#REF!</v>
      </c>
      <c r="AD64" s="115" t="e">
        <f>O65-AC64</f>
        <v>#REF!</v>
      </c>
    </row>
    <row r="65" spans="1:38" ht="16.5" thickTop="1" thickBot="1">
      <c r="O65" s="99" t="e">
        <f>SUM(O61:O64)</f>
        <v>#REF!</v>
      </c>
      <c r="P65" s="89" t="s">
        <v>148</v>
      </c>
      <c r="Q65" s="102" t="e">
        <f>O65/$AI$8/Q60</f>
        <v>#REF!</v>
      </c>
      <c r="R65" t="s">
        <v>121</v>
      </c>
    </row>
    <row r="66" spans="1:38" ht="15.75" thickTop="1">
      <c r="K66" s="104"/>
    </row>
    <row r="67" spans="1:38" ht="18.75">
      <c r="A67" s="1" t="s">
        <v>180</v>
      </c>
      <c r="AG67" s="144" t="s">
        <v>181</v>
      </c>
      <c r="AH67" s="144"/>
      <c r="AI67" s="144"/>
      <c r="AJ67" s="144"/>
      <c r="AK67" s="144"/>
    </row>
    <row r="68" spans="1:38">
      <c r="AG68" s="3" t="s">
        <v>17</v>
      </c>
      <c r="AH68" s="3" t="s">
        <v>128</v>
      </c>
      <c r="AI68" s="3" t="s">
        <v>129</v>
      </c>
      <c r="AJ68" s="3" t="s">
        <v>130</v>
      </c>
      <c r="AK68" s="3" t="s">
        <v>131</v>
      </c>
    </row>
    <row r="69" spans="1:38" ht="14.45" customHeight="1">
      <c r="A69" s="147" t="s">
        <v>151</v>
      </c>
      <c r="B69" s="149" t="s">
        <v>132</v>
      </c>
      <c r="C69" s="144" t="s">
        <v>133</v>
      </c>
      <c r="D69" s="144"/>
      <c r="E69" s="144"/>
      <c r="F69" s="144"/>
      <c r="G69" s="144"/>
      <c r="H69" s="144"/>
      <c r="I69" s="144"/>
      <c r="J69" s="151" t="s">
        <v>72</v>
      </c>
      <c r="K69" s="152"/>
      <c r="L69" s="152"/>
      <c r="M69" s="153"/>
      <c r="N69" s="149" t="s">
        <v>109</v>
      </c>
      <c r="O69" s="149" t="s">
        <v>110</v>
      </c>
      <c r="Q69" t="s">
        <v>182</v>
      </c>
      <c r="AG69" s="111" t="s">
        <v>183</v>
      </c>
      <c r="AH69" s="112" t="s">
        <v>135</v>
      </c>
      <c r="AI69" s="127">
        <v>-35</v>
      </c>
      <c r="AJ69" s="114">
        <v>3000</v>
      </c>
      <c r="AK69" s="97">
        <f>AH69-AI69+AJ69/1000</f>
        <v>41.965000000000003</v>
      </c>
    </row>
    <row r="70" spans="1:38">
      <c r="A70" s="148"/>
      <c r="B70" s="150"/>
      <c r="C70" s="3" t="s">
        <v>136</v>
      </c>
      <c r="D70" s="3" t="s">
        <v>137</v>
      </c>
      <c r="F70" s="3" t="s">
        <v>136</v>
      </c>
      <c r="G70" s="3" t="s">
        <v>137</v>
      </c>
      <c r="H70" s="3" t="s">
        <v>138</v>
      </c>
      <c r="I70" s="3" t="s">
        <v>109</v>
      </c>
      <c r="J70" s="3" t="s">
        <v>136</v>
      </c>
      <c r="K70" s="3" t="s">
        <v>139</v>
      </c>
      <c r="L70" s="3" t="s">
        <v>138</v>
      </c>
      <c r="M70" s="3" t="s">
        <v>109</v>
      </c>
      <c r="N70" s="150"/>
      <c r="O70" s="150"/>
      <c r="Q70" s="5">
        <v>11</v>
      </c>
      <c r="AC70" s="104">
        <f t="shared" ref="AC70:AC77" si="19">O71</f>
        <v>8148.4686388357659</v>
      </c>
      <c r="AD70" s="104"/>
      <c r="AE70" s="104"/>
      <c r="AF70" s="104"/>
      <c r="AG70" s="111" t="s">
        <v>184</v>
      </c>
      <c r="AH70" s="112" t="s">
        <v>135</v>
      </c>
      <c r="AI70" s="127">
        <v>-35</v>
      </c>
      <c r="AJ70" s="114">
        <v>3000</v>
      </c>
      <c r="AK70" s="97">
        <f t="shared" ref="AK70:AK79" si="20">AH70-AI70+AJ70/1000</f>
        <v>41.965000000000003</v>
      </c>
    </row>
    <row r="71" spans="1:38">
      <c r="A71" s="100">
        <v>0</v>
      </c>
      <c r="B71" s="100">
        <v>40</v>
      </c>
      <c r="C71" s="100">
        <v>40</v>
      </c>
      <c r="D71" s="100">
        <v>18</v>
      </c>
      <c r="E71" s="103" t="s">
        <v>141</v>
      </c>
      <c r="F71" s="100">
        <v>25</v>
      </c>
      <c r="G71" s="100">
        <v>18</v>
      </c>
      <c r="H71" s="98" t="e">
        <f>#REF!</f>
        <v>#REF!</v>
      </c>
      <c r="I71" s="97">
        <f t="shared" ref="I71:I79" si="21">$C$13*((D71*PI()*((C71/1000)^2)/4)+(G71*PI()*((F71/1000)^2)/4))</f>
        <v>246.9232920859323</v>
      </c>
      <c r="J71" s="100"/>
      <c r="K71" s="100">
        <v>300</v>
      </c>
      <c r="L71" s="98" t="e">
        <f>MAX(#REF!,#REF!)</f>
        <v>#REF!</v>
      </c>
      <c r="M71" s="97">
        <f t="shared" ref="M71:M79" si="22">$C$13*$AM$5*PI()*((J71/1000)^2)/4*1000/K71</f>
        <v>0</v>
      </c>
      <c r="N71" s="97">
        <f t="shared" ref="N71:N79" si="23">I71+M71</f>
        <v>246.9232920859323</v>
      </c>
      <c r="O71" s="97">
        <f>$Q$70*N71*(A72-A71)</f>
        <v>8148.4686388357659</v>
      </c>
      <c r="AC71" s="104">
        <f t="shared" si="19"/>
        <v>3906.381969179693</v>
      </c>
      <c r="AD71" s="104"/>
      <c r="AE71" s="104"/>
      <c r="AF71" s="104"/>
      <c r="AG71" s="111" t="s">
        <v>185</v>
      </c>
      <c r="AH71" s="112" t="s">
        <v>135</v>
      </c>
      <c r="AI71" s="127">
        <v>-35.5</v>
      </c>
      <c r="AJ71" s="114">
        <v>3000</v>
      </c>
      <c r="AK71" s="97">
        <f t="shared" si="20"/>
        <v>42.465000000000003</v>
      </c>
    </row>
    <row r="72" spans="1:38">
      <c r="A72" s="100">
        <v>3</v>
      </c>
      <c r="B72" s="100">
        <v>40</v>
      </c>
      <c r="C72" s="100">
        <v>40</v>
      </c>
      <c r="D72" s="100">
        <v>18</v>
      </c>
      <c r="E72" s="103" t="s">
        <v>141</v>
      </c>
      <c r="F72" s="100">
        <v>0</v>
      </c>
      <c r="G72" s="100">
        <v>0</v>
      </c>
      <c r="H72" s="98" t="e">
        <f>#REF!</f>
        <v>#REF!</v>
      </c>
      <c r="I72" s="97">
        <f t="shared" si="21"/>
        <v>177.56281678089513</v>
      </c>
      <c r="J72" s="100"/>
      <c r="K72" s="100">
        <v>300</v>
      </c>
      <c r="L72" s="98" t="e">
        <f>MAX(#REF!,#REF!)</f>
        <v>#REF!</v>
      </c>
      <c r="M72" s="97">
        <f t="shared" si="22"/>
        <v>0</v>
      </c>
      <c r="N72" s="97">
        <f t="shared" si="23"/>
        <v>177.56281678089513</v>
      </c>
      <c r="O72" s="97">
        <f t="shared" ref="O72:O78" si="24">$Q$70*N72*(A73-A72)</f>
        <v>3906.381969179693</v>
      </c>
      <c r="AC72" s="104">
        <f t="shared" si="19"/>
        <v>10742.550415244155</v>
      </c>
      <c r="AD72" s="104"/>
      <c r="AE72" s="104"/>
      <c r="AF72" s="104"/>
      <c r="AG72" s="111" t="s">
        <v>186</v>
      </c>
      <c r="AH72" s="112" t="s">
        <v>135</v>
      </c>
      <c r="AI72" s="127">
        <v>-36</v>
      </c>
      <c r="AJ72" s="114">
        <v>3000</v>
      </c>
      <c r="AK72" s="97">
        <f t="shared" si="20"/>
        <v>42.965000000000003</v>
      </c>
    </row>
    <row r="73" spans="1:38">
      <c r="A73" s="100">
        <v>5</v>
      </c>
      <c r="B73" s="100">
        <v>40</v>
      </c>
      <c r="C73" s="100">
        <v>40</v>
      </c>
      <c r="D73" s="100">
        <v>18</v>
      </c>
      <c r="E73" s="103" t="s">
        <v>141</v>
      </c>
      <c r="F73" s="100">
        <v>0</v>
      </c>
      <c r="G73" s="100">
        <v>0</v>
      </c>
      <c r="H73" s="98" t="e">
        <f>#REF!</f>
        <v>#REF!</v>
      </c>
      <c r="I73" s="97">
        <f t="shared" si="21"/>
        <v>177.56281678089513</v>
      </c>
      <c r="J73" s="100"/>
      <c r="K73" s="100">
        <v>300</v>
      </c>
      <c r="L73" s="98" t="e">
        <f>MAX(#REF!,#REF!)</f>
        <v>#REF!</v>
      </c>
      <c r="M73" s="97">
        <f t="shared" si="22"/>
        <v>0</v>
      </c>
      <c r="N73" s="97">
        <f t="shared" si="23"/>
        <v>177.56281678089513</v>
      </c>
      <c r="O73" s="97">
        <f t="shared" si="24"/>
        <v>10742.550415244155</v>
      </c>
      <c r="AC73" s="104">
        <f t="shared" si="19"/>
        <v>7812.763938359386</v>
      </c>
      <c r="AD73" s="104"/>
      <c r="AE73" s="104"/>
      <c r="AF73" s="104"/>
      <c r="AG73" s="111" t="s">
        <v>187</v>
      </c>
      <c r="AH73" s="112" t="s">
        <v>135</v>
      </c>
      <c r="AI73" s="127">
        <v>-37</v>
      </c>
      <c r="AJ73" s="114">
        <v>3000</v>
      </c>
      <c r="AK73" s="97">
        <f t="shared" si="20"/>
        <v>43.965000000000003</v>
      </c>
    </row>
    <row r="74" spans="1:38">
      <c r="A74" s="100">
        <v>10.5</v>
      </c>
      <c r="B74" s="100">
        <v>40</v>
      </c>
      <c r="C74" s="100">
        <v>40</v>
      </c>
      <c r="D74" s="100">
        <v>18</v>
      </c>
      <c r="E74" s="103" t="s">
        <v>141</v>
      </c>
      <c r="F74" s="100">
        <v>40</v>
      </c>
      <c r="G74" s="100">
        <v>18</v>
      </c>
      <c r="H74" s="98" t="e">
        <f>H73</f>
        <v>#REF!</v>
      </c>
      <c r="I74" s="97">
        <f t="shared" si="21"/>
        <v>355.12563356179027</v>
      </c>
      <c r="J74" s="100"/>
      <c r="K74" s="100">
        <v>240</v>
      </c>
      <c r="L74" s="98" t="e">
        <f>L73</f>
        <v>#REF!</v>
      </c>
      <c r="M74" s="97">
        <f t="shared" si="22"/>
        <v>0</v>
      </c>
      <c r="N74" s="97">
        <f t="shared" si="23"/>
        <v>355.12563356179027</v>
      </c>
      <c r="O74" s="97">
        <f t="shared" si="24"/>
        <v>7812.763938359386</v>
      </c>
      <c r="AC74" s="104">
        <f t="shared" si="19"/>
        <v>6836.1684460644628</v>
      </c>
      <c r="AD74" s="104"/>
      <c r="AE74" s="104"/>
      <c r="AF74" s="104"/>
      <c r="AG74" s="111" t="s">
        <v>188</v>
      </c>
      <c r="AH74" s="112" t="s">
        <v>135</v>
      </c>
      <c r="AI74" s="127">
        <v>-37</v>
      </c>
      <c r="AJ74" s="114">
        <v>3000</v>
      </c>
      <c r="AK74" s="97">
        <f t="shared" si="20"/>
        <v>43.965000000000003</v>
      </c>
    </row>
    <row r="75" spans="1:38">
      <c r="A75" s="100">
        <v>12.5</v>
      </c>
      <c r="B75" s="100">
        <v>40</v>
      </c>
      <c r="C75" s="100">
        <v>40</v>
      </c>
      <c r="D75" s="100">
        <v>18</v>
      </c>
      <c r="E75" s="103" t="s">
        <v>141</v>
      </c>
      <c r="F75" s="100">
        <v>0</v>
      </c>
      <c r="G75" s="100">
        <v>0</v>
      </c>
      <c r="H75" s="98" t="e">
        <f>H74</f>
        <v>#REF!</v>
      </c>
      <c r="I75" s="97">
        <f t="shared" si="21"/>
        <v>177.56281678089513</v>
      </c>
      <c r="J75" s="100"/>
      <c r="K75" s="100">
        <v>300</v>
      </c>
      <c r="L75" s="98" t="e">
        <f>L74</f>
        <v>#REF!</v>
      </c>
      <c r="M75" s="97">
        <f t="shared" si="22"/>
        <v>0</v>
      </c>
      <c r="N75" s="97">
        <f t="shared" si="23"/>
        <v>177.56281678089513</v>
      </c>
      <c r="O75" s="97">
        <f t="shared" si="24"/>
        <v>6836.1684460644628</v>
      </c>
      <c r="AC75" s="104">
        <f t="shared" si="19"/>
        <v>4804.8498220910224</v>
      </c>
      <c r="AD75" s="104"/>
      <c r="AE75" s="104"/>
      <c r="AF75" s="104"/>
      <c r="AG75" s="111" t="s">
        <v>189</v>
      </c>
      <c r="AH75" s="112" t="s">
        <v>135</v>
      </c>
      <c r="AI75" s="127">
        <v>-37.5</v>
      </c>
      <c r="AJ75" s="114">
        <v>3000</v>
      </c>
      <c r="AK75" s="97">
        <f t="shared" si="20"/>
        <v>44.465000000000003</v>
      </c>
    </row>
    <row r="76" spans="1:38">
      <c r="A76" s="100">
        <v>16</v>
      </c>
      <c r="B76" s="100">
        <v>40</v>
      </c>
      <c r="C76" s="100">
        <v>40</v>
      </c>
      <c r="D76" s="100">
        <v>18</v>
      </c>
      <c r="E76" s="103" t="s">
        <v>141</v>
      </c>
      <c r="F76" s="100">
        <v>32</v>
      </c>
      <c r="G76" s="100">
        <v>18</v>
      </c>
      <c r="H76" s="98" t="e">
        <f>#REF!</f>
        <v>#REF!</v>
      </c>
      <c r="I76" s="97">
        <f t="shared" si="21"/>
        <v>291.20301952066802</v>
      </c>
      <c r="J76" s="100"/>
      <c r="K76" s="100">
        <v>240</v>
      </c>
      <c r="L76" s="98" t="e">
        <f>MAX(#REF!,#REF!)</f>
        <v>#REF!</v>
      </c>
      <c r="M76" s="97">
        <f t="shared" si="22"/>
        <v>0</v>
      </c>
      <c r="N76" s="97">
        <f t="shared" si="23"/>
        <v>291.20301952066802</v>
      </c>
      <c r="O76" s="97">
        <f t="shared" si="24"/>
        <v>4804.8498220910224</v>
      </c>
      <c r="AC76" s="104">
        <f t="shared" si="19"/>
        <v>8125.2744958937601</v>
      </c>
      <c r="AG76" s="111" t="s">
        <v>190</v>
      </c>
      <c r="AH76" s="112" t="s">
        <v>135</v>
      </c>
      <c r="AI76" s="127">
        <v>-37.5</v>
      </c>
      <c r="AJ76" s="114">
        <v>3000</v>
      </c>
      <c r="AK76" s="97">
        <f t="shared" si="20"/>
        <v>44.465000000000003</v>
      </c>
    </row>
    <row r="77" spans="1:38">
      <c r="A77" s="100">
        <v>17.5</v>
      </c>
      <c r="B77" s="100">
        <v>40</v>
      </c>
      <c r="C77" s="100">
        <v>32</v>
      </c>
      <c r="D77" s="100">
        <v>18</v>
      </c>
      <c r="E77" s="103" t="s">
        <v>141</v>
      </c>
      <c r="F77" s="100">
        <v>0</v>
      </c>
      <c r="G77" s="100">
        <v>0</v>
      </c>
      <c r="H77" s="98" t="e">
        <f>H76</f>
        <v>#REF!</v>
      </c>
      <c r="I77" s="97">
        <f t="shared" si="21"/>
        <v>113.64020273977286</v>
      </c>
      <c r="J77" s="100"/>
      <c r="K77" s="100">
        <v>300</v>
      </c>
      <c r="L77" s="98" t="e">
        <f>L76</f>
        <v>#REF!</v>
      </c>
      <c r="M77" s="97">
        <f t="shared" si="22"/>
        <v>0</v>
      </c>
      <c r="N77" s="97">
        <f t="shared" si="23"/>
        <v>113.64020273977286</v>
      </c>
      <c r="O77" s="97">
        <f t="shared" si="24"/>
        <v>8125.2744958937601</v>
      </c>
      <c r="AC77" s="104">
        <f t="shared" si="19"/>
        <v>1250.0422301375027</v>
      </c>
      <c r="AG77" s="111" t="s">
        <v>191</v>
      </c>
      <c r="AH77" s="112" t="s">
        <v>135</v>
      </c>
      <c r="AI77" s="127">
        <v>-35</v>
      </c>
      <c r="AJ77" s="114">
        <v>3500</v>
      </c>
      <c r="AK77" s="97">
        <f t="shared" si="20"/>
        <v>42.465000000000003</v>
      </c>
    </row>
    <row r="78" spans="1:38">
      <c r="A78" s="100">
        <v>24</v>
      </c>
      <c r="B78" s="100">
        <v>40</v>
      </c>
      <c r="C78" s="100">
        <v>16</v>
      </c>
      <c r="D78" s="100">
        <v>18</v>
      </c>
      <c r="E78" s="103" t="s">
        <v>141</v>
      </c>
      <c r="F78" s="100">
        <v>32</v>
      </c>
      <c r="G78" s="100">
        <v>18</v>
      </c>
      <c r="H78" s="98" t="e">
        <f>MAX(#REF!)</f>
        <v>#REF!</v>
      </c>
      <c r="I78" s="97">
        <f t="shared" si="21"/>
        <v>142.05025342471609</v>
      </c>
      <c r="J78" s="100"/>
      <c r="K78" s="100">
        <v>300</v>
      </c>
      <c r="L78" s="98"/>
      <c r="M78" s="97">
        <f t="shared" si="22"/>
        <v>0</v>
      </c>
      <c r="N78" s="97">
        <f t="shared" si="23"/>
        <v>142.05025342471609</v>
      </c>
      <c r="O78" s="97">
        <f t="shared" si="24"/>
        <v>1250.0422301375027</v>
      </c>
      <c r="AC78">
        <f>N79*(21-A79)</f>
        <v>-107.95819260278424</v>
      </c>
      <c r="AG78" s="111" t="s">
        <v>192</v>
      </c>
      <c r="AH78" s="112" t="s">
        <v>135</v>
      </c>
      <c r="AI78" s="127">
        <v>-32.5</v>
      </c>
      <c r="AJ78" s="114">
        <v>3500</v>
      </c>
      <c r="AK78" s="97">
        <f t="shared" si="20"/>
        <v>39.965000000000003</v>
      </c>
    </row>
    <row r="79" spans="1:38" ht="15.75" thickBot="1">
      <c r="A79" s="100">
        <v>24.8</v>
      </c>
      <c r="B79" s="100">
        <v>40</v>
      </c>
      <c r="C79" s="100">
        <v>16</v>
      </c>
      <c r="D79" s="100">
        <v>18</v>
      </c>
      <c r="E79" s="103" t="s">
        <v>141</v>
      </c>
      <c r="F79" s="100">
        <v>0</v>
      </c>
      <c r="G79" s="100">
        <v>0</v>
      </c>
      <c r="H79" s="98" t="e">
        <f>H78</f>
        <v>#REF!</v>
      </c>
      <c r="I79" s="97">
        <f t="shared" si="21"/>
        <v>28.410050684943215</v>
      </c>
      <c r="J79" s="100"/>
      <c r="K79" s="100">
        <v>300</v>
      </c>
      <c r="L79" s="98"/>
      <c r="M79" s="97">
        <f t="shared" si="22"/>
        <v>0</v>
      </c>
      <c r="N79" s="97">
        <f t="shared" si="23"/>
        <v>28.410050684943215</v>
      </c>
      <c r="O79" s="97">
        <f>$Q$70*N79*(AL79-A79)</f>
        <v>5477.8839228173301</v>
      </c>
      <c r="AC79" s="99">
        <f>SUM(AC70:AC78)</f>
        <v>51518.541763202964</v>
      </c>
      <c r="AD79" s="115">
        <f>O80-AC79</f>
        <v>5585.8421154201133</v>
      </c>
      <c r="AE79" s="116"/>
      <c r="AF79" s="116"/>
      <c r="AG79" s="111" t="s">
        <v>193</v>
      </c>
      <c r="AH79" s="112" t="s">
        <v>135</v>
      </c>
      <c r="AI79" s="127">
        <v>-29.5</v>
      </c>
      <c r="AJ79" s="114">
        <v>3500</v>
      </c>
      <c r="AK79" s="97">
        <f t="shared" si="20"/>
        <v>36.965000000000003</v>
      </c>
      <c r="AL79" s="104">
        <f>AVERAGE(AK69:AK79)</f>
        <v>42.328636363636377</v>
      </c>
    </row>
    <row r="80" spans="1:38" ht="16.5" thickTop="1" thickBot="1">
      <c r="A80" s="104">
        <f>AL79</f>
        <v>42.328636363636377</v>
      </c>
      <c r="B80" t="s">
        <v>216</v>
      </c>
      <c r="O80" s="99">
        <f>SUM(O71:O79)</f>
        <v>57104.383878623077</v>
      </c>
      <c r="P80" s="89" t="s">
        <v>148</v>
      </c>
      <c r="Q80" s="102">
        <f>O80/$AD$9/Q70</f>
        <v>1.0200274934343436</v>
      </c>
      <c r="R80" t="s">
        <v>121</v>
      </c>
    </row>
    <row r="81" spans="1:38" ht="15.75" thickTop="1">
      <c r="AG81" s="144" t="s">
        <v>194</v>
      </c>
      <c r="AH81" s="144"/>
      <c r="AI81" s="144"/>
      <c r="AJ81" s="144"/>
      <c r="AK81" s="144"/>
    </row>
    <row r="82" spans="1:38" ht="18.75">
      <c r="A82" s="1" t="s">
        <v>195</v>
      </c>
      <c r="AG82" s="3" t="s">
        <v>17</v>
      </c>
      <c r="AH82" s="3" t="s">
        <v>128</v>
      </c>
      <c r="AI82" s="3" t="s">
        <v>129</v>
      </c>
      <c r="AJ82" s="3" t="s">
        <v>130</v>
      </c>
      <c r="AK82" s="3" t="s">
        <v>131</v>
      </c>
    </row>
    <row r="83" spans="1:38">
      <c r="AG83" s="111" t="s">
        <v>196</v>
      </c>
      <c r="AH83" s="112" t="s">
        <v>154</v>
      </c>
      <c r="AI83" s="127">
        <v>-34.5</v>
      </c>
      <c r="AJ83" s="114">
        <v>3500</v>
      </c>
      <c r="AK83" s="97">
        <f t="shared" ref="AK83:AK93" si="25">AH83-AI83+AJ83/1000</f>
        <v>41.765000000000001</v>
      </c>
    </row>
    <row r="84" spans="1:38">
      <c r="A84" s="145" t="s">
        <v>151</v>
      </c>
      <c r="B84" s="146" t="s">
        <v>132</v>
      </c>
      <c r="C84" s="144" t="s">
        <v>133</v>
      </c>
      <c r="D84" s="144"/>
      <c r="E84" s="144"/>
      <c r="F84" s="144"/>
      <c r="G84" s="144"/>
      <c r="H84" s="144"/>
      <c r="I84" s="144"/>
      <c r="J84" s="144" t="s">
        <v>72</v>
      </c>
      <c r="K84" s="144"/>
      <c r="L84" s="144"/>
      <c r="M84" s="144"/>
      <c r="N84" s="146" t="s">
        <v>109</v>
      </c>
      <c r="O84" s="146" t="s">
        <v>110</v>
      </c>
      <c r="Q84" t="s">
        <v>197</v>
      </c>
      <c r="AG84" s="111" t="s">
        <v>198</v>
      </c>
      <c r="AH84" s="112" t="s">
        <v>154</v>
      </c>
      <c r="AI84" s="127">
        <v>-35</v>
      </c>
      <c r="AJ84" s="114">
        <v>3500</v>
      </c>
      <c r="AK84" s="97">
        <f t="shared" si="25"/>
        <v>42.265000000000001</v>
      </c>
    </row>
    <row r="85" spans="1:38">
      <c r="A85" s="145"/>
      <c r="B85" s="146"/>
      <c r="C85" s="3" t="s">
        <v>136</v>
      </c>
      <c r="D85" s="3" t="s">
        <v>137</v>
      </c>
      <c r="F85" s="3" t="s">
        <v>136</v>
      </c>
      <c r="G85" s="3" t="s">
        <v>137</v>
      </c>
      <c r="H85" s="3" t="s">
        <v>138</v>
      </c>
      <c r="I85" s="3" t="s">
        <v>109</v>
      </c>
      <c r="J85" s="3" t="s">
        <v>136</v>
      </c>
      <c r="K85" s="3" t="s">
        <v>139</v>
      </c>
      <c r="L85" s="3" t="s">
        <v>138</v>
      </c>
      <c r="M85" s="3" t="s">
        <v>109</v>
      </c>
      <c r="N85" s="146"/>
      <c r="O85" s="146"/>
      <c r="Q85" s="5">
        <v>11</v>
      </c>
      <c r="AC85" s="104" t="e">
        <f>O86</f>
        <v>#REF!</v>
      </c>
      <c r="AG85" s="111" t="s">
        <v>199</v>
      </c>
      <c r="AH85" s="112" t="s">
        <v>154</v>
      </c>
      <c r="AI85" s="127">
        <v>-36</v>
      </c>
      <c r="AJ85" s="114">
        <v>3500</v>
      </c>
      <c r="AK85" s="97">
        <f t="shared" si="25"/>
        <v>43.265000000000001</v>
      </c>
    </row>
    <row r="86" spans="1:38">
      <c r="A86" s="100">
        <v>0</v>
      </c>
      <c r="B86" s="100">
        <v>40</v>
      </c>
      <c r="C86" s="100">
        <v>32</v>
      </c>
      <c r="D86" s="100" t="e">
        <f>#REF!</f>
        <v>#REF!</v>
      </c>
      <c r="E86" s="103" t="s">
        <v>141</v>
      </c>
      <c r="F86" s="100">
        <v>0</v>
      </c>
      <c r="G86" s="100">
        <v>0</v>
      </c>
      <c r="H86" s="98" t="e">
        <f>#REF!</f>
        <v>#REF!</v>
      </c>
      <c r="I86" s="97" t="e">
        <f>$C$13*((D86*PI()*((C86/1000)^2)/4)+(G86*PI()*((F86/1000)^2)/4))</f>
        <v>#REF!</v>
      </c>
      <c r="J86" s="100"/>
      <c r="K86" s="100">
        <v>300</v>
      </c>
      <c r="L86" s="98" t="e">
        <f>MAX(#REF!,#REF!)</f>
        <v>#REF!</v>
      </c>
      <c r="M86" s="97">
        <f>$C$13*$AM$5*PI()*((J86/1000)^2)/4*1000/K86</f>
        <v>0</v>
      </c>
      <c r="N86" s="97" t="e">
        <f>I86+M86</f>
        <v>#REF!</v>
      </c>
      <c r="O86" s="97" t="e">
        <f>$Q$85*N86*(A87-A86)</f>
        <v>#REF!</v>
      </c>
      <c r="AC86" s="104">
        <f>O87</f>
        <v>29188.608148147207</v>
      </c>
      <c r="AG86" s="111" t="s">
        <v>200</v>
      </c>
      <c r="AH86" s="112" t="s">
        <v>154</v>
      </c>
      <c r="AI86" s="127">
        <v>-36.5</v>
      </c>
      <c r="AJ86" s="114">
        <v>3500</v>
      </c>
      <c r="AK86" s="97">
        <f t="shared" si="25"/>
        <v>43.765000000000001</v>
      </c>
    </row>
    <row r="87" spans="1:38">
      <c r="A87" s="100">
        <v>12.25</v>
      </c>
      <c r="B87" s="100">
        <v>40</v>
      </c>
      <c r="C87" s="100">
        <v>32</v>
      </c>
      <c r="D87" s="100">
        <v>18</v>
      </c>
      <c r="E87" s="103" t="s">
        <v>141</v>
      </c>
      <c r="F87" s="100">
        <v>25</v>
      </c>
      <c r="G87" s="100">
        <v>18</v>
      </c>
      <c r="H87" s="98" t="e">
        <f>#REF!</f>
        <v>#REF!</v>
      </c>
      <c r="I87" s="97">
        <f>$C$13*((D87*PI()*((C87/1000)^2)/4)+(G87*PI()*((F87/1000)^2)/4))</f>
        <v>183.00067804481006</v>
      </c>
      <c r="J87" s="100"/>
      <c r="K87" s="100">
        <v>300</v>
      </c>
      <c r="L87" s="98" t="e">
        <f>MAX(#REF!,#REF!)</f>
        <v>#REF!</v>
      </c>
      <c r="M87" s="97">
        <f>$C$13*$AM$5*PI()*((J87/1000)^2)/4*1000/K87</f>
        <v>0</v>
      </c>
      <c r="N87" s="97">
        <f>I87+M87</f>
        <v>183.00067804481006</v>
      </c>
      <c r="O87" s="97">
        <f>$Q$85*N87*(A88-A87)</f>
        <v>29188.608148147207</v>
      </c>
      <c r="AC87">
        <f>N88*(30-A88)</f>
        <v>369.33065890426178</v>
      </c>
      <c r="AG87" s="111" t="s">
        <v>201</v>
      </c>
      <c r="AH87" s="112" t="s">
        <v>154</v>
      </c>
      <c r="AI87" s="127">
        <v>-37.5</v>
      </c>
      <c r="AJ87" s="114">
        <v>3500</v>
      </c>
      <c r="AK87" s="97">
        <f t="shared" si="25"/>
        <v>44.765000000000001</v>
      </c>
    </row>
    <row r="88" spans="1:38">
      <c r="A88" s="100">
        <v>26.75</v>
      </c>
      <c r="B88" s="100">
        <v>40</v>
      </c>
      <c r="C88" s="100">
        <v>32</v>
      </c>
      <c r="D88" s="100">
        <v>18</v>
      </c>
      <c r="E88" s="103" t="s">
        <v>141</v>
      </c>
      <c r="F88" s="100">
        <v>0</v>
      </c>
      <c r="G88" s="100">
        <v>0</v>
      </c>
      <c r="H88" s="98" t="e">
        <f>#REF!</f>
        <v>#REF!</v>
      </c>
      <c r="I88" s="97">
        <f>$C$13*((D88*PI()*((C88/1000)^2)/4)+(G88*PI()*((F88/1000)^2)/4))</f>
        <v>113.64020273977286</v>
      </c>
      <c r="J88" s="100"/>
      <c r="K88" s="100">
        <v>300</v>
      </c>
      <c r="L88" s="98"/>
      <c r="M88" s="97">
        <f>$C$13*$AM$5*PI()*((J88/1000)^2)/4*1000/K88</f>
        <v>0</v>
      </c>
      <c r="N88" s="97">
        <f>I88+M88</f>
        <v>113.64020273977286</v>
      </c>
      <c r="O88" s="97">
        <f>$Q$85*N88*(A89-A88)</f>
        <v>9062.8061684968852</v>
      </c>
      <c r="AC88">
        <f>N89*(30-A89)</f>
        <v>-277.44190122014868</v>
      </c>
      <c r="AG88" s="111" t="s">
        <v>202</v>
      </c>
      <c r="AH88" s="112" t="s">
        <v>154</v>
      </c>
      <c r="AI88" s="127">
        <v>-37</v>
      </c>
      <c r="AJ88" s="114">
        <v>3500</v>
      </c>
      <c r="AK88" s="97">
        <f t="shared" si="25"/>
        <v>44.265000000000001</v>
      </c>
    </row>
    <row r="89" spans="1:38" ht="15.75" thickBot="1">
      <c r="A89" s="100">
        <v>34</v>
      </c>
      <c r="B89" s="100">
        <v>40</v>
      </c>
      <c r="C89" s="100">
        <v>25</v>
      </c>
      <c r="D89" s="100">
        <v>18</v>
      </c>
      <c r="E89" s="103" t="s">
        <v>141</v>
      </c>
      <c r="F89" s="100">
        <v>0</v>
      </c>
      <c r="G89" s="100">
        <v>0</v>
      </c>
      <c r="H89" s="98" t="e">
        <f>MAX(#REF!)</f>
        <v>#REF!</v>
      </c>
      <c r="I89" s="97">
        <f>$C$13*((D89*PI()*((C89/1000)^2)/4)+(G89*PI()*((F89/1000)^2)/4))</f>
        <v>69.36047530503717</v>
      </c>
      <c r="J89" s="100"/>
      <c r="K89" s="100">
        <v>300</v>
      </c>
      <c r="L89" s="98"/>
      <c r="M89" s="97">
        <f>$C$13*$AM$5*PI()*((J89/1000)^2)/4*1000/K89</f>
        <v>0</v>
      </c>
      <c r="N89" s="97">
        <f>I89+M89</f>
        <v>69.36047530503717</v>
      </c>
      <c r="O89" s="97">
        <f>$Q$85*N89*($AL$93-A89)</f>
        <v>6548.6692759250755</v>
      </c>
      <c r="AC89" s="99" t="e">
        <f>SUM(AC85:AC88)</f>
        <v>#REF!</v>
      </c>
      <c r="AD89" s="115" t="e">
        <f>O90-AC89</f>
        <v>#REF!</v>
      </c>
      <c r="AG89" s="111" t="s">
        <v>203</v>
      </c>
      <c r="AH89" s="112" t="s">
        <v>154</v>
      </c>
      <c r="AI89" s="127">
        <v>-37</v>
      </c>
      <c r="AJ89" s="114">
        <v>3500</v>
      </c>
      <c r="AK89" s="97">
        <f t="shared" si="25"/>
        <v>44.265000000000001</v>
      </c>
    </row>
    <row r="90" spans="1:38" ht="16.5" thickTop="1" thickBot="1">
      <c r="A90" s="104">
        <f>AL93</f>
        <v>42.583181818181806</v>
      </c>
      <c r="B90" t="s">
        <v>216</v>
      </c>
      <c r="O90" s="99" t="e">
        <f>SUM(O86:O89)</f>
        <v>#REF!</v>
      </c>
      <c r="P90" s="89" t="s">
        <v>148</v>
      </c>
      <c r="Q90" s="102" t="e">
        <f>O90/$AI$8/Q85</f>
        <v>#REF!</v>
      </c>
      <c r="R90" t="s">
        <v>121</v>
      </c>
      <c r="AG90" s="111" t="s">
        <v>204</v>
      </c>
      <c r="AH90" s="112" t="s">
        <v>154</v>
      </c>
      <c r="AI90" s="127">
        <v>-36</v>
      </c>
      <c r="AJ90" s="114">
        <v>3500</v>
      </c>
      <c r="AK90" s="97">
        <f t="shared" si="25"/>
        <v>43.265000000000001</v>
      </c>
    </row>
    <row r="91" spans="1:38" ht="15.75" thickTop="1">
      <c r="AG91" s="111" t="s">
        <v>205</v>
      </c>
      <c r="AH91" s="112" t="s">
        <v>154</v>
      </c>
      <c r="AI91" s="127">
        <v>-35</v>
      </c>
      <c r="AJ91" s="114">
        <v>3500</v>
      </c>
      <c r="AK91" s="97">
        <f t="shared" si="25"/>
        <v>42.265000000000001</v>
      </c>
    </row>
    <row r="92" spans="1:38">
      <c r="AG92" s="111" t="s">
        <v>206</v>
      </c>
      <c r="AH92" s="112" t="s">
        <v>154</v>
      </c>
      <c r="AI92" s="127">
        <v>-32.5</v>
      </c>
      <c r="AJ92" s="114">
        <v>4000</v>
      </c>
      <c r="AK92" s="97">
        <f t="shared" si="25"/>
        <v>40.265000000000001</v>
      </c>
    </row>
    <row r="93" spans="1:38">
      <c r="AG93" s="111" t="s">
        <v>207</v>
      </c>
      <c r="AH93" s="112" t="s">
        <v>154</v>
      </c>
      <c r="AI93" s="127">
        <v>-30.5</v>
      </c>
      <c r="AJ93" s="114">
        <v>4000</v>
      </c>
      <c r="AK93" s="97">
        <f t="shared" si="25"/>
        <v>38.265000000000001</v>
      </c>
      <c r="AL93" s="104">
        <f>AVERAGE(AK83:AK93)</f>
        <v>42.583181818181806</v>
      </c>
    </row>
  </sheetData>
  <mergeCells count="55">
    <mergeCell ref="AA4:AA5"/>
    <mergeCell ref="AB4:AB5"/>
    <mergeCell ref="AC4:AC5"/>
    <mergeCell ref="AD4:AD5"/>
    <mergeCell ref="AF4:AF5"/>
    <mergeCell ref="AH4:AH5"/>
    <mergeCell ref="AI4:AI5"/>
    <mergeCell ref="AB10:AC10"/>
    <mergeCell ref="AD10:AE10"/>
    <mergeCell ref="AF10:AG10"/>
    <mergeCell ref="AG4:AG5"/>
    <mergeCell ref="AF16:AJ16"/>
    <mergeCell ref="A18:A19"/>
    <mergeCell ref="B18:B19"/>
    <mergeCell ref="C18:I18"/>
    <mergeCell ref="J18:M18"/>
    <mergeCell ref="N18:N19"/>
    <mergeCell ref="O18:O19"/>
    <mergeCell ref="W17:X17"/>
    <mergeCell ref="AF28:AJ28"/>
    <mergeCell ref="A30:A31"/>
    <mergeCell ref="B30:B31"/>
    <mergeCell ref="C30:I30"/>
    <mergeCell ref="J30:M30"/>
    <mergeCell ref="N30:N31"/>
    <mergeCell ref="O30:O31"/>
    <mergeCell ref="W30:X30"/>
    <mergeCell ref="AG43:AK43"/>
    <mergeCell ref="A44:A45"/>
    <mergeCell ref="B44:B45"/>
    <mergeCell ref="C44:I44"/>
    <mergeCell ref="J44:M44"/>
    <mergeCell ref="N44:N45"/>
    <mergeCell ref="O44:O45"/>
    <mergeCell ref="AG56:AK56"/>
    <mergeCell ref="A59:A60"/>
    <mergeCell ref="B59:B60"/>
    <mergeCell ref="C59:I59"/>
    <mergeCell ref="J59:M59"/>
    <mergeCell ref="N59:N60"/>
    <mergeCell ref="O59:O60"/>
    <mergeCell ref="AG67:AK67"/>
    <mergeCell ref="A69:A70"/>
    <mergeCell ref="B69:B70"/>
    <mergeCell ref="C69:I69"/>
    <mergeCell ref="J69:M69"/>
    <mergeCell ref="N69:N70"/>
    <mergeCell ref="O69:O70"/>
    <mergeCell ref="AG81:AK81"/>
    <mergeCell ref="A84:A85"/>
    <mergeCell ref="B84:B85"/>
    <mergeCell ref="C84:I84"/>
    <mergeCell ref="J84:M84"/>
    <mergeCell ref="N84:N85"/>
    <mergeCell ref="O84:O85"/>
  </mergeCells>
  <conditionalFormatting sqref="H20 L20 H32 L32 L22 H22:H25 H46:H51 L46:L54 H61:H64 H71:H79 L61:L64 L71:L79">
    <cfRule type="cellIs" dxfId="83" priority="27" operator="between">
      <formula>0</formula>
      <formula>1</formula>
    </cfRule>
    <cfRule type="cellIs" dxfId="82" priority="28" operator="greaterThan">
      <formula>1</formula>
    </cfRule>
  </conditionalFormatting>
  <conditionalFormatting sqref="H52:H54">
    <cfRule type="cellIs" dxfId="81" priority="25" operator="between">
      <formula>0</formula>
      <formula>1</formula>
    </cfRule>
    <cfRule type="cellIs" dxfId="80" priority="26" operator="greaterThan">
      <formula>1</formula>
    </cfRule>
  </conditionalFormatting>
  <conditionalFormatting sqref="H21">
    <cfRule type="cellIs" dxfId="79" priority="23" operator="between">
      <formula>0</formula>
      <formula>1</formula>
    </cfRule>
    <cfRule type="cellIs" dxfId="78" priority="24" operator="greaterThan">
      <formula>1</formula>
    </cfRule>
  </conditionalFormatting>
  <conditionalFormatting sqref="H86:H89 L86:L88">
    <cfRule type="cellIs" dxfId="77" priority="21" operator="between">
      <formula>0</formula>
      <formula>1</formula>
    </cfRule>
    <cfRule type="cellIs" dxfId="76" priority="22" operator="greaterThan">
      <formula>1</formula>
    </cfRule>
  </conditionalFormatting>
  <conditionalFormatting sqref="L89">
    <cfRule type="cellIs" dxfId="75" priority="19" operator="between">
      <formula>0</formula>
      <formula>1</formula>
    </cfRule>
    <cfRule type="cellIs" dxfId="74" priority="20" operator="greaterThan">
      <formula>1</formula>
    </cfRule>
  </conditionalFormatting>
  <conditionalFormatting sqref="L21">
    <cfRule type="cellIs" dxfId="73" priority="17" operator="between">
      <formula>0</formula>
      <formula>1</formula>
    </cfRule>
    <cfRule type="cellIs" dxfId="72" priority="18" operator="greaterThan">
      <formula>1</formula>
    </cfRule>
  </conditionalFormatting>
  <conditionalFormatting sqref="L23:L24">
    <cfRule type="cellIs" dxfId="71" priority="15" operator="between">
      <formula>0</formula>
      <formula>1</formula>
    </cfRule>
    <cfRule type="cellIs" dxfId="70" priority="16" operator="greaterThan">
      <formula>1</formula>
    </cfRule>
  </conditionalFormatting>
  <conditionalFormatting sqref="H39">
    <cfRule type="cellIs" dxfId="69" priority="3" operator="between">
      <formula>0</formula>
      <formula>1</formula>
    </cfRule>
    <cfRule type="cellIs" dxfId="68" priority="4" operator="greaterThan">
      <formula>1</formula>
    </cfRule>
  </conditionalFormatting>
  <conditionalFormatting sqref="L25">
    <cfRule type="cellIs" dxfId="67" priority="13" operator="between">
      <formula>0</formula>
      <formula>1</formula>
    </cfRule>
    <cfRule type="cellIs" dxfId="66" priority="14" operator="greaterThan">
      <formula>1</formula>
    </cfRule>
  </conditionalFormatting>
  <conditionalFormatting sqref="L33:L34">
    <cfRule type="cellIs" dxfId="65" priority="11" operator="between">
      <formula>0</formula>
      <formula>1</formula>
    </cfRule>
    <cfRule type="cellIs" dxfId="64" priority="12" operator="greaterThan">
      <formula>1</formula>
    </cfRule>
  </conditionalFormatting>
  <conditionalFormatting sqref="L35">
    <cfRule type="cellIs" dxfId="63" priority="9" operator="between">
      <formula>0</formula>
      <formula>1</formula>
    </cfRule>
    <cfRule type="cellIs" dxfId="62" priority="10" operator="greaterThan">
      <formula>1</formula>
    </cfRule>
  </conditionalFormatting>
  <conditionalFormatting sqref="L36:L39">
    <cfRule type="cellIs" dxfId="61" priority="7" operator="between">
      <formula>0</formula>
      <formula>1</formula>
    </cfRule>
    <cfRule type="cellIs" dxfId="60" priority="8" operator="greaterThan">
      <formula>1</formula>
    </cfRule>
  </conditionalFormatting>
  <conditionalFormatting sqref="H38">
    <cfRule type="cellIs" dxfId="59" priority="5" operator="between">
      <formula>0</formula>
      <formula>1</formula>
    </cfRule>
    <cfRule type="cellIs" dxfId="58" priority="6" operator="greaterThan">
      <formula>1</formula>
    </cfRule>
  </conditionalFormatting>
  <conditionalFormatting sqref="H33:H37">
    <cfRule type="cellIs" dxfId="57" priority="1" operator="between">
      <formula>0</formula>
      <formula>1</formula>
    </cfRule>
    <cfRule type="cellIs" dxfId="56" priority="2" operator="greaterThan">
      <formula>1</formula>
    </cfRule>
  </conditionalFormatting>
  <pageMargins left="0.7" right="0.7" top="0.75" bottom="0.75" header="0.3" footer="0.3"/>
  <pageSetup paperSize="9" scale="56" orientation="portrait" r:id="rId1"/>
  <rowBreaks count="1" manualBreakCount="1">
    <brk id="55" max="16383" man="1"/>
  </rowBreaks>
  <colBreaks count="1" manualBreakCount="1">
    <brk id="20" max="1048575" man="1"/>
  </colBreaks>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3">
    <tabColor rgb="FFFF0000"/>
  </sheetPr>
  <dimension ref="A1:AL107"/>
  <sheetViews>
    <sheetView zoomScale="85" zoomScaleNormal="85" workbookViewId="0">
      <selection activeCell="AK25" sqref="AK25"/>
    </sheetView>
  </sheetViews>
  <sheetFormatPr defaultColWidth="8.85546875" defaultRowHeight="15"/>
  <cols>
    <col min="1" max="1" width="14.5703125" customWidth="1"/>
    <col min="2" max="2" width="12.42578125" customWidth="1"/>
    <col min="3" max="3" width="11.42578125" customWidth="1"/>
    <col min="4" max="4" width="10.85546875" customWidth="1"/>
    <col min="5" max="5" width="9.5703125" bestFit="1" customWidth="1"/>
    <col min="6" max="6" width="14.140625" customWidth="1"/>
    <col min="7" max="7" width="12.5703125" customWidth="1"/>
    <col min="8" max="8" width="12.5703125" bestFit="1" customWidth="1"/>
    <col min="9" max="9" width="14.42578125" customWidth="1"/>
    <col min="10" max="10" width="13.85546875" customWidth="1"/>
    <col min="11" max="11" width="12" customWidth="1"/>
    <col min="12" max="12" width="11" customWidth="1"/>
    <col min="14" max="14" width="13.42578125" customWidth="1"/>
    <col min="15" max="15" width="12.42578125" customWidth="1"/>
    <col min="16" max="16" width="11.42578125" customWidth="1"/>
    <col min="17" max="17" width="10" customWidth="1"/>
    <col min="21" max="21" width="9.5703125" customWidth="1"/>
  </cols>
  <sheetData>
    <row r="1" spans="1:36" ht="36">
      <c r="A1" s="132" t="s">
        <v>217</v>
      </c>
    </row>
    <row r="3" spans="1:36" ht="18.75">
      <c r="A3" s="1" t="s">
        <v>104</v>
      </c>
    </row>
    <row r="4" spans="1:36" ht="18.75">
      <c r="A4" s="1" t="s">
        <v>105</v>
      </c>
      <c r="F4" s="1" t="s">
        <v>106</v>
      </c>
    </row>
    <row r="6" spans="1:36">
      <c r="A6" s="145" t="s">
        <v>107</v>
      </c>
      <c r="B6" s="146" t="s">
        <v>108</v>
      </c>
      <c r="C6" s="146" t="s">
        <v>109</v>
      </c>
      <c r="D6" s="146" t="s">
        <v>110</v>
      </c>
      <c r="F6" s="145" t="s">
        <v>107</v>
      </c>
      <c r="G6" s="146" t="s">
        <v>108</v>
      </c>
      <c r="H6" s="146" t="s">
        <v>109</v>
      </c>
      <c r="I6" s="146" t="s">
        <v>110</v>
      </c>
    </row>
    <row r="7" spans="1:36">
      <c r="A7" s="145"/>
      <c r="B7" s="146"/>
      <c r="C7" s="146"/>
      <c r="D7" s="146"/>
      <c r="F7" s="145"/>
      <c r="G7" s="146"/>
      <c r="H7" s="146"/>
      <c r="I7" s="146"/>
    </row>
    <row r="8" spans="1:36">
      <c r="A8" s="100">
        <v>0</v>
      </c>
      <c r="B8" s="101">
        <v>360</v>
      </c>
      <c r="C8" s="97">
        <f>B8*(PI()*1.2^2/4)</f>
        <v>407.15040790523722</v>
      </c>
      <c r="D8" s="97">
        <f>C8*(A9-A8)</f>
        <v>2035.7520395261861</v>
      </c>
      <c r="F8" s="100">
        <v>0</v>
      </c>
      <c r="G8" s="101">
        <v>180</v>
      </c>
      <c r="H8" s="97">
        <f>G8*(PI()*1.2^2/4)</f>
        <v>203.57520395261861</v>
      </c>
      <c r="I8" s="97">
        <f>H8*(F9-F8)</f>
        <v>5089.3800988154653</v>
      </c>
      <c r="M8" s="96"/>
    </row>
    <row r="9" spans="1:36">
      <c r="A9" s="100">
        <v>5</v>
      </c>
      <c r="B9" s="101">
        <v>180</v>
      </c>
      <c r="C9" s="97">
        <f>B9*(PI()*1.2^2/4)</f>
        <v>203.57520395261861</v>
      </c>
      <c r="D9" s="97">
        <f>C9*(A10-A9)</f>
        <v>3053.628059289279</v>
      </c>
      <c r="F9" s="100">
        <v>25</v>
      </c>
      <c r="G9" s="101">
        <v>0</v>
      </c>
      <c r="H9" s="97">
        <f>G9*(PI()*1.2^2/4)</f>
        <v>0</v>
      </c>
      <c r="I9" s="97">
        <f>H9*(F10-F9)</f>
        <v>0</v>
      </c>
    </row>
    <row r="10" spans="1:36" ht="15.75" thickBot="1">
      <c r="A10" s="100">
        <v>20</v>
      </c>
      <c r="B10" s="100">
        <v>0</v>
      </c>
      <c r="C10" s="97">
        <f>B10*(PI()*1.2^2/4)</f>
        <v>0</v>
      </c>
      <c r="D10" s="97">
        <f>C10*($C$15-A10)</f>
        <v>0</v>
      </c>
      <c r="I10" s="99">
        <f>SUM(I8:I9)</f>
        <v>5089.3800988154653</v>
      </c>
      <c r="J10" t="s">
        <v>111</v>
      </c>
      <c r="P10" s="96"/>
    </row>
    <row r="11" spans="1:36" ht="16.5" thickTop="1" thickBot="1">
      <c r="D11" s="99">
        <f>SUM(D8:D10)</f>
        <v>5089.3800988154653</v>
      </c>
      <c r="E11" t="s">
        <v>111</v>
      </c>
    </row>
    <row r="12" spans="1:36" ht="15.75" thickTop="1">
      <c r="G12" s="144" t="s">
        <v>112</v>
      </c>
      <c r="H12" s="144"/>
      <c r="I12" s="144"/>
      <c r="J12" s="144" t="s">
        <v>113</v>
      </c>
      <c r="K12" s="144"/>
      <c r="L12" s="144"/>
      <c r="M12" s="144" t="s">
        <v>218</v>
      </c>
      <c r="N12" s="144"/>
      <c r="O12" s="144"/>
    </row>
    <row r="13" spans="1:36">
      <c r="A13" t="s">
        <v>115</v>
      </c>
      <c r="C13" s="5">
        <v>7850</v>
      </c>
      <c r="D13" t="s">
        <v>116</v>
      </c>
      <c r="G13" s="3" t="s">
        <v>219</v>
      </c>
      <c r="H13" s="3" t="s">
        <v>220</v>
      </c>
      <c r="I13" s="3" t="s">
        <v>221</v>
      </c>
      <c r="J13" s="3" t="s">
        <v>219</v>
      </c>
      <c r="K13" s="3" t="s">
        <v>220</v>
      </c>
      <c r="L13" s="3" t="s">
        <v>221</v>
      </c>
      <c r="M13" s="3" t="s">
        <v>219</v>
      </c>
      <c r="N13" s="3" t="s">
        <v>220</v>
      </c>
      <c r="O13" s="3" t="s">
        <v>221</v>
      </c>
    </row>
    <row r="14" spans="1:36">
      <c r="A14" t="s">
        <v>119</v>
      </c>
      <c r="C14" s="5">
        <v>1.2</v>
      </c>
      <c r="D14" t="s">
        <v>4</v>
      </c>
      <c r="F14" s="3" t="s">
        <v>117</v>
      </c>
      <c r="G14" s="128">
        <f>25*I10</f>
        <v>127234.50247038664</v>
      </c>
      <c r="H14" s="129" t="s">
        <v>118</v>
      </c>
      <c r="I14" s="130" t="s">
        <v>118</v>
      </c>
      <c r="J14" s="128">
        <f>25*D11</f>
        <v>127234.50247038664</v>
      </c>
      <c r="K14" s="130" t="s">
        <v>118</v>
      </c>
      <c r="L14" s="130" t="s">
        <v>118</v>
      </c>
      <c r="M14" s="128">
        <f>25*D11+25*I10</f>
        <v>254469.00494077327</v>
      </c>
      <c r="N14" s="130" t="s">
        <v>118</v>
      </c>
      <c r="O14" s="130" t="s">
        <v>118</v>
      </c>
      <c r="P14" s="96"/>
      <c r="Q14" s="96"/>
      <c r="R14" s="96"/>
    </row>
    <row r="15" spans="1:36">
      <c r="A15" t="s">
        <v>122</v>
      </c>
      <c r="C15">
        <f>AJ16</f>
        <v>37.571521739130453</v>
      </c>
      <c r="D15" t="s">
        <v>4</v>
      </c>
      <c r="F15" s="3" t="s">
        <v>222</v>
      </c>
      <c r="G15" s="105" t="e">
        <f>'ss_ IFIR Summary (03.07)'!G12</f>
        <v>#REF!</v>
      </c>
      <c r="H15" s="107" t="e">
        <f>G15/G14</f>
        <v>#REF!</v>
      </c>
      <c r="I15" s="130" t="s">
        <v>118</v>
      </c>
      <c r="J15" s="105" t="e">
        <f>'ss_ IFIR Summary (03.07)'!I12</f>
        <v>#REF!</v>
      </c>
      <c r="K15" s="107" t="e">
        <f>J15/J14</f>
        <v>#REF!</v>
      </c>
      <c r="L15" s="130" t="s">
        <v>118</v>
      </c>
      <c r="M15" s="105" t="e">
        <f>'ss_ IFIR Summary (03.07)'!K12</f>
        <v>#REF!</v>
      </c>
      <c r="N15" s="107" t="e">
        <f>M15/M14</f>
        <v>#REF!</v>
      </c>
      <c r="O15" s="130" t="s">
        <v>118</v>
      </c>
      <c r="R15" s="117"/>
    </row>
    <row r="16" spans="1:36">
      <c r="A16" t="s">
        <v>123</v>
      </c>
      <c r="C16" s="121">
        <f>PI()*(C14-2*(0.085+0.016/2))+0.47</f>
        <v>3.6555749507400499</v>
      </c>
      <c r="D16" t="s">
        <v>4</v>
      </c>
      <c r="F16" s="3" t="s">
        <v>120</v>
      </c>
      <c r="G16" s="105" t="e">
        <f>Q42+O72+O104</f>
        <v>#REF!</v>
      </c>
      <c r="H16" s="107" t="e">
        <f>G16/G14</f>
        <v>#REF!</v>
      </c>
      <c r="I16" s="107" t="e">
        <f>G16/G15</f>
        <v>#REF!</v>
      </c>
      <c r="J16" s="105" t="e">
        <f>Q28+O57+O87</f>
        <v>#REF!</v>
      </c>
      <c r="K16" s="107" t="e">
        <f>J16/J14</f>
        <v>#REF!</v>
      </c>
      <c r="L16" s="107" t="e">
        <f>J16/J15</f>
        <v>#REF!</v>
      </c>
      <c r="M16" s="105" t="e">
        <f>Q28+Q42+O57+O72+O87+O104</f>
        <v>#REF!</v>
      </c>
      <c r="N16" s="107" t="e">
        <f>M16/M14</f>
        <v>#REF!</v>
      </c>
      <c r="O16" s="107" t="e">
        <f>M16/M15</f>
        <v>#REF!</v>
      </c>
      <c r="R16" s="117"/>
      <c r="AH16" t="s">
        <v>124</v>
      </c>
      <c r="AJ16" s="104">
        <f>AVERAGE(AJ20:AJ27,AJ32:AJ39,AK47:AK50,AK60:AK63,AK75:AK85,AK91:AK101)</f>
        <v>37.571521739130453</v>
      </c>
    </row>
    <row r="17" spans="1:37" ht="14.1" customHeight="1">
      <c r="G17" s="119"/>
      <c r="J17" s="119"/>
      <c r="M17" s="119"/>
    </row>
    <row r="18" spans="1:37" ht="18" customHeight="1">
      <c r="A18" s="1" t="s">
        <v>125</v>
      </c>
      <c r="P18" s="144" t="s">
        <v>126</v>
      </c>
      <c r="Q18" s="144"/>
      <c r="T18" t="s">
        <v>197</v>
      </c>
      <c r="AF18" s="144" t="s">
        <v>127</v>
      </c>
      <c r="AG18" s="144"/>
      <c r="AH18" s="144"/>
      <c r="AI18" s="144"/>
      <c r="AJ18" s="144"/>
    </row>
    <row r="19" spans="1:37">
      <c r="P19" s="3" t="s">
        <v>17</v>
      </c>
      <c r="Q19" s="3" t="s">
        <v>110</v>
      </c>
      <c r="T19" s="5">
        <v>8</v>
      </c>
      <c r="AF19" s="3" t="s">
        <v>17</v>
      </c>
      <c r="AG19" s="3" t="s">
        <v>128</v>
      </c>
      <c r="AH19" s="3" t="s">
        <v>129</v>
      </c>
      <c r="AI19" s="3" t="s">
        <v>130</v>
      </c>
      <c r="AJ19" s="3" t="s">
        <v>131</v>
      </c>
    </row>
    <row r="20" spans="1:37">
      <c r="A20" s="145" t="s">
        <v>107</v>
      </c>
      <c r="B20" s="146" t="s">
        <v>132</v>
      </c>
      <c r="C20" s="144" t="s">
        <v>133</v>
      </c>
      <c r="D20" s="144"/>
      <c r="E20" s="144"/>
      <c r="F20" s="144"/>
      <c r="G20" s="144"/>
      <c r="H20" s="144"/>
      <c r="I20" s="144"/>
      <c r="J20" s="144" t="s">
        <v>72</v>
      </c>
      <c r="K20" s="144"/>
      <c r="L20" s="144"/>
      <c r="M20" s="144"/>
      <c r="N20" s="146" t="s">
        <v>109</v>
      </c>
      <c r="O20" s="146" t="s">
        <v>110</v>
      </c>
      <c r="P20" s="111" t="s">
        <v>134</v>
      </c>
      <c r="Q20" s="3" t="e">
        <f>IF($A$25&gt;AJ20,$N$24*(AJ20-$A$24)+SUM($O$22:$O$23),IF($A$26&gt;AJ20,$N$25*(AJ20-$A$25)+SUM($O$22:$O$24),IF($A$27&gt;AJ20,$N$26*(AJ20-$A$26)+SUM($O$22:$O$25),$N$26*($A$27-$A$26)+SUM($O$22:$O$25))))</f>
        <v>#REF!</v>
      </c>
      <c r="AF20" s="111" t="s">
        <v>134</v>
      </c>
      <c r="AG20" s="112" t="s">
        <v>135</v>
      </c>
      <c r="AH20" s="127">
        <v>-35.5</v>
      </c>
      <c r="AI20" s="114">
        <v>500</v>
      </c>
      <c r="AJ20" s="97">
        <f>AG20-AH20+AI20/1000</f>
        <v>39.965000000000003</v>
      </c>
    </row>
    <row r="21" spans="1:37">
      <c r="A21" s="145"/>
      <c r="B21" s="146"/>
      <c r="C21" s="3" t="s">
        <v>136</v>
      </c>
      <c r="D21" s="3" t="s">
        <v>137</v>
      </c>
      <c r="F21" s="3" t="s">
        <v>136</v>
      </c>
      <c r="G21" s="3" t="s">
        <v>137</v>
      </c>
      <c r="H21" s="3" t="s">
        <v>138</v>
      </c>
      <c r="I21" s="3" t="s">
        <v>109</v>
      </c>
      <c r="J21" s="3" t="s">
        <v>136</v>
      </c>
      <c r="K21" s="3" t="s">
        <v>139</v>
      </c>
      <c r="L21" s="3" t="s">
        <v>138</v>
      </c>
      <c r="M21" s="3" t="s">
        <v>109</v>
      </c>
      <c r="N21" s="146"/>
      <c r="O21" s="146"/>
      <c r="P21" s="111" t="s">
        <v>140</v>
      </c>
      <c r="Q21" s="3" t="e">
        <f t="shared" ref="Q21:Q27" si="0">IF($A$25&gt;AJ21,$N$24*(AJ21-$A$24)+SUM($O$22:$O$23),IF($A$26&gt;AJ21,$N$25*(AJ21-$A$25)+SUM($O$22:$O$24),IF($A$27&gt;AJ21,$N$26*(AJ21-$A$26)+SUM($O$22:$O$25),$N$26*($A$27-$A$26)+SUM($O$22:$O$25))))</f>
        <v>#REF!</v>
      </c>
      <c r="T21" t="s">
        <v>223</v>
      </c>
      <c r="AF21" s="111" t="s">
        <v>140</v>
      </c>
      <c r="AG21" s="112" t="s">
        <v>135</v>
      </c>
      <c r="AH21" s="127">
        <v>-35</v>
      </c>
      <c r="AI21" s="114">
        <v>500</v>
      </c>
      <c r="AJ21" s="97">
        <f t="shared" ref="AJ21:AJ26" si="1">AG21-AH21+AI21/1000</f>
        <v>39.465000000000003</v>
      </c>
    </row>
    <row r="22" spans="1:37">
      <c r="A22" s="100">
        <v>0</v>
      </c>
      <c r="B22" s="100">
        <v>40</v>
      </c>
      <c r="C22" s="100">
        <v>40</v>
      </c>
      <c r="D22" s="100">
        <v>18</v>
      </c>
      <c r="E22" s="103" t="s">
        <v>141</v>
      </c>
      <c r="F22" s="133">
        <v>40</v>
      </c>
      <c r="G22" s="100">
        <v>18</v>
      </c>
      <c r="H22" s="98"/>
      <c r="I22" s="97">
        <f t="shared" ref="I22:I27" si="2">$C$13*((D22*PI()*((C22/1000)^2)/4)+(G22*PI()*((F22/1000)^2)/4))</f>
        <v>355.12563356179027</v>
      </c>
      <c r="J22" s="100" t="e">
        <f>#REF!</f>
        <v>#REF!</v>
      </c>
      <c r="K22" s="100" t="e">
        <f>#REF!</f>
        <v>#REF!</v>
      </c>
      <c r="L22" s="98"/>
      <c r="M22" s="97" t="e">
        <f t="shared" ref="M22:M27" si="3">$C$13*$C$16*PI()*((J22/1000)^2)/4*1000/K22</f>
        <v>#REF!</v>
      </c>
      <c r="N22" s="97" t="e">
        <f t="shared" ref="N22:N27" si="4">I22+M22</f>
        <v>#REF!</v>
      </c>
      <c r="O22" s="97" t="e">
        <f>N22*(A23-A22)</f>
        <v>#REF!</v>
      </c>
      <c r="P22" s="111" t="s">
        <v>142</v>
      </c>
      <c r="Q22" s="3" t="e">
        <f t="shared" si="0"/>
        <v>#REF!</v>
      </c>
      <c r="T22" s="96" t="e">
        <f>Q28/T19</f>
        <v>#REF!</v>
      </c>
      <c r="U22" t="s">
        <v>111</v>
      </c>
      <c r="AC22" s="104" t="e">
        <f>O22</f>
        <v>#REF!</v>
      </c>
      <c r="AF22" s="111" t="s">
        <v>142</v>
      </c>
      <c r="AG22" s="112" t="s">
        <v>135</v>
      </c>
      <c r="AH22" s="127">
        <v>-34.5</v>
      </c>
      <c r="AI22" s="114">
        <v>500</v>
      </c>
      <c r="AJ22" s="97">
        <f t="shared" si="1"/>
        <v>38.965000000000003</v>
      </c>
    </row>
    <row r="23" spans="1:37">
      <c r="A23" s="133">
        <v>3.5</v>
      </c>
      <c r="B23" s="100">
        <v>40</v>
      </c>
      <c r="C23" s="100">
        <v>40</v>
      </c>
      <c r="D23" s="100">
        <v>18</v>
      </c>
      <c r="E23" s="103" t="s">
        <v>141</v>
      </c>
      <c r="F23" s="100">
        <v>0</v>
      </c>
      <c r="G23" s="100">
        <v>0</v>
      </c>
      <c r="H23" s="98"/>
      <c r="I23" s="97">
        <f t="shared" si="2"/>
        <v>177.56281678089513</v>
      </c>
      <c r="J23" s="100">
        <v>25</v>
      </c>
      <c r="K23" s="100">
        <v>150</v>
      </c>
      <c r="L23" s="98"/>
      <c r="M23" s="97">
        <f t="shared" si="3"/>
        <v>93.90830225796951</v>
      </c>
      <c r="N23" s="97">
        <f t="shared" si="4"/>
        <v>271.47111903886463</v>
      </c>
      <c r="O23" s="97">
        <f>N23*(A24-A23)</f>
        <v>407.20667855829697</v>
      </c>
      <c r="P23" s="111" t="s">
        <v>143</v>
      </c>
      <c r="Q23" s="3" t="e">
        <f t="shared" si="0"/>
        <v>#REF!</v>
      </c>
      <c r="AC23" s="104">
        <f>O23</f>
        <v>407.20667855829697</v>
      </c>
      <c r="AF23" s="111" t="s">
        <v>143</v>
      </c>
      <c r="AG23" s="112" t="s">
        <v>135</v>
      </c>
      <c r="AH23" s="127">
        <v>-34.5</v>
      </c>
      <c r="AI23" s="114">
        <v>500</v>
      </c>
      <c r="AJ23" s="97">
        <f t="shared" si="1"/>
        <v>38.965000000000003</v>
      </c>
    </row>
    <row r="24" spans="1:37">
      <c r="A24" s="133">
        <v>5</v>
      </c>
      <c r="B24" s="100">
        <v>40</v>
      </c>
      <c r="C24" s="100">
        <v>32</v>
      </c>
      <c r="D24" s="100">
        <v>18</v>
      </c>
      <c r="E24" s="103" t="s">
        <v>141</v>
      </c>
      <c r="F24" s="100">
        <v>25</v>
      </c>
      <c r="G24" s="100">
        <v>18</v>
      </c>
      <c r="H24" s="98"/>
      <c r="I24" s="97">
        <f t="shared" si="2"/>
        <v>183.00067804481006</v>
      </c>
      <c r="J24" s="100">
        <v>16</v>
      </c>
      <c r="K24" s="100">
        <v>300</v>
      </c>
      <c r="L24" s="98"/>
      <c r="M24" s="97">
        <f t="shared" si="3"/>
        <v>19.232420302432153</v>
      </c>
      <c r="N24" s="97">
        <f t="shared" si="4"/>
        <v>202.23309834724222</v>
      </c>
      <c r="O24" s="97">
        <f>N24*(A25-A24)</f>
        <v>707.81584421534774</v>
      </c>
      <c r="P24" s="111" t="s">
        <v>144</v>
      </c>
      <c r="Q24" s="3" t="e">
        <f t="shared" si="0"/>
        <v>#REF!</v>
      </c>
      <c r="AC24" s="104">
        <f>O24</f>
        <v>707.81584421534774</v>
      </c>
      <c r="AF24" s="111" t="s">
        <v>144</v>
      </c>
      <c r="AG24" s="112" t="s">
        <v>135</v>
      </c>
      <c r="AH24" s="127">
        <v>-22</v>
      </c>
      <c r="AI24" s="114">
        <v>1000</v>
      </c>
      <c r="AJ24" s="97">
        <f t="shared" si="1"/>
        <v>26.965</v>
      </c>
    </row>
    <row r="25" spans="1:37">
      <c r="A25" s="100">
        <v>8.5</v>
      </c>
      <c r="B25" s="100">
        <v>40</v>
      </c>
      <c r="C25" s="100">
        <v>25</v>
      </c>
      <c r="D25" s="100">
        <v>18</v>
      </c>
      <c r="E25" s="103" t="s">
        <v>141</v>
      </c>
      <c r="F25" s="100">
        <v>0</v>
      </c>
      <c r="G25" s="100">
        <v>0</v>
      </c>
      <c r="H25" s="98"/>
      <c r="I25" s="97">
        <f t="shared" si="2"/>
        <v>69.36047530503717</v>
      </c>
      <c r="J25" s="100">
        <v>16</v>
      </c>
      <c r="K25" s="100">
        <v>240</v>
      </c>
      <c r="L25" s="98"/>
      <c r="M25" s="97">
        <f t="shared" si="3"/>
        <v>24.04052537804019</v>
      </c>
      <c r="N25" s="97">
        <f t="shared" si="4"/>
        <v>93.401000683077356</v>
      </c>
      <c r="O25" s="97">
        <f>N25*(A26-A25)</f>
        <v>915.32980669415815</v>
      </c>
      <c r="P25" s="111" t="s">
        <v>145</v>
      </c>
      <c r="Q25" s="3" t="e">
        <f t="shared" si="0"/>
        <v>#REF!</v>
      </c>
      <c r="AC25" s="104">
        <f>O25</f>
        <v>915.32980669415815</v>
      </c>
      <c r="AF25" s="111" t="s">
        <v>145</v>
      </c>
      <c r="AG25" s="112" t="s">
        <v>135</v>
      </c>
      <c r="AH25" s="127">
        <v>-22</v>
      </c>
      <c r="AI25" s="114">
        <v>1000</v>
      </c>
      <c r="AJ25" s="97">
        <f t="shared" si="1"/>
        <v>26.965</v>
      </c>
    </row>
    <row r="26" spans="1:37">
      <c r="A26" s="100">
        <v>18.3</v>
      </c>
      <c r="B26" s="100">
        <v>40</v>
      </c>
      <c r="C26" s="100">
        <v>16</v>
      </c>
      <c r="D26" s="100">
        <v>18</v>
      </c>
      <c r="E26" s="103" t="s">
        <v>141</v>
      </c>
      <c r="F26" s="100">
        <v>0</v>
      </c>
      <c r="G26" s="100">
        <v>0</v>
      </c>
      <c r="H26" s="98"/>
      <c r="I26" s="97">
        <f t="shared" si="2"/>
        <v>28.410050684943215</v>
      </c>
      <c r="J26" s="100">
        <v>16</v>
      </c>
      <c r="K26" s="100">
        <v>300</v>
      </c>
      <c r="L26" s="98"/>
      <c r="M26" s="97">
        <f t="shared" si="3"/>
        <v>19.232420302432153</v>
      </c>
      <c r="N26" s="97">
        <f t="shared" si="4"/>
        <v>47.642470987375368</v>
      </c>
      <c r="O26" s="97">
        <f>IF(A27&gt;AK27,N26*(AK27-A26),N26*(A27-A26))</f>
        <v>557.41691055229182</v>
      </c>
      <c r="P26" s="111" t="s">
        <v>146</v>
      </c>
      <c r="Q26" s="3" t="e">
        <f t="shared" si="0"/>
        <v>#REF!</v>
      </c>
      <c r="AC26">
        <f>N26*(21-A26)</f>
        <v>128.63467166591346</v>
      </c>
      <c r="AF26" s="111" t="s">
        <v>146</v>
      </c>
      <c r="AG26" s="112" t="s">
        <v>135</v>
      </c>
      <c r="AH26" s="127">
        <v>-19</v>
      </c>
      <c r="AI26" s="114">
        <v>1000</v>
      </c>
      <c r="AJ26" s="97">
        <f t="shared" si="1"/>
        <v>23.965</v>
      </c>
    </row>
    <row r="27" spans="1:37">
      <c r="A27" s="100">
        <v>30</v>
      </c>
      <c r="B27" s="100">
        <v>40</v>
      </c>
      <c r="C27" s="100">
        <v>0</v>
      </c>
      <c r="D27" s="100">
        <v>0</v>
      </c>
      <c r="E27" s="103" t="s">
        <v>141</v>
      </c>
      <c r="F27" s="100">
        <v>0</v>
      </c>
      <c r="G27" s="100">
        <v>0</v>
      </c>
      <c r="H27" s="98"/>
      <c r="I27" s="97">
        <f t="shared" si="2"/>
        <v>0</v>
      </c>
      <c r="J27" s="100">
        <v>0</v>
      </c>
      <c r="K27" s="100">
        <v>300</v>
      </c>
      <c r="L27" s="98"/>
      <c r="M27" s="97">
        <f t="shared" si="3"/>
        <v>0</v>
      </c>
      <c r="N27" s="97">
        <f t="shared" si="4"/>
        <v>0</v>
      </c>
      <c r="O27" s="97">
        <f>IF(A27&gt;AK27,0,N27*(AK27-A27))</f>
        <v>0</v>
      </c>
      <c r="P27" s="111" t="s">
        <v>147</v>
      </c>
      <c r="Q27" s="3" t="e">
        <f t="shared" si="0"/>
        <v>#REF!</v>
      </c>
      <c r="AF27" s="111" t="s">
        <v>147</v>
      </c>
      <c r="AG27" s="112" t="s">
        <v>135</v>
      </c>
      <c r="AH27" s="127">
        <v>-16</v>
      </c>
      <c r="AI27" s="114">
        <v>1000</v>
      </c>
      <c r="AJ27" s="97">
        <f>AG27-AH27+AI27/1000</f>
        <v>20.965</v>
      </c>
      <c r="AK27" s="104">
        <f>AVERAGE(AJ20:AJ27)</f>
        <v>32.027500000000003</v>
      </c>
    </row>
    <row r="28" spans="1:37" ht="15.75" thickBot="1">
      <c r="Q28" s="99" t="e">
        <f>SUM(Q20:Q27)</f>
        <v>#REF!</v>
      </c>
      <c r="R28" s="89" t="s">
        <v>148</v>
      </c>
      <c r="S28" s="102" t="e">
        <f>Q28/$D$11/8</f>
        <v>#REF!</v>
      </c>
      <c r="T28" t="s">
        <v>121</v>
      </c>
      <c r="V28" s="96"/>
      <c r="AC28" s="99" t="e">
        <f>SUM(AC22:AC26)</f>
        <v>#REF!</v>
      </c>
      <c r="AD28" s="115" t="e">
        <f>O28-AC28</f>
        <v>#REF!</v>
      </c>
    </row>
    <row r="29" spans="1:37" ht="15.75" thickTop="1">
      <c r="Q29" s="110"/>
      <c r="R29" s="89" t="s">
        <v>148</v>
      </c>
      <c r="S29" s="102" t="e">
        <f>Q28/'ss_ IFIR Summary (03.07)'!Q26</f>
        <v>#REF!</v>
      </c>
      <c r="T29" t="s">
        <v>224</v>
      </c>
    </row>
    <row r="30" spans="1:37" ht="18.75">
      <c r="A30" s="1" t="s">
        <v>149</v>
      </c>
      <c r="Q30" s="110"/>
      <c r="AF30" s="144" t="s">
        <v>150</v>
      </c>
      <c r="AG30" s="144"/>
      <c r="AH30" s="144"/>
      <c r="AI30" s="144"/>
      <c r="AJ30" s="144"/>
    </row>
    <row r="31" spans="1:37">
      <c r="Q31" s="110"/>
      <c r="AF31" s="3" t="s">
        <v>17</v>
      </c>
      <c r="AG31" s="3" t="s">
        <v>128</v>
      </c>
      <c r="AH31" s="3" t="s">
        <v>129</v>
      </c>
      <c r="AI31" s="3" t="s">
        <v>130</v>
      </c>
      <c r="AJ31" s="3" t="s">
        <v>131</v>
      </c>
    </row>
    <row r="32" spans="1:37" ht="14.45" customHeight="1">
      <c r="A32" s="145" t="s">
        <v>151</v>
      </c>
      <c r="B32" s="146" t="s">
        <v>132</v>
      </c>
      <c r="C32" s="144" t="s">
        <v>133</v>
      </c>
      <c r="D32" s="144"/>
      <c r="E32" s="144"/>
      <c r="F32" s="144"/>
      <c r="G32" s="144"/>
      <c r="H32" s="144"/>
      <c r="I32" s="144"/>
      <c r="J32" s="144" t="s">
        <v>72</v>
      </c>
      <c r="K32" s="144"/>
      <c r="L32" s="144"/>
      <c r="M32" s="144"/>
      <c r="N32" s="146" t="s">
        <v>109</v>
      </c>
      <c r="O32" s="146" t="s">
        <v>110</v>
      </c>
      <c r="P32" s="144" t="s">
        <v>152</v>
      </c>
      <c r="Q32" s="144"/>
      <c r="T32" t="s">
        <v>197</v>
      </c>
      <c r="AF32" s="111" t="s">
        <v>153</v>
      </c>
      <c r="AG32" s="112" t="s">
        <v>154</v>
      </c>
      <c r="AH32" s="127">
        <v>-35</v>
      </c>
      <c r="AI32" s="114">
        <v>1000</v>
      </c>
      <c r="AJ32" s="97">
        <f t="shared" ref="AJ32:AJ39" si="5">AG32-AH32+AI32/1000</f>
        <v>39.765000000000001</v>
      </c>
    </row>
    <row r="33" spans="1:37">
      <c r="A33" s="145"/>
      <c r="B33" s="146"/>
      <c r="C33" s="3" t="s">
        <v>136</v>
      </c>
      <c r="D33" s="3" t="s">
        <v>137</v>
      </c>
      <c r="F33" s="3" t="s">
        <v>136</v>
      </c>
      <c r="G33" s="3" t="s">
        <v>137</v>
      </c>
      <c r="H33" s="3" t="s">
        <v>138</v>
      </c>
      <c r="I33" s="3" t="s">
        <v>109</v>
      </c>
      <c r="J33" s="3" t="s">
        <v>136</v>
      </c>
      <c r="K33" s="3" t="s">
        <v>139</v>
      </c>
      <c r="L33" s="3" t="s">
        <v>138</v>
      </c>
      <c r="M33" s="3" t="s">
        <v>109</v>
      </c>
      <c r="N33" s="146"/>
      <c r="O33" s="146"/>
      <c r="P33" s="3" t="s">
        <v>17</v>
      </c>
      <c r="Q33" s="3" t="s">
        <v>110</v>
      </c>
      <c r="T33" s="5">
        <v>8</v>
      </c>
      <c r="AF33" s="111" t="s">
        <v>155</v>
      </c>
      <c r="AG33" s="112" t="s">
        <v>154</v>
      </c>
      <c r="AH33" s="127">
        <v>-35</v>
      </c>
      <c r="AI33" s="114">
        <v>1000</v>
      </c>
      <c r="AJ33" s="97">
        <f t="shared" si="5"/>
        <v>39.765000000000001</v>
      </c>
    </row>
    <row r="34" spans="1:37">
      <c r="A34" s="100">
        <v>0</v>
      </c>
      <c r="B34" s="100">
        <v>40</v>
      </c>
      <c r="C34" s="133">
        <v>32</v>
      </c>
      <c r="D34" s="100">
        <v>18</v>
      </c>
      <c r="E34" s="103" t="s">
        <v>141</v>
      </c>
      <c r="F34" s="100">
        <v>0</v>
      </c>
      <c r="G34" s="100">
        <v>0</v>
      </c>
      <c r="H34" s="98"/>
      <c r="I34" s="97">
        <f t="shared" ref="I34:I41" si="6">$C$13*((D34*PI()*((C34/1000)^2)/4)+(G34*PI()*((F34/1000)^2)/4))</f>
        <v>113.64020273977286</v>
      </c>
      <c r="J34" s="100">
        <v>16</v>
      </c>
      <c r="K34" s="100">
        <v>300</v>
      </c>
      <c r="L34" s="98"/>
      <c r="M34" s="97">
        <f>$C$13*$C$16*PI()*((J34/1000)^2)/4*1000/K34</f>
        <v>19.232420302432153</v>
      </c>
      <c r="N34" s="97">
        <f t="shared" ref="N34:N41" si="7">I34+M34</f>
        <v>132.87262304220502</v>
      </c>
      <c r="O34" s="97">
        <f t="shared" ref="O34:O39" si="8">N34*(A35-A34)</f>
        <v>465.05418064771754</v>
      </c>
      <c r="P34" s="111" t="s">
        <v>153</v>
      </c>
      <c r="Q34" s="3">
        <f>IF($A$39&gt;AJ32,$N$38*(AJ32-$A$38)+SUM($O$34:$O$37),IF($A$40&gt;AJ32,$N$39*(AJ32-$A$39)+SUM($O$34:$O$38),IF($A$41&gt;AJ32,$N$40*(AJ32-$A$40)+SUM($O$34:$O$39),$N$40*($A$41-$A$40)+SUM($O$34:$O$39))))</f>
        <v>2547.4450701141141</v>
      </c>
      <c r="U34" s="122"/>
      <c r="AC34" s="104">
        <f t="shared" ref="AC34:AC40" si="9">O34</f>
        <v>465.05418064771754</v>
      </c>
      <c r="AF34" s="111" t="s">
        <v>156</v>
      </c>
      <c r="AG34" s="112" t="s">
        <v>154</v>
      </c>
      <c r="AH34" s="127">
        <v>-34.5</v>
      </c>
      <c r="AI34" s="114">
        <v>1000</v>
      </c>
      <c r="AJ34" s="97">
        <f t="shared" si="5"/>
        <v>39.265000000000001</v>
      </c>
    </row>
    <row r="35" spans="1:37">
      <c r="A35" s="100">
        <v>3.5</v>
      </c>
      <c r="B35" s="100">
        <v>40</v>
      </c>
      <c r="C35" s="133">
        <v>32</v>
      </c>
      <c r="D35" s="100">
        <v>18</v>
      </c>
      <c r="E35" s="103" t="s">
        <v>141</v>
      </c>
      <c r="F35" s="100">
        <v>20</v>
      </c>
      <c r="G35" s="100">
        <v>18</v>
      </c>
      <c r="H35" s="98"/>
      <c r="I35" s="97">
        <f t="shared" si="6"/>
        <v>158.03090693499664</v>
      </c>
      <c r="J35" s="100">
        <v>16</v>
      </c>
      <c r="K35" s="100">
        <v>240</v>
      </c>
      <c r="L35" s="98"/>
      <c r="M35" s="97">
        <f t="shared" ref="M35:M41" si="10">$C$13*$C$16*PI()*((J35/1000)^2)/4*1000/K35</f>
        <v>24.04052537804019</v>
      </c>
      <c r="N35" s="97">
        <f t="shared" si="7"/>
        <v>182.07143231303684</v>
      </c>
      <c r="O35" s="97">
        <f t="shared" si="8"/>
        <v>182.07143231303684</v>
      </c>
      <c r="P35" s="111" t="s">
        <v>155</v>
      </c>
      <c r="Q35" s="3">
        <f t="shared" ref="Q35:Q41" si="11">IF($A$39&gt;AJ33,$N$38*(AJ33-$A$38)+SUM($O$34:$O$37),IF($A$40&gt;AJ33,$N$39*(AJ33-$A$39)+SUM($O$34:$O$38),IF($A$41&gt;AJ33,$N$40*(AJ33-$A$40)+SUM($O$34:$O$39),$N$40*($A$41-$A$40)+SUM($O$34:$O$39))))</f>
        <v>2547.4450701141141</v>
      </c>
      <c r="T35" t="s">
        <v>223</v>
      </c>
      <c r="U35" s="122"/>
      <c r="AC35" s="104">
        <f t="shared" si="9"/>
        <v>182.07143231303684</v>
      </c>
      <c r="AF35" s="111" t="s">
        <v>157</v>
      </c>
      <c r="AG35" s="112" t="s">
        <v>154</v>
      </c>
      <c r="AH35" s="127">
        <v>-34.5</v>
      </c>
      <c r="AI35" s="114">
        <v>1000</v>
      </c>
      <c r="AJ35" s="97">
        <f t="shared" si="5"/>
        <v>39.265000000000001</v>
      </c>
    </row>
    <row r="36" spans="1:37">
      <c r="A36" s="100">
        <v>4.5</v>
      </c>
      <c r="B36" s="100">
        <v>40</v>
      </c>
      <c r="C36" s="100">
        <v>20</v>
      </c>
      <c r="D36" s="100">
        <v>18</v>
      </c>
      <c r="E36" s="103" t="s">
        <v>141</v>
      </c>
      <c r="F36" s="100">
        <v>0</v>
      </c>
      <c r="G36" s="100">
        <v>0</v>
      </c>
      <c r="H36" s="98"/>
      <c r="I36" s="97">
        <f t="shared" si="6"/>
        <v>44.390704195223783</v>
      </c>
      <c r="J36" s="100">
        <v>16</v>
      </c>
      <c r="K36" s="100">
        <v>300</v>
      </c>
      <c r="L36" s="98"/>
      <c r="M36" s="97">
        <f t="shared" si="10"/>
        <v>19.232420302432153</v>
      </c>
      <c r="N36" s="97">
        <f t="shared" si="7"/>
        <v>63.623124497655937</v>
      </c>
      <c r="O36" s="97">
        <f t="shared" si="8"/>
        <v>636.23124497655931</v>
      </c>
      <c r="P36" s="111" t="s">
        <v>156</v>
      </c>
      <c r="Q36" s="3">
        <f t="shared" si="11"/>
        <v>2547.4450701141141</v>
      </c>
      <c r="T36" s="96">
        <f>Q42/T33</f>
        <v>2184.5285473677823</v>
      </c>
      <c r="U36" t="s">
        <v>111</v>
      </c>
      <c r="AC36" s="104">
        <f t="shared" si="9"/>
        <v>636.23124497655931</v>
      </c>
      <c r="AF36" s="111" t="s">
        <v>158</v>
      </c>
      <c r="AG36" s="112" t="s">
        <v>154</v>
      </c>
      <c r="AH36" s="127">
        <v>-19</v>
      </c>
      <c r="AI36" s="114">
        <v>1500</v>
      </c>
      <c r="AJ36" s="97">
        <f t="shared" si="5"/>
        <v>24.265000000000001</v>
      </c>
    </row>
    <row r="37" spans="1:37">
      <c r="A37" s="100">
        <v>14.5</v>
      </c>
      <c r="B37" s="100">
        <v>40</v>
      </c>
      <c r="C37" s="100">
        <v>20</v>
      </c>
      <c r="D37" s="100">
        <v>18</v>
      </c>
      <c r="E37" s="103" t="s">
        <v>141</v>
      </c>
      <c r="F37" s="100">
        <v>20</v>
      </c>
      <c r="G37" s="100">
        <v>18</v>
      </c>
      <c r="H37" s="98"/>
      <c r="I37" s="97">
        <f t="shared" si="6"/>
        <v>88.781408390447567</v>
      </c>
      <c r="J37" s="100">
        <v>16</v>
      </c>
      <c r="K37" s="100">
        <v>240</v>
      </c>
      <c r="L37" s="98"/>
      <c r="M37" s="97">
        <f t="shared" si="10"/>
        <v>24.04052537804019</v>
      </c>
      <c r="N37" s="97">
        <f t="shared" si="7"/>
        <v>112.82193376848775</v>
      </c>
      <c r="O37" s="97">
        <f t="shared" si="8"/>
        <v>112.82193376848775</v>
      </c>
      <c r="P37" s="111" t="s">
        <v>157</v>
      </c>
      <c r="Q37" s="3">
        <f t="shared" si="11"/>
        <v>2547.4450701141141</v>
      </c>
      <c r="U37" s="122"/>
      <c r="AC37" s="104">
        <f t="shared" si="9"/>
        <v>112.82193376848775</v>
      </c>
      <c r="AF37" s="111" t="s">
        <v>159</v>
      </c>
      <c r="AG37" s="112" t="s">
        <v>154</v>
      </c>
      <c r="AH37" s="127">
        <v>-19</v>
      </c>
      <c r="AI37" s="114">
        <v>1500</v>
      </c>
      <c r="AJ37" s="97">
        <f t="shared" si="5"/>
        <v>24.265000000000001</v>
      </c>
    </row>
    <row r="38" spans="1:37">
      <c r="A38" s="100">
        <v>15.5</v>
      </c>
      <c r="B38" s="100">
        <v>40</v>
      </c>
      <c r="C38" s="100">
        <v>20</v>
      </c>
      <c r="D38" s="100">
        <v>18</v>
      </c>
      <c r="E38" s="103" t="s">
        <v>141</v>
      </c>
      <c r="F38" s="100">
        <v>0</v>
      </c>
      <c r="G38" s="100">
        <v>0</v>
      </c>
      <c r="H38" s="98"/>
      <c r="I38" s="97">
        <f t="shared" si="6"/>
        <v>44.390704195223783</v>
      </c>
      <c r="J38" s="100">
        <v>16</v>
      </c>
      <c r="K38" s="100">
        <v>300</v>
      </c>
      <c r="L38" s="98"/>
      <c r="M38" s="97">
        <f t="shared" si="10"/>
        <v>19.232420302432153</v>
      </c>
      <c r="N38" s="97">
        <f t="shared" si="7"/>
        <v>63.623124497655937</v>
      </c>
      <c r="O38" s="97">
        <f t="shared" si="8"/>
        <v>159.05781124413983</v>
      </c>
      <c r="P38" s="111" t="s">
        <v>158</v>
      </c>
      <c r="Q38" s="3">
        <f t="shared" si="11"/>
        <v>1893.0757311025136</v>
      </c>
      <c r="U38" s="122"/>
      <c r="AC38" s="104">
        <f t="shared" si="9"/>
        <v>159.05781124413983</v>
      </c>
      <c r="AF38" s="111" t="s">
        <v>160</v>
      </c>
      <c r="AG38" s="112" t="s">
        <v>154</v>
      </c>
      <c r="AH38" s="127">
        <v>-17</v>
      </c>
      <c r="AI38" s="114">
        <v>1500</v>
      </c>
      <c r="AJ38" s="97">
        <f t="shared" si="5"/>
        <v>22.265000000000001</v>
      </c>
    </row>
    <row r="39" spans="1:37">
      <c r="A39" s="100">
        <v>18</v>
      </c>
      <c r="B39" s="100">
        <v>40</v>
      </c>
      <c r="C39" s="100">
        <v>20</v>
      </c>
      <c r="D39" s="100">
        <v>18</v>
      </c>
      <c r="E39" s="103" t="s">
        <v>141</v>
      </c>
      <c r="F39" s="100">
        <v>16</v>
      </c>
      <c r="G39" s="100">
        <v>18</v>
      </c>
      <c r="H39" s="98"/>
      <c r="I39" s="97">
        <f t="shared" si="6"/>
        <v>72.800754880167005</v>
      </c>
      <c r="J39" s="100">
        <v>16</v>
      </c>
      <c r="K39" s="100">
        <v>240</v>
      </c>
      <c r="L39" s="98"/>
      <c r="M39" s="97">
        <f t="shared" si="10"/>
        <v>24.04052537804019</v>
      </c>
      <c r="N39" s="97">
        <f t="shared" si="7"/>
        <v>96.841280258207192</v>
      </c>
      <c r="O39" s="97">
        <f t="shared" si="8"/>
        <v>77.473024206565825</v>
      </c>
      <c r="P39" s="111" t="s">
        <v>159</v>
      </c>
      <c r="Q39" s="3">
        <f t="shared" si="11"/>
        <v>1893.0757311025136</v>
      </c>
      <c r="U39" s="122"/>
      <c r="AC39" s="104">
        <f t="shared" si="9"/>
        <v>77.473024206565825</v>
      </c>
      <c r="AF39" s="111" t="s">
        <v>161</v>
      </c>
      <c r="AG39" s="112" t="s">
        <v>154</v>
      </c>
      <c r="AH39" s="127">
        <v>-15</v>
      </c>
      <c r="AI39" s="114">
        <v>1500</v>
      </c>
      <c r="AJ39" s="97">
        <f t="shared" si="5"/>
        <v>20.265000000000001</v>
      </c>
      <c r="AK39" s="104">
        <f>AVERAGE(AJ32:AJ39)</f>
        <v>31.139999999999993</v>
      </c>
    </row>
    <row r="40" spans="1:37">
      <c r="A40" s="100">
        <v>18.8</v>
      </c>
      <c r="B40" s="100">
        <v>40</v>
      </c>
      <c r="C40" s="100">
        <v>16</v>
      </c>
      <c r="D40" s="100">
        <v>18</v>
      </c>
      <c r="E40" s="103" t="s">
        <v>141</v>
      </c>
      <c r="F40" s="100">
        <v>0</v>
      </c>
      <c r="G40" s="100">
        <v>0</v>
      </c>
      <c r="H40" s="98"/>
      <c r="I40" s="97">
        <f t="shared" si="6"/>
        <v>28.410050684943215</v>
      </c>
      <c r="J40" s="100">
        <v>16</v>
      </c>
      <c r="K40" s="100">
        <v>300</v>
      </c>
      <c r="L40" s="98"/>
      <c r="M40" s="97">
        <f t="shared" si="10"/>
        <v>19.232420302432153</v>
      </c>
      <c r="N40" s="97">
        <f>I40+M40</f>
        <v>47.642470987375368</v>
      </c>
      <c r="O40" s="97">
        <f>IF(A41&gt;AK39,N40*(AK39-A40),N40*(A41-A40))</f>
        <v>587.90809198421175</v>
      </c>
      <c r="P40" s="111" t="s">
        <v>160</v>
      </c>
      <c r="Q40" s="3">
        <f t="shared" si="11"/>
        <v>1797.7907891277628</v>
      </c>
      <c r="U40" s="122"/>
      <c r="AC40" s="104">
        <f t="shared" si="9"/>
        <v>587.90809198421175</v>
      </c>
    </row>
    <row r="41" spans="1:37">
      <c r="A41" s="100">
        <v>38</v>
      </c>
      <c r="B41" s="100">
        <v>40</v>
      </c>
      <c r="C41" s="100">
        <v>0</v>
      </c>
      <c r="D41" s="100">
        <v>0</v>
      </c>
      <c r="E41" s="103" t="s">
        <v>141</v>
      </c>
      <c r="F41" s="100">
        <v>0</v>
      </c>
      <c r="G41" s="100">
        <v>0</v>
      </c>
      <c r="H41" s="98"/>
      <c r="I41" s="97">
        <f t="shared" si="6"/>
        <v>0</v>
      </c>
      <c r="J41" s="100">
        <v>16</v>
      </c>
      <c r="K41" s="100">
        <v>300</v>
      </c>
      <c r="L41" s="98"/>
      <c r="M41" s="97">
        <f t="shared" si="10"/>
        <v>19.232420302432153</v>
      </c>
      <c r="N41" s="97">
        <f t="shared" si="7"/>
        <v>19.232420302432153</v>
      </c>
      <c r="O41" s="97">
        <f>IF(A41&gt;AK39,0,N41*(AK39-A41))</f>
        <v>0</v>
      </c>
      <c r="P41" s="111" t="s">
        <v>161</v>
      </c>
      <c r="Q41" s="3">
        <f t="shared" si="11"/>
        <v>1702.5058471530122</v>
      </c>
      <c r="U41" s="122"/>
      <c r="AC41">
        <f>N41*(30-A41)</f>
        <v>-153.85936241945723</v>
      </c>
    </row>
    <row r="42" spans="1:37" ht="15.75" thickBot="1">
      <c r="Q42" s="99">
        <f>SUM(Q34:Q41)</f>
        <v>17476.228378942258</v>
      </c>
      <c r="R42" s="89" t="s">
        <v>148</v>
      </c>
      <c r="S42" s="102">
        <f>Q42/$I$10/8</f>
        <v>0.42923273659128414</v>
      </c>
      <c r="T42" t="s">
        <v>121</v>
      </c>
      <c r="V42" s="96"/>
      <c r="AC42" s="99">
        <f>SUM(AC34:AC40)</f>
        <v>2220.6177191407187</v>
      </c>
      <c r="AD42" s="115">
        <f>O42-AC42</f>
        <v>-2220.6177191407187</v>
      </c>
    </row>
    <row r="43" spans="1:37" ht="15.75" thickTop="1">
      <c r="O43" s="104"/>
      <c r="R43" s="89" t="s">
        <v>148</v>
      </c>
      <c r="S43" s="102">
        <f>Q42/'ss_ IFIR Summary (03.07)'!Q40</f>
        <v>0.94513837899850495</v>
      </c>
      <c r="T43" t="s">
        <v>224</v>
      </c>
    </row>
    <row r="44" spans="1:37" ht="18.75">
      <c r="A44" s="1" t="s">
        <v>162</v>
      </c>
    </row>
    <row r="45" spans="1:37">
      <c r="AG45" s="144" t="s">
        <v>163</v>
      </c>
      <c r="AH45" s="144"/>
      <c r="AI45" s="144"/>
      <c r="AJ45" s="144"/>
      <c r="AK45" s="144"/>
    </row>
    <row r="46" spans="1:37" ht="14.45" customHeight="1">
      <c r="A46" s="145" t="s">
        <v>151</v>
      </c>
      <c r="B46" s="146" t="s">
        <v>132</v>
      </c>
      <c r="C46" s="144" t="s">
        <v>133</v>
      </c>
      <c r="D46" s="144"/>
      <c r="E46" s="144"/>
      <c r="F46" s="144"/>
      <c r="G46" s="144"/>
      <c r="H46" s="144"/>
      <c r="I46" s="144"/>
      <c r="J46" s="144" t="s">
        <v>72</v>
      </c>
      <c r="K46" s="144"/>
      <c r="L46" s="144"/>
      <c r="M46" s="144"/>
      <c r="N46" s="146" t="s">
        <v>109</v>
      </c>
      <c r="O46" s="146" t="s">
        <v>110</v>
      </c>
      <c r="Q46" t="s">
        <v>164</v>
      </c>
      <c r="AG46" s="3" t="s">
        <v>17</v>
      </c>
      <c r="AH46" s="3" t="s">
        <v>128</v>
      </c>
      <c r="AI46" s="3" t="s">
        <v>129</v>
      </c>
      <c r="AJ46" s="3" t="s">
        <v>130</v>
      </c>
      <c r="AK46" s="3" t="s">
        <v>131</v>
      </c>
    </row>
    <row r="47" spans="1:37">
      <c r="A47" s="145"/>
      <c r="B47" s="146"/>
      <c r="C47" s="3" t="s">
        <v>136</v>
      </c>
      <c r="D47" s="3" t="s">
        <v>137</v>
      </c>
      <c r="F47" s="3" t="s">
        <v>136</v>
      </c>
      <c r="G47" s="3" t="s">
        <v>137</v>
      </c>
      <c r="H47" s="3" t="s">
        <v>138</v>
      </c>
      <c r="I47" s="3" t="s">
        <v>109</v>
      </c>
      <c r="J47" s="3" t="s">
        <v>136</v>
      </c>
      <c r="K47" s="3" t="s">
        <v>139</v>
      </c>
      <c r="L47" s="3" t="s">
        <v>138</v>
      </c>
      <c r="M47" s="3" t="s">
        <v>109</v>
      </c>
      <c r="N47" s="146"/>
      <c r="O47" s="146"/>
      <c r="Q47" s="5">
        <v>4</v>
      </c>
      <c r="AC47" s="104">
        <f t="shared" ref="AC47:AC54" si="12">O48</f>
        <v>7723.3836960998678</v>
      </c>
      <c r="AD47" s="104"/>
      <c r="AE47" s="104"/>
      <c r="AF47" s="104"/>
      <c r="AG47" s="111" t="s">
        <v>165</v>
      </c>
      <c r="AH47" s="112" t="s">
        <v>135</v>
      </c>
      <c r="AI47" s="127">
        <v>-33.5</v>
      </c>
      <c r="AJ47" s="114">
        <v>3500</v>
      </c>
      <c r="AK47" s="97">
        <f t="shared" ref="AK47:AK48" si="13">AH47-AI47+AJ47/1000</f>
        <v>40.965000000000003</v>
      </c>
    </row>
    <row r="48" spans="1:37">
      <c r="A48" s="100">
        <v>0</v>
      </c>
      <c r="B48" s="100">
        <v>40</v>
      </c>
      <c r="C48" s="100">
        <v>40</v>
      </c>
      <c r="D48" s="100">
        <v>18</v>
      </c>
      <c r="E48" s="103" t="s">
        <v>141</v>
      </c>
      <c r="F48" s="133">
        <v>40</v>
      </c>
      <c r="G48" s="100">
        <v>18</v>
      </c>
      <c r="H48" s="98"/>
      <c r="I48" s="97">
        <f>$C$13*((D48*PI()*((C48/1000)^2)/4)+(G48*PI()*((F48/1000)^2)/4))</f>
        <v>355.12563356179027</v>
      </c>
      <c r="J48" s="100">
        <v>25</v>
      </c>
      <c r="K48" s="100">
        <v>150</v>
      </c>
      <c r="L48" s="98"/>
      <c r="M48" s="97">
        <f>$C$13*$C$16*PI()*((J48/1000)^2)/4*1000/K48</f>
        <v>93.90830225796951</v>
      </c>
      <c r="N48" s="97">
        <f>I48+M48</f>
        <v>449.03393581975979</v>
      </c>
      <c r="O48" s="97">
        <f>$Q$47*N48*(A49-A48)</f>
        <v>7723.3836960998678</v>
      </c>
      <c r="AC48" s="104" t="e">
        <f t="shared" si="12"/>
        <v>#REF!</v>
      </c>
      <c r="AD48" s="104"/>
      <c r="AE48" s="104"/>
      <c r="AF48" s="104"/>
      <c r="AG48" s="111" t="s">
        <v>166</v>
      </c>
      <c r="AH48" s="112" t="s">
        <v>135</v>
      </c>
      <c r="AI48" s="127">
        <v>-33</v>
      </c>
      <c r="AJ48" s="114">
        <v>3500</v>
      </c>
      <c r="AK48" s="97">
        <f t="shared" si="13"/>
        <v>40.465000000000003</v>
      </c>
    </row>
    <row r="49" spans="1:38">
      <c r="A49" s="100">
        <v>4.3</v>
      </c>
      <c r="B49" s="100">
        <v>40</v>
      </c>
      <c r="C49" s="100">
        <v>40</v>
      </c>
      <c r="D49" s="100" t="e">
        <f>#REF!</f>
        <v>#REF!</v>
      </c>
      <c r="E49" s="103" t="s">
        <v>141</v>
      </c>
      <c r="F49" s="133">
        <v>0</v>
      </c>
      <c r="G49" s="133">
        <v>0</v>
      </c>
      <c r="H49" s="98"/>
      <c r="I49" s="97" t="e">
        <f>$C$13*((D49*PI()*((C49/1000)^2)/4)+(G49*PI()*((F49/1000)^2)/4))</f>
        <v>#REF!</v>
      </c>
      <c r="J49" s="100">
        <v>25</v>
      </c>
      <c r="K49" s="100">
        <v>150</v>
      </c>
      <c r="L49" s="98"/>
      <c r="M49" s="97">
        <f t="shared" ref="M49:M56" si="14">$C$13*$C$16*PI()*((J49/1000)^2)/4*1000/K49</f>
        <v>93.90830225796951</v>
      </c>
      <c r="N49" s="97" t="e">
        <f t="shared" ref="N49:N55" si="15">I49+M49</f>
        <v>#REF!</v>
      </c>
      <c r="O49" s="97" t="e">
        <f t="shared" ref="O49:O55" si="16">$Q$47*N49*(A50-A49)</f>
        <v>#REF!</v>
      </c>
      <c r="Q49" t="s">
        <v>223</v>
      </c>
      <c r="AC49" s="104">
        <f t="shared" si="12"/>
        <v>1862.6126389386011</v>
      </c>
      <c r="AD49" s="104"/>
      <c r="AE49" s="104"/>
      <c r="AF49" s="104"/>
      <c r="AG49" s="111" t="s">
        <v>169</v>
      </c>
      <c r="AH49" s="112" t="s">
        <v>135</v>
      </c>
      <c r="AI49" s="127">
        <v>-27</v>
      </c>
      <c r="AJ49" s="114">
        <v>3500</v>
      </c>
      <c r="AK49" s="97">
        <f>AH49-AI49+AJ49/1000</f>
        <v>34.465000000000003</v>
      </c>
    </row>
    <row r="50" spans="1:38">
      <c r="A50" s="100">
        <v>6</v>
      </c>
      <c r="B50" s="100">
        <v>40</v>
      </c>
      <c r="C50" s="100">
        <v>40</v>
      </c>
      <c r="D50" s="100">
        <v>18</v>
      </c>
      <c r="E50" s="103" t="s">
        <v>141</v>
      </c>
      <c r="F50" s="133">
        <v>32</v>
      </c>
      <c r="G50" s="133">
        <v>18</v>
      </c>
      <c r="H50" s="98"/>
      <c r="I50" s="97">
        <f>$C$13*((D50*PI()*((C50/1000)^2)/4)+(G50*PI()*((F50/1000)^2)/4))</f>
        <v>291.20301952066802</v>
      </c>
      <c r="J50" s="100">
        <v>16</v>
      </c>
      <c r="K50" s="100">
        <v>300</v>
      </c>
      <c r="L50" s="98"/>
      <c r="M50" s="97">
        <f t="shared" si="14"/>
        <v>19.232420302432153</v>
      </c>
      <c r="N50" s="97">
        <f t="shared" si="15"/>
        <v>310.43543982310018</v>
      </c>
      <c r="O50" s="97">
        <f t="shared" si="16"/>
        <v>1862.6126389386011</v>
      </c>
      <c r="Q50" s="96" t="e">
        <f>O57/Q47</f>
        <v>#REF!</v>
      </c>
      <c r="R50" t="s">
        <v>111</v>
      </c>
      <c r="AC50" s="104">
        <f t="shared" si="12"/>
        <v>826.08436870687842</v>
      </c>
      <c r="AD50" s="104"/>
      <c r="AE50" s="104"/>
      <c r="AF50" s="104"/>
      <c r="AG50" s="111" t="s">
        <v>170</v>
      </c>
      <c r="AH50" s="112" t="s">
        <v>135</v>
      </c>
      <c r="AI50" s="127">
        <v>-24.5</v>
      </c>
      <c r="AJ50" s="114">
        <v>3500</v>
      </c>
      <c r="AK50" s="97">
        <f>AH50-AI50+AJ50/1000</f>
        <v>31.965</v>
      </c>
      <c r="AL50" s="104">
        <f>AVERAGE(AK47:AK50)</f>
        <v>36.965000000000003</v>
      </c>
    </row>
    <row r="51" spans="1:38">
      <c r="A51" s="100">
        <v>7.5</v>
      </c>
      <c r="B51" s="100">
        <v>40</v>
      </c>
      <c r="C51" s="100">
        <v>32</v>
      </c>
      <c r="D51" s="100">
        <v>18</v>
      </c>
      <c r="E51" s="103" t="s">
        <v>141</v>
      </c>
      <c r="F51" s="100">
        <v>0</v>
      </c>
      <c r="G51" s="100">
        <v>0</v>
      </c>
      <c r="H51" s="98"/>
      <c r="I51" s="97">
        <f t="shared" ref="I51:I55" si="17">$C$13*((D51*PI()*((C51/1000)^2)/4)+(G51*PI()*((F51/1000)^2)/4))</f>
        <v>113.64020273977286</v>
      </c>
      <c r="J51" s="100">
        <v>16</v>
      </c>
      <c r="K51" s="100">
        <v>240</v>
      </c>
      <c r="L51" s="98"/>
      <c r="M51" s="97">
        <f t="shared" si="14"/>
        <v>24.04052537804019</v>
      </c>
      <c r="N51" s="97">
        <f t="shared" si="15"/>
        <v>137.68072811781306</v>
      </c>
      <c r="O51" s="97">
        <f t="shared" si="16"/>
        <v>826.08436870687842</v>
      </c>
      <c r="AC51" s="104">
        <f t="shared" si="12"/>
        <v>2657.4524608441006</v>
      </c>
      <c r="AD51" s="104"/>
      <c r="AE51" s="104"/>
      <c r="AF51" s="104"/>
    </row>
    <row r="52" spans="1:38">
      <c r="A52" s="100">
        <v>9</v>
      </c>
      <c r="B52" s="100">
        <v>40</v>
      </c>
      <c r="C52" s="100">
        <v>32</v>
      </c>
      <c r="D52" s="100">
        <v>18</v>
      </c>
      <c r="E52" s="103" t="s">
        <v>141</v>
      </c>
      <c r="F52" s="100">
        <v>0</v>
      </c>
      <c r="G52" s="100">
        <v>0</v>
      </c>
      <c r="H52" s="98"/>
      <c r="I52" s="97">
        <f t="shared" si="17"/>
        <v>113.64020273977286</v>
      </c>
      <c r="J52" s="100">
        <v>16</v>
      </c>
      <c r="K52" s="100">
        <v>300</v>
      </c>
      <c r="L52" s="98"/>
      <c r="M52" s="97">
        <f t="shared" si="14"/>
        <v>19.232420302432153</v>
      </c>
      <c r="N52" s="97">
        <f t="shared" si="15"/>
        <v>132.87262304220502</v>
      </c>
      <c r="O52" s="97">
        <f t="shared" si="16"/>
        <v>2657.4524608441006</v>
      </c>
      <c r="AC52" s="104">
        <f t="shared" si="12"/>
        <v>1652.1687374137568</v>
      </c>
      <c r="AD52" s="104"/>
      <c r="AE52" s="104"/>
      <c r="AF52" s="104"/>
    </row>
    <row r="53" spans="1:38">
      <c r="A53" s="100">
        <v>14</v>
      </c>
      <c r="B53" s="100">
        <v>40</v>
      </c>
      <c r="C53" s="100">
        <v>32</v>
      </c>
      <c r="D53" s="100">
        <v>18</v>
      </c>
      <c r="E53" s="103" t="s">
        <v>141</v>
      </c>
      <c r="F53" s="100">
        <v>0</v>
      </c>
      <c r="G53" s="100">
        <v>0</v>
      </c>
      <c r="H53" s="98"/>
      <c r="I53" s="97">
        <f t="shared" si="17"/>
        <v>113.64020273977286</v>
      </c>
      <c r="J53" s="100">
        <v>16</v>
      </c>
      <c r="K53" s="100">
        <v>240</v>
      </c>
      <c r="L53" s="98"/>
      <c r="M53" s="97">
        <f t="shared" si="14"/>
        <v>24.04052537804019</v>
      </c>
      <c r="N53" s="97">
        <f t="shared" si="15"/>
        <v>137.68072811781306</v>
      </c>
      <c r="O53" s="97">
        <f t="shared" si="16"/>
        <v>1652.1687374137568</v>
      </c>
      <c r="AC53" s="104">
        <f t="shared" si="12"/>
        <v>2657.4524608441006</v>
      </c>
    </row>
    <row r="54" spans="1:38">
      <c r="A54" s="100">
        <v>17</v>
      </c>
      <c r="B54" s="100">
        <v>40</v>
      </c>
      <c r="C54" s="100">
        <v>32</v>
      </c>
      <c r="D54" s="100">
        <v>18</v>
      </c>
      <c r="E54" s="103" t="s">
        <v>141</v>
      </c>
      <c r="F54" s="100">
        <v>0</v>
      </c>
      <c r="G54" s="100">
        <v>0</v>
      </c>
      <c r="H54" s="98"/>
      <c r="I54" s="97">
        <f t="shared" si="17"/>
        <v>113.64020273977286</v>
      </c>
      <c r="J54" s="100">
        <v>16</v>
      </c>
      <c r="K54" s="100">
        <v>300</v>
      </c>
      <c r="L54" s="98"/>
      <c r="M54" s="97">
        <f t="shared" si="14"/>
        <v>19.232420302432153</v>
      </c>
      <c r="N54" s="97">
        <f t="shared" si="15"/>
        <v>132.87262304220502</v>
      </c>
      <c r="O54" s="97">
        <f t="shared" si="16"/>
        <v>2657.4524608441006</v>
      </c>
      <c r="AC54" s="104">
        <f t="shared" si="12"/>
        <v>516.10455592687481</v>
      </c>
    </row>
    <row r="55" spans="1:38">
      <c r="A55" s="100">
        <v>22</v>
      </c>
      <c r="B55" s="100">
        <v>40</v>
      </c>
      <c r="C55" s="100">
        <v>32</v>
      </c>
      <c r="D55" s="100">
        <v>18</v>
      </c>
      <c r="E55" s="103" t="s">
        <v>141</v>
      </c>
      <c r="F55" s="100">
        <v>16</v>
      </c>
      <c r="G55" s="100">
        <v>18</v>
      </c>
      <c r="H55" s="98"/>
      <c r="I55" s="97">
        <f t="shared" si="17"/>
        <v>142.05025342471609</v>
      </c>
      <c r="J55" s="100">
        <v>16</v>
      </c>
      <c r="K55" s="100">
        <v>300</v>
      </c>
      <c r="L55" s="98"/>
      <c r="M55" s="97">
        <f t="shared" si="14"/>
        <v>19.232420302432153</v>
      </c>
      <c r="N55" s="97">
        <f t="shared" si="15"/>
        <v>161.28267372714825</v>
      </c>
      <c r="O55" s="97">
        <f t="shared" si="16"/>
        <v>516.10455592687481</v>
      </c>
      <c r="AC55">
        <f>N56*(21-A56)</f>
        <v>-85.756447777275696</v>
      </c>
    </row>
    <row r="56" spans="1:38" ht="15.75" thickBot="1">
      <c r="A56" s="100">
        <v>22.8</v>
      </c>
      <c r="B56" s="100">
        <v>40</v>
      </c>
      <c r="C56" s="100">
        <v>16</v>
      </c>
      <c r="D56" s="100">
        <v>18</v>
      </c>
      <c r="E56" s="103" t="s">
        <v>141</v>
      </c>
      <c r="F56" s="100">
        <v>0</v>
      </c>
      <c r="G56" s="100">
        <v>0</v>
      </c>
      <c r="H56" s="98"/>
      <c r="I56" s="97">
        <f>$C$13*((D56*PI()*((C56/1000)^2)/4)+(G56*PI()*((F56/1000)^2)/4))</f>
        <v>28.410050684943215</v>
      </c>
      <c r="J56" s="100">
        <v>16</v>
      </c>
      <c r="K56" s="100">
        <v>300</v>
      </c>
      <c r="L56" s="98"/>
      <c r="M56" s="97">
        <f t="shared" si="14"/>
        <v>19.232420302432153</v>
      </c>
      <c r="N56" s="97">
        <f>I56+M56</f>
        <v>47.642470987375368</v>
      </c>
      <c r="O56" s="97">
        <f>$Q$47*N56*($AL$50-A56)</f>
        <v>2699.4224061446889</v>
      </c>
      <c r="AC56" s="99" t="e">
        <f>SUM(AC47:AC55)</f>
        <v>#REF!</v>
      </c>
      <c r="AD56" s="115" t="e">
        <f>O57-AC56</f>
        <v>#REF!</v>
      </c>
      <c r="AE56" s="115"/>
      <c r="AF56" s="115"/>
    </row>
    <row r="57" spans="1:38" ht="16.5" thickTop="1" thickBot="1">
      <c r="O57" s="99" t="e">
        <f>SUM(O48:O56)</f>
        <v>#REF!</v>
      </c>
      <c r="P57" s="89" t="s">
        <v>148</v>
      </c>
      <c r="Q57" s="102" t="e">
        <f>O57/$D$11/Q47</f>
        <v>#REF!</v>
      </c>
      <c r="R57" t="s">
        <v>121</v>
      </c>
    </row>
    <row r="58" spans="1:38" ht="15.75" thickTop="1">
      <c r="P58" s="89" t="s">
        <v>148</v>
      </c>
      <c r="Q58" s="102" t="e">
        <f>(O57/Q47)/('ss_ IFIR Summary (03.07)'!O55/'ss_ IFIR Summary (03.07)'!Q45)</f>
        <v>#REF!</v>
      </c>
      <c r="R58" t="s">
        <v>224</v>
      </c>
      <c r="AG58" s="144" t="s">
        <v>171</v>
      </c>
      <c r="AH58" s="144"/>
      <c r="AI58" s="144"/>
      <c r="AJ58" s="144"/>
      <c r="AK58" s="144"/>
    </row>
    <row r="59" spans="1:38" ht="18.75">
      <c r="A59" s="1" t="s">
        <v>172</v>
      </c>
      <c r="AG59" s="3" t="s">
        <v>17</v>
      </c>
      <c r="AH59" s="3" t="s">
        <v>128</v>
      </c>
      <c r="AI59" s="3" t="s">
        <v>129</v>
      </c>
      <c r="AJ59" s="3" t="s">
        <v>130</v>
      </c>
      <c r="AK59" s="3" t="s">
        <v>131</v>
      </c>
    </row>
    <row r="60" spans="1:38">
      <c r="AG60" s="111" t="s">
        <v>173</v>
      </c>
      <c r="AH60" s="112" t="s">
        <v>154</v>
      </c>
      <c r="AI60" s="127">
        <v>-34</v>
      </c>
      <c r="AJ60" s="114">
        <v>4000</v>
      </c>
      <c r="AK60" s="97">
        <f t="shared" ref="AK60:AK61" si="18">AH60-AI60+AJ60/1000</f>
        <v>41.765000000000001</v>
      </c>
    </row>
    <row r="61" spans="1:38" ht="14.45" customHeight="1">
      <c r="A61" s="145" t="s">
        <v>151</v>
      </c>
      <c r="B61" s="146" t="s">
        <v>132</v>
      </c>
      <c r="C61" s="144" t="s">
        <v>133</v>
      </c>
      <c r="D61" s="144"/>
      <c r="E61" s="144"/>
      <c r="F61" s="144"/>
      <c r="G61" s="144"/>
      <c r="H61" s="144"/>
      <c r="I61" s="144"/>
      <c r="J61" s="144" t="s">
        <v>72</v>
      </c>
      <c r="K61" s="144"/>
      <c r="L61" s="144"/>
      <c r="M61" s="144"/>
      <c r="N61" s="146" t="s">
        <v>109</v>
      </c>
      <c r="O61" s="146" t="s">
        <v>110</v>
      </c>
      <c r="Q61" t="s">
        <v>174</v>
      </c>
      <c r="AG61" s="111" t="s">
        <v>175</v>
      </c>
      <c r="AH61" s="112" t="s">
        <v>154</v>
      </c>
      <c r="AI61" s="127">
        <v>-33</v>
      </c>
      <c r="AJ61" s="114">
        <v>4000</v>
      </c>
      <c r="AK61" s="97">
        <f t="shared" si="18"/>
        <v>40.765000000000001</v>
      </c>
    </row>
    <row r="62" spans="1:38">
      <c r="A62" s="145"/>
      <c r="B62" s="146"/>
      <c r="C62" s="3" t="s">
        <v>136</v>
      </c>
      <c r="D62" s="3" t="s">
        <v>137</v>
      </c>
      <c r="F62" s="3" t="s">
        <v>136</v>
      </c>
      <c r="G62" s="3" t="s">
        <v>137</v>
      </c>
      <c r="H62" s="3" t="s">
        <v>138</v>
      </c>
      <c r="I62" s="3" t="s">
        <v>109</v>
      </c>
      <c r="J62" s="3" t="s">
        <v>136</v>
      </c>
      <c r="K62" s="3" t="s">
        <v>139</v>
      </c>
      <c r="L62" s="3" t="s">
        <v>138</v>
      </c>
      <c r="M62" s="3" t="s">
        <v>109</v>
      </c>
      <c r="N62" s="146"/>
      <c r="O62" s="146"/>
      <c r="Q62" s="5">
        <v>4</v>
      </c>
      <c r="AC62" s="104" t="e">
        <f>O63</f>
        <v>#REF!</v>
      </c>
      <c r="AG62" s="111" t="s">
        <v>178</v>
      </c>
      <c r="AH62" s="112" t="s">
        <v>154</v>
      </c>
      <c r="AI62" s="127">
        <v>-22.5</v>
      </c>
      <c r="AJ62" s="114">
        <v>4000</v>
      </c>
      <c r="AK62" s="97">
        <f>AH62-AI62+AJ62/1000</f>
        <v>30.265000000000001</v>
      </c>
    </row>
    <row r="63" spans="1:38">
      <c r="A63" s="100">
        <v>0</v>
      </c>
      <c r="B63" s="100">
        <v>40</v>
      </c>
      <c r="C63" s="133">
        <v>32</v>
      </c>
      <c r="D63" s="100" t="e">
        <f>#REF!</f>
        <v>#REF!</v>
      </c>
      <c r="E63" s="103" t="s">
        <v>141</v>
      </c>
      <c r="F63" s="100">
        <v>0</v>
      </c>
      <c r="G63" s="100">
        <v>0</v>
      </c>
      <c r="H63" s="98"/>
      <c r="I63" s="97" t="e">
        <f>$C$13*((D63*PI()*((C63/1000)^2)/4)+(G63*PI()*((F63/1000)^2)/4))</f>
        <v>#REF!</v>
      </c>
      <c r="J63" s="100">
        <v>16</v>
      </c>
      <c r="K63" s="100">
        <v>300</v>
      </c>
      <c r="L63" s="98"/>
      <c r="M63" s="97">
        <f>$C$13*$C$16*PI()*((J63/1000)^2)/4*1000/K63</f>
        <v>19.232420302432153</v>
      </c>
      <c r="N63" s="97" t="e">
        <f>I63+M63</f>
        <v>#REF!</v>
      </c>
      <c r="O63" s="97" t="e">
        <f>$Q$62*N63*(A64-A63)</f>
        <v>#REF!</v>
      </c>
      <c r="AC63" s="104">
        <f>O64</f>
        <v>797.23573825323012</v>
      </c>
      <c r="AG63" s="111" t="s">
        <v>179</v>
      </c>
      <c r="AH63" s="112" t="s">
        <v>154</v>
      </c>
      <c r="AI63" s="127">
        <v>-20.5</v>
      </c>
      <c r="AJ63" s="114">
        <v>4000</v>
      </c>
      <c r="AK63" s="97">
        <f>AH63-AI63+AJ63/1000</f>
        <v>28.265000000000001</v>
      </c>
      <c r="AL63" s="104">
        <f>AVERAGE(AK60:AK63)</f>
        <v>35.265000000000001</v>
      </c>
    </row>
    <row r="64" spans="1:38">
      <c r="A64" s="100">
        <v>10.5</v>
      </c>
      <c r="B64" s="100">
        <v>40</v>
      </c>
      <c r="C64" s="133">
        <v>32</v>
      </c>
      <c r="D64" s="100">
        <v>18</v>
      </c>
      <c r="E64" s="103" t="s">
        <v>141</v>
      </c>
      <c r="F64" s="100">
        <v>0</v>
      </c>
      <c r="G64" s="100">
        <v>0</v>
      </c>
      <c r="H64" s="98"/>
      <c r="I64" s="97">
        <f>$C$13*((D64*PI()*((C64/1000)^2)/4)+(G64*PI()*((F64/1000)^2)/4))</f>
        <v>113.64020273977286</v>
      </c>
      <c r="J64" s="100">
        <v>16</v>
      </c>
      <c r="K64" s="100">
        <v>300</v>
      </c>
      <c r="L64" s="98"/>
      <c r="M64" s="97">
        <f t="shared" ref="M64:M71" si="19">$C$13*$C$16*PI()*((J64/1000)^2)/4*1000/K64</f>
        <v>19.232420302432153</v>
      </c>
      <c r="N64" s="97">
        <f>I64+M64</f>
        <v>132.87262304220502</v>
      </c>
      <c r="O64" s="97">
        <f>$Q$62*N64*(A65-A64)</f>
        <v>797.23573825323012</v>
      </c>
      <c r="Q64" t="s">
        <v>223</v>
      </c>
      <c r="AC64" s="104">
        <f>O65</f>
        <v>425.19239373505644</v>
      </c>
    </row>
    <row r="65" spans="1:38">
      <c r="A65" s="100">
        <v>12</v>
      </c>
      <c r="B65" s="100">
        <v>40</v>
      </c>
      <c r="C65" s="133">
        <v>32</v>
      </c>
      <c r="D65" s="100">
        <v>18</v>
      </c>
      <c r="E65" s="103" t="s">
        <v>141</v>
      </c>
      <c r="F65" s="100">
        <v>0</v>
      </c>
      <c r="G65" s="100">
        <v>0</v>
      </c>
      <c r="H65" s="98"/>
      <c r="I65" s="97">
        <f>$C$13*((D65*PI()*((C65/1000)^2)/4)+(G65*PI()*((F65/1000)^2)/4))</f>
        <v>113.64020273977286</v>
      </c>
      <c r="J65" s="100">
        <v>16</v>
      </c>
      <c r="K65" s="100">
        <v>300</v>
      </c>
      <c r="L65" s="98"/>
      <c r="M65" s="97">
        <f t="shared" si="19"/>
        <v>19.232420302432153</v>
      </c>
      <c r="N65" s="97">
        <f>I65+M65</f>
        <v>132.87262304220502</v>
      </c>
      <c r="O65" s="97">
        <f>$Q$62*N65*(A66-A65)</f>
        <v>425.19239373505644</v>
      </c>
      <c r="Q65" s="96" t="e">
        <f>O72/Q62</f>
        <v>#REF!</v>
      </c>
      <c r="R65" t="s">
        <v>111</v>
      </c>
      <c r="AC65">
        <f>N71*(30-A71)</f>
        <v>-177.18579121493866</v>
      </c>
    </row>
    <row r="66" spans="1:38" ht="15.75" thickBot="1">
      <c r="A66" s="100">
        <v>12.8</v>
      </c>
      <c r="B66" s="100">
        <v>40</v>
      </c>
      <c r="C66" s="133">
        <v>32</v>
      </c>
      <c r="D66" s="100">
        <v>18</v>
      </c>
      <c r="E66" s="103" t="s">
        <v>141</v>
      </c>
      <c r="F66" s="100">
        <v>0</v>
      </c>
      <c r="G66" s="100">
        <v>0</v>
      </c>
      <c r="H66" s="98"/>
      <c r="I66" s="97">
        <f t="shared" ref="I66:I70" si="20">$C$13*((D66*PI()*((C66/1000)^2)/4)+(G66*PI()*((F66/1000)^2)/4))</f>
        <v>113.64020273977286</v>
      </c>
      <c r="J66" s="100">
        <v>16</v>
      </c>
      <c r="K66" s="100">
        <v>300</v>
      </c>
      <c r="L66" s="98"/>
      <c r="M66" s="97">
        <f t="shared" si="19"/>
        <v>19.232420302432153</v>
      </c>
      <c r="N66" s="97">
        <f t="shared" ref="N66:N70" si="21">I66+M66</f>
        <v>132.87262304220502</v>
      </c>
      <c r="O66" s="97">
        <f t="shared" ref="O66:O70" si="22">$Q$62*N66*(A67-A66)</f>
        <v>637.78859060258367</v>
      </c>
      <c r="AC66" s="99" t="e">
        <f>SUM(AC62:AC65)</f>
        <v>#REF!</v>
      </c>
      <c r="AD66" s="115" t="e">
        <f>O72-AC66</f>
        <v>#REF!</v>
      </c>
      <c r="AG66" s="104"/>
      <c r="AH66" s="104"/>
      <c r="AI66" s="104"/>
      <c r="AJ66" s="104"/>
      <c r="AK66" s="104"/>
      <c r="AL66" s="104"/>
    </row>
    <row r="67" spans="1:38" ht="15.75" thickTop="1">
      <c r="A67" s="100">
        <v>14</v>
      </c>
      <c r="B67" s="100">
        <v>40</v>
      </c>
      <c r="C67" s="133">
        <v>32</v>
      </c>
      <c r="D67" s="100">
        <v>18</v>
      </c>
      <c r="E67" s="103" t="s">
        <v>141</v>
      </c>
      <c r="F67" s="133">
        <v>20</v>
      </c>
      <c r="G67" s="133">
        <v>18</v>
      </c>
      <c r="H67" s="98"/>
      <c r="I67" s="97">
        <f t="shared" si="20"/>
        <v>158.03090693499664</v>
      </c>
      <c r="J67" s="100">
        <v>16</v>
      </c>
      <c r="K67" s="100">
        <v>300</v>
      </c>
      <c r="L67" s="98"/>
      <c r="M67" s="97">
        <f t="shared" si="19"/>
        <v>19.232420302432153</v>
      </c>
      <c r="N67" s="97">
        <f t="shared" si="21"/>
        <v>177.2633272374288</v>
      </c>
      <c r="O67" s="97">
        <f t="shared" si="22"/>
        <v>6381.4797805474363</v>
      </c>
      <c r="AG67" s="104"/>
      <c r="AH67" s="104"/>
      <c r="AI67" s="104"/>
      <c r="AJ67" s="104"/>
      <c r="AK67" s="104"/>
      <c r="AL67" s="104"/>
    </row>
    <row r="68" spans="1:38">
      <c r="A68" s="100">
        <v>23</v>
      </c>
      <c r="B68" s="100">
        <v>40</v>
      </c>
      <c r="C68" s="133">
        <v>32</v>
      </c>
      <c r="D68" s="100">
        <v>18</v>
      </c>
      <c r="E68" s="103" t="s">
        <v>141</v>
      </c>
      <c r="F68" s="100">
        <v>0</v>
      </c>
      <c r="G68" s="100">
        <v>0</v>
      </c>
      <c r="H68" s="98"/>
      <c r="I68" s="97">
        <f t="shared" si="20"/>
        <v>113.64020273977286</v>
      </c>
      <c r="J68" s="100">
        <v>16</v>
      </c>
      <c r="K68" s="100">
        <v>300</v>
      </c>
      <c r="L68" s="98"/>
      <c r="M68" s="97">
        <f t="shared" si="19"/>
        <v>19.232420302432153</v>
      </c>
      <c r="N68" s="97">
        <f t="shared" si="21"/>
        <v>132.87262304220502</v>
      </c>
      <c r="O68" s="97">
        <f t="shared" si="22"/>
        <v>637.78859060258367</v>
      </c>
      <c r="AG68" s="104"/>
      <c r="AH68" s="104"/>
      <c r="AI68" s="104"/>
      <c r="AJ68" s="104"/>
      <c r="AK68" s="104"/>
      <c r="AL68" s="104"/>
    </row>
    <row r="69" spans="1:38">
      <c r="A69" s="100">
        <v>24.2</v>
      </c>
      <c r="B69" s="100">
        <v>40</v>
      </c>
      <c r="C69" s="133">
        <v>25</v>
      </c>
      <c r="D69" s="100">
        <v>18</v>
      </c>
      <c r="E69" s="103" t="s">
        <v>141</v>
      </c>
      <c r="F69" s="100">
        <v>0</v>
      </c>
      <c r="G69" s="100">
        <v>0</v>
      </c>
      <c r="H69" s="98"/>
      <c r="I69" s="97">
        <f t="shared" si="20"/>
        <v>69.36047530503717</v>
      </c>
      <c r="J69" s="100">
        <v>16</v>
      </c>
      <c r="K69" s="100">
        <v>300</v>
      </c>
      <c r="L69" s="98"/>
      <c r="M69" s="97">
        <f t="shared" si="19"/>
        <v>19.232420302432153</v>
      </c>
      <c r="N69" s="97">
        <f t="shared" si="21"/>
        <v>88.59289560746933</v>
      </c>
      <c r="O69" s="97">
        <f t="shared" si="22"/>
        <v>2409.7267605231659</v>
      </c>
      <c r="AG69" s="104"/>
      <c r="AH69" s="104"/>
      <c r="AI69" s="104"/>
      <c r="AJ69" s="104"/>
      <c r="AK69" s="104"/>
      <c r="AL69" s="104"/>
    </row>
    <row r="70" spans="1:38">
      <c r="A70" s="100">
        <v>31</v>
      </c>
      <c r="B70" s="100">
        <v>40</v>
      </c>
      <c r="C70" s="133">
        <v>25</v>
      </c>
      <c r="D70" s="100">
        <v>18</v>
      </c>
      <c r="E70" s="103" t="s">
        <v>141</v>
      </c>
      <c r="F70" s="100">
        <v>0</v>
      </c>
      <c r="G70" s="100">
        <v>0</v>
      </c>
      <c r="H70" s="98"/>
      <c r="I70" s="97">
        <f t="shared" si="20"/>
        <v>69.36047530503717</v>
      </c>
      <c r="J70" s="100">
        <v>16</v>
      </c>
      <c r="K70" s="100">
        <v>300</v>
      </c>
      <c r="L70" s="98"/>
      <c r="M70" s="97">
        <f t="shared" si="19"/>
        <v>19.232420302432153</v>
      </c>
      <c r="N70" s="97">
        <f t="shared" si="21"/>
        <v>88.59289560746933</v>
      </c>
      <c r="O70" s="97">
        <f t="shared" si="22"/>
        <v>354.37158242987732</v>
      </c>
      <c r="AL70" s="104"/>
    </row>
    <row r="71" spans="1:38">
      <c r="A71" s="100">
        <v>32</v>
      </c>
      <c r="B71" s="100">
        <v>40</v>
      </c>
      <c r="C71" s="133">
        <v>25</v>
      </c>
      <c r="D71" s="100">
        <v>18</v>
      </c>
      <c r="E71" s="103" t="s">
        <v>141</v>
      </c>
      <c r="F71" s="100">
        <v>0</v>
      </c>
      <c r="G71" s="100">
        <v>0</v>
      </c>
      <c r="H71" s="98"/>
      <c r="I71" s="97">
        <f>$C$13*((D71*PI()*((C71/1000)^2)/4)+(G71*PI()*((F71/1000)^2)/4))</f>
        <v>69.36047530503717</v>
      </c>
      <c r="J71" s="100">
        <v>16</v>
      </c>
      <c r="K71" s="100">
        <v>300</v>
      </c>
      <c r="L71" s="98"/>
      <c r="M71" s="97">
        <f t="shared" si="19"/>
        <v>19.232420302432153</v>
      </c>
      <c r="N71" s="97">
        <f>I71+M71</f>
        <v>88.59289560746933</v>
      </c>
      <c r="O71" s="97">
        <f>$Q$62*N71*($AL$63-A71)</f>
        <v>1157.0232166335497</v>
      </c>
    </row>
    <row r="72" spans="1:38" ht="15.75" thickBot="1">
      <c r="O72" s="99" t="e">
        <f>SUM(O63:O71)</f>
        <v>#REF!</v>
      </c>
      <c r="P72" s="89" t="s">
        <v>148</v>
      </c>
      <c r="Q72" s="102" t="e">
        <f>O72/$I$10/Q62</f>
        <v>#REF!</v>
      </c>
      <c r="R72" t="s">
        <v>121</v>
      </c>
      <c r="AG72" s="144" t="s">
        <v>181</v>
      </c>
      <c r="AH72" s="144"/>
      <c r="AI72" s="144"/>
      <c r="AJ72" s="144"/>
      <c r="AK72" s="144"/>
    </row>
    <row r="73" spans="1:38" ht="15.75" thickTop="1">
      <c r="K73" s="104"/>
      <c r="P73" s="89" t="s">
        <v>148</v>
      </c>
      <c r="Q73" s="102" t="e">
        <f>(O72/Q62)/('ss_ IFIR Summary (03.07)'!O65/'ss_ IFIR Summary (03.07)'!Q60)</f>
        <v>#REF!</v>
      </c>
      <c r="R73" t="s">
        <v>224</v>
      </c>
      <c r="AG73" s="3" t="s">
        <v>17</v>
      </c>
      <c r="AH73" s="3" t="s">
        <v>128</v>
      </c>
      <c r="AI73" s="3" t="s">
        <v>129</v>
      </c>
      <c r="AJ73" s="3" t="s">
        <v>130</v>
      </c>
      <c r="AK73" s="3" t="s">
        <v>131</v>
      </c>
    </row>
    <row r="74" spans="1:38" ht="18.75">
      <c r="A74" s="1" t="s">
        <v>180</v>
      </c>
      <c r="AG74" s="111" t="s">
        <v>167</v>
      </c>
      <c r="AH74" s="112" t="s">
        <v>135</v>
      </c>
      <c r="AI74" s="127">
        <v>-34.5</v>
      </c>
      <c r="AJ74" s="114">
        <v>3000</v>
      </c>
      <c r="AK74" s="97">
        <f t="shared" ref="AK74" si="23">AH74-AI74+AJ74/1000</f>
        <v>41.465000000000003</v>
      </c>
    </row>
    <row r="75" spans="1:38">
      <c r="AG75" s="111" t="s">
        <v>183</v>
      </c>
      <c r="AH75" s="112" t="s">
        <v>135</v>
      </c>
      <c r="AI75" s="127">
        <v>-35</v>
      </c>
      <c r="AJ75" s="114">
        <v>3000</v>
      </c>
      <c r="AK75" s="97">
        <f>AH75-AI75+AJ75/1000</f>
        <v>41.965000000000003</v>
      </c>
    </row>
    <row r="76" spans="1:38" ht="14.45" customHeight="1">
      <c r="A76" s="147" t="s">
        <v>151</v>
      </c>
      <c r="B76" s="149" t="s">
        <v>132</v>
      </c>
      <c r="C76" s="144" t="s">
        <v>133</v>
      </c>
      <c r="D76" s="144"/>
      <c r="E76" s="144"/>
      <c r="F76" s="144"/>
      <c r="G76" s="144"/>
      <c r="H76" s="144"/>
      <c r="I76" s="144"/>
      <c r="J76" s="151" t="s">
        <v>72</v>
      </c>
      <c r="K76" s="152"/>
      <c r="L76" s="152"/>
      <c r="M76" s="153"/>
      <c r="N76" s="149" t="s">
        <v>109</v>
      </c>
      <c r="O76" s="149" t="s">
        <v>110</v>
      </c>
      <c r="Q76" t="s">
        <v>182</v>
      </c>
      <c r="AG76" s="111" t="s">
        <v>184</v>
      </c>
      <c r="AH76" s="112" t="s">
        <v>135</v>
      </c>
      <c r="AI76" s="127">
        <v>-35</v>
      </c>
      <c r="AJ76" s="114">
        <v>3000</v>
      </c>
      <c r="AK76" s="97">
        <f t="shared" ref="AK76:AK86" si="24">AH76-AI76+AJ76/1000</f>
        <v>41.965000000000003</v>
      </c>
    </row>
    <row r="77" spans="1:38">
      <c r="A77" s="148"/>
      <c r="B77" s="150"/>
      <c r="C77" s="3" t="s">
        <v>136</v>
      </c>
      <c r="D77" s="3" t="s">
        <v>137</v>
      </c>
      <c r="F77" s="3" t="s">
        <v>136</v>
      </c>
      <c r="G77" s="3" t="s">
        <v>137</v>
      </c>
      <c r="H77" s="3" t="s">
        <v>138</v>
      </c>
      <c r="I77" s="3" t="s">
        <v>109</v>
      </c>
      <c r="J77" s="3" t="s">
        <v>136</v>
      </c>
      <c r="K77" s="3" t="s">
        <v>139</v>
      </c>
      <c r="L77" s="3" t="s">
        <v>138</v>
      </c>
      <c r="M77" s="3" t="s">
        <v>109</v>
      </c>
      <c r="N77" s="150"/>
      <c r="O77" s="150"/>
      <c r="Q77" s="5">
        <v>13</v>
      </c>
      <c r="AC77" s="104">
        <f t="shared" ref="AC77:AC84" si="25">O78</f>
        <v>13371.423666278724</v>
      </c>
      <c r="AD77" s="104"/>
      <c r="AE77" s="104"/>
      <c r="AF77" s="104"/>
      <c r="AG77" s="111" t="s">
        <v>185</v>
      </c>
      <c r="AH77" s="112" t="s">
        <v>135</v>
      </c>
      <c r="AI77" s="127">
        <v>-35.5</v>
      </c>
      <c r="AJ77" s="114">
        <v>3000</v>
      </c>
      <c r="AK77" s="97">
        <f t="shared" si="24"/>
        <v>42.465000000000003</v>
      </c>
    </row>
    <row r="78" spans="1:38">
      <c r="A78" s="100">
        <v>0</v>
      </c>
      <c r="B78" s="100">
        <v>40</v>
      </c>
      <c r="C78" s="100">
        <v>40</v>
      </c>
      <c r="D78" s="100">
        <v>18</v>
      </c>
      <c r="E78" s="103" t="s">
        <v>141</v>
      </c>
      <c r="F78" s="100">
        <v>25</v>
      </c>
      <c r="G78" s="100">
        <v>18</v>
      </c>
      <c r="H78" s="98" t="e">
        <f>#REF!</f>
        <v>#REF!</v>
      </c>
      <c r="I78" s="97">
        <f>$C$13*((D78*PI()*((C78/1000)^2)/4)+(G78*PI()*((F78/1000)^2)/4))</f>
        <v>246.9232920859323</v>
      </c>
      <c r="J78" s="100">
        <v>25</v>
      </c>
      <c r="K78" s="100">
        <v>300</v>
      </c>
      <c r="L78" s="98" t="e">
        <f>MAX(#REF!,#REF!)</f>
        <v>#REF!</v>
      </c>
      <c r="M78" s="97">
        <f>$C$13*$C$16*PI()*((J78/1000)^2)/4*1000/K78</f>
        <v>46.954151128984755</v>
      </c>
      <c r="N78" s="97">
        <f t="shared" ref="N78:N86" si="26">I78+M78</f>
        <v>293.87744321491704</v>
      </c>
      <c r="O78" s="97">
        <f>$Q$77*N78*(A79-A78)</f>
        <v>13371.423666278724</v>
      </c>
      <c r="AC78" s="104">
        <f t="shared" si="25"/>
        <v>4378.080874242658</v>
      </c>
      <c r="AD78" s="104"/>
      <c r="AE78" s="104"/>
      <c r="AF78" s="104"/>
      <c r="AG78" s="111" t="s">
        <v>186</v>
      </c>
      <c r="AH78" s="112" t="s">
        <v>135</v>
      </c>
      <c r="AI78" s="127">
        <v>-36</v>
      </c>
      <c r="AJ78" s="114">
        <v>3000</v>
      </c>
      <c r="AK78" s="97">
        <f t="shared" si="24"/>
        <v>42.965000000000003</v>
      </c>
    </row>
    <row r="79" spans="1:38">
      <c r="A79" s="133">
        <v>3.5</v>
      </c>
      <c r="B79" s="100">
        <v>40</v>
      </c>
      <c r="C79" s="100">
        <v>40</v>
      </c>
      <c r="D79" s="100">
        <v>18</v>
      </c>
      <c r="E79" s="103" t="s">
        <v>141</v>
      </c>
      <c r="F79" s="100">
        <v>0</v>
      </c>
      <c r="G79" s="100">
        <v>0</v>
      </c>
      <c r="H79" s="98" t="e">
        <f>#REF!</f>
        <v>#REF!</v>
      </c>
      <c r="I79" s="97">
        <f t="shared" ref="I79:I86" si="27">$C$13*((D79*PI()*((C79/1000)^2)/4)+(G79*PI()*((F79/1000)^2)/4))</f>
        <v>177.56281678089513</v>
      </c>
      <c r="J79" s="100">
        <v>25</v>
      </c>
      <c r="K79" s="100">
        <v>300</v>
      </c>
      <c r="L79" s="98" t="e">
        <f>MAX(#REF!,#REF!)</f>
        <v>#REF!</v>
      </c>
      <c r="M79" s="97">
        <f t="shared" ref="M79:M86" si="28">$C$13*$C$16*PI()*((J79/1000)^2)/4*1000/K79</f>
        <v>46.954151128984755</v>
      </c>
      <c r="N79" s="97">
        <f t="shared" si="26"/>
        <v>224.5169679098799</v>
      </c>
      <c r="O79" s="97">
        <f t="shared" ref="O79:O85" si="29">$Q$77*N79*(A80-A79)</f>
        <v>4378.080874242658</v>
      </c>
      <c r="Q79" t="s">
        <v>223</v>
      </c>
      <c r="AC79" s="104">
        <f t="shared" si="25"/>
        <v>2017.8303588501512</v>
      </c>
      <c r="AD79" s="104"/>
      <c r="AE79" s="104"/>
      <c r="AF79" s="104"/>
      <c r="AG79" s="111" t="s">
        <v>187</v>
      </c>
      <c r="AH79" s="112" t="s">
        <v>135</v>
      </c>
      <c r="AI79" s="127">
        <v>-37</v>
      </c>
      <c r="AJ79" s="114">
        <v>3000</v>
      </c>
      <c r="AK79" s="97">
        <f t="shared" si="24"/>
        <v>43.965000000000003</v>
      </c>
    </row>
    <row r="80" spans="1:38">
      <c r="A80" s="133">
        <v>5</v>
      </c>
      <c r="B80" s="100">
        <v>40</v>
      </c>
      <c r="C80" s="100">
        <v>40</v>
      </c>
      <c r="D80" s="100">
        <v>18</v>
      </c>
      <c r="E80" s="103" t="s">
        <v>141</v>
      </c>
      <c r="F80" s="100">
        <v>32</v>
      </c>
      <c r="G80" s="100">
        <v>18</v>
      </c>
      <c r="H80" s="98" t="e">
        <f>#REF!</f>
        <v>#REF!</v>
      </c>
      <c r="I80" s="97">
        <f t="shared" si="27"/>
        <v>291.20301952066802</v>
      </c>
      <c r="J80" s="100">
        <v>16</v>
      </c>
      <c r="K80" s="100">
        <v>300</v>
      </c>
      <c r="L80" s="98" t="e">
        <f>MAX(#REF!,#REF!)</f>
        <v>#REF!</v>
      </c>
      <c r="M80" s="97">
        <f t="shared" si="28"/>
        <v>19.232420302432153</v>
      </c>
      <c r="N80" s="97">
        <f t="shared" si="26"/>
        <v>310.43543982310018</v>
      </c>
      <c r="O80" s="97">
        <f t="shared" si="29"/>
        <v>2017.8303588501512</v>
      </c>
      <c r="Q80" s="96">
        <f>O87/Q77</f>
        <v>5570.926231160488</v>
      </c>
      <c r="R80" t="s">
        <v>111</v>
      </c>
      <c r="AC80" s="104">
        <f t="shared" si="25"/>
        <v>2326.8043051910404</v>
      </c>
      <c r="AD80" s="104"/>
      <c r="AE80" s="104"/>
      <c r="AF80" s="104"/>
      <c r="AG80" s="111" t="s">
        <v>188</v>
      </c>
      <c r="AH80" s="112" t="s">
        <v>135</v>
      </c>
      <c r="AI80" s="127">
        <v>-37</v>
      </c>
      <c r="AJ80" s="114">
        <v>3000</v>
      </c>
      <c r="AK80" s="97">
        <f t="shared" si="24"/>
        <v>43.965000000000003</v>
      </c>
    </row>
    <row r="81" spans="1:38">
      <c r="A81" s="100">
        <v>5.5</v>
      </c>
      <c r="B81" s="100">
        <v>40</v>
      </c>
      <c r="C81" s="133">
        <v>32</v>
      </c>
      <c r="D81" s="100">
        <v>18</v>
      </c>
      <c r="E81" s="103" t="s">
        <v>141</v>
      </c>
      <c r="F81" s="100">
        <v>0</v>
      </c>
      <c r="G81" s="100">
        <v>0</v>
      </c>
      <c r="H81" s="98" t="e">
        <f>H80</f>
        <v>#REF!</v>
      </c>
      <c r="I81" s="97">
        <f t="shared" si="27"/>
        <v>113.64020273977286</v>
      </c>
      <c r="J81" s="100">
        <v>16</v>
      </c>
      <c r="K81" s="100">
        <v>240</v>
      </c>
      <c r="L81" s="98" t="e">
        <f>L80</f>
        <v>#REF!</v>
      </c>
      <c r="M81" s="97">
        <f t="shared" si="28"/>
        <v>24.04052537804019</v>
      </c>
      <c r="N81" s="97">
        <f t="shared" si="26"/>
        <v>137.68072811781306</v>
      </c>
      <c r="O81" s="97">
        <f t="shared" si="29"/>
        <v>2326.8043051910404</v>
      </c>
      <c r="AC81" s="104">
        <f t="shared" si="25"/>
        <v>23073.600493193131</v>
      </c>
      <c r="AD81" s="104"/>
      <c r="AE81" s="104"/>
      <c r="AF81" s="104"/>
      <c r="AG81" s="111" t="s">
        <v>189</v>
      </c>
      <c r="AH81" s="112" t="s">
        <v>135</v>
      </c>
      <c r="AI81" s="127">
        <v>-37.5</v>
      </c>
      <c r="AJ81" s="114">
        <v>3000</v>
      </c>
      <c r="AK81" s="97">
        <f t="shared" si="24"/>
        <v>44.465000000000003</v>
      </c>
    </row>
    <row r="82" spans="1:38">
      <c r="A82" s="100">
        <v>6.8</v>
      </c>
      <c r="B82" s="100">
        <v>40</v>
      </c>
      <c r="C82" s="133">
        <v>32</v>
      </c>
      <c r="D82" s="100">
        <v>18</v>
      </c>
      <c r="E82" s="103" t="s">
        <v>141</v>
      </c>
      <c r="F82" s="134">
        <v>32</v>
      </c>
      <c r="G82" s="100">
        <v>18</v>
      </c>
      <c r="H82" s="98" t="e">
        <f>H81</f>
        <v>#REF!</v>
      </c>
      <c r="I82" s="97">
        <f t="shared" si="27"/>
        <v>227.28040547954572</v>
      </c>
      <c r="J82" s="100">
        <v>16</v>
      </c>
      <c r="K82" s="100">
        <v>300</v>
      </c>
      <c r="L82" s="98" t="e">
        <f>L81</f>
        <v>#REF!</v>
      </c>
      <c r="M82" s="97">
        <f t="shared" si="28"/>
        <v>19.232420302432153</v>
      </c>
      <c r="N82" s="97">
        <f t="shared" si="26"/>
        <v>246.51282578197788</v>
      </c>
      <c r="O82" s="97">
        <f t="shared" si="29"/>
        <v>23073.600493193131</v>
      </c>
      <c r="AC82" s="104">
        <f t="shared" si="25"/>
        <v>894.92473276578494</v>
      </c>
      <c r="AD82" s="104"/>
      <c r="AE82" s="104"/>
      <c r="AF82" s="104"/>
      <c r="AG82" s="111" t="s">
        <v>190</v>
      </c>
      <c r="AH82" s="112" t="s">
        <v>135</v>
      </c>
      <c r="AI82" s="127">
        <v>-37.5</v>
      </c>
      <c r="AJ82" s="114">
        <v>3000</v>
      </c>
      <c r="AK82" s="97">
        <f t="shared" si="24"/>
        <v>44.465000000000003</v>
      </c>
    </row>
    <row r="83" spans="1:38">
      <c r="A83" s="100">
        <v>14</v>
      </c>
      <c r="B83" s="100">
        <v>40</v>
      </c>
      <c r="C83" s="100">
        <v>32</v>
      </c>
      <c r="D83" s="100">
        <v>18</v>
      </c>
      <c r="E83" s="103" t="s">
        <v>141</v>
      </c>
      <c r="F83" s="100">
        <v>0</v>
      </c>
      <c r="G83" s="100">
        <v>0</v>
      </c>
      <c r="H83" s="98" t="e">
        <f>#REF!</f>
        <v>#REF!</v>
      </c>
      <c r="I83" s="97">
        <f t="shared" si="27"/>
        <v>113.64020273977286</v>
      </c>
      <c r="J83" s="100">
        <v>16</v>
      </c>
      <c r="K83" s="100">
        <v>240</v>
      </c>
      <c r="L83" s="98" t="e">
        <f>MAX(#REF!,#REF!)</f>
        <v>#REF!</v>
      </c>
      <c r="M83" s="97">
        <f t="shared" si="28"/>
        <v>24.04052537804019</v>
      </c>
      <c r="N83" s="97">
        <f t="shared" si="26"/>
        <v>137.68072811781306</v>
      </c>
      <c r="O83" s="97">
        <f t="shared" si="29"/>
        <v>894.92473276578494</v>
      </c>
      <c r="AC83" s="104">
        <f t="shared" si="25"/>
        <v>12955.080746614989</v>
      </c>
      <c r="AG83" s="111" t="s">
        <v>191</v>
      </c>
      <c r="AH83" s="112" t="s">
        <v>135</v>
      </c>
      <c r="AI83" s="127">
        <v>-35</v>
      </c>
      <c r="AJ83" s="114">
        <v>3500</v>
      </c>
      <c r="AK83" s="97">
        <f t="shared" si="24"/>
        <v>42.465000000000003</v>
      </c>
    </row>
    <row r="84" spans="1:38">
      <c r="A84" s="100">
        <v>14.5</v>
      </c>
      <c r="B84" s="100">
        <v>40</v>
      </c>
      <c r="C84" s="100">
        <v>32</v>
      </c>
      <c r="D84" s="100">
        <v>18</v>
      </c>
      <c r="E84" s="103" t="s">
        <v>141</v>
      </c>
      <c r="F84" s="100">
        <v>0</v>
      </c>
      <c r="G84" s="100">
        <v>0</v>
      </c>
      <c r="H84" s="98" t="e">
        <f>H83</f>
        <v>#REF!</v>
      </c>
      <c r="I84" s="97">
        <f t="shared" si="27"/>
        <v>113.64020273977286</v>
      </c>
      <c r="J84" s="100">
        <v>16</v>
      </c>
      <c r="K84" s="100">
        <v>300</v>
      </c>
      <c r="L84" s="98" t="e">
        <f>L83</f>
        <v>#REF!</v>
      </c>
      <c r="M84" s="97">
        <f t="shared" si="28"/>
        <v>19.232420302432153</v>
      </c>
      <c r="N84" s="97">
        <f t="shared" si="26"/>
        <v>132.87262304220502</v>
      </c>
      <c r="O84" s="97">
        <f t="shared" si="29"/>
        <v>12955.080746614989</v>
      </c>
      <c r="AC84" s="104">
        <f t="shared" si="25"/>
        <v>1677.3398067623432</v>
      </c>
      <c r="AG84" s="111" t="s">
        <v>192</v>
      </c>
      <c r="AH84" s="112" t="s">
        <v>135</v>
      </c>
      <c r="AI84" s="127">
        <v>-32.5</v>
      </c>
      <c r="AJ84" s="114">
        <v>3500</v>
      </c>
      <c r="AK84" s="97">
        <f t="shared" si="24"/>
        <v>39.965000000000003</v>
      </c>
    </row>
    <row r="85" spans="1:38">
      <c r="A85" s="100">
        <v>22</v>
      </c>
      <c r="B85" s="100">
        <v>40</v>
      </c>
      <c r="C85" s="100">
        <v>32</v>
      </c>
      <c r="D85" s="100">
        <v>18</v>
      </c>
      <c r="E85" s="103" t="s">
        <v>141</v>
      </c>
      <c r="F85" s="100">
        <v>16</v>
      </c>
      <c r="G85" s="100">
        <v>18</v>
      </c>
      <c r="H85" s="98" t="e">
        <f>MAX(#REF!)</f>
        <v>#REF!</v>
      </c>
      <c r="I85" s="97">
        <f t="shared" si="27"/>
        <v>142.05025342471609</v>
      </c>
      <c r="J85" s="100">
        <v>16</v>
      </c>
      <c r="K85" s="100">
        <v>300</v>
      </c>
      <c r="L85" s="98"/>
      <c r="M85" s="97">
        <f t="shared" si="28"/>
        <v>19.232420302432153</v>
      </c>
      <c r="N85" s="97">
        <f t="shared" si="26"/>
        <v>161.28267372714825</v>
      </c>
      <c r="O85" s="97">
        <f t="shared" si="29"/>
        <v>1677.3398067623432</v>
      </c>
      <c r="AC85">
        <f>N86*(21-A86)</f>
        <v>-85.756447777275696</v>
      </c>
      <c r="AG85" s="111" t="s">
        <v>193</v>
      </c>
      <c r="AH85" s="112" t="s">
        <v>135</v>
      </c>
      <c r="AI85" s="127">
        <v>-29.5</v>
      </c>
      <c r="AJ85" s="114">
        <v>3500</v>
      </c>
      <c r="AK85" s="97">
        <f t="shared" si="24"/>
        <v>36.965000000000003</v>
      </c>
    </row>
    <row r="86" spans="1:38" ht="15.75" thickBot="1">
      <c r="A86" s="100">
        <v>22.8</v>
      </c>
      <c r="B86" s="100">
        <v>40</v>
      </c>
      <c r="C86" s="100">
        <v>16</v>
      </c>
      <c r="D86" s="100">
        <v>18</v>
      </c>
      <c r="E86" s="103" t="s">
        <v>141</v>
      </c>
      <c r="F86" s="100">
        <v>0</v>
      </c>
      <c r="G86" s="100">
        <v>0</v>
      </c>
      <c r="H86" s="98" t="e">
        <f>H85</f>
        <v>#REF!</v>
      </c>
      <c r="I86" s="97">
        <f t="shared" si="27"/>
        <v>28.410050684943215</v>
      </c>
      <c r="J86" s="100">
        <v>16</v>
      </c>
      <c r="K86" s="100">
        <v>300</v>
      </c>
      <c r="L86" s="98"/>
      <c r="M86" s="97">
        <f t="shared" si="28"/>
        <v>19.232420302432153</v>
      </c>
      <c r="N86" s="97">
        <f t="shared" si="26"/>
        <v>47.642470987375368</v>
      </c>
      <c r="O86" s="97">
        <f>$Q$77*N86*(AL86-A86)</f>
        <v>11726.956021187518</v>
      </c>
      <c r="AC86" s="99">
        <f>SUM(AC77:AC85)</f>
        <v>60609.328536121553</v>
      </c>
      <c r="AD86" s="115">
        <f>O87-AC86</f>
        <v>11812.71246896479</v>
      </c>
      <c r="AE86" s="116"/>
      <c r="AF86" s="116"/>
      <c r="AG86" s="111" t="s">
        <v>168</v>
      </c>
      <c r="AH86" s="112" t="s">
        <v>135</v>
      </c>
      <c r="AI86" s="127">
        <v>-28</v>
      </c>
      <c r="AJ86" s="114">
        <v>3500</v>
      </c>
      <c r="AK86" s="97">
        <f t="shared" si="24"/>
        <v>35.465000000000003</v>
      </c>
      <c r="AL86" s="104">
        <f>AVERAGE(AK74:AK86)</f>
        <v>41.734230769230784</v>
      </c>
    </row>
    <row r="87" spans="1:38" ht="16.5" thickTop="1" thickBot="1">
      <c r="O87" s="99">
        <f>SUM(O78:O86)</f>
        <v>72422.041005086343</v>
      </c>
      <c r="P87" s="89" t="s">
        <v>148</v>
      </c>
      <c r="Q87" s="102">
        <f>O87/$D$11/Q77</f>
        <v>1.0946178361598695</v>
      </c>
      <c r="R87" t="s">
        <v>121</v>
      </c>
    </row>
    <row r="88" spans="1:38" ht="15.75" thickTop="1">
      <c r="P88" s="89" t="s">
        <v>148</v>
      </c>
      <c r="Q88" s="102">
        <f>(O87/Q77)/('ss_ IFIR Summary (03.07)'!O80/'ss_ IFIR Summary (03.07)'!Q70)</f>
        <v>0.90424977633456605</v>
      </c>
      <c r="R88" t="s">
        <v>224</v>
      </c>
      <c r="AG88" s="144" t="s">
        <v>194</v>
      </c>
      <c r="AH88" s="144"/>
      <c r="AI88" s="144"/>
      <c r="AJ88" s="144"/>
      <c r="AK88" s="144"/>
    </row>
    <row r="89" spans="1:38" ht="18.75">
      <c r="A89" s="1" t="s">
        <v>195</v>
      </c>
      <c r="AG89" s="3" t="s">
        <v>17</v>
      </c>
      <c r="AH89" s="3" t="s">
        <v>128</v>
      </c>
      <c r="AI89" s="3" t="s">
        <v>129</v>
      </c>
      <c r="AJ89" s="3" t="s">
        <v>130</v>
      </c>
      <c r="AK89" s="3" t="s">
        <v>131</v>
      </c>
    </row>
    <row r="90" spans="1:38">
      <c r="AG90" s="111" t="s">
        <v>176</v>
      </c>
      <c r="AH90" s="112" t="s">
        <v>154</v>
      </c>
      <c r="AI90" s="127">
        <v>-33</v>
      </c>
      <c r="AJ90" s="114">
        <v>4000</v>
      </c>
      <c r="AK90" s="97">
        <f>AH90-AI90+AJ90/1000</f>
        <v>40.765000000000001</v>
      </c>
    </row>
    <row r="91" spans="1:38">
      <c r="A91" s="145" t="s">
        <v>151</v>
      </c>
      <c r="B91" s="146" t="s">
        <v>132</v>
      </c>
      <c r="C91" s="144" t="s">
        <v>133</v>
      </c>
      <c r="D91" s="144"/>
      <c r="E91" s="144"/>
      <c r="F91" s="144"/>
      <c r="G91" s="144"/>
      <c r="H91" s="144"/>
      <c r="I91" s="144"/>
      <c r="J91" s="144" t="s">
        <v>72</v>
      </c>
      <c r="K91" s="144"/>
      <c r="L91" s="144"/>
      <c r="M91" s="144"/>
      <c r="N91" s="146" t="s">
        <v>109</v>
      </c>
      <c r="O91" s="146" t="s">
        <v>110</v>
      </c>
      <c r="Q91" t="s">
        <v>197</v>
      </c>
      <c r="AG91" s="111" t="s">
        <v>196</v>
      </c>
      <c r="AH91" s="112" t="s">
        <v>154</v>
      </c>
      <c r="AI91" s="127">
        <v>-34.5</v>
      </c>
      <c r="AJ91" s="114">
        <v>3500</v>
      </c>
      <c r="AK91" s="97">
        <f t="shared" ref="AK91:AK101" si="30">AH91-AI91+AJ91/1000</f>
        <v>41.765000000000001</v>
      </c>
    </row>
    <row r="92" spans="1:38">
      <c r="A92" s="145"/>
      <c r="B92" s="146"/>
      <c r="C92" s="3" t="s">
        <v>136</v>
      </c>
      <c r="D92" s="3" t="s">
        <v>137</v>
      </c>
      <c r="F92" s="3" t="s">
        <v>136</v>
      </c>
      <c r="G92" s="3" t="s">
        <v>137</v>
      </c>
      <c r="H92" s="3" t="s">
        <v>138</v>
      </c>
      <c r="I92" s="3" t="s">
        <v>109</v>
      </c>
      <c r="J92" s="3" t="s">
        <v>136</v>
      </c>
      <c r="K92" s="3" t="s">
        <v>139</v>
      </c>
      <c r="L92" s="3" t="s">
        <v>138</v>
      </c>
      <c r="M92" s="3" t="s">
        <v>109</v>
      </c>
      <c r="N92" s="146"/>
      <c r="O92" s="146"/>
      <c r="Q92" s="5">
        <v>13</v>
      </c>
      <c r="AC92" s="104">
        <f>O93</f>
        <v>12092.930250419564</v>
      </c>
      <c r="AG92" s="111" t="s">
        <v>198</v>
      </c>
      <c r="AH92" s="112" t="s">
        <v>154</v>
      </c>
      <c r="AI92" s="127">
        <v>-35</v>
      </c>
      <c r="AJ92" s="114">
        <v>3500</v>
      </c>
      <c r="AK92" s="97">
        <f t="shared" si="30"/>
        <v>42.265000000000001</v>
      </c>
    </row>
    <row r="93" spans="1:38">
      <c r="A93" s="100">
        <v>0</v>
      </c>
      <c r="B93" s="100">
        <v>40</v>
      </c>
      <c r="C93" s="100">
        <v>25</v>
      </c>
      <c r="D93" s="100">
        <f>'[4]Max permutation (Zone D, top)'!$Q$47</f>
        <v>18</v>
      </c>
      <c r="E93" s="103" t="s">
        <v>141</v>
      </c>
      <c r="F93" s="100">
        <v>0</v>
      </c>
      <c r="G93" s="100">
        <v>0</v>
      </c>
      <c r="H93" s="98" t="e">
        <f>#REF!</f>
        <v>#REF!</v>
      </c>
      <c r="I93" s="97">
        <f>$C$13*((D93*PI()*((C93/1000)^2)/4)+(G93*PI()*((F93/1000)^2)/4))</f>
        <v>69.36047530503717</v>
      </c>
      <c r="J93" s="100">
        <v>16</v>
      </c>
      <c r="K93" s="100">
        <v>300</v>
      </c>
      <c r="L93" s="98" t="e">
        <f>MAX(#REF!,#REF!)</f>
        <v>#REF!</v>
      </c>
      <c r="M93" s="97">
        <f>$C$13*$C$16*PI()*((J93/1000)^2)/4*1000/K93</f>
        <v>19.232420302432153</v>
      </c>
      <c r="N93" s="97">
        <f>I93+M93</f>
        <v>88.59289560746933</v>
      </c>
      <c r="O93" s="97">
        <f>$Q$92*N93*(A94-A93)</f>
        <v>12092.930250419564</v>
      </c>
      <c r="AC93" s="104">
        <f>O94</f>
        <v>3080.0907327938767</v>
      </c>
      <c r="AG93" s="111" t="s">
        <v>199</v>
      </c>
      <c r="AH93" s="112" t="s">
        <v>154</v>
      </c>
      <c r="AI93" s="127">
        <v>-36</v>
      </c>
      <c r="AJ93" s="114">
        <v>3500</v>
      </c>
      <c r="AK93" s="97">
        <f t="shared" si="30"/>
        <v>43.265000000000001</v>
      </c>
    </row>
    <row r="94" spans="1:38">
      <c r="A94" s="100">
        <v>10.5</v>
      </c>
      <c r="B94" s="100">
        <v>40</v>
      </c>
      <c r="C94" s="100">
        <v>25</v>
      </c>
      <c r="D94" s="100">
        <v>18</v>
      </c>
      <c r="E94" s="103" t="s">
        <v>141</v>
      </c>
      <c r="F94" s="100">
        <v>25</v>
      </c>
      <c r="G94" s="100">
        <v>18</v>
      </c>
      <c r="H94" s="98" t="e">
        <f>#REF!</f>
        <v>#REF!</v>
      </c>
      <c r="I94" s="97">
        <f>$C$13*((D94*PI()*((C94/1000)^2)/4)+(G94*PI()*((F94/1000)^2)/4))</f>
        <v>138.72095061007434</v>
      </c>
      <c r="J94" s="100">
        <v>16</v>
      </c>
      <c r="K94" s="100">
        <v>300</v>
      </c>
      <c r="L94" s="98" t="e">
        <f>MAX(#REF!,#REF!)</f>
        <v>#REF!</v>
      </c>
      <c r="M94" s="97">
        <f t="shared" ref="M94:M103" si="31">$C$13*$C$16*PI()*((J94/1000)^2)/4*1000/K94</f>
        <v>19.232420302432153</v>
      </c>
      <c r="N94" s="97">
        <f>I94+M94</f>
        <v>157.9533709125065</v>
      </c>
      <c r="O94" s="97">
        <f>$Q$92*N94*(A95-A94)</f>
        <v>3080.0907327938767</v>
      </c>
      <c r="Q94" t="s">
        <v>223</v>
      </c>
      <c r="AC94">
        <f>N95*(30-A95)</f>
        <v>1594.672120934448</v>
      </c>
      <c r="AG94" s="111" t="s">
        <v>200</v>
      </c>
      <c r="AH94" s="112" t="s">
        <v>154</v>
      </c>
      <c r="AI94" s="127">
        <v>-36.5</v>
      </c>
      <c r="AJ94" s="114">
        <v>3500</v>
      </c>
      <c r="AK94" s="97">
        <f t="shared" si="30"/>
        <v>43.765000000000001</v>
      </c>
    </row>
    <row r="95" spans="1:38">
      <c r="A95" s="100">
        <v>12</v>
      </c>
      <c r="B95" s="100">
        <v>40</v>
      </c>
      <c r="C95" s="100">
        <v>25</v>
      </c>
      <c r="D95" s="100">
        <v>18</v>
      </c>
      <c r="E95" s="103" t="s">
        <v>141</v>
      </c>
      <c r="F95" s="100">
        <v>0</v>
      </c>
      <c r="G95" s="100">
        <v>0</v>
      </c>
      <c r="H95" s="98" t="e">
        <f>#REF!</f>
        <v>#REF!</v>
      </c>
      <c r="I95" s="97">
        <f>$C$13*((D95*PI()*((C95/1000)^2)/4)+(G95*PI()*((F95/1000)^2)/4))</f>
        <v>69.36047530503717</v>
      </c>
      <c r="J95" s="100">
        <v>16</v>
      </c>
      <c r="K95" s="100">
        <v>300</v>
      </c>
      <c r="L95" s="98"/>
      <c r="M95" s="97">
        <f t="shared" si="31"/>
        <v>19.232420302432153</v>
      </c>
      <c r="N95" s="97">
        <f>I95+M95</f>
        <v>88.59289560746933</v>
      </c>
      <c r="O95" s="97">
        <f>$Q$92*N95*(A96-A95)</f>
        <v>921.36611431768188</v>
      </c>
      <c r="Q95" s="96">
        <f>O104/Q92</f>
        <v>4966.3065915140232</v>
      </c>
      <c r="R95" t="s">
        <v>111</v>
      </c>
      <c r="AC95">
        <f>N103*(30-A96)</f>
        <v>819.45050098285628</v>
      </c>
      <c r="AG95" s="111" t="s">
        <v>201</v>
      </c>
      <c r="AH95" s="112" t="s">
        <v>154</v>
      </c>
      <c r="AI95" s="127">
        <v>-37.5</v>
      </c>
      <c r="AJ95" s="114">
        <v>3500</v>
      </c>
      <c r="AK95" s="97">
        <f t="shared" si="30"/>
        <v>44.765000000000001</v>
      </c>
    </row>
    <row r="96" spans="1:38" ht="15.75" thickBot="1">
      <c r="A96" s="100">
        <v>12.8</v>
      </c>
      <c r="B96" s="100">
        <v>40</v>
      </c>
      <c r="C96" s="100">
        <v>25</v>
      </c>
      <c r="D96" s="100">
        <v>18</v>
      </c>
      <c r="E96" s="103" t="s">
        <v>141</v>
      </c>
      <c r="F96" s="100">
        <v>32</v>
      </c>
      <c r="G96" s="100">
        <v>18</v>
      </c>
      <c r="H96" s="98" t="e">
        <f>#REF!</f>
        <v>#REF!</v>
      </c>
      <c r="I96" s="97">
        <f t="shared" ref="I96:I102" si="32">$C$13*((D96*PI()*((C96/1000)^2)/4)+(G96*PI()*((F96/1000)^2)/4))</f>
        <v>183.00067804481006</v>
      </c>
      <c r="J96" s="100">
        <v>16</v>
      </c>
      <c r="K96" s="100">
        <v>300</v>
      </c>
      <c r="L96" s="98"/>
      <c r="M96" s="97">
        <f t="shared" si="31"/>
        <v>19.232420302432153</v>
      </c>
      <c r="N96" s="97">
        <f t="shared" ref="N96:N102" si="33">I96+M96</f>
        <v>202.23309834724222</v>
      </c>
      <c r="O96" s="97">
        <f t="shared" ref="O96:O102" si="34">$Q$92*N96*(A97-A96)</f>
        <v>3154.8363342169769</v>
      </c>
      <c r="AC96" s="99">
        <f>SUM(AC92:AC95)</f>
        <v>17587.143605130746</v>
      </c>
      <c r="AD96" s="115">
        <f>O104-AC96</f>
        <v>46974.84208455155</v>
      </c>
      <c r="AG96" s="111" t="s">
        <v>202</v>
      </c>
      <c r="AH96" s="112" t="s">
        <v>154</v>
      </c>
      <c r="AI96" s="127">
        <v>-37</v>
      </c>
      <c r="AJ96" s="114">
        <v>3500</v>
      </c>
      <c r="AK96" s="97">
        <f t="shared" si="30"/>
        <v>44.265000000000001</v>
      </c>
    </row>
    <row r="97" spans="1:38" ht="15.75" thickTop="1">
      <c r="A97" s="100">
        <v>14</v>
      </c>
      <c r="B97" s="100">
        <v>40</v>
      </c>
      <c r="C97" s="100">
        <v>32</v>
      </c>
      <c r="D97" s="100">
        <v>18</v>
      </c>
      <c r="E97" s="103" t="s">
        <v>141</v>
      </c>
      <c r="F97" s="100">
        <v>20</v>
      </c>
      <c r="G97" s="100">
        <v>18</v>
      </c>
      <c r="H97" s="98" t="e">
        <f>#REF!</f>
        <v>#REF!</v>
      </c>
      <c r="I97" s="97">
        <f t="shared" si="32"/>
        <v>158.03090693499664</v>
      </c>
      <c r="J97" s="100">
        <v>16</v>
      </c>
      <c r="K97" s="100">
        <v>300</v>
      </c>
      <c r="L97" s="98"/>
      <c r="M97" s="97">
        <f t="shared" si="31"/>
        <v>19.232420302432153</v>
      </c>
      <c r="N97" s="97">
        <f t="shared" si="33"/>
        <v>177.2633272374288</v>
      </c>
      <c r="O97" s="97">
        <f t="shared" si="34"/>
        <v>14517.866500745418</v>
      </c>
      <c r="AG97" s="111" t="s">
        <v>203</v>
      </c>
      <c r="AH97" s="112" t="s">
        <v>154</v>
      </c>
      <c r="AI97" s="127">
        <v>-37</v>
      </c>
      <c r="AJ97" s="114">
        <v>3500</v>
      </c>
      <c r="AK97" s="97">
        <f t="shared" si="30"/>
        <v>44.265000000000001</v>
      </c>
    </row>
    <row r="98" spans="1:38">
      <c r="A98" s="100">
        <v>20.3</v>
      </c>
      <c r="B98" s="100">
        <v>40</v>
      </c>
      <c r="C98" s="100">
        <v>32</v>
      </c>
      <c r="D98" s="100">
        <v>18</v>
      </c>
      <c r="E98" s="103" t="s">
        <v>141</v>
      </c>
      <c r="F98" s="100">
        <v>32</v>
      </c>
      <c r="G98" s="100">
        <v>18</v>
      </c>
      <c r="H98" s="98" t="e">
        <f>#REF!</f>
        <v>#REF!</v>
      </c>
      <c r="I98" s="97">
        <f t="shared" si="32"/>
        <v>227.28040547954572</v>
      </c>
      <c r="J98" s="100">
        <v>16</v>
      </c>
      <c r="K98" s="100">
        <v>300</v>
      </c>
      <c r="L98" s="98"/>
      <c r="M98" s="97">
        <f t="shared" si="31"/>
        <v>19.232420302432153</v>
      </c>
      <c r="N98" s="97">
        <f t="shared" si="33"/>
        <v>246.51282578197788</v>
      </c>
      <c r="O98" s="97">
        <f t="shared" si="34"/>
        <v>4807.0001027485687</v>
      </c>
      <c r="AG98" s="111" t="s">
        <v>204</v>
      </c>
      <c r="AH98" s="112" t="s">
        <v>154</v>
      </c>
      <c r="AI98" s="127">
        <v>-36</v>
      </c>
      <c r="AJ98" s="114">
        <v>3500</v>
      </c>
      <c r="AK98" s="97">
        <f t="shared" si="30"/>
        <v>43.265000000000001</v>
      </c>
    </row>
    <row r="99" spans="1:38">
      <c r="A99" s="100">
        <v>21.8</v>
      </c>
      <c r="B99" s="100">
        <v>40</v>
      </c>
      <c r="C99" s="100">
        <v>32</v>
      </c>
      <c r="D99" s="100">
        <v>18</v>
      </c>
      <c r="E99" s="103" t="s">
        <v>141</v>
      </c>
      <c r="F99" s="100">
        <v>0</v>
      </c>
      <c r="G99" s="100">
        <v>0</v>
      </c>
      <c r="H99" s="98" t="e">
        <f>#REF!</f>
        <v>#REF!</v>
      </c>
      <c r="I99" s="97">
        <f t="shared" si="32"/>
        <v>113.64020273977286</v>
      </c>
      <c r="J99" s="100">
        <v>16</v>
      </c>
      <c r="K99" s="100">
        <v>300</v>
      </c>
      <c r="L99" s="98"/>
      <c r="M99" s="97">
        <f t="shared" si="31"/>
        <v>19.232420302432153</v>
      </c>
      <c r="N99" s="97">
        <f t="shared" si="33"/>
        <v>132.87262304220502</v>
      </c>
      <c r="O99" s="97">
        <f t="shared" si="34"/>
        <v>10709.533417201725</v>
      </c>
      <c r="AG99" s="111" t="s">
        <v>205</v>
      </c>
      <c r="AH99" s="112" t="s">
        <v>154</v>
      </c>
      <c r="AI99" s="127">
        <v>-35</v>
      </c>
      <c r="AJ99" s="114">
        <v>3500</v>
      </c>
      <c r="AK99" s="97">
        <f t="shared" si="30"/>
        <v>42.265000000000001</v>
      </c>
    </row>
    <row r="100" spans="1:38">
      <c r="A100" s="100">
        <v>28</v>
      </c>
      <c r="B100" s="100">
        <v>40</v>
      </c>
      <c r="C100" s="100">
        <v>32</v>
      </c>
      <c r="D100" s="100">
        <v>18</v>
      </c>
      <c r="E100" s="103" t="s">
        <v>141</v>
      </c>
      <c r="F100" s="100">
        <v>25</v>
      </c>
      <c r="G100" s="100">
        <v>18</v>
      </c>
      <c r="H100" s="98" t="e">
        <f>#REF!</f>
        <v>#REF!</v>
      </c>
      <c r="I100" s="97">
        <f t="shared" si="32"/>
        <v>183.00067804481006</v>
      </c>
      <c r="J100" s="100">
        <v>16</v>
      </c>
      <c r="K100" s="100">
        <v>300</v>
      </c>
      <c r="L100" s="98"/>
      <c r="M100" s="97">
        <f t="shared" si="31"/>
        <v>19.232420302432153</v>
      </c>
      <c r="N100" s="97">
        <f t="shared" si="33"/>
        <v>202.23309834724222</v>
      </c>
      <c r="O100" s="97">
        <f t="shared" si="34"/>
        <v>3154.8363342169769</v>
      </c>
      <c r="AG100" s="111" t="s">
        <v>206</v>
      </c>
      <c r="AH100" s="112" t="s">
        <v>154</v>
      </c>
      <c r="AI100" s="127">
        <v>-32.5</v>
      </c>
      <c r="AJ100" s="114">
        <v>4000</v>
      </c>
      <c r="AK100" s="97">
        <f t="shared" si="30"/>
        <v>40.265000000000001</v>
      </c>
    </row>
    <row r="101" spans="1:38">
      <c r="A101" s="100">
        <v>29.2</v>
      </c>
      <c r="B101" s="100">
        <v>40</v>
      </c>
      <c r="C101" s="100">
        <v>25</v>
      </c>
      <c r="D101" s="100">
        <v>18</v>
      </c>
      <c r="E101" s="103" t="s">
        <v>141</v>
      </c>
      <c r="F101" s="100">
        <v>0</v>
      </c>
      <c r="G101" s="100">
        <v>0</v>
      </c>
      <c r="H101" s="98" t="e">
        <f>#REF!</f>
        <v>#REF!</v>
      </c>
      <c r="I101" s="97">
        <f t="shared" si="32"/>
        <v>69.36047530503717</v>
      </c>
      <c r="J101" s="100">
        <v>16</v>
      </c>
      <c r="K101" s="100">
        <v>300</v>
      </c>
      <c r="L101" s="98"/>
      <c r="M101" s="97">
        <f t="shared" si="31"/>
        <v>19.232420302432153</v>
      </c>
      <c r="N101" s="97">
        <f t="shared" si="33"/>
        <v>88.59289560746933</v>
      </c>
      <c r="O101" s="97">
        <f t="shared" si="34"/>
        <v>7831.6119717002894</v>
      </c>
      <c r="AG101" s="111" t="s">
        <v>207</v>
      </c>
      <c r="AH101" s="112" t="s">
        <v>154</v>
      </c>
      <c r="AI101" s="127">
        <v>-30.5</v>
      </c>
      <c r="AJ101" s="114">
        <v>4000</v>
      </c>
      <c r="AK101" s="97">
        <f t="shared" si="30"/>
        <v>38.265000000000001</v>
      </c>
    </row>
    <row r="102" spans="1:38">
      <c r="A102" s="100">
        <v>36</v>
      </c>
      <c r="B102" s="100">
        <v>40</v>
      </c>
      <c r="C102" s="100">
        <v>25</v>
      </c>
      <c r="D102" s="100">
        <v>18</v>
      </c>
      <c r="E102" s="103" t="s">
        <v>141</v>
      </c>
      <c r="F102" s="100">
        <v>16</v>
      </c>
      <c r="G102" s="100">
        <v>18</v>
      </c>
      <c r="H102" s="98" t="e">
        <f>#REF!</f>
        <v>#REF!</v>
      </c>
      <c r="I102" s="97">
        <f t="shared" si="32"/>
        <v>97.770525989980385</v>
      </c>
      <c r="J102" s="100">
        <v>16</v>
      </c>
      <c r="K102" s="100">
        <v>300</v>
      </c>
      <c r="L102" s="98"/>
      <c r="M102" s="97">
        <f t="shared" si="31"/>
        <v>19.232420302432153</v>
      </c>
      <c r="N102" s="97">
        <f t="shared" si="33"/>
        <v>117.00294629241253</v>
      </c>
      <c r="O102" s="97">
        <f t="shared" si="34"/>
        <v>1216.8306414410861</v>
      </c>
      <c r="AG102" s="111" t="s">
        <v>177</v>
      </c>
      <c r="AH102" s="112" t="s">
        <v>154</v>
      </c>
      <c r="AI102" s="127">
        <v>-26</v>
      </c>
      <c r="AJ102" s="114">
        <v>4000</v>
      </c>
      <c r="AK102" s="97">
        <f>AH102-AI102+AJ102/1000</f>
        <v>33.765000000000001</v>
      </c>
      <c r="AL102" s="104">
        <f>AVERAGE(AK90:AK102)</f>
        <v>41.764999999999993</v>
      </c>
    </row>
    <row r="103" spans="1:38">
      <c r="A103" s="100">
        <v>36.799999999999997</v>
      </c>
      <c r="B103" s="100">
        <v>40</v>
      </c>
      <c r="C103" s="100">
        <v>16</v>
      </c>
      <c r="D103" s="100">
        <v>18</v>
      </c>
      <c r="E103" s="103" t="s">
        <v>141</v>
      </c>
      <c r="F103" s="100">
        <v>0</v>
      </c>
      <c r="G103" s="100">
        <v>0</v>
      </c>
      <c r="H103" s="98" t="e">
        <f>MAX(#REF!)</f>
        <v>#REF!</v>
      </c>
      <c r="I103" s="97">
        <f>$C$13*((D103*PI()*((C103/1000)^2)/4)+(G103*PI()*((F103/1000)^2)/4))</f>
        <v>28.410050684943215</v>
      </c>
      <c r="J103" s="100">
        <v>16</v>
      </c>
      <c r="K103" s="100">
        <v>300</v>
      </c>
      <c r="L103" s="98"/>
      <c r="M103" s="97">
        <f t="shared" si="31"/>
        <v>19.232420302432153</v>
      </c>
      <c r="N103" s="97">
        <f>I103+M103</f>
        <v>47.642470987375368</v>
      </c>
      <c r="O103" s="97">
        <f>$Q$92*N103*($AL$102-A103)</f>
        <v>3075.0832898801409</v>
      </c>
    </row>
    <row r="104" spans="1:38" ht="15.75" thickBot="1">
      <c r="O104" s="99">
        <f>SUM(O93:O103)</f>
        <v>64561.985689682297</v>
      </c>
      <c r="P104" s="89" t="s">
        <v>148</v>
      </c>
      <c r="Q104" s="102">
        <f>O104/$I$10/Q92</f>
        <v>0.97581758388804818</v>
      </c>
      <c r="R104" t="s">
        <v>121</v>
      </c>
    </row>
    <row r="105" spans="1:38" ht="15.75" thickTop="1">
      <c r="P105" s="89" t="s">
        <v>148</v>
      </c>
      <c r="Q105" s="102" t="e">
        <f>(O104/Q92)/('ss_ IFIR Summary (03.07)'!O90/'ss_ IFIR Summary (03.07)'!Q85)</f>
        <v>#REF!</v>
      </c>
      <c r="R105" t="s">
        <v>224</v>
      </c>
    </row>
    <row r="106" spans="1:38">
      <c r="A106" t="s">
        <v>225</v>
      </c>
      <c r="D106" s="110">
        <f>T19+T33+Q47+Q62+Q77+Q92</f>
        <v>50</v>
      </c>
    </row>
    <row r="107" spans="1:38">
      <c r="A107" t="s">
        <v>226</v>
      </c>
      <c r="D107" s="131" t="e">
        <f>Q28+Q42+O57+O72+O87+O104</f>
        <v>#REF!</v>
      </c>
      <c r="E107" t="s">
        <v>111</v>
      </c>
    </row>
  </sheetData>
  <mergeCells count="55">
    <mergeCell ref="AG88:AK88"/>
    <mergeCell ref="A91:A92"/>
    <mergeCell ref="B91:B92"/>
    <mergeCell ref="C91:I91"/>
    <mergeCell ref="J91:M91"/>
    <mergeCell ref="N91:N92"/>
    <mergeCell ref="O91:O92"/>
    <mergeCell ref="AG72:AK72"/>
    <mergeCell ref="A76:A77"/>
    <mergeCell ref="B76:B77"/>
    <mergeCell ref="C76:I76"/>
    <mergeCell ref="J76:M76"/>
    <mergeCell ref="N76:N77"/>
    <mergeCell ref="O76:O77"/>
    <mergeCell ref="AG58:AK58"/>
    <mergeCell ref="A61:A62"/>
    <mergeCell ref="B61:B62"/>
    <mergeCell ref="C61:I61"/>
    <mergeCell ref="J61:M61"/>
    <mergeCell ref="N61:N62"/>
    <mergeCell ref="O61:O62"/>
    <mergeCell ref="AG45:AK45"/>
    <mergeCell ref="A46:A47"/>
    <mergeCell ref="B46:B47"/>
    <mergeCell ref="C46:I46"/>
    <mergeCell ref="J46:M46"/>
    <mergeCell ref="N46:N47"/>
    <mergeCell ref="O46:O47"/>
    <mergeCell ref="AF30:AJ30"/>
    <mergeCell ref="A32:A33"/>
    <mergeCell ref="B32:B33"/>
    <mergeCell ref="C32:I32"/>
    <mergeCell ref="J32:M32"/>
    <mergeCell ref="N32:N33"/>
    <mergeCell ref="O32:O33"/>
    <mergeCell ref="P32:Q32"/>
    <mergeCell ref="AF18:AJ18"/>
    <mergeCell ref="A20:A21"/>
    <mergeCell ref="B20:B21"/>
    <mergeCell ref="C20:I20"/>
    <mergeCell ref="J20:M20"/>
    <mergeCell ref="N20:N21"/>
    <mergeCell ref="O20:O21"/>
    <mergeCell ref="P18:Q18"/>
    <mergeCell ref="H6:H7"/>
    <mergeCell ref="I6:I7"/>
    <mergeCell ref="G12:I12"/>
    <mergeCell ref="J12:L12"/>
    <mergeCell ref="M12:O12"/>
    <mergeCell ref="G6:G7"/>
    <mergeCell ref="A6:A7"/>
    <mergeCell ref="B6:B7"/>
    <mergeCell ref="C6:C7"/>
    <mergeCell ref="D6:D7"/>
    <mergeCell ref="F6:F7"/>
  </mergeCells>
  <conditionalFormatting sqref="H22 L22 H34 L34 L24 H24:H27 H48:H53 L48:L56 H78:H86 L78:L86 H63:H71 L63:L71 H93:H103">
    <cfRule type="cellIs" dxfId="55" priority="27" operator="between">
      <formula>0</formula>
      <formula>1</formula>
    </cfRule>
    <cfRule type="cellIs" dxfId="54" priority="28" operator="greaterThan">
      <formula>1</formula>
    </cfRule>
  </conditionalFormatting>
  <conditionalFormatting sqref="H54:H56">
    <cfRule type="cellIs" dxfId="53" priority="25" operator="between">
      <formula>0</formula>
      <formula>1</formula>
    </cfRule>
    <cfRule type="cellIs" dxfId="52" priority="26" operator="greaterThan">
      <formula>1</formula>
    </cfRule>
  </conditionalFormatting>
  <conditionalFormatting sqref="H23">
    <cfRule type="cellIs" dxfId="51" priority="23" operator="between">
      <formula>0</formula>
      <formula>1</formula>
    </cfRule>
    <cfRule type="cellIs" dxfId="50" priority="24" operator="greaterThan">
      <formula>1</formula>
    </cfRule>
  </conditionalFormatting>
  <conditionalFormatting sqref="L93:L102">
    <cfRule type="cellIs" dxfId="49" priority="21" operator="between">
      <formula>0</formula>
      <formula>1</formula>
    </cfRule>
    <cfRule type="cellIs" dxfId="48" priority="22" operator="greaterThan">
      <formula>1</formula>
    </cfRule>
  </conditionalFormatting>
  <conditionalFormatting sqref="L103">
    <cfRule type="cellIs" dxfId="47" priority="19" operator="between">
      <formula>0</formula>
      <formula>1</formula>
    </cfRule>
    <cfRule type="cellIs" dxfId="46" priority="20" operator="greaterThan">
      <formula>1</formula>
    </cfRule>
  </conditionalFormatting>
  <conditionalFormatting sqref="L23">
    <cfRule type="cellIs" dxfId="45" priority="17" operator="between">
      <formula>0</formula>
      <formula>1</formula>
    </cfRule>
    <cfRule type="cellIs" dxfId="44" priority="18" operator="greaterThan">
      <formula>1</formula>
    </cfRule>
  </conditionalFormatting>
  <conditionalFormatting sqref="L25:L26">
    <cfRule type="cellIs" dxfId="43" priority="15" operator="between">
      <formula>0</formula>
      <formula>1</formula>
    </cfRule>
    <cfRule type="cellIs" dxfId="42" priority="16" operator="greaterThan">
      <formula>1</formula>
    </cfRule>
  </conditionalFormatting>
  <conditionalFormatting sqref="H41">
    <cfRule type="cellIs" dxfId="41" priority="3" operator="between">
      <formula>0</formula>
      <formula>1</formula>
    </cfRule>
    <cfRule type="cellIs" dxfId="40" priority="4" operator="greaterThan">
      <formula>1</formula>
    </cfRule>
  </conditionalFormatting>
  <conditionalFormatting sqref="L27">
    <cfRule type="cellIs" dxfId="39" priority="13" operator="between">
      <formula>0</formula>
      <formula>1</formula>
    </cfRule>
    <cfRule type="cellIs" dxfId="38" priority="14" operator="greaterThan">
      <formula>1</formula>
    </cfRule>
  </conditionalFormatting>
  <conditionalFormatting sqref="L35:L36">
    <cfRule type="cellIs" dxfId="37" priority="11" operator="between">
      <formula>0</formula>
      <formula>1</formula>
    </cfRule>
    <cfRule type="cellIs" dxfId="36" priority="12" operator="greaterThan">
      <formula>1</formula>
    </cfRule>
  </conditionalFormatting>
  <conditionalFormatting sqref="L37">
    <cfRule type="cellIs" dxfId="35" priority="9" operator="between">
      <formula>0</formula>
      <formula>1</formula>
    </cfRule>
    <cfRule type="cellIs" dxfId="34" priority="10" operator="greaterThan">
      <formula>1</formula>
    </cfRule>
  </conditionalFormatting>
  <conditionalFormatting sqref="L38:L41">
    <cfRule type="cellIs" dxfId="33" priority="7" operator="between">
      <formula>0</formula>
      <formula>1</formula>
    </cfRule>
    <cfRule type="cellIs" dxfId="32" priority="8" operator="greaterThan">
      <formula>1</formula>
    </cfRule>
  </conditionalFormatting>
  <conditionalFormatting sqref="H40">
    <cfRule type="cellIs" dxfId="31" priority="5" operator="between">
      <formula>0</formula>
      <formula>1</formula>
    </cfRule>
    <cfRule type="cellIs" dxfId="30" priority="6" operator="greaterThan">
      <formula>1</formula>
    </cfRule>
  </conditionalFormatting>
  <conditionalFormatting sqref="H35:H39">
    <cfRule type="cellIs" dxfId="29" priority="1" operator="between">
      <formula>0</formula>
      <formula>1</formula>
    </cfRule>
    <cfRule type="cellIs" dxfId="28" priority="2" operator="greaterThan">
      <formula>1</formula>
    </cfRule>
  </conditionalFormatting>
  <pageMargins left="0.7" right="0.7" top="0.75" bottom="0.75" header="0.3" footer="0.3"/>
  <pageSetup paperSize="9" scale="57" orientation="landscape" r:id="rId1"/>
  <rowBreaks count="1" manualBreakCount="1">
    <brk id="57" max="16383" man="1"/>
  </rowBreaks>
  <colBreaks count="1" manualBreakCount="1">
    <brk id="20" max="1048575" man="1"/>
  </colBreak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Confidential Project Document" ma:contentTypeID="0x0101002392094CBAD04C3AB0B65532217FA45A04007863D31C67983449B85142D09416AEAC" ma:contentTypeVersion="21" ma:contentTypeDescription="" ma:contentTypeScope="" ma:versionID="43801b8b2b25981cc4c32bb160975fb4">
  <xsd:schema xmlns:xsd="http://www.w3.org/2001/XMLSchema" xmlns:xs="http://www.w3.org/2001/XMLSchema" xmlns:p="http://schemas.microsoft.com/office/2006/metadata/properties" xmlns:ns1="http://schemas.microsoft.com/sharepoint/v3" xmlns:ns2="a41b4c1e-49d4-45f5-a15a-08d38aefcb4f" xmlns:ns3="ba103e07-0cc5-4eb7-953f-375d52265a0e" targetNamespace="http://schemas.microsoft.com/office/2006/metadata/properties" ma:root="true" ma:fieldsID="e6e170d3ae098f86625e32c754a326f3" ns1:_="" ns2:_="" ns3:_="">
    <xsd:import namespace="http://schemas.microsoft.com/sharepoint/v3"/>
    <xsd:import namespace="a41b4c1e-49d4-45f5-a15a-08d38aefcb4f"/>
    <xsd:import namespace="ba103e07-0cc5-4eb7-953f-375d52265a0e"/>
    <xsd:element name="properties">
      <xsd:complexType>
        <xsd:sequence>
          <xsd:element name="documentManagement">
            <xsd:complexType>
              <xsd:all>
                <xsd:element ref="ns2:CO_Description" minOccurs="0"/>
                <xsd:element ref="ns2:m720c857f92247b4b2f03df6cb5d2bc9" minOccurs="0"/>
                <xsd:element ref="ns2:TaxCatchAll" minOccurs="0"/>
                <xsd:element ref="ns2:TaxCatchAllLabel" minOccurs="0"/>
                <xsd:element ref="ns2:nc695c5aeb184e52bf78fb52672e0b9d" minOccurs="0"/>
                <xsd:element ref="ns2:ja38ea1158ed452e9308a795972805b9" minOccurs="0"/>
                <xsd:element ref="ns2:o9707bc871d6428696dc7fdce2fc1966" minOccurs="0"/>
                <xsd:element ref="ns2:Arup_TeamSpaceProjectStage" minOccurs="0"/>
                <xsd:element ref="ns1:Arup_TeamSpaceDocumentStatus" minOccurs="0"/>
                <xsd:element ref="ns2:Arup_TeamSpaceWorkstreamAdmin" minOccurs="0"/>
                <xsd:element ref="ns2:TeamSpaceRevision"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ServiceLocation" minOccurs="0"/>
                <xsd:element ref="ns3:MediaLengthInSeconds" minOccurs="0"/>
                <xsd:element ref="ns2:SharedWithUsers" minOccurs="0"/>
                <xsd:element ref="ns2:SharedWithDetails"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up_TeamSpaceDocumentStatus" ma:index="20" nillable="true" ma:displayName="Status" ma:format="Dropdown" ma:indexed="true" ma:internalName="Arup_TeamSpaceDocumentStatus">
      <xsd:simpleType>
        <xsd:restriction base="dms:Choice">
          <xsd:enumeration value="Draft"/>
          <xsd:enumeration value="Issued"/>
        </xsd:restriction>
      </xsd:simpleType>
    </xsd:element>
  </xsd:schema>
  <xsd:schema xmlns:xsd="http://www.w3.org/2001/XMLSchema" xmlns:xs="http://www.w3.org/2001/XMLSchema" xmlns:dms="http://schemas.microsoft.com/office/2006/documentManagement/types" xmlns:pc="http://schemas.microsoft.com/office/infopath/2007/PartnerControls" targetNamespace="a41b4c1e-49d4-45f5-a15a-08d38aefcb4f" elementFormDefault="qualified">
    <xsd:import namespace="http://schemas.microsoft.com/office/2006/documentManagement/types"/>
    <xsd:import namespace="http://schemas.microsoft.com/office/infopath/2007/PartnerControls"/>
    <xsd:element name="CO_Description" ma:index="8" nillable="true" ma:displayName="Description" ma:hidden="true" ma:internalName="CO_Description" ma:readOnly="false">
      <xsd:simpleType>
        <xsd:restriction base="dms:Note"/>
      </xsd:simpleType>
    </xsd:element>
    <xsd:element name="m720c857f92247b4b2f03df6cb5d2bc9" ma:index="9" nillable="true" ma:taxonomy="true" ma:internalName="m720c857f92247b4b2f03df6cb5d2bc9" ma:taxonomyFieldName="Arup_Tags" ma:displayName="Tags" ma:fieldId="{6720c857-f922-47b4-b2f0-3df6cb5d2bc9}" ma:taxonomyMulti="true" ma:sspId="00000000-0000-0000-0000-000000000000" ma:termSetId="00000000-0000-0000-0000-000000000000" ma:anchorId="00000000-0000-0000-0000-000000000000" ma:open="true" ma:isKeyword="false">
      <xsd:complexType>
        <xsd:sequence>
          <xsd:element ref="pc:Terms" minOccurs="0" maxOccurs="1"/>
        </xsd:sequence>
      </xsd:complexType>
    </xsd:element>
    <xsd:element name="TaxCatchAll" ma:index="10" nillable="true" ma:displayName="Taxonomy Catch All Column" ma:hidden="true" ma:list="{561e3ae6-1618-499a-890b-f17b7eff03b7}" ma:internalName="TaxCatchAll" ma:showField="CatchAllData" ma:web="a41b4c1e-49d4-45f5-a15a-08d38aefcb4f">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Taxonomy Catch All Column1" ma:hidden="true" ma:list="{561e3ae6-1618-499a-890b-f17b7eff03b7}" ma:internalName="TaxCatchAllLabel" ma:readOnly="true" ma:showField="CatchAllDataLabel" ma:web="a41b4c1e-49d4-45f5-a15a-08d38aefcb4f">
      <xsd:complexType>
        <xsd:complexContent>
          <xsd:extension base="dms:MultiChoiceLookup">
            <xsd:sequence>
              <xsd:element name="Value" type="dms:Lookup" maxOccurs="unbounded" minOccurs="0" nillable="true"/>
            </xsd:sequence>
          </xsd:extension>
        </xsd:complexContent>
      </xsd:complexType>
    </xsd:element>
    <xsd:element name="nc695c5aeb184e52bf78fb52672e0b9d" ma:index="13" nillable="true" ma:taxonomy="true" ma:internalName="nc695c5aeb184e52bf78fb52672e0b9d" ma:taxonomyFieldName="CO_Communities" ma:displayName="Community" ma:fieldId="{7c695c5a-eb18-4e52-bf78-fb52672e0b9d}" ma:taxonomyMulti="true" ma:sspId="00000000-0000-0000-0000-000000000000" ma:termSetId="00000000-0000-0000-0000-000000000000" ma:anchorId="00000000-0000-0000-0000-000000000000" ma:open="true" ma:isKeyword="false">
      <xsd:complexType>
        <xsd:sequence>
          <xsd:element ref="pc:Terms" minOccurs="0" maxOccurs="1"/>
        </xsd:sequence>
      </xsd:complexType>
    </xsd:element>
    <xsd:element name="ja38ea1158ed452e9308a795972805b9" ma:index="15" nillable="true" ma:taxonomy="true" ma:internalName="ja38ea1158ed452e9308a795972805b9" ma:taxonomyFieldName="CO_Topics" ma:displayName="Topic" ma:fieldId="{3a38ea11-58ed-452e-9308-a795972805b9}" ma:taxonomyMulti="true" ma:sspId="00000000-0000-0000-0000-000000000000" ma:termSetId="00000000-0000-0000-0000-000000000000" ma:anchorId="00000000-0000-0000-0000-000000000000" ma:open="true" ma:isKeyword="false">
      <xsd:complexType>
        <xsd:sequence>
          <xsd:element ref="pc:Terms" minOccurs="0" maxOccurs="1"/>
        </xsd:sequence>
      </xsd:complexType>
    </xsd:element>
    <xsd:element name="o9707bc871d6428696dc7fdce2fc1966" ma:index="17" nillable="true" ma:taxonomy="true" ma:internalName="o9707bc871d6428696dc7fdce2fc1966" ma:taxonomyFieldName="Arup_TypeOfContent" ma:displayName="Content Category" ma:fieldId="{89707bc8-71d6-4286-96dc-7fdce2fc1966}" ma:taxonomyMulti="true" ma:sspId="00000000-0000-0000-0000-000000000000" ma:termSetId="00000000-0000-0000-0000-000000000000" ma:anchorId="00000000-0000-0000-0000-000000000000" ma:open="false" ma:isKeyword="false">
      <xsd:complexType>
        <xsd:sequence>
          <xsd:element ref="pc:Terms" minOccurs="0" maxOccurs="1"/>
        </xsd:sequence>
      </xsd:complexType>
    </xsd:element>
    <xsd:element name="Arup_TeamSpaceProjectStage" ma:index="19" nillable="true" ma:displayName="Project Stage" ma:format="Dropdown" ma:internalName="Arup_TeamSpaceProjectStage">
      <xsd:simpleType>
        <xsd:restriction base="dms:Choice">
          <xsd:enumeration value="Not Specified"/>
          <xsd:enumeration value="Concept"/>
          <xsd:enumeration value="Scheme"/>
          <xsd:enumeration value="Detailed Design"/>
          <xsd:enumeration value="Tender"/>
          <xsd:enumeration value="Construction"/>
          <xsd:enumeration value="Handover"/>
          <xsd:enumeration value="As-Built"/>
        </xsd:restriction>
      </xsd:simpleType>
    </xsd:element>
    <xsd:element name="Arup_TeamSpaceWorkstreamAdmin" ma:index="21" nillable="true" ma:displayName="Adminstream" ma:format="Dropdown" ma:internalName="Arup_TeamSpaceWorkstreamAdmin">
      <xsd:simpleType>
        <xsd:restriction base="dms:Choice">
          <xsd:enumeration value="Commission &amp; Scope"/>
          <xsd:enumeration value="Costs &amp; Fees"/>
          <xsd:enumeration value="Health &amp; Safety"/>
          <xsd:enumeration value="Project Controls"/>
          <xsd:enumeration value="Schedule"/>
          <xsd:enumeration value="Team"/>
          <xsd:enumeration value="Quality Assurance"/>
        </xsd:restriction>
      </xsd:simpleType>
    </xsd:element>
    <xsd:element name="TeamSpaceRevision" ma:index="22" nillable="true" ma:displayName="Revision" ma:description="User-editable version number" ma:internalName="TeamSpaceRevision">
      <xsd:simpleType>
        <xsd:restriction base="dms:Text">
          <xsd:maxLength value="255"/>
        </xsd:restriction>
      </xsd:simpleType>
    </xsd:element>
    <xsd:element name="SharedWithUsers" ma:index="3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a103e07-0cc5-4eb7-953f-375d52265a0e" elementFormDefault="qualified">
    <xsd:import namespace="http://schemas.microsoft.com/office/2006/documentManagement/types"/>
    <xsd:import namespace="http://schemas.microsoft.com/office/infopath/2007/PartnerControls"/>
    <xsd:element name="MediaServiceMetadata" ma:index="23" nillable="true" ma:displayName="MediaServiceMetadata" ma:hidden="true" ma:internalName="MediaServiceMetadata" ma:readOnly="true">
      <xsd:simpleType>
        <xsd:restriction base="dms:Note"/>
      </xsd:simpleType>
    </xsd:element>
    <xsd:element name="MediaServiceFastMetadata" ma:index="24" nillable="true" ma:displayName="MediaServiceFastMetadata" ma:hidden="true" ma:internalName="MediaServiceFastMetadata" ma:readOnly="true">
      <xsd:simpleType>
        <xsd:restriction base="dms:Note"/>
      </xsd:simpleType>
    </xsd:element>
    <xsd:element name="MediaServiceAutoKeyPoints" ma:index="25" nillable="true" ma:displayName="MediaServiceAutoKeyPoints" ma:hidden="true" ma:internalName="MediaServiceAutoKeyPoints" ma:readOnly="true">
      <xsd:simpleType>
        <xsd:restriction base="dms:Note"/>
      </xsd:simpleType>
    </xsd:element>
    <xsd:element name="MediaServiceKeyPoints" ma:index="26" nillable="true" ma:displayName="KeyPoints" ma:internalName="MediaServiceKeyPoints" ma:readOnly="true">
      <xsd:simpleType>
        <xsd:restriction base="dms:Note">
          <xsd:maxLength value="255"/>
        </xsd:restriction>
      </xsd:simpleType>
    </xsd:element>
    <xsd:element name="MediaServiceAutoTags" ma:index="27" nillable="true" ma:displayName="Tags" ma:internalName="MediaServiceAutoTags" ma:readOnly="true">
      <xsd:simpleType>
        <xsd:restriction base="dms:Text"/>
      </xsd:simple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MediaServiceDateTaken" ma:index="30" nillable="true" ma:displayName="MediaServiceDateTaken" ma:hidden="true" ma:internalName="MediaServiceDateTaken"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MediaServiceLocation" ma:index="32" nillable="true" ma:displayName="Location" ma:internalName="MediaServiceLocation" ma:readOnly="true">
      <xsd:simpleType>
        <xsd:restriction base="dms:Text"/>
      </xsd:simpleType>
    </xsd:element>
    <xsd:element name="MediaLengthInSeconds" ma:index="33" nillable="true" ma:displayName="MediaLengthInSeconds" ma:hidden="true" ma:internalName="MediaLengthInSeconds" ma:readOnly="true">
      <xsd:simpleType>
        <xsd:restriction base="dms:Unknown"/>
      </xsd:simpleType>
    </xsd:element>
    <xsd:element name="lcf76f155ced4ddcb4097134ff3c332f" ma:index="37" nillable="true" ma:taxonomy="true" ma:internalName="lcf76f155ced4ddcb4097134ff3c332f" ma:taxonomyFieldName="MediaServiceImageTags" ma:displayName="Image Tags" ma:readOnly="false" ma:fieldId="{5cf76f15-5ced-4ddc-b409-7134ff3c332f}" ma:taxonomyMulti="true" ma:sspId="5f907feb-2135-424b-9e5e-2a3ef7dbb37b"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o9707bc871d6428696dc7fdce2fc1966 xmlns="a41b4c1e-49d4-45f5-a15a-08d38aefcb4f">
      <Terms xmlns="http://schemas.microsoft.com/office/infopath/2007/PartnerControls"/>
    </o9707bc871d6428696dc7fdce2fc1966>
    <Arup_TeamSpaceProjectStage xmlns="a41b4c1e-49d4-45f5-a15a-08d38aefcb4f" xsi:nil="true"/>
    <TaxCatchAll xmlns="a41b4c1e-49d4-45f5-a15a-08d38aefcb4f" xsi:nil="true"/>
    <Arup_TeamSpaceDocumentStatus xmlns="http://schemas.microsoft.com/sharepoint/v3" xsi:nil="true"/>
    <CO_Description xmlns="a41b4c1e-49d4-45f5-a15a-08d38aefcb4f" xsi:nil="true"/>
    <Arup_TeamSpaceWorkstreamAdmin xmlns="a41b4c1e-49d4-45f5-a15a-08d38aefcb4f" xsi:nil="true"/>
    <nc695c5aeb184e52bf78fb52672e0b9d xmlns="a41b4c1e-49d4-45f5-a15a-08d38aefcb4f">
      <Terms xmlns="http://schemas.microsoft.com/office/infopath/2007/PartnerControls"/>
    </nc695c5aeb184e52bf78fb52672e0b9d>
    <m720c857f92247b4b2f03df6cb5d2bc9 xmlns="a41b4c1e-49d4-45f5-a15a-08d38aefcb4f">
      <Terms xmlns="http://schemas.microsoft.com/office/infopath/2007/PartnerControls"/>
    </m720c857f92247b4b2f03df6cb5d2bc9>
    <TeamSpaceRevision xmlns="a41b4c1e-49d4-45f5-a15a-08d38aefcb4f" xsi:nil="true"/>
    <ja38ea1158ed452e9308a795972805b9 xmlns="a41b4c1e-49d4-45f5-a15a-08d38aefcb4f">
      <Terms xmlns="http://schemas.microsoft.com/office/infopath/2007/PartnerControls"/>
    </ja38ea1158ed452e9308a795972805b9>
    <lcf76f155ced4ddcb4097134ff3c332f xmlns="ba103e07-0cc5-4eb7-953f-375d52265a0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453CEC1-5D3D-4FD2-8E84-9BF8326450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41b4c1e-49d4-45f5-a15a-08d38aefcb4f"/>
    <ds:schemaRef ds:uri="ba103e07-0cc5-4eb7-953f-375d52265a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5644E2-D6D8-46A6-A318-BACAFCB354FE}">
  <ds:schemaRefs>
    <ds:schemaRef ds:uri="http://schemas.microsoft.com/sharepoint/v3/contenttype/forms"/>
  </ds:schemaRefs>
</ds:datastoreItem>
</file>

<file path=customXml/itemProps3.xml><?xml version="1.0" encoding="utf-8"?>
<ds:datastoreItem xmlns:ds="http://schemas.openxmlformats.org/officeDocument/2006/customXml" ds:itemID="{29F14576-D002-4F59-9636-231DDB6D6587}">
  <ds:schemaRefs>
    <ds:schemaRef ds:uri="http://schemas.microsoft.com/office/2006/documentManagement/types"/>
    <ds:schemaRef ds:uri="http://schemas.microsoft.com/sharepoint/v3"/>
    <ds:schemaRef ds:uri="http://schemas.microsoft.com/office/infopath/2007/PartnerControls"/>
    <ds:schemaRef ds:uri="http://purl.org/dc/elements/1.1/"/>
    <ds:schemaRef ds:uri="http://purl.org/dc/dcmitype/"/>
    <ds:schemaRef ds:uri="http://schemas.openxmlformats.org/package/2006/metadata/core-properties"/>
    <ds:schemaRef ds:uri="ba103e07-0cc5-4eb7-953f-375d52265a0e"/>
    <ds:schemaRef ds:uri="a41b4c1e-49d4-45f5-a15a-08d38aefcb4f"/>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Thermal reduction reasoning</vt:lpstr>
      <vt:lpstr>Worst case</vt:lpstr>
      <vt:lpstr>AR</vt:lpstr>
      <vt:lpstr>NR</vt:lpstr>
      <vt:lpstr>ss_1180-1050 dia below 5m</vt:lpstr>
      <vt:lpstr>ss_ IFIR Summary (03.07)</vt:lpstr>
      <vt:lpstr>North Quay Estimate</vt:lpstr>
      <vt:lpstr>Summary Mass Calc</vt:lpstr>
      <vt:lpstr>Summary (29.09) JCM</vt:lpstr>
      <vt:lpstr>Copy of Summary (07.09) (2)</vt:lpstr>
      <vt:lpstr>AR!Print_Area</vt:lpstr>
      <vt:lpstr>NR!Print_Area</vt:lpstr>
      <vt:lpstr>'ss_1180-1050 dia below 5m'!Print_Area</vt:lpstr>
      <vt:lpstr>'Summary Mass Calc'!Print_Area</vt:lpstr>
      <vt:lpstr>'Thermal reduction reasoning'!Print_Area</vt:lpstr>
      <vt:lpstr>'Worst case'!Print_Area</vt:lpstr>
      <vt:lpstr>'Thermal reduction reasoning'!Print_Titles</vt:lpstr>
    </vt:vector>
  </TitlesOfParts>
  <Manager/>
  <Company>Arup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Duncan Robertson</dc:creator>
  <cp:keywords/>
  <dc:description/>
  <cp:lastModifiedBy>Tim Stuart</cp:lastModifiedBy>
  <cp:revision/>
  <dcterms:created xsi:type="dcterms:W3CDTF">2017-06-12T09:37:00Z</dcterms:created>
  <dcterms:modified xsi:type="dcterms:W3CDTF">2022-09-27T12:44:46Z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0x0101002392094CBAD04C3AB0B65532217FA45A04007863D31C67983449B85142D09416AEAC</vt:lpwstr>
  </property>
  <property fmtid="{D5CDD505-2E9C-101B-9397-08002B2CF9AE}" pid="3" name="MSIP_Label_82fa3fd3-029b-403d-91b4-1dc930cb0e60_Enabled">
    <vt:lpwstr>true</vt:lpwstr>
  </property>
  <property fmtid="{D5CDD505-2E9C-101B-9397-08002B2CF9AE}" pid="4" name="MSIP_Label_82fa3fd3-029b-403d-91b4-1dc930cb0e60_SetDate">
    <vt:lpwstr>2022-03-04T16:35:55Z</vt:lpwstr>
  </property>
  <property fmtid="{D5CDD505-2E9C-101B-9397-08002B2CF9AE}" pid="5" name="MSIP_Label_82fa3fd3-029b-403d-91b4-1dc930cb0e60_Method">
    <vt:lpwstr>Standard</vt:lpwstr>
  </property>
  <property fmtid="{D5CDD505-2E9C-101B-9397-08002B2CF9AE}" pid="6" name="MSIP_Label_82fa3fd3-029b-403d-91b4-1dc930cb0e60_Name">
    <vt:lpwstr>82fa3fd3-029b-403d-91b4-1dc930cb0e60</vt:lpwstr>
  </property>
  <property fmtid="{D5CDD505-2E9C-101B-9397-08002B2CF9AE}" pid="7" name="MSIP_Label_82fa3fd3-029b-403d-91b4-1dc930cb0e60_SiteId">
    <vt:lpwstr>4ae48b41-0137-4599-8661-fc641fe77bea</vt:lpwstr>
  </property>
  <property fmtid="{D5CDD505-2E9C-101B-9397-08002B2CF9AE}" pid="8" name="MSIP_Label_82fa3fd3-029b-403d-91b4-1dc930cb0e60_ActionId">
    <vt:lpwstr>13d09e73-bcda-4645-bd6c-669c02cbdb8a</vt:lpwstr>
  </property>
  <property fmtid="{D5CDD505-2E9C-101B-9397-08002B2CF9AE}" pid="9" name="MSIP_Label_82fa3fd3-029b-403d-91b4-1dc930cb0e60_ContentBits">
    <vt:lpwstr>0</vt:lpwstr>
  </property>
  <property fmtid="{D5CDD505-2E9C-101B-9397-08002B2CF9AE}" pid="10" name="Arup_Tags">
    <vt:lpwstr/>
  </property>
  <property fmtid="{D5CDD505-2E9C-101B-9397-08002B2CF9AE}" pid="11" name="CO_Topics">
    <vt:lpwstr/>
  </property>
  <property fmtid="{D5CDD505-2E9C-101B-9397-08002B2CF9AE}" pid="12" name="Arup_TypeOfContent">
    <vt:lpwstr/>
  </property>
  <property fmtid="{D5CDD505-2E9C-101B-9397-08002B2CF9AE}" pid="13" name="CO_Communities">
    <vt:lpwstr/>
  </property>
  <property fmtid="{D5CDD505-2E9C-101B-9397-08002B2CF9AE}" pid="14" name="Folder_Number">
    <vt:lpwstr/>
  </property>
  <property fmtid="{D5CDD505-2E9C-101B-9397-08002B2CF9AE}" pid="15" name="Folder_Code">
    <vt:lpwstr/>
  </property>
  <property fmtid="{D5CDD505-2E9C-101B-9397-08002B2CF9AE}" pid="16" name="Folder_Name">
    <vt:lpwstr/>
  </property>
  <property fmtid="{D5CDD505-2E9C-101B-9397-08002B2CF9AE}" pid="17" name="Folder_Description">
    <vt:lpwstr/>
  </property>
  <property fmtid="{D5CDD505-2E9C-101B-9397-08002B2CF9AE}" pid="18" name="/Folder_Name/">
    <vt:lpwstr/>
  </property>
  <property fmtid="{D5CDD505-2E9C-101B-9397-08002B2CF9AE}" pid="19" name="/Folder_Description/">
    <vt:lpwstr/>
  </property>
  <property fmtid="{D5CDD505-2E9C-101B-9397-08002B2CF9AE}" pid="20" name="Folder_Version">
    <vt:lpwstr/>
  </property>
  <property fmtid="{D5CDD505-2E9C-101B-9397-08002B2CF9AE}" pid="21" name="Folder_VersionSeq">
    <vt:lpwstr/>
  </property>
  <property fmtid="{D5CDD505-2E9C-101B-9397-08002B2CF9AE}" pid="22" name="Folder_Manager">
    <vt:lpwstr/>
  </property>
  <property fmtid="{D5CDD505-2E9C-101B-9397-08002B2CF9AE}" pid="23" name="Folder_ManagerDesc">
    <vt:lpwstr/>
  </property>
  <property fmtid="{D5CDD505-2E9C-101B-9397-08002B2CF9AE}" pid="24" name="Folder_Storage">
    <vt:lpwstr/>
  </property>
  <property fmtid="{D5CDD505-2E9C-101B-9397-08002B2CF9AE}" pid="25" name="Folder_StorageDesc">
    <vt:lpwstr/>
  </property>
  <property fmtid="{D5CDD505-2E9C-101B-9397-08002B2CF9AE}" pid="26" name="Folder_Creator">
    <vt:lpwstr/>
  </property>
  <property fmtid="{D5CDD505-2E9C-101B-9397-08002B2CF9AE}" pid="27" name="Folder_CreatorDesc">
    <vt:lpwstr/>
  </property>
  <property fmtid="{D5CDD505-2E9C-101B-9397-08002B2CF9AE}" pid="28" name="Folder_CreateDate">
    <vt:lpwstr/>
  </property>
  <property fmtid="{D5CDD505-2E9C-101B-9397-08002B2CF9AE}" pid="29" name="Folder_Updater">
    <vt:lpwstr/>
  </property>
  <property fmtid="{D5CDD505-2E9C-101B-9397-08002B2CF9AE}" pid="30" name="Folder_UpdaterDesc">
    <vt:lpwstr/>
  </property>
  <property fmtid="{D5CDD505-2E9C-101B-9397-08002B2CF9AE}" pid="31" name="Folder_UpdateDate">
    <vt:lpwstr/>
  </property>
  <property fmtid="{D5CDD505-2E9C-101B-9397-08002B2CF9AE}" pid="32" name="Document_Number">
    <vt:lpwstr/>
  </property>
  <property fmtid="{D5CDD505-2E9C-101B-9397-08002B2CF9AE}" pid="33" name="Document_Name">
    <vt:lpwstr/>
  </property>
  <property fmtid="{D5CDD505-2E9C-101B-9397-08002B2CF9AE}" pid="34" name="Document_FileName">
    <vt:lpwstr/>
  </property>
  <property fmtid="{D5CDD505-2E9C-101B-9397-08002B2CF9AE}" pid="35" name="Document_Version">
    <vt:lpwstr/>
  </property>
  <property fmtid="{D5CDD505-2E9C-101B-9397-08002B2CF9AE}" pid="36" name="Document_VersionSeq">
    <vt:lpwstr/>
  </property>
  <property fmtid="{D5CDD505-2E9C-101B-9397-08002B2CF9AE}" pid="37" name="Document_Creator">
    <vt:lpwstr/>
  </property>
  <property fmtid="{D5CDD505-2E9C-101B-9397-08002B2CF9AE}" pid="38" name="Document_CreatorDesc">
    <vt:lpwstr/>
  </property>
  <property fmtid="{D5CDD505-2E9C-101B-9397-08002B2CF9AE}" pid="39" name="Document_CreateDate">
    <vt:lpwstr/>
  </property>
  <property fmtid="{D5CDD505-2E9C-101B-9397-08002B2CF9AE}" pid="40" name="Document_Updater">
    <vt:lpwstr/>
  </property>
  <property fmtid="{D5CDD505-2E9C-101B-9397-08002B2CF9AE}" pid="41" name="Document_UpdaterDesc">
    <vt:lpwstr/>
  </property>
  <property fmtid="{D5CDD505-2E9C-101B-9397-08002B2CF9AE}" pid="42" name="Document_UpdateDate">
    <vt:lpwstr/>
  </property>
  <property fmtid="{D5CDD505-2E9C-101B-9397-08002B2CF9AE}" pid="43" name="Document_Size">
    <vt:lpwstr/>
  </property>
  <property fmtid="{D5CDD505-2E9C-101B-9397-08002B2CF9AE}" pid="44" name="Document_Storage">
    <vt:lpwstr/>
  </property>
  <property fmtid="{D5CDD505-2E9C-101B-9397-08002B2CF9AE}" pid="45" name="Document_StorageDesc">
    <vt:lpwstr/>
  </property>
  <property fmtid="{D5CDD505-2E9C-101B-9397-08002B2CF9AE}" pid="46" name="Document_Department">
    <vt:lpwstr/>
  </property>
  <property fmtid="{D5CDD505-2E9C-101B-9397-08002B2CF9AE}" pid="47" name="Document_DepartmentDesc">
    <vt:lpwstr/>
  </property>
  <property fmtid="{D5CDD505-2E9C-101B-9397-08002B2CF9AE}" pid="48" name="MediaServiceImageTags">
    <vt:lpwstr/>
  </property>
</Properties>
</file>