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theme/themeOverride1.xml" ContentType="application/vnd.openxmlformats-officedocument.themeOverride+xml"/>
  <Override PartName="/xl/charts/chart3.xml" ContentType="application/vnd.openxmlformats-officedocument.drawingml.chart+xml"/>
  <Override PartName="/xl/theme/themeOverride2.xml" ContentType="application/vnd.openxmlformats-officedocument.themeOverride+xml"/>
  <Override PartName="/xl/drawings/drawing4.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theme/themeOverride3.xml" ContentType="application/vnd.openxmlformats-officedocument.themeOverride+xml"/>
  <Override PartName="/xl/charts/chart5.xml" ContentType="application/vnd.openxmlformats-officedocument.drawingml.chart+xml"/>
  <Override PartName="/xl/theme/themeOverride4.xml" ContentType="application/vnd.openxmlformats-officedocument.themeOverride+xml"/>
  <Override PartName="/xl/charts/chart6.xml" ContentType="application/vnd.openxmlformats-officedocument.drawingml.chart+xml"/>
  <Override PartName="/xl/theme/themeOverride5.xml" ContentType="application/vnd.openxmlformats-officedocument.themeOverride+xml"/>
  <Override PartName="/xl/drawings/drawing5.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theme/themeOverride6.xml" ContentType="application/vnd.openxmlformats-officedocument.themeOverride+xml"/>
  <Override PartName="/xl/charts/chart8.xml" ContentType="application/vnd.openxmlformats-officedocument.drawingml.chart+xml"/>
  <Override PartName="/xl/theme/themeOverride7.xml" ContentType="application/vnd.openxmlformats-officedocument.themeOverride+xml"/>
  <Override PartName="/xl/charts/chart9.xml" ContentType="application/vnd.openxmlformats-officedocument.drawingml.chart+xml"/>
  <Override PartName="/xl/drawings/drawing6.xml" ContentType="application/vnd.openxmlformats-officedocument.drawing+xml"/>
  <Override PartName="/xl/comments6.xml" ContentType="application/vnd.openxmlformats-officedocument.spreadsheetml.comments+xml"/>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charts/chart1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omments7.xml" ContentType="application/vnd.openxmlformats-officedocument.spreadsheetml.comments+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omments8.xml" ContentType="application/vnd.openxmlformats-officedocument.spreadsheetml.comments+xml"/>
  <Override PartName="/xl/charts/chart27.xml" ContentType="application/vnd.openxmlformats-officedocument.drawingml.chart+xml"/>
  <Override PartName="/xl/charts/chart28.xml" ContentType="application/vnd.openxmlformats-officedocument.drawingml.chart+xml"/>
  <Override PartName="/xl/drawings/drawing9.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comments9.xml" ContentType="application/vnd.openxmlformats-officedocument.spreadsheetml.comments+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11.xml" ContentType="application/vnd.openxmlformats-officedocument.drawing+xml"/>
  <Override PartName="/xl/comments10.xml" ContentType="application/vnd.openxmlformats-officedocument.spreadsheetml.comments+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2.xml" ContentType="application/vnd.openxmlformats-officedocument.drawing+xml"/>
  <Override PartName="/xl/comments11.xml" ContentType="application/vnd.openxmlformats-officedocument.spreadsheetml.comments+xml"/>
  <Override PartName="/xl/charts/chart61.xml" ContentType="application/vnd.openxmlformats-officedocument.drawingml.chart+xml"/>
  <Override PartName="/xl/charts/chart62.xml" ContentType="application/vnd.openxmlformats-officedocument.drawingml.chart+xml"/>
  <Override PartName="/xl/drawings/drawing13.xml" ContentType="application/vnd.openxmlformats-officedocument.drawing+xml"/>
  <Override PartName="/xl/comments12.xml" ContentType="application/vnd.openxmlformats-officedocument.spreadsheetml.comments+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Leandro\Downloads\"/>
    </mc:Choice>
  </mc:AlternateContent>
  <xr:revisionPtr revIDLastSave="0" documentId="8_{F0CCD8CB-94F5-483D-B4F3-03E6982BDB64}" xr6:coauthVersionLast="45" xr6:coauthVersionMax="45" xr10:uidLastSave="{00000000-0000-0000-0000-000000000000}"/>
  <bookViews>
    <workbookView xWindow="-108" yWindow="-108" windowWidth="23256" windowHeight="12576" tabRatio="881" firstSheet="1" activeTab="4" xr2:uid="{00000000-000D-0000-FFFF-FFFF00000000}"/>
  </bookViews>
  <sheets>
    <sheet name="legal" sheetId="4" r:id="rId1"/>
    <sheet name="legend" sheetId="37" r:id="rId2"/>
    <sheet name="compliance" sheetId="11" r:id="rId3"/>
    <sheet name="2" sheetId="2" r:id="rId4"/>
    <sheet name="3" sheetId="30" r:id="rId5"/>
    <sheet name="4" sheetId="31" r:id="rId6"/>
    <sheet name="5" sheetId="32" r:id="rId7"/>
    <sheet name="6" sheetId="33" r:id="rId8"/>
    <sheet name="7a" sheetId="34" r:id="rId9"/>
    <sheet name="7b" sheetId="38" r:id="rId10"/>
    <sheet name="8" sheetId="19" r:id="rId11"/>
    <sheet name="9" sheetId="20" r:id="rId12"/>
    <sheet name="10" sheetId="22" r:id="rId13"/>
    <sheet name="11" sheetId="35" r:id="rId14"/>
    <sheet name="12" sheetId="29" r:id="rId15"/>
    <sheet name="3-view" sheetId="5" r:id="rId16"/>
    <sheet name="Sheet1" sheetId="39" r:id="rId17"/>
  </sheets>
  <definedNames>
    <definedName name="_xlnm._FilterDatabase" localSheetId="2" hidden="1">compliance!$H$11:$H$143</definedName>
    <definedName name="solver_adj" localSheetId="13" hidden="1">'11'!$S$59,'11'!$S$60,'11'!$V$59,'11'!$V$57</definedName>
    <definedName name="solver_adj" localSheetId="3" hidden="1">'2'!$P$44,'2'!$F$30</definedName>
    <definedName name="solver_adj" localSheetId="8" hidden="1">'7a'!#REF!,'7a'!#REF!,'7a'!#REF!,'7a'!#REF!</definedName>
    <definedName name="solver_adj" localSheetId="9" hidden="1">'7b'!$BA$32,'7b'!$BA$20,'7b'!$BB$20,'7b'!$BC$20,'7b'!$BD$20,'7b'!$BE$20,'7b'!$BG$20</definedName>
    <definedName name="solver_cvg" localSheetId="13" hidden="1">0.0001</definedName>
    <definedName name="solver_cvg" localSheetId="3" hidden="1">0.0001</definedName>
    <definedName name="solver_cvg" localSheetId="8" hidden="1">0.0001</definedName>
    <definedName name="solver_cvg" localSheetId="9" hidden="1">0.0001</definedName>
    <definedName name="solver_drv" localSheetId="13" hidden="1">1</definedName>
    <definedName name="solver_drv" localSheetId="3" hidden="1">1</definedName>
    <definedName name="solver_drv" localSheetId="8" hidden="1">2</definedName>
    <definedName name="solver_drv" localSheetId="9" hidden="1">2</definedName>
    <definedName name="solver_eng" localSheetId="13" hidden="1">1</definedName>
    <definedName name="solver_eng" localSheetId="3" hidden="1">1</definedName>
    <definedName name="solver_eng" localSheetId="8" hidden="1">1</definedName>
    <definedName name="solver_eng" localSheetId="9" hidden="1">1</definedName>
    <definedName name="solver_eng" localSheetId="10" hidden="1">1</definedName>
    <definedName name="solver_est" localSheetId="13" hidden="1">1</definedName>
    <definedName name="solver_est" localSheetId="3" hidden="1">1</definedName>
    <definedName name="solver_est" localSheetId="8" hidden="1">1</definedName>
    <definedName name="solver_est" localSheetId="9" hidden="1">1</definedName>
    <definedName name="solver_itr" localSheetId="13" hidden="1">2147483647</definedName>
    <definedName name="solver_itr" localSheetId="3" hidden="1">2147483647</definedName>
    <definedName name="solver_itr" localSheetId="8" hidden="1">2147483647</definedName>
    <definedName name="solver_itr" localSheetId="9" hidden="1">2147483647</definedName>
    <definedName name="solver_lhs1" localSheetId="13" hidden="1">'11'!$S$70</definedName>
    <definedName name="solver_lhs1" localSheetId="3" hidden="1">'2'!$F$34</definedName>
    <definedName name="solver_lhs1" localSheetId="8" hidden="1">'7a'!#REF!</definedName>
    <definedName name="solver_lhs1" localSheetId="9" hidden="1">'7b'!$BA$24</definedName>
    <definedName name="solver_lhs10" localSheetId="8" hidden="1">'7a'!#REF!</definedName>
    <definedName name="solver_lhs10" localSheetId="9" hidden="1">'7b'!$BE$53</definedName>
    <definedName name="solver_lhs11" localSheetId="8" hidden="1">'7a'!#REF!</definedName>
    <definedName name="solver_lhs11" localSheetId="9" hidden="1">'7b'!$BG$24</definedName>
    <definedName name="solver_lhs12" localSheetId="8" hidden="1">'7a'!#REF!</definedName>
    <definedName name="solver_lhs12" localSheetId="9" hidden="1">'7b'!$BG$56</definedName>
    <definedName name="solver_lhs2" localSheetId="13" hidden="1">'11'!$T$86</definedName>
    <definedName name="solver_lhs2" localSheetId="3" hidden="1">'2'!$F$34</definedName>
    <definedName name="solver_lhs2" localSheetId="8" hidden="1">'7a'!#REF!</definedName>
    <definedName name="solver_lhs2" localSheetId="9" hidden="1">'7b'!$BA$53</definedName>
    <definedName name="solver_lhs3" localSheetId="13" hidden="1">'11'!$W$70</definedName>
    <definedName name="solver_lhs3" localSheetId="3" hidden="1">'7a'!#REF!</definedName>
    <definedName name="solver_lhs3" localSheetId="8" hidden="1">'7a'!#REF!</definedName>
    <definedName name="solver_lhs3" localSheetId="9" hidden="1">'7b'!$BB$24</definedName>
    <definedName name="solver_lhs4" localSheetId="13" hidden="1">'11'!$T$86</definedName>
    <definedName name="solver_lhs4" localSheetId="8" hidden="1">'7a'!#REF!</definedName>
    <definedName name="solver_lhs4" localSheetId="9" hidden="1">'7b'!$BB$53</definedName>
    <definedName name="solver_lhs5" localSheetId="13" hidden="1">'11'!$W$70</definedName>
    <definedName name="solver_lhs5" localSheetId="8" hidden="1">'7a'!#REF!</definedName>
    <definedName name="solver_lhs5" localSheetId="9" hidden="1">'7b'!$BC$24</definedName>
    <definedName name="solver_lhs6" localSheetId="8" hidden="1">'7a'!#REF!</definedName>
    <definedName name="solver_lhs6" localSheetId="9" hidden="1">'7b'!$BC$53</definedName>
    <definedName name="solver_lhs7" localSheetId="8" hidden="1">'7a'!#REF!</definedName>
    <definedName name="solver_lhs7" localSheetId="9" hidden="1">'7b'!$BD$24</definedName>
    <definedName name="solver_lhs8" localSheetId="8" hidden="1">'7a'!#REF!</definedName>
    <definedName name="solver_lhs8" localSheetId="9" hidden="1">'7b'!$BD$53</definedName>
    <definedName name="solver_lhs9" localSheetId="8" hidden="1">'7a'!#REF!</definedName>
    <definedName name="solver_lhs9" localSheetId="9" hidden="1">'7b'!$BE$24</definedName>
    <definedName name="solver_lin" localSheetId="13" hidden="1">2</definedName>
    <definedName name="solver_lin" localSheetId="3" hidden="1">2</definedName>
    <definedName name="solver_lin" localSheetId="9" hidden="1">2</definedName>
    <definedName name="solver_mip" localSheetId="13" hidden="1">2147483647</definedName>
    <definedName name="solver_mip" localSheetId="3" hidden="1">2147483647</definedName>
    <definedName name="solver_mip" localSheetId="8" hidden="1">2147483647</definedName>
    <definedName name="solver_mip" localSheetId="9" hidden="1">2147483647</definedName>
    <definedName name="solver_mni" localSheetId="13" hidden="1">30</definedName>
    <definedName name="solver_mni" localSheetId="3" hidden="1">30</definedName>
    <definedName name="solver_mni" localSheetId="8" hidden="1">30</definedName>
    <definedName name="solver_mni" localSheetId="9" hidden="1">30</definedName>
    <definedName name="solver_mrt" localSheetId="13" hidden="1">0.075</definedName>
    <definedName name="solver_mrt" localSheetId="3" hidden="1">0.075</definedName>
    <definedName name="solver_mrt" localSheetId="8" hidden="1">0.075</definedName>
    <definedName name="solver_mrt" localSheetId="9" hidden="1">0.075</definedName>
    <definedName name="solver_msl" localSheetId="13" hidden="1">2</definedName>
    <definedName name="solver_msl" localSheetId="3" hidden="1">2</definedName>
    <definedName name="solver_msl" localSheetId="8" hidden="1">2</definedName>
    <definedName name="solver_msl" localSheetId="9" hidden="1">2</definedName>
    <definedName name="solver_neg" localSheetId="13" hidden="1">2</definedName>
    <definedName name="solver_neg" localSheetId="3" hidden="1">2</definedName>
    <definedName name="solver_neg" localSheetId="8" hidden="1">2</definedName>
    <definedName name="solver_neg" localSheetId="9" hidden="1">2</definedName>
    <definedName name="solver_neg" localSheetId="10" hidden="1">1</definedName>
    <definedName name="solver_nod" localSheetId="13" hidden="1">2147483647</definedName>
    <definedName name="solver_nod" localSheetId="3" hidden="1">2147483647</definedName>
    <definedName name="solver_nod" localSheetId="8" hidden="1">2147483647</definedName>
    <definedName name="solver_nod" localSheetId="9" hidden="1">2147483647</definedName>
    <definedName name="solver_num" localSheetId="13" hidden="1">3</definedName>
    <definedName name="solver_num" localSheetId="3" hidden="1">1</definedName>
    <definedName name="solver_num" localSheetId="8" hidden="1">12</definedName>
    <definedName name="solver_num" localSheetId="9" hidden="1">12</definedName>
    <definedName name="solver_num" localSheetId="10" hidden="1">0</definedName>
    <definedName name="solver_nwt" localSheetId="13" hidden="1">1</definedName>
    <definedName name="solver_nwt" localSheetId="3" hidden="1">1</definedName>
    <definedName name="solver_nwt" localSheetId="8" hidden="1">1</definedName>
    <definedName name="solver_nwt" localSheetId="9" hidden="1">1</definedName>
    <definedName name="solver_opt" localSheetId="13" hidden="1">'11'!$W$57</definedName>
    <definedName name="solver_opt" localSheetId="3" hidden="1">'2'!$S$22</definedName>
    <definedName name="solver_opt" localSheetId="8" hidden="1">'7a'!#REF!</definedName>
    <definedName name="solver_opt" localSheetId="9" hidden="1">'7b'!$BA$48</definedName>
    <definedName name="solver_opt" localSheetId="10" hidden="1">'8'!$C$10</definedName>
    <definedName name="solver_pre" localSheetId="13" hidden="1">0.000001</definedName>
    <definedName name="solver_pre" localSheetId="3" hidden="1">0.000001</definedName>
    <definedName name="solver_pre" localSheetId="8" hidden="1">0.000001</definedName>
    <definedName name="solver_pre" localSheetId="9" hidden="1">0.000001</definedName>
    <definedName name="solver_rbv" localSheetId="13" hidden="1">1</definedName>
    <definedName name="solver_rbv" localSheetId="3" hidden="1">1</definedName>
    <definedName name="solver_rbv" localSheetId="8" hidden="1">2</definedName>
    <definedName name="solver_rbv" localSheetId="9" hidden="1">2</definedName>
    <definedName name="solver_rel1" localSheetId="13" hidden="1">2</definedName>
    <definedName name="solver_rel1" localSheetId="3" hidden="1">2</definedName>
    <definedName name="solver_rel1" localSheetId="8" hidden="1">2</definedName>
    <definedName name="solver_rel1" localSheetId="9" hidden="1">1</definedName>
    <definedName name="solver_rel10" localSheetId="8" hidden="1">2</definedName>
    <definedName name="solver_rel10" localSheetId="9" hidden="1">2</definedName>
    <definedName name="solver_rel11" localSheetId="8" hidden="1">1</definedName>
    <definedName name="solver_rel11" localSheetId="9" hidden="1">1</definedName>
    <definedName name="solver_rel12" localSheetId="8" hidden="1">2</definedName>
    <definedName name="solver_rel12" localSheetId="9" hidden="1">2</definedName>
    <definedName name="solver_rel2" localSheetId="13" hidden="1">2</definedName>
    <definedName name="solver_rel2" localSheetId="3" hidden="1">2</definedName>
    <definedName name="solver_rel2" localSheetId="8" hidden="1">2</definedName>
    <definedName name="solver_rel2" localSheetId="9" hidden="1">2</definedName>
    <definedName name="solver_rel3" localSheetId="13" hidden="1">2</definedName>
    <definedName name="solver_rel3" localSheetId="3" hidden="1">1</definedName>
    <definedName name="solver_rel3" localSheetId="8" hidden="1">1</definedName>
    <definedName name="solver_rel3" localSheetId="9" hidden="1">1</definedName>
    <definedName name="solver_rel4" localSheetId="13" hidden="1">2</definedName>
    <definedName name="solver_rel4" localSheetId="8" hidden="1">2</definedName>
    <definedName name="solver_rel4" localSheetId="9" hidden="1">2</definedName>
    <definedName name="solver_rel5" localSheetId="13" hidden="1">2</definedName>
    <definedName name="solver_rel5" localSheetId="8" hidden="1">1</definedName>
    <definedName name="solver_rel5" localSheetId="9" hidden="1">1</definedName>
    <definedName name="solver_rel6" localSheetId="8" hidden="1">2</definedName>
    <definedName name="solver_rel6" localSheetId="9" hidden="1">2</definedName>
    <definedName name="solver_rel7" localSheetId="8" hidden="1">1</definedName>
    <definedName name="solver_rel7" localSheetId="9" hidden="1">1</definedName>
    <definedName name="solver_rel8" localSheetId="8" hidden="1">2</definedName>
    <definedName name="solver_rel8" localSheetId="9" hidden="1">2</definedName>
    <definedName name="solver_rel9" localSheetId="8" hidden="1">1</definedName>
    <definedName name="solver_rel9" localSheetId="9" hidden="1">1</definedName>
    <definedName name="solver_rhs1" localSheetId="13" hidden="1">0</definedName>
    <definedName name="solver_rhs1" localSheetId="3" hidden="1">'2'!$F$35</definedName>
    <definedName name="solver_rhs1" localSheetId="8" hidden="1">'7a'!#REF!</definedName>
    <definedName name="solver_rhs1" localSheetId="9" hidden="1">'7b'!$BB$2</definedName>
    <definedName name="solver_rhs10" localSheetId="8" hidden="1">1</definedName>
    <definedName name="solver_rhs10" localSheetId="9" hidden="1">1</definedName>
    <definedName name="solver_rhs11" localSheetId="8" hidden="1">'7a'!#REF!</definedName>
    <definedName name="solver_rhs11" localSheetId="9" hidden="1">'7b'!$BB$2</definedName>
    <definedName name="solver_rhs12" localSheetId="8" hidden="1">1</definedName>
    <definedName name="solver_rhs12" localSheetId="9" hidden="1">1</definedName>
    <definedName name="solver_rhs2" localSheetId="13" hidden="1">'11'!AA14</definedName>
    <definedName name="solver_rhs2" localSheetId="3" hidden="1">'2'!$F$35</definedName>
    <definedName name="solver_rhs2" localSheetId="8" hidden="1">1</definedName>
    <definedName name="solver_rhs2" localSheetId="9" hidden="1">1</definedName>
    <definedName name="solver_rhs3" localSheetId="13" hidden="1">0</definedName>
    <definedName name="solver_rhs3" localSheetId="3" hidden="1">0.8</definedName>
    <definedName name="solver_rhs3" localSheetId="8" hidden="1">'7a'!#REF!</definedName>
    <definedName name="solver_rhs3" localSheetId="9" hidden="1">'7b'!$BB$2</definedName>
    <definedName name="solver_rhs4" localSheetId="13" hidden="1">-0.1</definedName>
    <definedName name="solver_rhs4" localSheetId="8" hidden="1">1</definedName>
    <definedName name="solver_rhs4" localSheetId="9" hidden="1">1</definedName>
    <definedName name="solver_rhs5" localSheetId="13" hidden="1">0</definedName>
    <definedName name="solver_rhs5" localSheetId="8" hidden="1">'7a'!#REF!</definedName>
    <definedName name="solver_rhs5" localSheetId="9" hidden="1">'7b'!$BB$2</definedName>
    <definedName name="solver_rhs6" localSheetId="8" hidden="1">1</definedName>
    <definedName name="solver_rhs6" localSheetId="9" hidden="1">1</definedName>
    <definedName name="solver_rhs7" localSheetId="8" hidden="1">'7a'!#REF!</definedName>
    <definedName name="solver_rhs7" localSheetId="9" hidden="1">'7b'!$BB$2</definedName>
    <definedName name="solver_rhs8" localSheetId="8" hidden="1">1</definedName>
    <definedName name="solver_rhs8" localSheetId="9" hidden="1">1</definedName>
    <definedName name="solver_rhs9" localSheetId="8" hidden="1">'7a'!#REF!</definedName>
    <definedName name="solver_rhs9" localSheetId="9" hidden="1">'7b'!$BB$2</definedName>
    <definedName name="solver_rlx" localSheetId="13" hidden="1">2</definedName>
    <definedName name="solver_rlx" localSheetId="3" hidden="1">2</definedName>
    <definedName name="solver_rlx" localSheetId="8" hidden="1">2</definedName>
    <definedName name="solver_rlx" localSheetId="9" hidden="1">2</definedName>
    <definedName name="solver_rsd" localSheetId="13" hidden="1">0</definedName>
    <definedName name="solver_rsd" localSheetId="3" hidden="1">0</definedName>
    <definedName name="solver_rsd" localSheetId="8" hidden="1">0</definedName>
    <definedName name="solver_rsd" localSheetId="9" hidden="1">0</definedName>
    <definedName name="solver_scl" localSheetId="13" hidden="1">1</definedName>
    <definedName name="solver_scl" localSheetId="3" hidden="1">1</definedName>
    <definedName name="solver_scl" localSheetId="8" hidden="1">2</definedName>
    <definedName name="solver_scl" localSheetId="9" hidden="1">2</definedName>
    <definedName name="solver_sho" localSheetId="13" hidden="1">2</definedName>
    <definedName name="solver_sho" localSheetId="3" hidden="1">2</definedName>
    <definedName name="solver_sho" localSheetId="8" hidden="1">2</definedName>
    <definedName name="solver_sho" localSheetId="9" hidden="1">2</definedName>
    <definedName name="solver_ssz" localSheetId="13" hidden="1">100</definedName>
    <definedName name="solver_ssz" localSheetId="3" hidden="1">100</definedName>
    <definedName name="solver_ssz" localSheetId="8" hidden="1">100</definedName>
    <definedName name="solver_ssz" localSheetId="9" hidden="1">100</definedName>
    <definedName name="solver_tim" localSheetId="13" hidden="1">2147483647</definedName>
    <definedName name="solver_tim" localSheetId="3" hidden="1">2147483647</definedName>
    <definedName name="solver_tim" localSheetId="8" hidden="1">2147483647</definedName>
    <definedName name="solver_tim" localSheetId="9" hidden="1">2147483647</definedName>
    <definedName name="solver_tol" localSheetId="13" hidden="1">0.01</definedName>
    <definedName name="solver_tol" localSheetId="3" hidden="1">0.01</definedName>
    <definedName name="solver_tol" localSheetId="8" hidden="1">0.01</definedName>
    <definedName name="solver_tol" localSheetId="9" hidden="1">0.01</definedName>
    <definedName name="solver_typ" localSheetId="13" hidden="1">3</definedName>
    <definedName name="solver_typ" localSheetId="3" hidden="1">3</definedName>
    <definedName name="solver_typ" localSheetId="8" hidden="1">1</definedName>
    <definedName name="solver_typ" localSheetId="9" hidden="1">1</definedName>
    <definedName name="solver_typ" localSheetId="10" hidden="1">1</definedName>
    <definedName name="solver_val" localSheetId="13" hidden="1">0</definedName>
    <definedName name="solver_val" localSheetId="3" hidden="1">0</definedName>
    <definedName name="solver_val" localSheetId="8" hidden="1">0</definedName>
    <definedName name="solver_val" localSheetId="9" hidden="1">0</definedName>
    <definedName name="solver_val" localSheetId="10" hidden="1">0</definedName>
    <definedName name="solver_ver" localSheetId="13" hidden="1">3</definedName>
    <definedName name="solver_ver" localSheetId="3" hidden="1">3</definedName>
    <definedName name="solver_ver" localSheetId="8" hidden="1">3</definedName>
    <definedName name="solver_ver" localSheetId="9" hidden="1">3</definedName>
    <definedName name="solver_ver" localSheetId="1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7" i="29" l="1"/>
  <c r="C28" i="29"/>
  <c r="C26" i="29"/>
  <c r="C25" i="29"/>
  <c r="Q28" i="30" l="1"/>
  <c r="R9" i="30"/>
  <c r="O9" i="30"/>
  <c r="E40" i="32" l="1"/>
  <c r="F40" i="32" s="1"/>
  <c r="F44" i="32" s="1"/>
  <c r="BD31" i="38" l="1"/>
  <c r="BD32" i="38"/>
  <c r="BB31" i="38"/>
  <c r="C25" i="20" l="1"/>
  <c r="BC51" i="22" l="1"/>
  <c r="AU6" i="38" l="1"/>
  <c r="AU8" i="38" s="1"/>
  <c r="G12" i="19" l="1"/>
  <c r="BG32" i="38" l="1"/>
  <c r="BE32" i="38"/>
  <c r="BC32" i="38"/>
  <c r="BB32" i="38"/>
  <c r="F9" i="2" l="1"/>
  <c r="D57" i="2"/>
  <c r="V46" i="2"/>
  <c r="T44" i="2"/>
  <c r="K12" i="2" s="1"/>
  <c r="E57" i="2" l="1"/>
  <c r="Q9" i="30" l="1"/>
  <c r="T9" i="30" l="1"/>
  <c r="S9" i="30"/>
  <c r="K9" i="29" l="1"/>
  <c r="E13" i="30" l="1"/>
  <c r="D8" i="30" l="1"/>
  <c r="D7" i="30"/>
  <c r="F42" i="32" l="1"/>
  <c r="L64" i="5"/>
  <c r="O64" i="5" s="1"/>
  <c r="G63" i="5"/>
  <c r="G64" i="5" s="1"/>
  <c r="H64" i="5" s="1"/>
  <c r="O63" i="5"/>
  <c r="H63" i="5" l="1"/>
  <c r="H88" i="5" s="1"/>
  <c r="G65" i="5"/>
  <c r="H65" i="5" s="1"/>
  <c r="G66" i="5" l="1"/>
  <c r="H66" i="5" s="1"/>
  <c r="G67" i="5" l="1"/>
  <c r="H67" i="5" s="1"/>
  <c r="G68" i="5" l="1"/>
  <c r="H68" i="5" s="1"/>
  <c r="G69" i="5" l="1"/>
  <c r="H69" i="5" s="1"/>
  <c r="G70" i="5" l="1"/>
  <c r="H70" i="5" s="1"/>
  <c r="G71" i="5" l="1"/>
  <c r="H71" i="5" s="1"/>
  <c r="G72" i="5" l="1"/>
  <c r="H72" i="5" s="1"/>
  <c r="G73" i="5" l="1"/>
  <c r="H73" i="5" s="1"/>
  <c r="G74" i="5" l="1"/>
  <c r="H74" i="5" s="1"/>
  <c r="G75" i="5" l="1"/>
  <c r="H75" i="5" s="1"/>
  <c r="G76" i="5" l="1"/>
  <c r="H76" i="5" s="1"/>
  <c r="G77" i="5" l="1"/>
  <c r="H77" i="5" s="1"/>
  <c r="G78" i="5" l="1"/>
  <c r="H78" i="5" s="1"/>
  <c r="G79" i="5" l="1"/>
  <c r="H79" i="5" s="1"/>
  <c r="G80" i="5" l="1"/>
  <c r="H80" i="5" s="1"/>
  <c r="G81" i="5" l="1"/>
  <c r="H81" i="5" s="1"/>
  <c r="G82" i="5" l="1"/>
  <c r="H82" i="5" s="1"/>
  <c r="G83" i="5" l="1"/>
  <c r="H83" i="5" s="1"/>
  <c r="G84" i="5" l="1"/>
  <c r="H84" i="5" s="1"/>
  <c r="G85" i="5" l="1"/>
  <c r="H85" i="5" s="1"/>
  <c r="G86" i="5" l="1"/>
  <c r="H86" i="5" s="1"/>
  <c r="G87" i="5" l="1"/>
  <c r="H87" i="5" s="1"/>
  <c r="G88" i="5" l="1"/>
  <c r="R57" i="2" l="1"/>
  <c r="G51" i="38" l="1"/>
  <c r="F51" i="38"/>
  <c r="E68" i="22" l="1"/>
  <c r="O45" i="2" l="1"/>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44" i="2"/>
  <c r="N74" i="2"/>
  <c r="N73" i="2"/>
  <c r="N72" i="2"/>
  <c r="N71" i="2"/>
  <c r="N70" i="2"/>
  <c r="N69" i="2"/>
  <c r="N68" i="2"/>
  <c r="N67" i="2"/>
  <c r="N66" i="2"/>
  <c r="N65" i="2"/>
  <c r="N63" i="2"/>
  <c r="N62" i="2"/>
  <c r="N61" i="2"/>
  <c r="N60" i="2"/>
  <c r="N59" i="2"/>
  <c r="N47" i="2"/>
  <c r="N48" i="2"/>
  <c r="N49" i="2"/>
  <c r="N50" i="2"/>
  <c r="N51" i="2"/>
  <c r="N52" i="2"/>
  <c r="N53" i="2"/>
  <c r="N54" i="2"/>
  <c r="N55" i="2"/>
  <c r="N46" i="2"/>
  <c r="BG7" i="38"/>
  <c r="BG8" i="38"/>
  <c r="BG18" i="38"/>
  <c r="BG19" i="38"/>
  <c r="BG27" i="38"/>
  <c r="BG28" i="38"/>
  <c r="BG29" i="38"/>
  <c r="BG30" i="38"/>
  <c r="BG31" i="38"/>
  <c r="BG33" i="38"/>
  <c r="BG34" i="38"/>
  <c r="BF80" i="38"/>
  <c r="BG80" i="38"/>
  <c r="BH80" i="38"/>
  <c r="BF122" i="38"/>
  <c r="BG122" i="38"/>
  <c r="BH122" i="38"/>
  <c r="BF134" i="38"/>
  <c r="BG134" i="38"/>
  <c r="BH134" i="38"/>
  <c r="BF176" i="38"/>
  <c r="BG176" i="38"/>
  <c r="BH176" i="38"/>
  <c r="BF188" i="38"/>
  <c r="BG188" i="38"/>
  <c r="BH188" i="38"/>
  <c r="BF230" i="38"/>
  <c r="BG230" i="38"/>
  <c r="BH230" i="38"/>
  <c r="BF242" i="38"/>
  <c r="BG242" i="38"/>
  <c r="BH242" i="38"/>
  <c r="BF284" i="38"/>
  <c r="BG284" i="38"/>
  <c r="BH284" i="38"/>
  <c r="BF296" i="38"/>
  <c r="BG296" i="38"/>
  <c r="BH296" i="38"/>
  <c r="BF338" i="38"/>
  <c r="BG338" i="38"/>
  <c r="BH338" i="38"/>
  <c r="BF350" i="38"/>
  <c r="BG350" i="38"/>
  <c r="BH350" i="38"/>
  <c r="T8" i="32" l="1"/>
  <c r="D119" i="32"/>
  <c r="C11" i="19"/>
  <c r="E15" i="30"/>
  <c r="E46" i="30" s="1"/>
  <c r="E71" i="2"/>
  <c r="E72" i="2" s="1"/>
  <c r="E73" i="2" s="1"/>
  <c r="E74" i="2" s="1"/>
  <c r="E66" i="2"/>
  <c r="E67" i="2" s="1"/>
  <c r="E68" i="2" s="1"/>
  <c r="E69" i="2" s="1"/>
  <c r="E64" i="2"/>
  <c r="E63" i="2"/>
  <c r="E62" i="2"/>
  <c r="E61" i="2"/>
  <c r="E60" i="2"/>
  <c r="E58" i="2"/>
  <c r="E55" i="2"/>
  <c r="R56" i="2" s="1"/>
  <c r="E54" i="2"/>
  <c r="E53" i="2"/>
  <c r="E52" i="2"/>
  <c r="G44" i="2"/>
  <c r="H44" i="2" s="1"/>
  <c r="Q44" i="2"/>
  <c r="P45" i="2" s="1"/>
  <c r="D45" i="2"/>
  <c r="D48" i="2" s="1"/>
  <c r="E45" i="2"/>
  <c r="F45" i="2"/>
  <c r="F49" i="2" s="1"/>
  <c r="G46" i="2"/>
  <c r="H46" i="2" s="1"/>
  <c r="M46" i="2"/>
  <c r="M47" i="2"/>
  <c r="F48" i="2"/>
  <c r="M48" i="2"/>
  <c r="M49" i="2"/>
  <c r="M50" i="2"/>
  <c r="G51" i="2"/>
  <c r="H51" i="2" s="1"/>
  <c r="M51" i="2"/>
  <c r="S51" i="2"/>
  <c r="D52" i="2"/>
  <c r="F52" i="2"/>
  <c r="M52" i="2"/>
  <c r="S52" i="2"/>
  <c r="D53" i="2"/>
  <c r="F53" i="2"/>
  <c r="M53" i="2"/>
  <c r="S53" i="2"/>
  <c r="D54" i="2"/>
  <c r="F54" i="2"/>
  <c r="M54" i="2"/>
  <c r="S54" i="2"/>
  <c r="D55" i="2"/>
  <c r="F55" i="2"/>
  <c r="M55" i="2"/>
  <c r="S55" i="2"/>
  <c r="D56" i="2"/>
  <c r="F56" i="2"/>
  <c r="F57" i="2"/>
  <c r="G57" i="2" s="1"/>
  <c r="D58" i="2"/>
  <c r="F58" i="2"/>
  <c r="D59" i="2"/>
  <c r="D61" i="2" s="1"/>
  <c r="F59" i="2"/>
  <c r="F62" i="2" s="1"/>
  <c r="M59" i="2"/>
  <c r="S59" i="2"/>
  <c r="M60" i="2"/>
  <c r="S60" i="2"/>
  <c r="M61" i="2"/>
  <c r="S61" i="2"/>
  <c r="M62" i="2"/>
  <c r="S62" i="2"/>
  <c r="M63" i="2"/>
  <c r="S63" i="2"/>
  <c r="D64" i="2"/>
  <c r="F64" i="2"/>
  <c r="G65" i="2"/>
  <c r="H65" i="2" s="1"/>
  <c r="M65" i="2"/>
  <c r="D66" i="2"/>
  <c r="D67" i="2" s="1"/>
  <c r="F66" i="2"/>
  <c r="M66" i="2"/>
  <c r="M67" i="2"/>
  <c r="M68" i="2"/>
  <c r="M69" i="2"/>
  <c r="G70" i="2"/>
  <c r="H70" i="2" s="1"/>
  <c r="M70" i="2"/>
  <c r="S70" i="2"/>
  <c r="D71" i="2"/>
  <c r="D72" i="2" s="1"/>
  <c r="F71" i="2"/>
  <c r="M71" i="2"/>
  <c r="S71" i="2"/>
  <c r="F72" i="2"/>
  <c r="M72" i="2"/>
  <c r="S72" i="2"/>
  <c r="F73" i="2"/>
  <c r="M73" i="2"/>
  <c r="S73" i="2"/>
  <c r="F74" i="2"/>
  <c r="M74" i="2"/>
  <c r="S74" i="2"/>
  <c r="G75" i="2"/>
  <c r="I75" i="2" s="1"/>
  <c r="F63" i="2" l="1"/>
  <c r="G48" i="2"/>
  <c r="F60" i="2"/>
  <c r="F61" i="2"/>
  <c r="R64" i="2"/>
  <c r="D62" i="2"/>
  <c r="G62" i="2" s="1"/>
  <c r="D60" i="2"/>
  <c r="G60" i="2" s="1"/>
  <c r="D50" i="2"/>
  <c r="I46" i="2"/>
  <c r="H75" i="2"/>
  <c r="K75" i="2" s="1"/>
  <c r="G58" i="2"/>
  <c r="H58" i="2" s="1"/>
  <c r="G55" i="2"/>
  <c r="I55" i="2" s="1"/>
  <c r="J55" i="2" s="1"/>
  <c r="G53" i="2"/>
  <c r="I53" i="2" s="1"/>
  <c r="J53" i="2" s="1"/>
  <c r="E49" i="2"/>
  <c r="R45" i="2"/>
  <c r="T45" i="2" s="1"/>
  <c r="F50" i="2"/>
  <c r="G45" i="2"/>
  <c r="I45" i="2" s="1"/>
  <c r="J45" i="2" s="1"/>
  <c r="F47" i="2"/>
  <c r="G56" i="2"/>
  <c r="H56" i="2" s="1"/>
  <c r="G54" i="2"/>
  <c r="I54" i="2" s="1"/>
  <c r="J54" i="2" s="1"/>
  <c r="G52" i="2"/>
  <c r="I52" i="2" s="1"/>
  <c r="J52" i="2" s="1"/>
  <c r="D49" i="2"/>
  <c r="G49" i="2" s="1"/>
  <c r="H49" i="2" s="1"/>
  <c r="E50" i="2"/>
  <c r="G66" i="2"/>
  <c r="H66" i="2" s="1"/>
  <c r="D63" i="2"/>
  <c r="G63" i="2" s="1"/>
  <c r="G59" i="2"/>
  <c r="H59" i="2" s="1"/>
  <c r="E47" i="2"/>
  <c r="E48" i="2"/>
  <c r="I48" i="2" s="1"/>
  <c r="J48" i="2" s="1"/>
  <c r="D68" i="2"/>
  <c r="J75" i="2"/>
  <c r="D73" i="2"/>
  <c r="G72" i="2"/>
  <c r="H72" i="2" s="1"/>
  <c r="G61" i="2"/>
  <c r="I61" i="2" s="1"/>
  <c r="J61" i="2" s="1"/>
  <c r="I57" i="2"/>
  <c r="J57" i="2" s="1"/>
  <c r="D47" i="2"/>
  <c r="H57" i="2"/>
  <c r="H53" i="2"/>
  <c r="G64" i="2"/>
  <c r="I64" i="2" s="1"/>
  <c r="I51" i="2"/>
  <c r="J51" i="2" s="1"/>
  <c r="I70" i="2"/>
  <c r="J70" i="2" s="1"/>
  <c r="H48" i="2"/>
  <c r="G71" i="2"/>
  <c r="H71" i="2" s="1"/>
  <c r="I65" i="2"/>
  <c r="K65" i="2" s="1"/>
  <c r="F67" i="2"/>
  <c r="F68" i="2" s="1"/>
  <c r="F69" i="2" s="1"/>
  <c r="G50" i="2" l="1"/>
  <c r="H50" i="2" s="1"/>
  <c r="H52" i="2"/>
  <c r="Q45" i="2"/>
  <c r="P46" i="2" s="1"/>
  <c r="AB46" i="2" s="1"/>
  <c r="J46" i="2"/>
  <c r="S46" i="2"/>
  <c r="H45" i="2"/>
  <c r="K45" i="2" s="1"/>
  <c r="J64" i="2"/>
  <c r="I60" i="2"/>
  <c r="J60" i="2" s="1"/>
  <c r="H60" i="2"/>
  <c r="K60" i="2" s="1"/>
  <c r="I62" i="2"/>
  <c r="J62" i="2" s="1"/>
  <c r="H62" i="2"/>
  <c r="H54" i="2"/>
  <c r="K54" i="2" s="1"/>
  <c r="I58" i="2"/>
  <c r="J58" i="2" s="1"/>
  <c r="I49" i="2"/>
  <c r="J49" i="2" s="1"/>
  <c r="K48" i="2"/>
  <c r="I66" i="2"/>
  <c r="J66" i="2" s="1"/>
  <c r="H55" i="2"/>
  <c r="K55" i="2" s="1"/>
  <c r="I56" i="2"/>
  <c r="J56" i="2" s="1"/>
  <c r="I59" i="2"/>
  <c r="J59" i="2" s="1"/>
  <c r="K46" i="2"/>
  <c r="I72" i="2"/>
  <c r="J72" i="2" s="1"/>
  <c r="H64" i="2"/>
  <c r="K64" i="2" s="1"/>
  <c r="G67" i="2"/>
  <c r="I67" i="2" s="1"/>
  <c r="J67" i="2" s="1"/>
  <c r="I71" i="2"/>
  <c r="J71" i="2" s="1"/>
  <c r="H61" i="2"/>
  <c r="K61" i="2" s="1"/>
  <c r="K53" i="2"/>
  <c r="K52" i="2"/>
  <c r="I63" i="2"/>
  <c r="J63" i="2" s="1"/>
  <c r="H63" i="2"/>
  <c r="K57" i="2"/>
  <c r="D69" i="2"/>
  <c r="G68" i="2"/>
  <c r="I68" i="2" s="1"/>
  <c r="G47" i="2"/>
  <c r="H47" i="2" s="1"/>
  <c r="J65" i="2"/>
  <c r="K51" i="2"/>
  <c r="K70" i="2"/>
  <c r="D74" i="2"/>
  <c r="G73" i="2"/>
  <c r="I73" i="2" s="1"/>
  <c r="J73" i="2" s="1"/>
  <c r="I50" i="2" l="1"/>
  <c r="J50" i="2" s="1"/>
  <c r="AB45" i="2"/>
  <c r="K62" i="2"/>
  <c r="K58" i="2"/>
  <c r="H73" i="2"/>
  <c r="K73" i="2" s="1"/>
  <c r="K72" i="2"/>
  <c r="K71" i="2"/>
  <c r="K59" i="2"/>
  <c r="H67" i="2"/>
  <c r="K67" i="2" s="1"/>
  <c r="K66" i="2"/>
  <c r="K49" i="2"/>
  <c r="K56" i="2"/>
  <c r="H68" i="2"/>
  <c r="K68" i="2" s="1"/>
  <c r="K63" i="2"/>
  <c r="I47" i="2"/>
  <c r="K47" i="2" s="1"/>
  <c r="J68" i="2"/>
  <c r="G69" i="2"/>
  <c r="I69" i="2" s="1"/>
  <c r="G74" i="2"/>
  <c r="I74" i="2" s="1"/>
  <c r="J74" i="2" s="1"/>
  <c r="K50" i="2" l="1"/>
  <c r="J47" i="2"/>
  <c r="H69" i="2"/>
  <c r="K69" i="2" s="1"/>
  <c r="J69" i="2"/>
  <c r="H74" i="2"/>
  <c r="K74" i="2" s="1"/>
  <c r="F61" i="38" l="1"/>
  <c r="BO350" i="38"/>
  <c r="BN350" i="38"/>
  <c r="BM350" i="38"/>
  <c r="BL350" i="38"/>
  <c r="BK350" i="38"/>
  <c r="BJ350" i="38"/>
  <c r="BI350" i="38"/>
  <c r="BE350" i="38"/>
  <c r="BK349" i="38"/>
  <c r="BO338" i="38"/>
  <c r="BN338" i="38"/>
  <c r="BM338" i="38"/>
  <c r="BL338" i="38"/>
  <c r="BK338" i="38"/>
  <c r="BJ338" i="38"/>
  <c r="BI338" i="38"/>
  <c r="BE338" i="38"/>
  <c r="BO296" i="38"/>
  <c r="BN296" i="38"/>
  <c r="BM296" i="38"/>
  <c r="BL296" i="38"/>
  <c r="BK296" i="38"/>
  <c r="BJ296" i="38"/>
  <c r="BI296" i="38"/>
  <c r="BE296" i="38"/>
  <c r="BK295" i="38"/>
  <c r="BO284" i="38"/>
  <c r="BN284" i="38"/>
  <c r="BM284" i="38"/>
  <c r="BL284" i="38"/>
  <c r="BK284" i="38"/>
  <c r="BJ284" i="38"/>
  <c r="BI284" i="38"/>
  <c r="BE284" i="38"/>
  <c r="BO242" i="38"/>
  <c r="BN242" i="38"/>
  <c r="BM242" i="38"/>
  <c r="BL242" i="38"/>
  <c r="BK242" i="38"/>
  <c r="BJ242" i="38"/>
  <c r="BI242" i="38"/>
  <c r="BE242" i="38"/>
  <c r="BK241" i="38"/>
  <c r="BO230" i="38"/>
  <c r="BN230" i="38"/>
  <c r="BM230" i="38"/>
  <c r="BL230" i="38"/>
  <c r="BK230" i="38"/>
  <c r="BJ230" i="38"/>
  <c r="BI230" i="38"/>
  <c r="BE230" i="38"/>
  <c r="F196" i="38"/>
  <c r="G196" i="38" s="1"/>
  <c r="F195" i="38"/>
  <c r="G195" i="38" s="1"/>
  <c r="F194" i="38"/>
  <c r="G194" i="38" s="1"/>
  <c r="F193" i="38"/>
  <c r="G193" i="38" s="1"/>
  <c r="F192" i="38"/>
  <c r="G192" i="38" s="1"/>
  <c r="F191" i="38"/>
  <c r="G191" i="38" s="1"/>
  <c r="F190" i="38"/>
  <c r="G190" i="38" s="1"/>
  <c r="F189" i="38"/>
  <c r="G189" i="38" s="1"/>
  <c r="F188" i="38"/>
  <c r="G188" i="38" s="1"/>
  <c r="BO188" i="38"/>
  <c r="BN188" i="38"/>
  <c r="BM188" i="38"/>
  <c r="BL188" i="38"/>
  <c r="BK188" i="38"/>
  <c r="BJ188" i="38"/>
  <c r="BI188" i="38"/>
  <c r="BE188" i="38"/>
  <c r="BK187" i="38"/>
  <c r="BO176" i="38"/>
  <c r="BN176" i="38"/>
  <c r="BM176" i="38"/>
  <c r="BL176" i="38"/>
  <c r="BK176" i="38"/>
  <c r="BJ176" i="38"/>
  <c r="BI176" i="38"/>
  <c r="BE176" i="38"/>
  <c r="D128" i="38"/>
  <c r="E128" i="38" s="1"/>
  <c r="E127" i="38"/>
  <c r="E126" i="38"/>
  <c r="BO134" i="38"/>
  <c r="BN134" i="38"/>
  <c r="BM134" i="38"/>
  <c r="BL134" i="38"/>
  <c r="BK134" i="38"/>
  <c r="BJ134" i="38"/>
  <c r="BI134" i="38"/>
  <c r="BE134" i="38"/>
  <c r="BK133" i="38"/>
  <c r="BO122" i="38"/>
  <c r="BN122" i="38"/>
  <c r="BM122" i="38"/>
  <c r="BL122" i="38"/>
  <c r="BK122" i="38"/>
  <c r="BJ122" i="38"/>
  <c r="BI122" i="38"/>
  <c r="BE122" i="38"/>
  <c r="AJ109" i="38"/>
  <c r="O109" i="38"/>
  <c r="M109" i="38"/>
  <c r="L109" i="38"/>
  <c r="K109" i="38"/>
  <c r="H109" i="38"/>
  <c r="I109" i="38" s="1"/>
  <c r="J109" i="38" s="1"/>
  <c r="G109" i="38"/>
  <c r="F109" i="38"/>
  <c r="E109" i="38"/>
  <c r="D109" i="38"/>
  <c r="C109" i="38"/>
  <c r="O108" i="38"/>
  <c r="M108" i="38"/>
  <c r="L108" i="38"/>
  <c r="K108" i="38"/>
  <c r="H108" i="38"/>
  <c r="I108" i="38" s="1"/>
  <c r="J108" i="38" s="1"/>
  <c r="G108" i="38"/>
  <c r="F108" i="38"/>
  <c r="E108" i="38"/>
  <c r="D108" i="38"/>
  <c r="C108" i="38"/>
  <c r="O107" i="38"/>
  <c r="M107" i="38"/>
  <c r="L107" i="38"/>
  <c r="K107" i="38"/>
  <c r="H107" i="38"/>
  <c r="I107" i="38" s="1"/>
  <c r="J107" i="38" s="1"/>
  <c r="G107" i="38"/>
  <c r="F107" i="38"/>
  <c r="E107" i="38"/>
  <c r="D107" i="38"/>
  <c r="C107" i="38"/>
  <c r="O106" i="38"/>
  <c r="M106" i="38"/>
  <c r="L106" i="38"/>
  <c r="K106" i="38"/>
  <c r="H106" i="38"/>
  <c r="I106" i="38" s="1"/>
  <c r="J106" i="38" s="1"/>
  <c r="G106" i="38"/>
  <c r="F106" i="38"/>
  <c r="E106" i="38"/>
  <c r="D106" i="38"/>
  <c r="C106" i="38"/>
  <c r="O105" i="38"/>
  <c r="M105" i="38"/>
  <c r="L105" i="38"/>
  <c r="K105" i="38"/>
  <c r="H105" i="38"/>
  <c r="I105" i="38" s="1"/>
  <c r="J105" i="38" s="1"/>
  <c r="G105" i="38"/>
  <c r="F105" i="38"/>
  <c r="E105" i="38"/>
  <c r="D105" i="38"/>
  <c r="C105" i="38"/>
  <c r="O104" i="38"/>
  <c r="M104" i="38"/>
  <c r="L104" i="38"/>
  <c r="K104" i="38"/>
  <c r="H104" i="38"/>
  <c r="I104" i="38" s="1"/>
  <c r="J104" i="38" s="1"/>
  <c r="G104" i="38"/>
  <c r="F104" i="38"/>
  <c r="E104" i="38"/>
  <c r="D104" i="38"/>
  <c r="C104" i="38"/>
  <c r="O103" i="38"/>
  <c r="M103" i="38"/>
  <c r="L103" i="38"/>
  <c r="K103" i="38"/>
  <c r="H103" i="38"/>
  <c r="I103" i="38" s="1"/>
  <c r="J103" i="38" s="1"/>
  <c r="G103" i="38"/>
  <c r="F103" i="38"/>
  <c r="E103" i="38"/>
  <c r="D103" i="38"/>
  <c r="C103" i="38"/>
  <c r="O102" i="38"/>
  <c r="M102" i="38"/>
  <c r="L102" i="38"/>
  <c r="K102" i="38"/>
  <c r="H102" i="38"/>
  <c r="I102" i="38" s="1"/>
  <c r="J102" i="38" s="1"/>
  <c r="G102" i="38"/>
  <c r="F102" i="38"/>
  <c r="E102" i="38"/>
  <c r="D102" i="38"/>
  <c r="C102" i="38"/>
  <c r="O101" i="38"/>
  <c r="M101" i="38"/>
  <c r="L101" i="38"/>
  <c r="K101" i="38"/>
  <c r="H101" i="38"/>
  <c r="I101" i="38" s="1"/>
  <c r="J101" i="38" s="1"/>
  <c r="G101" i="38"/>
  <c r="F101" i="38"/>
  <c r="E101" i="38"/>
  <c r="D101" i="38"/>
  <c r="C101" i="38"/>
  <c r="O100" i="38"/>
  <c r="M100" i="38"/>
  <c r="L100" i="38"/>
  <c r="K100" i="38"/>
  <c r="H100" i="38"/>
  <c r="I100" i="38" s="1"/>
  <c r="J100" i="38" s="1"/>
  <c r="G100" i="38"/>
  <c r="F100" i="38"/>
  <c r="E100" i="38"/>
  <c r="D100" i="38"/>
  <c r="C100" i="38"/>
  <c r="O99" i="38"/>
  <c r="M99" i="38"/>
  <c r="L99" i="38"/>
  <c r="K99" i="38"/>
  <c r="H99" i="38"/>
  <c r="G99" i="38"/>
  <c r="F99" i="38"/>
  <c r="E99" i="38"/>
  <c r="D99" i="38"/>
  <c r="C99" i="38"/>
  <c r="AJ98" i="38"/>
  <c r="O98" i="38"/>
  <c r="M98" i="38"/>
  <c r="L98" i="38"/>
  <c r="K98" i="38"/>
  <c r="H98" i="38"/>
  <c r="I98" i="38" s="1"/>
  <c r="J98" i="38" s="1"/>
  <c r="G98" i="38"/>
  <c r="F98" i="38"/>
  <c r="E98" i="38"/>
  <c r="D98" i="38"/>
  <c r="C98" i="38"/>
  <c r="O97" i="38"/>
  <c r="M97" i="38"/>
  <c r="L97" i="38"/>
  <c r="K97" i="38"/>
  <c r="H97" i="38"/>
  <c r="I97" i="38" s="1"/>
  <c r="J97" i="38" s="1"/>
  <c r="G97" i="38"/>
  <c r="F97" i="38"/>
  <c r="E97" i="38"/>
  <c r="D97" i="38"/>
  <c r="C97" i="38"/>
  <c r="O96" i="38"/>
  <c r="M96" i="38"/>
  <c r="L96" i="38"/>
  <c r="K96" i="38"/>
  <c r="H96" i="38"/>
  <c r="I96" i="38" s="1"/>
  <c r="J96" i="38" s="1"/>
  <c r="G96" i="38"/>
  <c r="F96" i="38"/>
  <c r="E96" i="38"/>
  <c r="D96" i="38"/>
  <c r="C96" i="38"/>
  <c r="O95" i="38"/>
  <c r="M95" i="38"/>
  <c r="L95" i="38"/>
  <c r="K95" i="38"/>
  <c r="H95" i="38"/>
  <c r="I95" i="38" s="1"/>
  <c r="J95" i="38" s="1"/>
  <c r="G95" i="38"/>
  <c r="F95" i="38"/>
  <c r="E95" i="38"/>
  <c r="D95" i="38"/>
  <c r="C95" i="38"/>
  <c r="O94" i="38"/>
  <c r="M94" i="38"/>
  <c r="L94" i="38"/>
  <c r="K94" i="38"/>
  <c r="H94" i="38"/>
  <c r="I94" i="38" s="1"/>
  <c r="J94" i="38" s="1"/>
  <c r="G94" i="38"/>
  <c r="F94" i="38"/>
  <c r="E94" i="38"/>
  <c r="D94" i="38"/>
  <c r="C94" i="38"/>
  <c r="O93" i="38"/>
  <c r="M93" i="38"/>
  <c r="L93" i="38"/>
  <c r="K93" i="38"/>
  <c r="H93" i="38"/>
  <c r="I93" i="38" s="1"/>
  <c r="J93" i="38" s="1"/>
  <c r="G93" i="38"/>
  <c r="F93" i="38"/>
  <c r="E93" i="38"/>
  <c r="D93" i="38"/>
  <c r="C93" i="38"/>
  <c r="AJ92" i="38"/>
  <c r="O92" i="38"/>
  <c r="M92" i="38"/>
  <c r="L92" i="38"/>
  <c r="K92" i="38"/>
  <c r="H92" i="38"/>
  <c r="I92" i="38" s="1"/>
  <c r="J92" i="38" s="1"/>
  <c r="G92" i="38"/>
  <c r="F92" i="38"/>
  <c r="E92" i="38"/>
  <c r="D92" i="38"/>
  <c r="C92" i="38"/>
  <c r="AJ91" i="38"/>
  <c r="O91" i="38"/>
  <c r="M91" i="38"/>
  <c r="L91" i="38"/>
  <c r="K91" i="38"/>
  <c r="H91" i="38"/>
  <c r="I91" i="38" s="1"/>
  <c r="J91" i="38" s="1"/>
  <c r="G91" i="38"/>
  <c r="F91" i="38"/>
  <c r="E91" i="38"/>
  <c r="D91" i="38"/>
  <c r="C91" i="38"/>
  <c r="AJ90" i="38"/>
  <c r="O90" i="38"/>
  <c r="M90" i="38"/>
  <c r="L90" i="38"/>
  <c r="K90" i="38"/>
  <c r="H90" i="38"/>
  <c r="I90" i="38" s="1"/>
  <c r="J90" i="38" s="1"/>
  <c r="G90" i="38"/>
  <c r="F90" i="38"/>
  <c r="E90" i="38"/>
  <c r="D90" i="38"/>
  <c r="C90" i="38"/>
  <c r="O89" i="38"/>
  <c r="M89" i="38"/>
  <c r="L89" i="38"/>
  <c r="K89" i="38"/>
  <c r="H89" i="38"/>
  <c r="G89" i="38"/>
  <c r="F89" i="38"/>
  <c r="E89" i="38"/>
  <c r="D89" i="38"/>
  <c r="C89" i="38"/>
  <c r="O88" i="38"/>
  <c r="M88" i="38"/>
  <c r="L88" i="38"/>
  <c r="K88" i="38"/>
  <c r="H88" i="38"/>
  <c r="I88" i="38" s="1"/>
  <c r="J88" i="38" s="1"/>
  <c r="G88" i="38"/>
  <c r="F88" i="38"/>
  <c r="E88" i="38"/>
  <c r="D88" i="38"/>
  <c r="C88" i="38"/>
  <c r="O87" i="38"/>
  <c r="M87" i="38"/>
  <c r="L87" i="38"/>
  <c r="K87" i="38"/>
  <c r="H87" i="38"/>
  <c r="I87" i="38" s="1"/>
  <c r="J87" i="38" s="1"/>
  <c r="G87" i="38"/>
  <c r="F87" i="38"/>
  <c r="E87" i="38"/>
  <c r="D87" i="38"/>
  <c r="C87" i="38"/>
  <c r="O86" i="38"/>
  <c r="M86" i="38"/>
  <c r="L86" i="38"/>
  <c r="K86" i="38"/>
  <c r="H86" i="38"/>
  <c r="G86" i="38"/>
  <c r="F86" i="38"/>
  <c r="E86" i="38"/>
  <c r="D86" i="38"/>
  <c r="C86" i="38"/>
  <c r="O85" i="38"/>
  <c r="M85" i="38"/>
  <c r="L85" i="38"/>
  <c r="K85" i="38"/>
  <c r="H85" i="38"/>
  <c r="G85" i="38"/>
  <c r="F85" i="38"/>
  <c r="E85" i="38"/>
  <c r="D85" i="38"/>
  <c r="C85" i="38"/>
  <c r="O84" i="38"/>
  <c r="M84" i="38"/>
  <c r="L84" i="38"/>
  <c r="K84" i="38"/>
  <c r="H84" i="38"/>
  <c r="I84" i="38" s="1"/>
  <c r="J84" i="38" s="1"/>
  <c r="G84" i="38"/>
  <c r="F84" i="38"/>
  <c r="E84" i="38"/>
  <c r="D84" i="38"/>
  <c r="C84" i="38"/>
  <c r="BA93" i="38"/>
  <c r="BA101" i="38" s="1"/>
  <c r="BA40" i="38" s="1"/>
  <c r="O83" i="38"/>
  <c r="M83" i="38"/>
  <c r="L83" i="38"/>
  <c r="K83" i="38"/>
  <c r="H83" i="38"/>
  <c r="I83" i="38" s="1"/>
  <c r="J83" i="38" s="1"/>
  <c r="G83" i="38"/>
  <c r="F83" i="38"/>
  <c r="E83" i="38"/>
  <c r="D83" i="38"/>
  <c r="C83" i="38"/>
  <c r="BA92" i="38"/>
  <c r="O82" i="38"/>
  <c r="M82" i="38"/>
  <c r="L82" i="38"/>
  <c r="K82" i="38"/>
  <c r="H82" i="38"/>
  <c r="I82" i="38" s="1"/>
  <c r="J82" i="38" s="1"/>
  <c r="G82" i="38"/>
  <c r="F82" i="38"/>
  <c r="E82" i="38"/>
  <c r="D82" i="38"/>
  <c r="C82" i="38"/>
  <c r="BA91" i="38"/>
  <c r="O81" i="38"/>
  <c r="M81" i="38"/>
  <c r="L81" i="38"/>
  <c r="K81" i="38"/>
  <c r="H81" i="38"/>
  <c r="I81" i="38" s="1"/>
  <c r="J81" i="38" s="1"/>
  <c r="G81" i="38"/>
  <c r="F81" i="38"/>
  <c r="E81" i="38"/>
  <c r="D81" i="38"/>
  <c r="C81" i="38"/>
  <c r="BA90" i="38"/>
  <c r="O80" i="38"/>
  <c r="M80" i="38"/>
  <c r="L80" i="38"/>
  <c r="K80" i="38"/>
  <c r="H80" i="38"/>
  <c r="G80" i="38"/>
  <c r="F80" i="38"/>
  <c r="E80" i="38"/>
  <c r="D80" i="38"/>
  <c r="C80" i="38"/>
  <c r="BA89" i="38"/>
  <c r="AJ79" i="38"/>
  <c r="O79" i="38"/>
  <c r="M79" i="38"/>
  <c r="L79" i="38"/>
  <c r="K79" i="38"/>
  <c r="H79" i="38"/>
  <c r="G79" i="38"/>
  <c r="F79" i="38"/>
  <c r="E79" i="38"/>
  <c r="D79" i="38"/>
  <c r="C79" i="38"/>
  <c r="AJ78" i="38"/>
  <c r="O78" i="38"/>
  <c r="F78" i="38"/>
  <c r="D78" i="38"/>
  <c r="C78" i="38"/>
  <c r="B78" i="38"/>
  <c r="G77" i="38"/>
  <c r="F77" i="38"/>
  <c r="E77" i="38"/>
  <c r="D77" i="38"/>
  <c r="C77" i="38"/>
  <c r="G76" i="38"/>
  <c r="F76" i="38"/>
  <c r="E76" i="38"/>
  <c r="D76" i="38"/>
  <c r="G75" i="38"/>
  <c r="F75" i="38"/>
  <c r="E75" i="38"/>
  <c r="D75" i="38"/>
  <c r="G74" i="38"/>
  <c r="F74" i="38"/>
  <c r="E74" i="38"/>
  <c r="D74" i="38"/>
  <c r="BA82" i="38"/>
  <c r="BA83" i="38" s="1"/>
  <c r="BA21" i="38" s="1"/>
  <c r="BA81" i="38"/>
  <c r="BO80" i="38"/>
  <c r="BN80" i="38"/>
  <c r="BM80" i="38"/>
  <c r="BL80" i="38"/>
  <c r="BK80" i="38"/>
  <c r="BJ80" i="38"/>
  <c r="BI80" i="38"/>
  <c r="BE80" i="38"/>
  <c r="BA80" i="38"/>
  <c r="BK79" i="38"/>
  <c r="BO70" i="38"/>
  <c r="BO71" i="38" s="1"/>
  <c r="BO72" i="38" s="1"/>
  <c r="BE70" i="38"/>
  <c r="F59" i="38"/>
  <c r="F58" i="38"/>
  <c r="F57" i="38"/>
  <c r="F56" i="38"/>
  <c r="F55" i="38"/>
  <c r="G30" i="38"/>
  <c r="G37" i="38" s="1"/>
  <c r="F30" i="38"/>
  <c r="G28" i="38"/>
  <c r="BO340" i="38"/>
  <c r="BO341" i="38" s="1"/>
  <c r="BO342" i="38" s="1"/>
  <c r="BE34" i="38"/>
  <c r="BO286" i="38" s="1"/>
  <c r="BO287" i="38" s="1"/>
  <c r="BO288" i="38" s="1"/>
  <c r="BD34" i="38"/>
  <c r="BO232" i="38" s="1"/>
  <c r="BO233" i="38" s="1"/>
  <c r="BO234" i="38" s="1"/>
  <c r="BC34" i="38"/>
  <c r="BO178" i="38" s="1"/>
  <c r="BO179" i="38" s="1"/>
  <c r="BO180" i="38" s="1"/>
  <c r="BB34" i="38"/>
  <c r="BO124" i="38" s="1"/>
  <c r="BO125" i="38" s="1"/>
  <c r="BO126" i="38" s="1"/>
  <c r="F27" i="38"/>
  <c r="BE340" i="38"/>
  <c r="BE33" i="38"/>
  <c r="BE286" i="38" s="1"/>
  <c r="BD33" i="38"/>
  <c r="BE232" i="38" s="1"/>
  <c r="BC33" i="38"/>
  <c r="BE178" i="38" s="1"/>
  <c r="BB33" i="38"/>
  <c r="BE124" i="38" s="1"/>
  <c r="P33" i="38"/>
  <c r="Q32" i="38"/>
  <c r="P32" i="38"/>
  <c r="BA363" i="38"/>
  <c r="BA371" i="38" s="1"/>
  <c r="BG40" i="38" s="1"/>
  <c r="BE31" i="38"/>
  <c r="BA309" i="38" s="1"/>
  <c r="BA317" i="38" s="1"/>
  <c r="BE40" i="38" s="1"/>
  <c r="BA255" i="38"/>
  <c r="BC31" i="38"/>
  <c r="BA201" i="38" s="1"/>
  <c r="BA147" i="38"/>
  <c r="BA362" i="38"/>
  <c r="BE30" i="38"/>
  <c r="BA308" i="38" s="1"/>
  <c r="BD30" i="38"/>
  <c r="BA254" i="38" s="1"/>
  <c r="BC30" i="38"/>
  <c r="BA200" i="38" s="1"/>
  <c r="BB30" i="38"/>
  <c r="BA146" i="38" s="1"/>
  <c r="BA361" i="38"/>
  <c r="BE29" i="38"/>
  <c r="BA307" i="38" s="1"/>
  <c r="BD29" i="38"/>
  <c r="BA253" i="38" s="1"/>
  <c r="BC29" i="38"/>
  <c r="BA199" i="38" s="1"/>
  <c r="BB29" i="38"/>
  <c r="BA145" i="38" s="1"/>
  <c r="BA360" i="38"/>
  <c r="BE28" i="38"/>
  <c r="BA306" i="38" s="1"/>
  <c r="BD28" i="38"/>
  <c r="BA252" i="38" s="1"/>
  <c r="BC28" i="38"/>
  <c r="BA198" i="38" s="1"/>
  <c r="BB28" i="38"/>
  <c r="BA144" i="38" s="1"/>
  <c r="F21" i="38"/>
  <c r="P29" i="38" s="1"/>
  <c r="BA359" i="38"/>
  <c r="BE27" i="38"/>
  <c r="BA305" i="38" s="1"/>
  <c r="BD27" i="38"/>
  <c r="BA251" i="38" s="1"/>
  <c r="BC27" i="38"/>
  <c r="BA197" i="38" s="1"/>
  <c r="BB27" i="38"/>
  <c r="BA143" i="38" s="1"/>
  <c r="Q27" i="38"/>
  <c r="Q28" i="38" s="1"/>
  <c r="Q26" i="38"/>
  <c r="Q25" i="38"/>
  <c r="Q24" i="38"/>
  <c r="P22" i="38"/>
  <c r="P21" i="38"/>
  <c r="BA352" i="38"/>
  <c r="BA298" i="38"/>
  <c r="BA244" i="38"/>
  <c r="BA190" i="38"/>
  <c r="BA136" i="38"/>
  <c r="P20" i="38"/>
  <c r="BA351" i="38"/>
  <c r="BE19" i="38"/>
  <c r="BA297" i="38" s="1"/>
  <c r="BD19" i="38"/>
  <c r="BA243" i="38" s="1"/>
  <c r="BC19" i="38"/>
  <c r="BA189" i="38" s="1"/>
  <c r="BB19" i="38"/>
  <c r="BA135" i="38" s="1"/>
  <c r="P19" i="38"/>
  <c r="BA350" i="38"/>
  <c r="BE18" i="38"/>
  <c r="BA296" i="38" s="1"/>
  <c r="BD18" i="38"/>
  <c r="BA242" i="38" s="1"/>
  <c r="BC18" i="38"/>
  <c r="BA188" i="38" s="1"/>
  <c r="BB18" i="38"/>
  <c r="BA134" i="38" s="1"/>
  <c r="P16" i="38"/>
  <c r="BE15" i="38"/>
  <c r="BA293" i="38" s="1"/>
  <c r="BD15" i="38"/>
  <c r="BA239" i="38" s="1"/>
  <c r="BC15" i="38"/>
  <c r="BA185" i="38" s="1"/>
  <c r="BB15" i="38"/>
  <c r="BA131" i="38" s="1"/>
  <c r="BA15" i="38"/>
  <c r="BA77" i="38" s="1"/>
  <c r="Q14" i="38"/>
  <c r="Q15" i="38" s="1"/>
  <c r="Q13" i="38"/>
  <c r="Q12" i="38"/>
  <c r="Q11" i="38"/>
  <c r="BA340" i="38"/>
  <c r="BA375" i="38" s="1"/>
  <c r="BG44" i="38" s="1"/>
  <c r="BE8" i="38"/>
  <c r="BA286" i="38" s="1"/>
  <c r="BA321" i="38" s="1"/>
  <c r="BE44" i="38" s="1"/>
  <c r="BD8" i="38"/>
  <c r="BA232" i="38" s="1"/>
  <c r="BA267" i="38" s="1"/>
  <c r="BD44" i="38" s="1"/>
  <c r="BC8" i="38"/>
  <c r="BA178" i="38" s="1"/>
  <c r="BA213" i="38" s="1"/>
  <c r="BC44" i="38" s="1"/>
  <c r="BB8" i="38"/>
  <c r="BA124" i="38" s="1"/>
  <c r="BA159" i="38" s="1"/>
  <c r="BB44" i="38" s="1"/>
  <c r="BA8" i="38"/>
  <c r="BA70" i="38" s="1"/>
  <c r="BA105" i="38" s="1"/>
  <c r="BA44" i="38" s="1"/>
  <c r="BA339" i="38"/>
  <c r="BE7" i="38"/>
  <c r="BA285" i="38" s="1"/>
  <c r="BD7" i="38"/>
  <c r="BA231" i="38" s="1"/>
  <c r="BC7" i="38"/>
  <c r="BA177" i="38" s="1"/>
  <c r="BB7" i="38"/>
  <c r="BA123" i="38" s="1"/>
  <c r="BA7" i="38"/>
  <c r="BA69" i="38" s="1"/>
  <c r="Q6" i="38"/>
  <c r="Q27" i="34"/>
  <c r="Q16" i="38" l="1"/>
  <c r="Q20" i="38" s="1"/>
  <c r="Q29" i="38"/>
  <c r="Q30" i="38" s="1"/>
  <c r="BG123" i="38"/>
  <c r="BF123" i="38"/>
  <c r="BH123" i="38"/>
  <c r="BH178" i="38"/>
  <c r="BH179" i="38" s="1"/>
  <c r="BH180" i="38" s="1"/>
  <c r="BF178" i="38"/>
  <c r="BF179" i="38" s="1"/>
  <c r="BF180" i="38" s="1"/>
  <c r="BG178" i="38"/>
  <c r="BG179" i="38" s="1"/>
  <c r="BG180" i="38" s="1"/>
  <c r="BF241" i="38"/>
  <c r="BF240" i="38" s="1"/>
  <c r="BG241" i="38"/>
  <c r="BG240" i="38" s="1"/>
  <c r="BH241" i="38"/>
  <c r="BH240" i="38" s="1"/>
  <c r="BF232" i="38"/>
  <c r="BF233" i="38" s="1"/>
  <c r="BF234" i="38" s="1"/>
  <c r="BG232" i="38"/>
  <c r="BG233" i="38" s="1"/>
  <c r="BG234" i="38" s="1"/>
  <c r="BH232" i="38"/>
  <c r="BH233" i="38" s="1"/>
  <c r="BH234" i="38" s="1"/>
  <c r="BA98" i="38"/>
  <c r="BA37" i="38" s="1"/>
  <c r="BF69" i="38"/>
  <c r="BG69" i="38"/>
  <c r="BH69" i="38"/>
  <c r="BF295" i="38"/>
  <c r="BF294" i="38" s="1"/>
  <c r="BG295" i="38"/>
  <c r="BG294" i="38" s="1"/>
  <c r="BH295" i="38"/>
  <c r="BH294" i="38" s="1"/>
  <c r="BG177" i="38"/>
  <c r="BH177" i="38"/>
  <c r="BF177" i="38"/>
  <c r="BH231" i="38"/>
  <c r="BF231" i="38"/>
  <c r="BG231" i="38"/>
  <c r="BF286" i="38"/>
  <c r="BF287" i="38" s="1"/>
  <c r="BF288" i="38" s="1"/>
  <c r="BG286" i="38"/>
  <c r="BG287" i="38" s="1"/>
  <c r="BG288" i="38" s="1"/>
  <c r="BH286" i="38"/>
  <c r="BH287" i="38" s="1"/>
  <c r="BH288" i="38" s="1"/>
  <c r="BK132" i="38"/>
  <c r="BF133" i="38"/>
  <c r="BF132" i="38" s="1"/>
  <c r="BG133" i="38"/>
  <c r="BG132" i="38" s="1"/>
  <c r="BH133" i="38"/>
  <c r="BH132" i="38" s="1"/>
  <c r="BH349" i="38"/>
  <c r="BH348" i="38" s="1"/>
  <c r="BG349" i="38"/>
  <c r="BG348" i="38" s="1"/>
  <c r="BF349" i="38"/>
  <c r="BF348" i="38" s="1"/>
  <c r="BH181" i="38"/>
  <c r="BF181" i="38"/>
  <c r="BF285" i="38"/>
  <c r="BG285" i="38"/>
  <c r="BH285" i="38"/>
  <c r="BH340" i="38"/>
  <c r="BH341" i="38" s="1"/>
  <c r="BH342" i="38" s="1"/>
  <c r="BG340" i="38"/>
  <c r="BG341" i="38" s="1"/>
  <c r="BG342" i="38" s="1"/>
  <c r="BF340" i="38"/>
  <c r="BF341" i="38" s="1"/>
  <c r="BF342" i="38" s="1"/>
  <c r="BH289" i="38"/>
  <c r="BG70" i="38"/>
  <c r="BG71" i="38" s="1"/>
  <c r="BG72" i="38" s="1"/>
  <c r="BF70" i="38"/>
  <c r="BF71" i="38" s="1"/>
  <c r="BF72" i="38" s="1"/>
  <c r="BH70" i="38"/>
  <c r="BH71" i="38" s="1"/>
  <c r="BH72" i="38" s="1"/>
  <c r="BG235" i="38"/>
  <c r="BH235" i="38"/>
  <c r="BH339" i="38"/>
  <c r="BG339" i="38"/>
  <c r="BF339" i="38"/>
  <c r="BA208" i="38"/>
  <c r="BC39" i="38" s="1"/>
  <c r="BH187" i="38"/>
  <c r="BH186" i="38" s="1"/>
  <c r="BF187" i="38"/>
  <c r="BF186" i="38" s="1"/>
  <c r="BG187" i="38"/>
  <c r="BG186" i="38" s="1"/>
  <c r="BF124" i="38"/>
  <c r="BF125" i="38" s="1"/>
  <c r="BF126" i="38" s="1"/>
  <c r="BG124" i="38"/>
  <c r="BG125" i="38" s="1"/>
  <c r="BG126" i="38" s="1"/>
  <c r="BH124" i="38"/>
  <c r="BH125" i="38" s="1"/>
  <c r="BH126" i="38" s="1"/>
  <c r="BA100" i="38"/>
  <c r="BA39" i="38" s="1"/>
  <c r="BG79" i="38"/>
  <c r="BG78" i="38" s="1"/>
  <c r="BH79" i="38"/>
  <c r="BH78" i="38" s="1"/>
  <c r="BF79" i="38"/>
  <c r="BF78" i="38" s="1"/>
  <c r="BO69" i="38"/>
  <c r="N85" i="38"/>
  <c r="P85" i="38" s="1"/>
  <c r="BI69" i="38"/>
  <c r="N83" i="38"/>
  <c r="P83" i="38" s="1"/>
  <c r="N89" i="38"/>
  <c r="P89" i="38" s="1"/>
  <c r="N104" i="38"/>
  <c r="P104" i="38" s="1"/>
  <c r="N106" i="38"/>
  <c r="P106" i="38" s="1"/>
  <c r="N108" i="38"/>
  <c r="P108" i="38" s="1"/>
  <c r="BJ69" i="38"/>
  <c r="BK69" i="38"/>
  <c r="BL69" i="38"/>
  <c r="N96" i="38"/>
  <c r="P96" i="38" s="1"/>
  <c r="BE69" i="38"/>
  <c r="BM69" i="38"/>
  <c r="BN69" i="38"/>
  <c r="N80" i="38"/>
  <c r="P80" i="38" s="1"/>
  <c r="N101" i="38"/>
  <c r="P101" i="38" s="1"/>
  <c r="N79" i="38"/>
  <c r="P79" i="38" s="1"/>
  <c r="J25" i="30" s="1"/>
  <c r="K25" i="30" s="1"/>
  <c r="L25" i="30" s="1"/>
  <c r="M25" i="30" s="1"/>
  <c r="N25" i="30" s="1"/>
  <c r="O25" i="30" s="1"/>
  <c r="P25" i="30" s="1"/>
  <c r="Q25" i="30" s="1"/>
  <c r="R25" i="30" s="1"/>
  <c r="S25" i="30" s="1"/>
  <c r="T25" i="30" s="1"/>
  <c r="U25" i="30" s="1"/>
  <c r="BO79" i="38"/>
  <c r="BO78" i="38" s="1"/>
  <c r="N97" i="38"/>
  <c r="P97" i="38" s="1"/>
  <c r="N99" i="38"/>
  <c r="P99" i="38" s="1"/>
  <c r="N86" i="38"/>
  <c r="P86" i="38" s="1"/>
  <c r="N88" i="38"/>
  <c r="P88" i="38" s="1"/>
  <c r="N90" i="38"/>
  <c r="P90" i="38" s="1"/>
  <c r="N87" i="38"/>
  <c r="P87" i="38" s="1"/>
  <c r="BK78" i="38"/>
  <c r="BL79" i="38"/>
  <c r="BL78" i="38" s="1"/>
  <c r="N98" i="38"/>
  <c r="P98" i="38" s="1"/>
  <c r="N100" i="38"/>
  <c r="P100" i="38" s="1"/>
  <c r="N102" i="38"/>
  <c r="P102" i="38" s="1"/>
  <c r="N82" i="38"/>
  <c r="P82" i="38" s="1"/>
  <c r="N105" i="38"/>
  <c r="P105" i="38" s="1"/>
  <c r="N107" i="38"/>
  <c r="P107" i="38" s="1"/>
  <c r="N109" i="38"/>
  <c r="P109" i="38" s="1"/>
  <c r="N103" i="38"/>
  <c r="P103" i="38" s="1"/>
  <c r="BK186" i="38"/>
  <c r="N94" i="38"/>
  <c r="P94" i="38" s="1"/>
  <c r="N81" i="38"/>
  <c r="P81" i="38" s="1"/>
  <c r="N84" i="38"/>
  <c r="P84" i="38" s="1"/>
  <c r="BI79" i="38"/>
  <c r="BI78" i="38" s="1"/>
  <c r="N91" i="38"/>
  <c r="P91" i="38" s="1"/>
  <c r="N93" i="38"/>
  <c r="P93" i="38" s="1"/>
  <c r="G38" i="38"/>
  <c r="G40" i="38" s="1"/>
  <c r="P30" i="38"/>
  <c r="BA104" i="38"/>
  <c r="BA43" i="38" s="1"/>
  <c r="BA75" i="38"/>
  <c r="BA13" i="38" s="1"/>
  <c r="BA72" i="38"/>
  <c r="BA10" i="38" s="1"/>
  <c r="BA71" i="38"/>
  <c r="BA268" i="38"/>
  <c r="BD45" i="38" s="1"/>
  <c r="BA240" i="38"/>
  <c r="BE343" i="38"/>
  <c r="BA367" i="38"/>
  <c r="BG36" i="38" s="1"/>
  <c r="BO343" i="38"/>
  <c r="BA314" i="38"/>
  <c r="BE37" i="38" s="1"/>
  <c r="BJ285" i="38"/>
  <c r="BA315" i="38"/>
  <c r="BE38" i="38" s="1"/>
  <c r="BA299" i="38"/>
  <c r="BA158" i="38"/>
  <c r="BB43" i="38" s="1"/>
  <c r="BA126" i="38"/>
  <c r="BB10" i="38" s="1"/>
  <c r="BA129" i="38"/>
  <c r="BB13" i="38" s="1"/>
  <c r="BA125" i="38"/>
  <c r="BA294" i="38"/>
  <c r="BA322" i="38"/>
  <c r="BE45" i="38" s="1"/>
  <c r="BA368" i="38"/>
  <c r="BG37" i="38" s="1"/>
  <c r="BI339" i="38"/>
  <c r="BO339" i="38"/>
  <c r="BA369" i="38"/>
  <c r="BG38" i="38" s="1"/>
  <c r="BA353" i="38"/>
  <c r="BG21" i="38" s="1"/>
  <c r="BJ133" i="38"/>
  <c r="BJ132" i="38" s="1"/>
  <c r="BI133" i="38"/>
  <c r="BI132" i="38" s="1"/>
  <c r="BA155" i="38"/>
  <c r="BB40" i="38" s="1"/>
  <c r="BL133" i="38"/>
  <c r="BL132" i="38" s="1"/>
  <c r="BE133" i="38"/>
  <c r="BE132" i="38" s="1"/>
  <c r="BN133" i="38"/>
  <c r="BN132" i="38" s="1"/>
  <c r="BM133" i="38"/>
  <c r="BM132" i="38" s="1"/>
  <c r="BJ187" i="38"/>
  <c r="BJ186" i="38" s="1"/>
  <c r="BI187" i="38"/>
  <c r="BI186" i="38" s="1"/>
  <c r="BO187" i="38"/>
  <c r="BO186" i="38" s="1"/>
  <c r="BN187" i="38"/>
  <c r="BN186" i="38" s="1"/>
  <c r="BA209" i="38"/>
  <c r="BC40" i="38" s="1"/>
  <c r="BL187" i="38"/>
  <c r="BL186" i="38" s="1"/>
  <c r="BM187" i="38"/>
  <c r="BM186" i="38" s="1"/>
  <c r="BE187" i="38"/>
  <c r="BE186" i="38" s="1"/>
  <c r="BE125" i="38"/>
  <c r="BE126" i="38" s="1"/>
  <c r="BA212" i="38"/>
  <c r="BC43" i="38" s="1"/>
  <c r="BA183" i="38"/>
  <c r="BC13" i="38" s="1"/>
  <c r="BA179" i="38"/>
  <c r="BA180" i="38"/>
  <c r="BC10" i="38" s="1"/>
  <c r="BA266" i="38"/>
  <c r="BD43" i="38" s="1"/>
  <c r="BA237" i="38"/>
  <c r="BD13" i="38" s="1"/>
  <c r="BA234" i="38"/>
  <c r="BD10" i="38" s="1"/>
  <c r="BA233" i="38"/>
  <c r="BA291" i="38"/>
  <c r="BE13" i="38" s="1"/>
  <c r="BA288" i="38"/>
  <c r="BE10" i="38" s="1"/>
  <c r="BA320" i="38"/>
  <c r="BE43" i="38" s="1"/>
  <c r="BA287" i="38"/>
  <c r="BA151" i="38"/>
  <c r="BB36" i="38" s="1"/>
  <c r="BO127" i="38"/>
  <c r="BE127" i="38"/>
  <c r="BA263" i="38"/>
  <c r="BD40" i="38" s="1"/>
  <c r="BM241" i="38"/>
  <c r="BM240" i="38" s="1"/>
  <c r="BE241" i="38"/>
  <c r="BE240" i="38" s="1"/>
  <c r="BI241" i="38"/>
  <c r="BI240" i="38" s="1"/>
  <c r="BE179" i="38"/>
  <c r="BE180" i="38" s="1"/>
  <c r="BA345" i="38"/>
  <c r="BG13" i="38" s="1"/>
  <c r="BA341" i="38"/>
  <c r="BG9" i="38" s="1"/>
  <c r="BA374" i="38"/>
  <c r="BG43" i="38" s="1"/>
  <c r="BA342" i="38"/>
  <c r="BG10" i="38" s="1"/>
  <c r="BA106" i="38"/>
  <c r="BA45" i="38" s="1"/>
  <c r="BA78" i="38"/>
  <c r="BO181" i="38"/>
  <c r="BE181" i="38"/>
  <c r="BA205" i="38"/>
  <c r="BC36" i="38" s="1"/>
  <c r="BA152" i="38"/>
  <c r="BB37" i="38" s="1"/>
  <c r="BK123" i="38"/>
  <c r="BI123" i="38"/>
  <c r="BN123" i="38"/>
  <c r="BL123" i="38"/>
  <c r="BA153" i="38"/>
  <c r="BB38" i="38" s="1"/>
  <c r="BA137" i="38"/>
  <c r="BE233" i="38"/>
  <c r="BE234" i="38" s="1"/>
  <c r="BA160" i="38"/>
  <c r="BB45" i="38" s="1"/>
  <c r="BA132" i="38"/>
  <c r="BA259" i="38"/>
  <c r="BD36" i="38" s="1"/>
  <c r="BO235" i="38"/>
  <c r="BE235" i="38"/>
  <c r="BO177" i="38"/>
  <c r="BA206" i="38"/>
  <c r="BC37" i="38" s="1"/>
  <c r="BI177" i="38"/>
  <c r="BJ177" i="38"/>
  <c r="BA207" i="38"/>
  <c r="BC38" i="38" s="1"/>
  <c r="BA191" i="38"/>
  <c r="BE287" i="38"/>
  <c r="BE288" i="38" s="1"/>
  <c r="Q98" i="38"/>
  <c r="Q109" i="38"/>
  <c r="Q108" i="38"/>
  <c r="Q107" i="38"/>
  <c r="Q106" i="38"/>
  <c r="Q105" i="38"/>
  <c r="Q104" i="38"/>
  <c r="Q103" i="38"/>
  <c r="Q102" i="38"/>
  <c r="Q92" i="38"/>
  <c r="Q101" i="38"/>
  <c r="Q97" i="38"/>
  <c r="Q100" i="38"/>
  <c r="Q94" i="38"/>
  <c r="Q99" i="38"/>
  <c r="Q87" i="38"/>
  <c r="Q82" i="38"/>
  <c r="Q79" i="38"/>
  <c r="Q96" i="38"/>
  <c r="Q89" i="38"/>
  <c r="Q86" i="38"/>
  <c r="Q93" i="38"/>
  <c r="Q83" i="38"/>
  <c r="Q85" i="38"/>
  <c r="Q80" i="38"/>
  <c r="Q95" i="38"/>
  <c r="Q84" i="38"/>
  <c r="Q81" i="38"/>
  <c r="Q78" i="38"/>
  <c r="Q90" i="38"/>
  <c r="Q91" i="38"/>
  <c r="Q88" i="38"/>
  <c r="BA214" i="38"/>
  <c r="BC45" i="38" s="1"/>
  <c r="BA186" i="38"/>
  <c r="BO289" i="38"/>
  <c r="BE289" i="38"/>
  <c r="BA313" i="38"/>
  <c r="BE36" i="38" s="1"/>
  <c r="BA260" i="38"/>
  <c r="BD37" i="38" s="1"/>
  <c r="BN231" i="38"/>
  <c r="BM231" i="38"/>
  <c r="BI231" i="38"/>
  <c r="BA261" i="38"/>
  <c r="BD38" i="38" s="1"/>
  <c r="BA245" i="38"/>
  <c r="BE341" i="38"/>
  <c r="BE342" i="38" s="1"/>
  <c r="BO73" i="38"/>
  <c r="I85" i="38"/>
  <c r="J85" i="38" s="1"/>
  <c r="BA97" i="38"/>
  <c r="BA36" i="38" s="1"/>
  <c r="BA85" i="38"/>
  <c r="BA84" i="38"/>
  <c r="BA22" i="38" s="1"/>
  <c r="BE123" i="38"/>
  <c r="BM123" i="38"/>
  <c r="BE71" i="38"/>
  <c r="BE72" i="38" s="1"/>
  <c r="BN79" i="38"/>
  <c r="BN78" i="38" s="1"/>
  <c r="BM79" i="38"/>
  <c r="BM78" i="38" s="1"/>
  <c r="BE79" i="38"/>
  <c r="BE78" i="38" s="1"/>
  <c r="BJ79" i="38"/>
  <c r="BJ78" i="38" s="1"/>
  <c r="I80" i="38"/>
  <c r="J80" i="38" s="1"/>
  <c r="BE73" i="38"/>
  <c r="BA99" i="38"/>
  <c r="BA38" i="38" s="1"/>
  <c r="BO133" i="38"/>
  <c r="BO132" i="38" s="1"/>
  <c r="N92" i="38"/>
  <c r="P92" i="38" s="1"/>
  <c r="BO123" i="38"/>
  <c r="I86" i="38"/>
  <c r="J86" i="38" s="1"/>
  <c r="I89" i="38"/>
  <c r="J89" i="38" s="1"/>
  <c r="N95" i="38"/>
  <c r="P95" i="38" s="1"/>
  <c r="I79" i="38"/>
  <c r="J79" i="38" s="1"/>
  <c r="I99" i="38"/>
  <c r="J99" i="38" s="1"/>
  <c r="BN177" i="38"/>
  <c r="BL231" i="38"/>
  <c r="BJ123" i="38"/>
  <c r="BA154" i="38"/>
  <c r="BB39" i="38" s="1"/>
  <c r="BK177" i="38"/>
  <c r="BJ231" i="38"/>
  <c r="BA316" i="38"/>
  <c r="BE39" i="38" s="1"/>
  <c r="BI295" i="38"/>
  <c r="BI294" i="38" s="1"/>
  <c r="BO295" i="38"/>
  <c r="BO294" i="38" s="1"/>
  <c r="BN295" i="38"/>
  <c r="BN294" i="38" s="1"/>
  <c r="BE295" i="38"/>
  <c r="BE294" i="38" s="1"/>
  <c r="BM295" i="38"/>
  <c r="BM294" i="38" s="1"/>
  <c r="BL295" i="38"/>
  <c r="BL294" i="38" s="1"/>
  <c r="BJ295" i="38"/>
  <c r="BJ294" i="38" s="1"/>
  <c r="BK294" i="38"/>
  <c r="D129" i="38"/>
  <c r="BL177" i="38"/>
  <c r="BE285" i="38"/>
  <c r="BM285" i="38"/>
  <c r="BE177" i="38"/>
  <c r="BM177" i="38"/>
  <c r="BN241" i="38"/>
  <c r="BN240" i="38" s="1"/>
  <c r="BJ349" i="38"/>
  <c r="BJ348" i="38" s="1"/>
  <c r="BE231" i="38"/>
  <c r="BK240" i="38"/>
  <c r="BO241" i="38"/>
  <c r="BO240" i="38" s="1"/>
  <c r="BA262" i="38"/>
  <c r="BD39" i="38" s="1"/>
  <c r="BK339" i="38"/>
  <c r="BI285" i="38"/>
  <c r="BN339" i="38"/>
  <c r="BO231" i="38"/>
  <c r="BJ241" i="38"/>
  <c r="BJ240" i="38" s="1"/>
  <c r="BN285" i="38"/>
  <c r="BK285" i="38"/>
  <c r="BI349" i="38"/>
  <c r="BI348" i="38" s="1"/>
  <c r="BL285" i="38"/>
  <c r="BL241" i="38"/>
  <c r="BL240" i="38" s="1"/>
  <c r="BA370" i="38"/>
  <c r="BG39" i="38" s="1"/>
  <c r="BO349" i="38"/>
  <c r="BO348" i="38" s="1"/>
  <c r="BK348" i="38"/>
  <c r="BN349" i="38"/>
  <c r="BN348" i="38" s="1"/>
  <c r="BM349" i="38"/>
  <c r="BM348" i="38" s="1"/>
  <c r="BE349" i="38"/>
  <c r="BE348" i="38" s="1"/>
  <c r="BO285" i="38"/>
  <c r="BL339" i="38"/>
  <c r="BL349" i="38"/>
  <c r="BL348" i="38" s="1"/>
  <c r="BK231" i="38"/>
  <c r="BE339" i="38"/>
  <c r="BM339" i="38"/>
  <c r="BJ339" i="38"/>
  <c r="Q21" i="38" l="1"/>
  <c r="D97" i="32" s="1"/>
  <c r="F54" i="38"/>
  <c r="BF235" i="38"/>
  <c r="BG181" i="38"/>
  <c r="BH343" i="38"/>
  <c r="Q18" i="38"/>
  <c r="R97" i="38" s="1"/>
  <c r="S97" i="38" s="1"/>
  <c r="T97" i="38" s="1"/>
  <c r="U97" i="38" s="1"/>
  <c r="Q22" i="38"/>
  <c r="D96" i="32" s="1"/>
  <c r="BF289" i="38"/>
  <c r="BG343" i="38"/>
  <c r="BG289" i="38"/>
  <c r="Y104" i="38"/>
  <c r="Z104" i="38" s="1"/>
  <c r="AI104" i="38" s="1"/>
  <c r="Y81" i="38"/>
  <c r="Z81" i="38" s="1"/>
  <c r="AI81" i="38" s="1"/>
  <c r="Y98" i="38"/>
  <c r="Z98" i="38" s="1"/>
  <c r="AI98" i="38" s="1"/>
  <c r="AK98" i="38" s="1"/>
  <c r="U64" i="2" s="1"/>
  <c r="Y92" i="38"/>
  <c r="Z92" i="38" s="1"/>
  <c r="AI92" i="38" s="1"/>
  <c r="AK92" i="38" s="1"/>
  <c r="U58" i="2" s="1"/>
  <c r="Y101" i="38"/>
  <c r="Z101" i="38" s="1"/>
  <c r="AI101" i="38" s="1"/>
  <c r="Y95" i="38"/>
  <c r="Z95" i="38" s="1"/>
  <c r="AI95" i="38" s="1"/>
  <c r="BF343" i="38"/>
  <c r="BG127" i="38"/>
  <c r="BF127" i="38"/>
  <c r="BH73" i="38"/>
  <c r="BG73" i="38"/>
  <c r="BF73" i="38"/>
  <c r="BH127" i="38"/>
  <c r="Y82" i="38"/>
  <c r="Z82" i="38" s="1"/>
  <c r="AI82" i="38" s="1"/>
  <c r="Y80" i="38"/>
  <c r="Z80" i="38" s="1"/>
  <c r="AI80" i="38" s="1"/>
  <c r="Y93" i="38"/>
  <c r="Z93" i="38" s="1"/>
  <c r="AI93" i="38" s="1"/>
  <c r="Y105" i="38"/>
  <c r="Z105" i="38" s="1"/>
  <c r="AI105" i="38" s="1"/>
  <c r="Y87" i="38"/>
  <c r="Z87" i="38" s="1"/>
  <c r="AI87" i="38" s="1"/>
  <c r="Y85" i="38"/>
  <c r="Z85" i="38" s="1"/>
  <c r="AI85" i="38" s="1"/>
  <c r="Y96" i="38"/>
  <c r="Z96" i="38" s="1"/>
  <c r="AI96" i="38" s="1"/>
  <c r="Y106" i="38"/>
  <c r="Z106" i="38" s="1"/>
  <c r="AI106" i="38" s="1"/>
  <c r="Y78" i="38"/>
  <c r="Z78" i="38" s="1"/>
  <c r="AI78" i="38" s="1"/>
  <c r="AK78" i="38" s="1"/>
  <c r="U44" i="2" s="1"/>
  <c r="Y83" i="38"/>
  <c r="Z83" i="38" s="1"/>
  <c r="AI83" i="38" s="1"/>
  <c r="Y99" i="38"/>
  <c r="Z99" i="38" s="1"/>
  <c r="AI99" i="38" s="1"/>
  <c r="Y107" i="38"/>
  <c r="Z107" i="38" s="1"/>
  <c r="AI107" i="38" s="1"/>
  <c r="Y108" i="38"/>
  <c r="Z108" i="38" s="1"/>
  <c r="AI108" i="38" s="1"/>
  <c r="Y84" i="38"/>
  <c r="Z84" i="38" s="1"/>
  <c r="AI84" i="38" s="1"/>
  <c r="Y97" i="38"/>
  <c r="Z97" i="38" s="1"/>
  <c r="AI97" i="38" s="1"/>
  <c r="Y100" i="38"/>
  <c r="Z100" i="38" s="1"/>
  <c r="AI100" i="38" s="1"/>
  <c r="Y109" i="38"/>
  <c r="Z109" i="38" s="1"/>
  <c r="AI109" i="38" s="1"/>
  <c r="AK109" i="38" s="1"/>
  <c r="U75" i="2" s="1"/>
  <c r="Y94" i="38"/>
  <c r="Z94" i="38" s="1"/>
  <c r="AI94" i="38" s="1"/>
  <c r="Y90" i="38"/>
  <c r="Z90" i="38" s="1"/>
  <c r="AI90" i="38" s="1"/>
  <c r="AK90" i="38" s="1"/>
  <c r="U56" i="2" s="1"/>
  <c r="Y91" i="38"/>
  <c r="Z91" i="38" s="1"/>
  <c r="AI91" i="38" s="1"/>
  <c r="AK91" i="38" s="1"/>
  <c r="U57" i="2" s="1"/>
  <c r="Y86" i="38"/>
  <c r="Z86" i="38" s="1"/>
  <c r="AI86" i="38" s="1"/>
  <c r="Y102" i="38"/>
  <c r="Z102" i="38" s="1"/>
  <c r="AI102" i="38" s="1"/>
  <c r="Y79" i="38"/>
  <c r="Z79" i="38" s="1"/>
  <c r="AI79" i="38" s="1"/>
  <c r="AK79" i="38" s="1"/>
  <c r="U45" i="2" s="1"/>
  <c r="Y88" i="38"/>
  <c r="Z88" i="38" s="1"/>
  <c r="AI88" i="38" s="1"/>
  <c r="Y89" i="38"/>
  <c r="Z89" i="38" s="1"/>
  <c r="AI89" i="38" s="1"/>
  <c r="Y103" i="38"/>
  <c r="Z103" i="38" s="1"/>
  <c r="AI103" i="38" s="1"/>
  <c r="Q31" i="38"/>
  <c r="BI340" i="38"/>
  <c r="BJ340" i="38"/>
  <c r="BN340" i="38"/>
  <c r="BL340" i="38"/>
  <c r="BK340" i="38"/>
  <c r="BM340" i="38"/>
  <c r="BA247" i="38"/>
  <c r="BA246" i="38"/>
  <c r="BD22" i="38" s="1"/>
  <c r="BD21" i="38"/>
  <c r="BA141" i="38"/>
  <c r="BB16" i="38"/>
  <c r="BK232" i="38"/>
  <c r="BN232" i="38"/>
  <c r="BM232" i="38"/>
  <c r="BL232" i="38"/>
  <c r="BJ232" i="38"/>
  <c r="BI232" i="38"/>
  <c r="BA139" i="38"/>
  <c r="BA138" i="38"/>
  <c r="BB22" i="38" s="1"/>
  <c r="BB21" i="38"/>
  <c r="BA23" i="38"/>
  <c r="BA301" i="38"/>
  <c r="BA300" i="38"/>
  <c r="BE22" i="38" s="1"/>
  <c r="BE21" i="38"/>
  <c r="BA235" i="38"/>
  <c r="BD9" i="38"/>
  <c r="BA303" i="38"/>
  <c r="BE16" i="38"/>
  <c r="BA343" i="38"/>
  <c r="BG11" i="38" s="1"/>
  <c r="BK178" i="38"/>
  <c r="BJ178" i="38"/>
  <c r="BI178" i="38"/>
  <c r="BM178" i="38"/>
  <c r="BL178" i="38"/>
  <c r="BN178" i="38"/>
  <c r="BN124" i="38"/>
  <c r="BM124" i="38"/>
  <c r="BL124" i="38"/>
  <c r="BK124" i="38"/>
  <c r="BJ124" i="38"/>
  <c r="BI124" i="38"/>
  <c r="BA127" i="38"/>
  <c r="BA130" i="38" s="1"/>
  <c r="BB14" i="38" s="1"/>
  <c r="BB9" i="38"/>
  <c r="BA249" i="38"/>
  <c r="BD16" i="38"/>
  <c r="E129" i="38"/>
  <c r="D130" i="38"/>
  <c r="BA195" i="38"/>
  <c r="BC16" i="38"/>
  <c r="BJ286" i="38"/>
  <c r="BM286" i="38"/>
  <c r="BL286" i="38"/>
  <c r="BK286" i="38"/>
  <c r="BI286" i="38"/>
  <c r="BN286" i="38"/>
  <c r="BA192" i="38"/>
  <c r="BC22" i="38" s="1"/>
  <c r="BA193" i="38"/>
  <c r="BC21" i="38"/>
  <c r="BA289" i="38"/>
  <c r="BE9" i="38"/>
  <c r="BA181" i="38"/>
  <c r="BC9" i="38"/>
  <c r="BA354" i="38"/>
  <c r="BG22" i="38" s="1"/>
  <c r="BA355" i="38"/>
  <c r="BG23" i="38" s="1"/>
  <c r="BN70" i="38"/>
  <c r="BL70" i="38"/>
  <c r="BK70" i="38"/>
  <c r="BJ70" i="38"/>
  <c r="BI70" i="38"/>
  <c r="BM70" i="38"/>
  <c r="BA87" i="38"/>
  <c r="BA16" i="38"/>
  <c r="BA73" i="38"/>
  <c r="BA76" i="38" s="1"/>
  <c r="BA14" i="38" s="1"/>
  <c r="BA9" i="38"/>
  <c r="G58" i="38"/>
  <c r="G57" i="38"/>
  <c r="G56" i="38"/>
  <c r="G55" i="38"/>
  <c r="G60" i="38"/>
  <c r="G59" i="38"/>
  <c r="Q10" i="22" l="1"/>
  <c r="AH10" i="22"/>
  <c r="R108" i="38"/>
  <c r="S108" i="38" s="1"/>
  <c r="T108" i="38" s="1"/>
  <c r="U108" i="38" s="1"/>
  <c r="AL108" i="38" s="1"/>
  <c r="R101" i="38"/>
  <c r="S101" i="38" s="1"/>
  <c r="T101" i="38" s="1"/>
  <c r="U101" i="38" s="1"/>
  <c r="AL101" i="38" s="1"/>
  <c r="R81" i="38"/>
  <c r="S81" i="38" s="1"/>
  <c r="T81" i="38" s="1"/>
  <c r="U81" i="38" s="1"/>
  <c r="R85" i="38"/>
  <c r="S85" i="38" s="1"/>
  <c r="T85" i="38" s="1"/>
  <c r="U85" i="38" s="1"/>
  <c r="AL85" i="38" s="1"/>
  <c r="R83" i="38"/>
  <c r="S83" i="38" s="1"/>
  <c r="T83" i="38" s="1"/>
  <c r="U83" i="38" s="1"/>
  <c r="AL83" i="38" s="1"/>
  <c r="R109" i="38"/>
  <c r="S109" i="38" s="1"/>
  <c r="T109" i="38" s="1"/>
  <c r="U109" i="38" s="1"/>
  <c r="AL109" i="38" s="1"/>
  <c r="AD109" i="38" s="1"/>
  <c r="R95" i="38"/>
  <c r="S95" i="38" s="1"/>
  <c r="T95" i="38" s="1"/>
  <c r="U95" i="38" s="1"/>
  <c r="AL95" i="38" s="1"/>
  <c r="R94" i="38"/>
  <c r="S94" i="38" s="1"/>
  <c r="T94" i="38" s="1"/>
  <c r="U94" i="38" s="1"/>
  <c r="AL94" i="38" s="1"/>
  <c r="R98" i="38"/>
  <c r="S98" i="38" s="1"/>
  <c r="T98" i="38" s="1"/>
  <c r="U98" i="38" s="1"/>
  <c r="AL98" i="38" s="1"/>
  <c r="AD98" i="38" s="1"/>
  <c r="AE98" i="38" s="1"/>
  <c r="R93" i="38"/>
  <c r="S93" i="38" s="1"/>
  <c r="T93" i="38" s="1"/>
  <c r="U93" i="38" s="1"/>
  <c r="AL93" i="38" s="1"/>
  <c r="R86" i="38"/>
  <c r="S86" i="38" s="1"/>
  <c r="T86" i="38" s="1"/>
  <c r="U86" i="38" s="1"/>
  <c r="R103" i="38"/>
  <c r="S103" i="38" s="1"/>
  <c r="T103" i="38" s="1"/>
  <c r="U103" i="38" s="1"/>
  <c r="AL103" i="38" s="1"/>
  <c r="R90" i="38"/>
  <c r="S90" i="38" s="1"/>
  <c r="T90" i="38" s="1"/>
  <c r="U90" i="38" s="1"/>
  <c r="AL90" i="38" s="1"/>
  <c r="AD90" i="38" s="1"/>
  <c r="R89" i="38"/>
  <c r="S89" i="38" s="1"/>
  <c r="T89" i="38" s="1"/>
  <c r="U89" i="38" s="1"/>
  <c r="R96" i="38"/>
  <c r="S96" i="38" s="1"/>
  <c r="T96" i="38" s="1"/>
  <c r="U96" i="38" s="1"/>
  <c r="AL96" i="38" s="1"/>
  <c r="R79" i="38"/>
  <c r="S79" i="38" s="1"/>
  <c r="T79" i="38" s="1"/>
  <c r="U79" i="38" s="1"/>
  <c r="AL79" i="38" s="1"/>
  <c r="AD79" i="38" s="1"/>
  <c r="AE79" i="38" s="1"/>
  <c r="R87" i="38"/>
  <c r="S87" i="38" s="1"/>
  <c r="T87" i="38" s="1"/>
  <c r="U87" i="38" s="1"/>
  <c r="AL87" i="38" s="1"/>
  <c r="R82" i="38"/>
  <c r="S82" i="38" s="1"/>
  <c r="T82" i="38" s="1"/>
  <c r="U82" i="38" s="1"/>
  <c r="R105" i="38"/>
  <c r="S105" i="38" s="1"/>
  <c r="T105" i="38" s="1"/>
  <c r="U105" i="38" s="1"/>
  <c r="AL105" i="38" s="1"/>
  <c r="R92" i="38"/>
  <c r="S92" i="38" s="1"/>
  <c r="T92" i="38" s="1"/>
  <c r="U92" i="38" s="1"/>
  <c r="AL92" i="38" s="1"/>
  <c r="AD92" i="38" s="1"/>
  <c r="AE92" i="38" s="1"/>
  <c r="R88" i="38"/>
  <c r="S88" i="38" s="1"/>
  <c r="T88" i="38" s="1"/>
  <c r="U88" i="38" s="1"/>
  <c r="AL88" i="38" s="1"/>
  <c r="R99" i="38"/>
  <c r="S99" i="38" s="1"/>
  <c r="T99" i="38" s="1"/>
  <c r="U99" i="38" s="1"/>
  <c r="AL99" i="38" s="1"/>
  <c r="R78" i="38"/>
  <c r="R91" i="38"/>
  <c r="S91" i="38" s="1"/>
  <c r="T91" i="38" s="1"/>
  <c r="U91" i="38" s="1"/>
  <c r="AL91" i="38" s="1"/>
  <c r="AD91" i="38" s="1"/>
  <c r="R104" i="38"/>
  <c r="S104" i="38" s="1"/>
  <c r="T104" i="38" s="1"/>
  <c r="U104" i="38" s="1"/>
  <c r="AL104" i="38" s="1"/>
  <c r="R100" i="38"/>
  <c r="S100" i="38" s="1"/>
  <c r="T100" i="38" s="1"/>
  <c r="U100" i="38" s="1"/>
  <c r="AL100" i="38" s="1"/>
  <c r="R107" i="38"/>
  <c r="S107" i="38" s="1"/>
  <c r="T107" i="38" s="1"/>
  <c r="U107" i="38" s="1"/>
  <c r="AL107" i="38" s="1"/>
  <c r="R102" i="38"/>
  <c r="S102" i="38" s="1"/>
  <c r="T102" i="38" s="1"/>
  <c r="U102" i="38" s="1"/>
  <c r="R84" i="38"/>
  <c r="S84" i="38" s="1"/>
  <c r="T84" i="38" s="1"/>
  <c r="U84" i="38" s="1"/>
  <c r="AL84" i="38" s="1"/>
  <c r="R80" i="38"/>
  <c r="S80" i="38" s="1"/>
  <c r="T80" i="38" s="1"/>
  <c r="U80" i="38" s="1"/>
  <c r="R106" i="38"/>
  <c r="S106" i="38" s="1"/>
  <c r="T106" i="38" s="1"/>
  <c r="U106" i="38" s="1"/>
  <c r="AL106" i="38" s="1"/>
  <c r="U28" i="35"/>
  <c r="G62" i="38"/>
  <c r="AL97" i="38"/>
  <c r="BN287" i="38"/>
  <c r="BN288" i="38" s="1"/>
  <c r="BN289" i="38"/>
  <c r="BK71" i="38"/>
  <c r="BK72" i="38" s="1"/>
  <c r="BA103" i="38"/>
  <c r="BA42" i="38" s="1"/>
  <c r="BK73" i="38"/>
  <c r="BC11" i="38"/>
  <c r="BA182" i="38"/>
  <c r="BA194" i="38" s="1"/>
  <c r="BC24" i="38" s="1"/>
  <c r="BC23" i="38"/>
  <c r="BJ287" i="38"/>
  <c r="BJ288" i="38" s="1"/>
  <c r="BJ289" i="38"/>
  <c r="E130" i="38"/>
  <c r="D131" i="38"/>
  <c r="BJ125" i="38"/>
  <c r="BJ126" i="38" s="1"/>
  <c r="BJ127" i="38"/>
  <c r="BJ179" i="38"/>
  <c r="BJ180" i="38" s="1"/>
  <c r="BJ181" i="38"/>
  <c r="BL233" i="38"/>
  <c r="BL234" i="38" s="1"/>
  <c r="BL235" i="38"/>
  <c r="BA142" i="38"/>
  <c r="BB25" i="38"/>
  <c r="BK341" i="38"/>
  <c r="BK342" i="38" s="1"/>
  <c r="BA373" i="38"/>
  <c r="BG42" i="38" s="1"/>
  <c r="BK343" i="38"/>
  <c r="BA184" i="38"/>
  <c r="BC14" i="38" s="1"/>
  <c r="BN341" i="38"/>
  <c r="BN342" i="38" s="1"/>
  <c r="BN343" i="38"/>
  <c r="BK125" i="38"/>
  <c r="BK126" i="38" s="1"/>
  <c r="BA157" i="38"/>
  <c r="BB42" i="38" s="1"/>
  <c r="BK127" i="38"/>
  <c r="BK179" i="38"/>
  <c r="BK180" i="38" s="1"/>
  <c r="BA211" i="38"/>
  <c r="BC42" i="38" s="1"/>
  <c r="BK181" i="38"/>
  <c r="BM233" i="38"/>
  <c r="BM234" i="38" s="1"/>
  <c r="BM235" i="38"/>
  <c r="BL341" i="38"/>
  <c r="BL342" i="38" s="1"/>
  <c r="BL343" i="38"/>
  <c r="BL125" i="38"/>
  <c r="BL126" i="38" s="1"/>
  <c r="BL127" i="38"/>
  <c r="BN233" i="38"/>
  <c r="BN234" i="38" s="1"/>
  <c r="BN235" i="38"/>
  <c r="BN71" i="38"/>
  <c r="BN72" i="38" s="1"/>
  <c r="BN73" i="38"/>
  <c r="BI287" i="38"/>
  <c r="BI288" i="38" s="1"/>
  <c r="BI289" i="38"/>
  <c r="BA250" i="38"/>
  <c r="BD25" i="38"/>
  <c r="BN179" i="38"/>
  <c r="BN180" i="38" s="1"/>
  <c r="BN181" i="38"/>
  <c r="BA346" i="38"/>
  <c r="BG14" i="38" s="1"/>
  <c r="BA344" i="38"/>
  <c r="BG12" i="38" s="1"/>
  <c r="BB23" i="38"/>
  <c r="BK233" i="38"/>
  <c r="BK234" i="38" s="1"/>
  <c r="BK235" i="38"/>
  <c r="BA265" i="38"/>
  <c r="BD42" i="38" s="1"/>
  <c r="BJ341" i="38"/>
  <c r="BJ342" i="38" s="1"/>
  <c r="BJ343" i="38"/>
  <c r="BL71" i="38"/>
  <c r="BL72" i="38" s="1"/>
  <c r="BL73" i="38"/>
  <c r="BM71" i="38"/>
  <c r="BM72" i="38" s="1"/>
  <c r="BM73" i="38"/>
  <c r="BK287" i="38"/>
  <c r="BK288" i="38" s="1"/>
  <c r="BK289" i="38"/>
  <c r="BA319" i="38"/>
  <c r="BE42" i="38" s="1"/>
  <c r="BA196" i="38"/>
  <c r="BC25" i="38"/>
  <c r="BM125" i="38"/>
  <c r="BM126" i="38" s="1"/>
  <c r="BM127" i="38"/>
  <c r="BL179" i="38"/>
  <c r="BL180" i="38" s="1"/>
  <c r="BL181" i="38"/>
  <c r="BD11" i="38"/>
  <c r="BA238" i="38"/>
  <c r="BD14" i="38" s="1"/>
  <c r="BA236" i="38"/>
  <c r="BA248" i="38" s="1"/>
  <c r="BD24" i="38" s="1"/>
  <c r="BA88" i="38"/>
  <c r="BA25" i="38"/>
  <c r="BB11" i="38"/>
  <c r="BA128" i="38"/>
  <c r="BN125" i="38"/>
  <c r="BN126" i="38" s="1"/>
  <c r="BN127" i="38"/>
  <c r="BI233" i="38"/>
  <c r="BI234" i="38" s="1"/>
  <c r="BI235" i="38"/>
  <c r="BI341" i="38"/>
  <c r="BI342" i="38" s="1"/>
  <c r="BI343" i="38"/>
  <c r="BE11" i="38"/>
  <c r="BA290" i="38"/>
  <c r="BA302" i="38" s="1"/>
  <c r="BE24" i="38" s="1"/>
  <c r="BA292" i="38"/>
  <c r="BE14" i="38" s="1"/>
  <c r="BI71" i="38"/>
  <c r="BI72" i="38" s="1"/>
  <c r="BI73" i="38"/>
  <c r="BL287" i="38"/>
  <c r="BL288" i="38" s="1"/>
  <c r="BL289" i="38"/>
  <c r="BM179" i="38"/>
  <c r="BM180" i="38" s="1"/>
  <c r="BM181" i="38"/>
  <c r="BA304" i="38"/>
  <c r="BE25" i="38"/>
  <c r="BE23" i="38"/>
  <c r="BD23" i="38"/>
  <c r="BA11" i="38"/>
  <c r="BA74" i="38"/>
  <c r="BJ71" i="38"/>
  <c r="BJ72" i="38" s="1"/>
  <c r="BJ73" i="38"/>
  <c r="BM287" i="38"/>
  <c r="BM288" i="38" s="1"/>
  <c r="BM289" i="38"/>
  <c r="BI125" i="38"/>
  <c r="BI126" i="38" s="1"/>
  <c r="BI127" i="38"/>
  <c r="BI179" i="38"/>
  <c r="BI180" i="38" s="1"/>
  <c r="BI181" i="38"/>
  <c r="BJ233" i="38"/>
  <c r="BJ234" i="38" s="1"/>
  <c r="BJ235" i="38"/>
  <c r="BM341" i="38"/>
  <c r="BM342" i="38" s="1"/>
  <c r="BM343" i="38"/>
  <c r="AM92" i="38" l="1"/>
  <c r="AM98" i="38"/>
  <c r="AM79" i="38"/>
  <c r="Q33" i="38"/>
  <c r="BH76" i="38"/>
  <c r="BG76" i="38"/>
  <c r="BF74" i="38"/>
  <c r="BG74" i="38"/>
  <c r="BH74" i="38"/>
  <c r="BF76" i="38"/>
  <c r="BG182" i="38"/>
  <c r="BG189" i="38" s="1"/>
  <c r="BH182" i="38"/>
  <c r="BF184" i="38"/>
  <c r="BG184" i="38"/>
  <c r="BH184" i="38"/>
  <c r="BF182" i="38"/>
  <c r="BF189" i="38" s="1"/>
  <c r="BG290" i="38"/>
  <c r="BF292" i="38"/>
  <c r="BG292" i="38"/>
  <c r="BH292" i="38"/>
  <c r="BF290" i="38"/>
  <c r="BF297" i="38" s="1"/>
  <c r="BH290" i="38"/>
  <c r="BG238" i="38"/>
  <c r="BF238" i="38"/>
  <c r="BH238" i="38"/>
  <c r="BF236" i="38"/>
  <c r="BF243" i="38" s="1"/>
  <c r="BG236" i="38"/>
  <c r="BG243" i="38" s="1"/>
  <c r="BH236" i="38"/>
  <c r="BH128" i="38"/>
  <c r="BH135" i="38" s="1"/>
  <c r="BF130" i="38"/>
  <c r="BG130" i="38"/>
  <c r="BG128" i="38"/>
  <c r="BH130" i="38"/>
  <c r="BF128" i="38"/>
  <c r="AE109" i="38"/>
  <c r="AF109" i="38" s="1"/>
  <c r="AM109" i="38"/>
  <c r="AE91" i="38"/>
  <c r="AF91" i="38" s="1"/>
  <c r="AM91" i="38"/>
  <c r="AE90" i="38"/>
  <c r="AF90" i="38" s="1"/>
  <c r="AM90" i="38"/>
  <c r="AL86" i="38"/>
  <c r="AL81" i="38"/>
  <c r="AL102" i="38"/>
  <c r="AL82" i="38"/>
  <c r="AL80" i="38"/>
  <c r="AL89" i="38"/>
  <c r="BB12" i="38"/>
  <c r="BA133" i="38"/>
  <c r="BB17" i="38" s="1"/>
  <c r="BA12" i="38"/>
  <c r="BA86" i="38"/>
  <c r="BA24" i="38" s="1"/>
  <c r="BA79" i="38"/>
  <c r="BA17" i="38" s="1"/>
  <c r="AF92" i="38"/>
  <c r="BN184" i="38"/>
  <c r="BM184" i="38"/>
  <c r="BE184" i="38"/>
  <c r="BL184" i="38"/>
  <c r="BK184" i="38"/>
  <c r="BJ184" i="38"/>
  <c r="BO184" i="38"/>
  <c r="BI184" i="38"/>
  <c r="BC26" i="38"/>
  <c r="BL182" i="38"/>
  <c r="BL189" i="38" s="1"/>
  <c r="BN182" i="38"/>
  <c r="BN189" i="38" s="1"/>
  <c r="BE182" i="38"/>
  <c r="BO182" i="38"/>
  <c r="BO189" i="38" s="1"/>
  <c r="BK182" i="38"/>
  <c r="BI182" i="38"/>
  <c r="BM182" i="38"/>
  <c r="BJ182" i="38"/>
  <c r="BJ189" i="38" s="1"/>
  <c r="BA140" i="38"/>
  <c r="BB24" i="38" s="1"/>
  <c r="BM292" i="38"/>
  <c r="BE292" i="38"/>
  <c r="BO292" i="38"/>
  <c r="BN292" i="38"/>
  <c r="BL292" i="38"/>
  <c r="BK292" i="38"/>
  <c r="BI292" i="38"/>
  <c r="BJ292" i="38"/>
  <c r="BN290" i="38"/>
  <c r="BN297" i="38" s="1"/>
  <c r="BE26" i="38"/>
  <c r="BE290" i="38"/>
  <c r="BE297" i="38" s="1"/>
  <c r="BL290" i="38"/>
  <c r="BM290" i="38"/>
  <c r="BM297" i="38" s="1"/>
  <c r="BO290" i="38"/>
  <c r="BK290" i="38"/>
  <c r="BK297" i="38" s="1"/>
  <c r="BI290" i="38"/>
  <c r="BJ290" i="38"/>
  <c r="BJ297" i="38" s="1"/>
  <c r="BC12" i="38"/>
  <c r="BA187" i="38"/>
  <c r="BC17" i="38" s="1"/>
  <c r="BE12" i="38"/>
  <c r="BA295" i="38"/>
  <c r="BE17" i="38" s="1"/>
  <c r="BJ130" i="38"/>
  <c r="BI130" i="38"/>
  <c r="BO130" i="38"/>
  <c r="BN130" i="38"/>
  <c r="BM130" i="38"/>
  <c r="BE130" i="38"/>
  <c r="BL130" i="38"/>
  <c r="BK130" i="38"/>
  <c r="BB26" i="38"/>
  <c r="BI128" i="38"/>
  <c r="BE128" i="38"/>
  <c r="BM128" i="38"/>
  <c r="BJ128" i="38"/>
  <c r="BJ135" i="38" s="1"/>
  <c r="BK128" i="38"/>
  <c r="BN128" i="38"/>
  <c r="BN135" i="38" s="1"/>
  <c r="BO128" i="38"/>
  <c r="BL128" i="38"/>
  <c r="AF98" i="38"/>
  <c r="BJ76" i="38"/>
  <c r="BO74" i="38"/>
  <c r="BO81" i="38" s="1"/>
  <c r="BN76" i="38"/>
  <c r="BK74" i="38"/>
  <c r="BM76" i="38"/>
  <c r="BE74" i="38"/>
  <c r="BL76" i="38"/>
  <c r="BN74" i="38"/>
  <c r="BN81" i="38" s="1"/>
  <c r="BK76" i="38"/>
  <c r="BM74" i="38"/>
  <c r="BM81" i="38" s="1"/>
  <c r="BI76" i="38"/>
  <c r="BL74" i="38"/>
  <c r="BL81" i="38" s="1"/>
  <c r="BJ74" i="38"/>
  <c r="BJ81" i="38" s="1"/>
  <c r="BE76" i="38"/>
  <c r="BO76" i="38"/>
  <c r="BA26" i="38"/>
  <c r="BI74" i="38"/>
  <c r="BI81" i="38" s="1"/>
  <c r="BD12" i="38"/>
  <c r="BA241" i="38"/>
  <c r="BD17" i="38" s="1"/>
  <c r="BJ238" i="38"/>
  <c r="BO238" i="38"/>
  <c r="BN238" i="38"/>
  <c r="BL238" i="38"/>
  <c r="BK238" i="38"/>
  <c r="BM238" i="38"/>
  <c r="BI238" i="38"/>
  <c r="BN236" i="38"/>
  <c r="BE238" i="38"/>
  <c r="BD26" i="38"/>
  <c r="BI236" i="38"/>
  <c r="BI243" i="38" s="1"/>
  <c r="BJ236" i="38"/>
  <c r="BO236" i="38"/>
  <c r="BM236" i="38"/>
  <c r="BL236" i="38"/>
  <c r="BL243" i="38" s="1"/>
  <c r="BE236" i="38"/>
  <c r="BK236" i="38"/>
  <c r="D132" i="38"/>
  <c r="E131" i="38"/>
  <c r="BA356" i="38"/>
  <c r="BG24" i="38" s="1"/>
  <c r="AF79" i="38"/>
  <c r="AG92" i="38" l="1"/>
  <c r="AH92" i="38" s="1"/>
  <c r="AG109" i="38"/>
  <c r="AH109" i="38" s="1"/>
  <c r="AG90" i="38"/>
  <c r="AH90" i="38" s="1"/>
  <c r="AG79" i="38"/>
  <c r="AH79" i="38" s="1"/>
  <c r="AG98" i="38"/>
  <c r="AH98" i="38" s="1"/>
  <c r="AG91" i="38"/>
  <c r="AH91" i="38" s="1"/>
  <c r="BG136" i="38"/>
  <c r="BH82" i="38"/>
  <c r="BH190" i="38"/>
  <c r="BG298" i="38"/>
  <c r="BH298" i="38"/>
  <c r="BF82" i="38"/>
  <c r="BF136" i="38"/>
  <c r="BF135" i="38"/>
  <c r="BH244" i="38"/>
  <c r="BG135" i="38"/>
  <c r="BH297" i="38"/>
  <c r="BH189" i="38"/>
  <c r="BF77" i="38"/>
  <c r="BF131" i="38"/>
  <c r="BH239" i="38"/>
  <c r="BG293" i="38"/>
  <c r="BG185" i="38"/>
  <c r="BF81" i="38"/>
  <c r="BF239" i="38"/>
  <c r="BG297" i="38"/>
  <c r="BH136" i="38"/>
  <c r="BH137" i="38" s="1"/>
  <c r="BH243" i="38"/>
  <c r="BF293" i="38"/>
  <c r="BF185" i="38"/>
  <c r="BG82" i="38"/>
  <c r="BH131" i="38"/>
  <c r="BG239" i="38"/>
  <c r="BM136" i="38"/>
  <c r="BG77" i="38"/>
  <c r="BG244" i="38"/>
  <c r="BG245" i="38" s="1"/>
  <c r="BF298" i="38"/>
  <c r="BF299" i="38" s="1"/>
  <c r="BF190" i="38"/>
  <c r="BF191" i="38" s="1"/>
  <c r="BG190" i="38"/>
  <c r="BG191" i="38" s="1"/>
  <c r="BG192" i="38" s="1"/>
  <c r="BH81" i="38"/>
  <c r="BG131" i="38"/>
  <c r="BF244" i="38"/>
  <c r="BF245" i="38" s="1"/>
  <c r="BH293" i="38"/>
  <c r="BH185" i="38"/>
  <c r="BG81" i="38"/>
  <c r="BH77" i="38"/>
  <c r="BE244" i="38"/>
  <c r="BK298" i="38"/>
  <c r="BK299" i="38" s="1"/>
  <c r="BK300" i="38" s="1"/>
  <c r="BL136" i="38"/>
  <c r="BN190" i="38"/>
  <c r="BN191" i="38" s="1"/>
  <c r="BN192" i="38" s="1"/>
  <c r="BK190" i="38"/>
  <c r="BJ244" i="38"/>
  <c r="BN136" i="38"/>
  <c r="BN137" i="38" s="1"/>
  <c r="BN138" i="38" s="1"/>
  <c r="BK136" i="38"/>
  <c r="BJ190" i="38"/>
  <c r="BJ191" i="38" s="1"/>
  <c r="BJ192" i="38" s="1"/>
  <c r="BO244" i="38"/>
  <c r="BI136" i="38"/>
  <c r="BL298" i="38"/>
  <c r="BE136" i="38"/>
  <c r="BO82" i="38"/>
  <c r="BO83" i="38" s="1"/>
  <c r="BO84" i="38" s="1"/>
  <c r="BJ136" i="38"/>
  <c r="BJ137" i="38" s="1"/>
  <c r="BJ138" i="38" s="1"/>
  <c r="BK244" i="38"/>
  <c r="BK189" i="38"/>
  <c r="BN244" i="38"/>
  <c r="BE135" i="38"/>
  <c r="BE82" i="38"/>
  <c r="BM244" i="38"/>
  <c r="BL135" i="38"/>
  <c r="BI298" i="38"/>
  <c r="BM190" i="38"/>
  <c r="BE243" i="38"/>
  <c r="BK82" i="38"/>
  <c r="BO136" i="38"/>
  <c r="BI190" i="38"/>
  <c r="BM135" i="38"/>
  <c r="BI135" i="38"/>
  <c r="BO298" i="38"/>
  <c r="BJ298" i="38"/>
  <c r="BJ299" i="38" s="1"/>
  <c r="BN298" i="38"/>
  <c r="BN299" i="38" s="1"/>
  <c r="BN300" i="38" s="1"/>
  <c r="BN82" i="38"/>
  <c r="BN83" i="38" s="1"/>
  <c r="BE81" i="38"/>
  <c r="BI239" i="38"/>
  <c r="BL77" i="38"/>
  <c r="BE293" i="38"/>
  <c r="BM239" i="38"/>
  <c r="BI293" i="38"/>
  <c r="BK243" i="38"/>
  <c r="BI77" i="38"/>
  <c r="BL293" i="38"/>
  <c r="BE131" i="38"/>
  <c r="BL297" i="38"/>
  <c r="BM298" i="38"/>
  <c r="BM299" i="38" s="1"/>
  <c r="BM82" i="38"/>
  <c r="BM83" i="38" s="1"/>
  <c r="BM84" i="38" s="1"/>
  <c r="BK185" i="38"/>
  <c r="BJ243" i="38"/>
  <c r="BM293" i="38"/>
  <c r="BJ82" i="38"/>
  <c r="BJ83" i="38" s="1"/>
  <c r="BM77" i="38"/>
  <c r="BL239" i="38"/>
  <c r="BO131" i="38"/>
  <c r="BJ293" i="38"/>
  <c r="BE190" i="38"/>
  <c r="BE189" i="38"/>
  <c r="BI189" i="38"/>
  <c r="E132" i="38"/>
  <c r="D133" i="38"/>
  <c r="BM243" i="38"/>
  <c r="BE77" i="38"/>
  <c r="BJ77" i="38"/>
  <c r="BM131" i="38"/>
  <c r="BI131" i="38"/>
  <c r="BK135" i="38"/>
  <c r="BL244" i="38"/>
  <c r="BL245" i="38" s="1"/>
  <c r="BO185" i="38"/>
  <c r="BN185" i="38"/>
  <c r="BL190" i="38"/>
  <c r="BL191" i="38" s="1"/>
  <c r="BL185" i="38"/>
  <c r="BI82" i="38"/>
  <c r="BI83" i="38" s="1"/>
  <c r="BK239" i="38"/>
  <c r="BO239" i="38"/>
  <c r="BN243" i="38"/>
  <c r="BK131" i="38"/>
  <c r="BN131" i="38"/>
  <c r="BE298" i="38"/>
  <c r="BE299" i="38" s="1"/>
  <c r="BE300" i="38" s="1"/>
  <c r="BO297" i="38"/>
  <c r="BI297" i="38"/>
  <c r="BN239" i="38"/>
  <c r="BN77" i="38"/>
  <c r="BN293" i="38"/>
  <c r="BE185" i="38"/>
  <c r="BJ239" i="38"/>
  <c r="BJ131" i="38"/>
  <c r="BL82" i="38"/>
  <c r="BL83" i="38" s="1"/>
  <c r="BI244" i="38"/>
  <c r="BI245" i="38" s="1"/>
  <c r="BK293" i="38"/>
  <c r="BM189" i="38"/>
  <c r="BJ185" i="38"/>
  <c r="BE239" i="38"/>
  <c r="BO243" i="38"/>
  <c r="BO77" i="38"/>
  <c r="BK81" i="38"/>
  <c r="BL131" i="38"/>
  <c r="BO135" i="38"/>
  <c r="BO293" i="38"/>
  <c r="BO190" i="38"/>
  <c r="BO191" i="38" s="1"/>
  <c r="BI185" i="38"/>
  <c r="BM185" i="38"/>
  <c r="BK77" i="38"/>
  <c r="BH83" i="38" l="1"/>
  <c r="BH84" i="38" s="1"/>
  <c r="BG299" i="38"/>
  <c r="BG300" i="38" s="1"/>
  <c r="BG137" i="38"/>
  <c r="BG138" i="38" s="1"/>
  <c r="BL137" i="38"/>
  <c r="BL138" i="38" s="1"/>
  <c r="BF137" i="38"/>
  <c r="BF138" i="38" s="1"/>
  <c r="BF83" i="38"/>
  <c r="BF84" i="38" s="1"/>
  <c r="BE245" i="38"/>
  <c r="BE246" i="38" s="1"/>
  <c r="BH191" i="38"/>
  <c r="BH192" i="38" s="1"/>
  <c r="BG83" i="38"/>
  <c r="BG84" i="38" s="1"/>
  <c r="BM137" i="38"/>
  <c r="BM138" i="38" s="1"/>
  <c r="BH299" i="38"/>
  <c r="BH300" i="38" s="1"/>
  <c r="BH245" i="38"/>
  <c r="BH246" i="38" s="1"/>
  <c r="BF246" i="38"/>
  <c r="BF247" i="38"/>
  <c r="BH138" i="38"/>
  <c r="BH139" i="38"/>
  <c r="BF300" i="38"/>
  <c r="BF301" i="38"/>
  <c r="BF192" i="38"/>
  <c r="BF193" i="38"/>
  <c r="BG246" i="38"/>
  <c r="BG247" i="38"/>
  <c r="BG193" i="38"/>
  <c r="BK245" i="38"/>
  <c r="BK246" i="38" s="1"/>
  <c r="BK83" i="38"/>
  <c r="BK84" i="38" s="1"/>
  <c r="BE83" i="38"/>
  <c r="BE84" i="38" s="1"/>
  <c r="BK137" i="38"/>
  <c r="BK138" i="38" s="1"/>
  <c r="BO245" i="38"/>
  <c r="BO246" i="38" s="1"/>
  <c r="BK191" i="38"/>
  <c r="BK192" i="38" s="1"/>
  <c r="BN193" i="38"/>
  <c r="BN194" i="38" s="1"/>
  <c r="BI191" i="38"/>
  <c r="BL299" i="38"/>
  <c r="BL300" i="38" s="1"/>
  <c r="BJ245" i="38"/>
  <c r="BJ246" i="38" s="1"/>
  <c r="BI137" i="38"/>
  <c r="BI138" i="38" s="1"/>
  <c r="BM191" i="38"/>
  <c r="BM192" i="38" s="1"/>
  <c r="BJ300" i="38"/>
  <c r="BJ301" i="38"/>
  <c r="BJ302" i="38" s="1"/>
  <c r="BJ193" i="38"/>
  <c r="BJ194" i="38" s="1"/>
  <c r="BN139" i="38"/>
  <c r="BN140" i="38" s="1"/>
  <c r="BJ139" i="38"/>
  <c r="BJ140" i="38" s="1"/>
  <c r="BM245" i="38"/>
  <c r="BM246" i="38" s="1"/>
  <c r="BO85" i="38"/>
  <c r="BO86" i="38" s="1"/>
  <c r="BO137" i="38"/>
  <c r="BO138" i="38" s="1"/>
  <c r="BE137" i="38"/>
  <c r="BE138" i="38" s="1"/>
  <c r="BO299" i="38"/>
  <c r="BO300" i="38" s="1"/>
  <c r="BN245" i="38"/>
  <c r="BN246" i="38" s="1"/>
  <c r="BN84" i="38"/>
  <c r="BN85" i="38"/>
  <c r="BN86" i="38" s="1"/>
  <c r="BI299" i="38"/>
  <c r="BI300" i="38" s="1"/>
  <c r="BJ84" i="38"/>
  <c r="BJ85" i="38"/>
  <c r="BO192" i="38"/>
  <c r="BO193" i="38"/>
  <c r="BI84" i="38"/>
  <c r="BI85" i="38"/>
  <c r="BL246" i="38"/>
  <c r="BL247" i="38"/>
  <c r="BI246" i="38"/>
  <c r="BI247" i="38"/>
  <c r="BL84" i="38"/>
  <c r="BL85" i="38"/>
  <c r="BM300" i="38"/>
  <c r="BM301" i="38"/>
  <c r="BL192" i="38"/>
  <c r="BL193" i="38"/>
  <c r="BE191" i="38"/>
  <c r="BN301" i="38"/>
  <c r="BM85" i="38"/>
  <c r="E133" i="38"/>
  <c r="D134" i="38"/>
  <c r="BK301" i="38"/>
  <c r="BE301" i="38"/>
  <c r="BH85" i="38" l="1"/>
  <c r="BH87" i="38" s="1"/>
  <c r="BH88" i="38" s="1"/>
  <c r="BH89" i="38" s="1"/>
  <c r="BG139" i="38"/>
  <c r="BG140" i="38" s="1"/>
  <c r="BG301" i="38"/>
  <c r="BG303" i="38" s="1"/>
  <c r="BG304" i="38" s="1"/>
  <c r="BG305" i="38" s="1"/>
  <c r="BL139" i="38"/>
  <c r="BL141" i="38" s="1"/>
  <c r="BL142" i="38" s="1"/>
  <c r="BL145" i="38" s="1"/>
  <c r="BM139" i="38"/>
  <c r="BM140" i="38" s="1"/>
  <c r="BG85" i="38"/>
  <c r="BG87" i="38" s="1"/>
  <c r="BG88" i="38" s="1"/>
  <c r="BG90" i="38" s="1"/>
  <c r="BK85" i="38"/>
  <c r="BK87" i="38" s="1"/>
  <c r="BF85" i="38"/>
  <c r="BF86" i="38" s="1"/>
  <c r="BF139" i="38"/>
  <c r="BF140" i="38" s="1"/>
  <c r="BH301" i="38"/>
  <c r="BH302" i="38" s="1"/>
  <c r="BE247" i="38"/>
  <c r="BE249" i="38" s="1"/>
  <c r="BE250" i="38" s="1"/>
  <c r="BE252" i="38" s="1"/>
  <c r="BH193" i="38"/>
  <c r="BH194" i="38" s="1"/>
  <c r="BH247" i="38"/>
  <c r="BH248" i="38" s="1"/>
  <c r="BK139" i="38"/>
  <c r="BK141" i="38" s="1"/>
  <c r="BK142" i="38" s="1"/>
  <c r="BK144" i="38" s="1"/>
  <c r="BJ141" i="38"/>
  <c r="BJ142" i="38" s="1"/>
  <c r="BJ143" i="38" s="1"/>
  <c r="BF194" i="38"/>
  <c r="BF195" i="38"/>
  <c r="BE85" i="38"/>
  <c r="BE86" i="38" s="1"/>
  <c r="BG194" i="38"/>
  <c r="BG195" i="38"/>
  <c r="BF302" i="38"/>
  <c r="BF303" i="38"/>
  <c r="BH140" i="38"/>
  <c r="BH141" i="38"/>
  <c r="BG248" i="38"/>
  <c r="BG249" i="38"/>
  <c r="BF248" i="38"/>
  <c r="BF249" i="38"/>
  <c r="BK193" i="38"/>
  <c r="BK194" i="38" s="1"/>
  <c r="BK247" i="38"/>
  <c r="BL301" i="38"/>
  <c r="BL303" i="38" s="1"/>
  <c r="BL304" i="38" s="1"/>
  <c r="BL305" i="38" s="1"/>
  <c r="BO301" i="38"/>
  <c r="BO303" i="38" s="1"/>
  <c r="BO247" i="38"/>
  <c r="BO248" i="38" s="1"/>
  <c r="BO139" i="38"/>
  <c r="BO140" i="38" s="1"/>
  <c r="BI301" i="38"/>
  <c r="BI303" i="38" s="1"/>
  <c r="BN195" i="38"/>
  <c r="BN196" i="38" s="1"/>
  <c r="BN197" i="38" s="1"/>
  <c r="BJ247" i="38"/>
  <c r="BJ249" i="38" s="1"/>
  <c r="BJ250" i="38" s="1"/>
  <c r="BJ251" i="38" s="1"/>
  <c r="BJ303" i="38"/>
  <c r="BJ304" i="38" s="1"/>
  <c r="BJ305" i="38" s="1"/>
  <c r="BM247" i="38"/>
  <c r="BM248" i="38" s="1"/>
  <c r="BI192" i="38"/>
  <c r="BI193" i="38"/>
  <c r="BN141" i="38"/>
  <c r="BN142" i="38" s="1"/>
  <c r="BN143" i="38" s="1"/>
  <c r="BI139" i="38"/>
  <c r="BI140" i="38" s="1"/>
  <c r="BM193" i="38"/>
  <c r="BM194" i="38" s="1"/>
  <c r="BN247" i="38"/>
  <c r="BN248" i="38" s="1"/>
  <c r="BJ195" i="38"/>
  <c r="BJ196" i="38" s="1"/>
  <c r="BJ199" i="38" s="1"/>
  <c r="BE139" i="38"/>
  <c r="BO87" i="38"/>
  <c r="BO88" i="38" s="1"/>
  <c r="BO89" i="38" s="1"/>
  <c r="BN87" i="38"/>
  <c r="BN88" i="38" s="1"/>
  <c r="BN89" i="38" s="1"/>
  <c r="BL86" i="38"/>
  <c r="BL87" i="38"/>
  <c r="BI248" i="38"/>
  <c r="BI249" i="38"/>
  <c r="BM86" i="38"/>
  <c r="BM87" i="38"/>
  <c r="BO194" i="38"/>
  <c r="BO195" i="38"/>
  <c r="BE302" i="38"/>
  <c r="BE303" i="38"/>
  <c r="BK302" i="38"/>
  <c r="BK303" i="38"/>
  <c r="BL194" i="38"/>
  <c r="BL195" i="38"/>
  <c r="BL248" i="38"/>
  <c r="BL249" i="38"/>
  <c r="BJ86" i="38"/>
  <c r="BJ87" i="38"/>
  <c r="E134" i="38"/>
  <c r="D135" i="38"/>
  <c r="BN302" i="38"/>
  <c r="BN303" i="38"/>
  <c r="BE192" i="38"/>
  <c r="BE193" i="38"/>
  <c r="BM302" i="38"/>
  <c r="BM303" i="38"/>
  <c r="BI86" i="38"/>
  <c r="BI87" i="38"/>
  <c r="BH86" i="38" l="1"/>
  <c r="BG141" i="38"/>
  <c r="BG142" i="38" s="1"/>
  <c r="BG143" i="38" s="1"/>
  <c r="BG302" i="38"/>
  <c r="BG86" i="38"/>
  <c r="BK86" i="38"/>
  <c r="BK140" i="38"/>
  <c r="BL140" i="38"/>
  <c r="BF87" i="38"/>
  <c r="BF88" i="38" s="1"/>
  <c r="BF91" i="38" s="1"/>
  <c r="BF141" i="38"/>
  <c r="BF142" i="38" s="1"/>
  <c r="BF144" i="38" s="1"/>
  <c r="BG307" i="38"/>
  <c r="BG306" i="38"/>
  <c r="BE248" i="38"/>
  <c r="BM141" i="38"/>
  <c r="BM142" i="38" s="1"/>
  <c r="BM145" i="38" s="1"/>
  <c r="BG91" i="38"/>
  <c r="BH91" i="38"/>
  <c r="BH90" i="38"/>
  <c r="BH92" i="38" s="1"/>
  <c r="BO141" i="38"/>
  <c r="BO142" i="38" s="1"/>
  <c r="BO143" i="38" s="1"/>
  <c r="BH303" i="38"/>
  <c r="BH304" i="38" s="1"/>
  <c r="BH306" i="38" s="1"/>
  <c r="BO302" i="38"/>
  <c r="BH249" i="38"/>
  <c r="BH250" i="38" s="1"/>
  <c r="BO249" i="38"/>
  <c r="BO250" i="38" s="1"/>
  <c r="BO253" i="38" s="1"/>
  <c r="BH195" i="38"/>
  <c r="BH196" i="38" s="1"/>
  <c r="BH198" i="38" s="1"/>
  <c r="BG89" i="38"/>
  <c r="BI302" i="38"/>
  <c r="BK195" i="38"/>
  <c r="BK196" i="38" s="1"/>
  <c r="BK198" i="38" s="1"/>
  <c r="BL302" i="38"/>
  <c r="BE87" i="38"/>
  <c r="BE88" i="38" s="1"/>
  <c r="BE89" i="38" s="1"/>
  <c r="BF196" i="38"/>
  <c r="BF197" i="38" s="1"/>
  <c r="BF250" i="38"/>
  <c r="BF251" i="38" s="1"/>
  <c r="BN249" i="38"/>
  <c r="BN250" i="38" s="1"/>
  <c r="BN253" i="38" s="1"/>
  <c r="BG250" i="38"/>
  <c r="BG252" i="38" s="1"/>
  <c r="BH142" i="38"/>
  <c r="BH144" i="38" s="1"/>
  <c r="BG196" i="38"/>
  <c r="BG198" i="38" s="1"/>
  <c r="BF304" i="38"/>
  <c r="BF305" i="38" s="1"/>
  <c r="BK248" i="38"/>
  <c r="BK249" i="38"/>
  <c r="BK250" i="38" s="1"/>
  <c r="BK252" i="38" s="1"/>
  <c r="BJ253" i="38"/>
  <c r="BJ252" i="38"/>
  <c r="BJ248" i="38"/>
  <c r="BM195" i="38"/>
  <c r="BM196" i="38" s="1"/>
  <c r="BM197" i="38" s="1"/>
  <c r="BM249" i="38"/>
  <c r="BM250" i="38" s="1"/>
  <c r="BM253" i="38" s="1"/>
  <c r="BN144" i="38"/>
  <c r="BI195" i="38"/>
  <c r="BI196" i="38" s="1"/>
  <c r="BI198" i="38" s="1"/>
  <c r="BI194" i="38"/>
  <c r="BN145" i="38"/>
  <c r="BI141" i="38"/>
  <c r="BI142" i="38" s="1"/>
  <c r="BI143" i="38" s="1"/>
  <c r="BE140" i="38"/>
  <c r="BE141" i="38"/>
  <c r="BJ197" i="38"/>
  <c r="BL143" i="38"/>
  <c r="BJ145" i="38"/>
  <c r="BJ307" i="38"/>
  <c r="BL307" i="38"/>
  <c r="BL306" i="38"/>
  <c r="BJ306" i="38"/>
  <c r="BK143" i="38"/>
  <c r="BN199" i="38"/>
  <c r="BJ144" i="38"/>
  <c r="BK146" i="38" s="1"/>
  <c r="BN198" i="38"/>
  <c r="BE251" i="38"/>
  <c r="BI88" i="38"/>
  <c r="BI89" i="38" s="1"/>
  <c r="BO196" i="38"/>
  <c r="BO197" i="38" s="1"/>
  <c r="BM88" i="38"/>
  <c r="BM89" i="38" s="1"/>
  <c r="BK88" i="38"/>
  <c r="BK89" i="38" s="1"/>
  <c r="BJ88" i="38"/>
  <c r="BJ89" i="38" s="1"/>
  <c r="BM304" i="38"/>
  <c r="BM305" i="38" s="1"/>
  <c r="BL144" i="38"/>
  <c r="BL146" i="38" s="1"/>
  <c r="BL250" i="38"/>
  <c r="BL251" i="38" s="1"/>
  <c r="BN90" i="38"/>
  <c r="BK304" i="38"/>
  <c r="BK305" i="38" s="1"/>
  <c r="BE253" i="38"/>
  <c r="BE304" i="38"/>
  <c r="BE305" i="38" s="1"/>
  <c r="BK145" i="38"/>
  <c r="BI304" i="38"/>
  <c r="BI305" i="38" s="1"/>
  <c r="BJ198" i="38"/>
  <c r="BN91" i="38"/>
  <c r="BE194" i="38"/>
  <c r="BE195" i="38"/>
  <c r="BL196" i="38"/>
  <c r="BL198" i="38" s="1"/>
  <c r="BI250" i="38"/>
  <c r="BI253" i="38" s="1"/>
  <c r="BO90" i="38"/>
  <c r="BO91" i="38"/>
  <c r="BN304" i="38"/>
  <c r="BN307" i="38" s="1"/>
  <c r="D136" i="38"/>
  <c r="E135" i="38"/>
  <c r="BL88" i="38"/>
  <c r="BL91" i="38" s="1"/>
  <c r="BO304" i="38"/>
  <c r="BO305" i="38" s="1"/>
  <c r="BG145" i="38" l="1"/>
  <c r="BG144" i="38"/>
  <c r="BH146" i="38" s="1"/>
  <c r="BK197" i="38"/>
  <c r="BM143" i="38"/>
  <c r="BM144" i="38"/>
  <c r="BM146" i="38" s="1"/>
  <c r="BF145" i="38"/>
  <c r="BE91" i="38"/>
  <c r="BF93" i="38" s="1"/>
  <c r="BH93" i="38"/>
  <c r="BF143" i="38"/>
  <c r="BN147" i="38"/>
  <c r="BH308" i="38"/>
  <c r="BL200" i="38"/>
  <c r="BE90" i="38"/>
  <c r="BH200" i="38"/>
  <c r="BG199" i="38"/>
  <c r="BH252" i="38"/>
  <c r="BH254" i="38" s="1"/>
  <c r="BH253" i="38"/>
  <c r="BF252" i="38"/>
  <c r="BG254" i="38" s="1"/>
  <c r="BF253" i="38"/>
  <c r="BJ255" i="38" s="1"/>
  <c r="BK251" i="38"/>
  <c r="BK199" i="38"/>
  <c r="BK201" i="38" s="1"/>
  <c r="BF198" i="38"/>
  <c r="BG200" i="38" s="1"/>
  <c r="BK254" i="38"/>
  <c r="BK253" i="38"/>
  <c r="BM255" i="38" s="1"/>
  <c r="BG251" i="38"/>
  <c r="BF199" i="38"/>
  <c r="BH305" i="38"/>
  <c r="BH251" i="38"/>
  <c r="BH307" i="38"/>
  <c r="BH309" i="38" s="1"/>
  <c r="BH197" i="38"/>
  <c r="BG197" i="38"/>
  <c r="BH143" i="38"/>
  <c r="BF89" i="38"/>
  <c r="BG253" i="38"/>
  <c r="BG93" i="38"/>
  <c r="BF90" i="38"/>
  <c r="BF307" i="38"/>
  <c r="BF306" i="38"/>
  <c r="BH199" i="38"/>
  <c r="BH145" i="38"/>
  <c r="BI145" i="38"/>
  <c r="BK307" i="38"/>
  <c r="BL309" i="38" s="1"/>
  <c r="BI197" i="38"/>
  <c r="BI199" i="38"/>
  <c r="BK147" i="38"/>
  <c r="BI144" i="38"/>
  <c r="BE142" i="38"/>
  <c r="BE144" i="38" s="1"/>
  <c r="BF146" i="38" s="1"/>
  <c r="BL89" i="38"/>
  <c r="BJ146" i="38"/>
  <c r="BL90" i="38"/>
  <c r="BN305" i="38"/>
  <c r="BN251" i="38"/>
  <c r="BL197" i="38"/>
  <c r="BL252" i="38"/>
  <c r="BL254" i="38" s="1"/>
  <c r="BO252" i="38"/>
  <c r="BM252" i="38"/>
  <c r="BM254" i="38" s="1"/>
  <c r="BL253" i="38"/>
  <c r="BO251" i="38"/>
  <c r="BM251" i="38"/>
  <c r="BO255" i="38"/>
  <c r="BI252" i="38"/>
  <c r="BK306" i="38"/>
  <c r="BK308" i="38" s="1"/>
  <c r="BN306" i="38"/>
  <c r="BN252" i="38"/>
  <c r="BL199" i="38"/>
  <c r="BN255" i="38"/>
  <c r="BO145" i="38"/>
  <c r="BO147" i="38" s="1"/>
  <c r="BI307" i="38"/>
  <c r="BJ91" i="38"/>
  <c r="BJ93" i="38" s="1"/>
  <c r="BK90" i="38"/>
  <c r="BO198" i="38"/>
  <c r="BO200" i="38" s="1"/>
  <c r="BO306" i="38"/>
  <c r="BM198" i="38"/>
  <c r="BO307" i="38"/>
  <c r="BO309" i="38" s="1"/>
  <c r="BM199" i="38"/>
  <c r="E136" i="38"/>
  <c r="D137" i="38"/>
  <c r="BI251" i="38"/>
  <c r="BO144" i="38"/>
  <c r="BO146" i="38" s="1"/>
  <c r="BI306" i="38"/>
  <c r="BI308" i="38" s="1"/>
  <c r="BJ90" i="38"/>
  <c r="BK91" i="38"/>
  <c r="BO199" i="38"/>
  <c r="BO201" i="38" s="1"/>
  <c r="BK200" i="38"/>
  <c r="BM147" i="38"/>
  <c r="BE306" i="38"/>
  <c r="BM306" i="38"/>
  <c r="BI91" i="38"/>
  <c r="BI93" i="38" s="1"/>
  <c r="BO93" i="38"/>
  <c r="BO92" i="38"/>
  <c r="BE196" i="38"/>
  <c r="BE197" i="38" s="1"/>
  <c r="BE307" i="38"/>
  <c r="BM307" i="38"/>
  <c r="BM90" i="38"/>
  <c r="BN92" i="38" s="1"/>
  <c r="BI90" i="38"/>
  <c r="BI92" i="38" s="1"/>
  <c r="BM91" i="38"/>
  <c r="BL147" i="38"/>
  <c r="BG146" i="38" l="1"/>
  <c r="BN146" i="38"/>
  <c r="BH147" i="38"/>
  <c r="BG147" i="38"/>
  <c r="BH201" i="38"/>
  <c r="BF255" i="38"/>
  <c r="BG255" i="38"/>
  <c r="BG201" i="38"/>
  <c r="BJ92" i="38"/>
  <c r="BL201" i="38"/>
  <c r="BL255" i="38"/>
  <c r="BI309" i="38"/>
  <c r="BM309" i="38"/>
  <c r="BI254" i="38"/>
  <c r="BJ200" i="38"/>
  <c r="BF254" i="38"/>
  <c r="BJ254" i="38"/>
  <c r="BK255" i="38"/>
  <c r="BJ201" i="38"/>
  <c r="BI201" i="38"/>
  <c r="BI147" i="38"/>
  <c r="BH255" i="38"/>
  <c r="BF308" i="38"/>
  <c r="BG308" i="38"/>
  <c r="BF309" i="38"/>
  <c r="BG309" i="38"/>
  <c r="BF92" i="38"/>
  <c r="BG92" i="38"/>
  <c r="BK93" i="38"/>
  <c r="BK309" i="38"/>
  <c r="BN254" i="38"/>
  <c r="BJ147" i="38"/>
  <c r="BO254" i="38"/>
  <c r="BI200" i="38"/>
  <c r="BI146" i="38"/>
  <c r="BI255" i="38"/>
  <c r="BE145" i="38"/>
  <c r="BE143" i="38"/>
  <c r="BM93" i="38"/>
  <c r="BM308" i="38"/>
  <c r="BE198" i="38"/>
  <c r="BF200" i="38" s="1"/>
  <c r="BN309" i="38"/>
  <c r="BL93" i="38"/>
  <c r="BL308" i="38"/>
  <c r="BO308" i="38"/>
  <c r="BM200" i="38"/>
  <c r="BN200" i="38"/>
  <c r="BE199" i="38"/>
  <c r="BF201" i="38" s="1"/>
  <c r="BM201" i="38"/>
  <c r="BN201" i="38"/>
  <c r="BN93" i="38"/>
  <c r="BN308" i="38"/>
  <c r="BK92" i="38"/>
  <c r="BL92" i="38"/>
  <c r="BM92" i="38"/>
  <c r="E137" i="38"/>
  <c r="D138" i="38"/>
  <c r="BJ308" i="38"/>
  <c r="BJ309" i="38"/>
  <c r="BA270" i="38" l="1"/>
  <c r="BA272" i="38" s="1"/>
  <c r="BD49" i="38" s="1"/>
  <c r="BF147" i="38"/>
  <c r="BA162" i="38" s="1"/>
  <c r="BA269" i="38"/>
  <c r="BA161" i="38"/>
  <c r="BA165" i="38" s="1"/>
  <c r="BA156" i="38" s="1"/>
  <c r="BB41" i="38" s="1"/>
  <c r="BA108" i="38"/>
  <c r="BA110" i="38" s="1"/>
  <c r="BA49" i="38" s="1"/>
  <c r="BA215" i="38"/>
  <c r="BA219" i="38" s="1"/>
  <c r="BA107" i="38"/>
  <c r="BA111" i="38" s="1"/>
  <c r="BA216" i="38"/>
  <c r="BA323" i="38"/>
  <c r="E138" i="38"/>
  <c r="D139" i="38"/>
  <c r="BA324" i="38"/>
  <c r="BD47" i="38" l="1"/>
  <c r="BA271" i="38"/>
  <c r="BD48" i="38" s="1"/>
  <c r="AC99" i="38" s="1"/>
  <c r="BA164" i="38"/>
  <c r="BB49" i="38" s="1"/>
  <c r="BB47" i="38"/>
  <c r="BD46" i="38"/>
  <c r="BA273" i="38"/>
  <c r="BD50" i="38" s="1"/>
  <c r="BA47" i="38"/>
  <c r="BB46" i="38"/>
  <c r="BA163" i="38"/>
  <c r="BB48" i="38" s="1"/>
  <c r="AC85" i="38" s="1"/>
  <c r="BC46" i="38"/>
  <c r="BA217" i="38"/>
  <c r="BC48" i="38" s="1"/>
  <c r="AC93" i="38" s="1"/>
  <c r="BB50" i="38"/>
  <c r="BA46" i="38"/>
  <c r="BA109" i="38"/>
  <c r="BA48" i="38" s="1"/>
  <c r="AC80" i="38" s="1"/>
  <c r="BA326" i="38"/>
  <c r="BE49" i="38" s="1"/>
  <c r="BE47" i="38"/>
  <c r="BA102" i="38"/>
  <c r="BA41" i="38" s="1"/>
  <c r="BA50" i="38"/>
  <c r="BA327" i="38"/>
  <c r="BA325" i="38"/>
  <c r="BE48" i="38" s="1"/>
  <c r="AC104" i="38" s="1"/>
  <c r="BE46" i="38"/>
  <c r="BA218" i="38"/>
  <c r="BC49" i="38" s="1"/>
  <c r="BC47" i="38"/>
  <c r="BA210" i="38"/>
  <c r="BC41" i="38" s="1"/>
  <c r="BC50" i="38"/>
  <c r="D140" i="38"/>
  <c r="E139" i="38"/>
  <c r="AC107" i="38" l="1"/>
  <c r="AC109" i="38"/>
  <c r="AC108" i="38"/>
  <c r="AC106" i="38"/>
  <c r="AC105" i="38"/>
  <c r="AC97" i="38"/>
  <c r="AC95" i="38"/>
  <c r="AC94" i="38"/>
  <c r="AC96" i="38"/>
  <c r="AC103" i="38"/>
  <c r="AC102" i="38"/>
  <c r="AC101" i="38"/>
  <c r="AC100" i="38"/>
  <c r="O17" i="30"/>
  <c r="Q17" i="30"/>
  <c r="AC89" i="38"/>
  <c r="AC87" i="38"/>
  <c r="AC88" i="38"/>
  <c r="AC86" i="38"/>
  <c r="BA264" i="38"/>
  <c r="BD41" i="38" s="1"/>
  <c r="BA318" i="38"/>
  <c r="BE41" i="38" s="1"/>
  <c r="BE50" i="38"/>
  <c r="D141" i="38"/>
  <c r="E140" i="38"/>
  <c r="AC83" i="38" l="1"/>
  <c r="AC84" i="38"/>
  <c r="AC82" i="38"/>
  <c r="AC81" i="38"/>
  <c r="E141" i="38"/>
  <c r="D142" i="38"/>
  <c r="D143" i="38" l="1"/>
  <c r="E142" i="38"/>
  <c r="D144" i="38" l="1"/>
  <c r="E143" i="38"/>
  <c r="E144" i="38" l="1"/>
  <c r="D145" i="38"/>
  <c r="D146" i="38" l="1"/>
  <c r="E146" i="38" s="1"/>
  <c r="E145" i="38"/>
  <c r="AG79" i="34" l="1"/>
  <c r="AG90" i="34"/>
  <c r="AG91" i="34"/>
  <c r="AG92" i="34"/>
  <c r="AG98" i="34"/>
  <c r="AG109" i="34"/>
  <c r="AG78" i="34"/>
  <c r="F27" i="34"/>
  <c r="P32" i="34"/>
  <c r="P33" i="34"/>
  <c r="Q32" i="34"/>
  <c r="Q25" i="34"/>
  <c r="Q26" i="34"/>
  <c r="Q12" i="34"/>
  <c r="F54" i="34"/>
  <c r="F189" i="34"/>
  <c r="G189" i="34" s="1"/>
  <c r="F190" i="34"/>
  <c r="G190" i="34" s="1"/>
  <c r="F191" i="34"/>
  <c r="G191" i="34" s="1"/>
  <c r="F192" i="34"/>
  <c r="G192" i="34" s="1"/>
  <c r="F193" i="34"/>
  <c r="G193" i="34" s="1"/>
  <c r="F194" i="34"/>
  <c r="G194" i="34" s="1"/>
  <c r="F195" i="34"/>
  <c r="G195" i="34" s="1"/>
  <c r="F196" i="34"/>
  <c r="G196" i="34" s="1"/>
  <c r="F188" i="34"/>
  <c r="G188" i="34" s="1"/>
  <c r="F55" i="34"/>
  <c r="F56" i="34"/>
  <c r="F57" i="34"/>
  <c r="F58" i="34"/>
  <c r="F59" i="34"/>
  <c r="G28" i="34"/>
  <c r="F21" i="34"/>
  <c r="P30" i="34" s="1"/>
  <c r="P29" i="34" l="1"/>
  <c r="Q28" i="34"/>
  <c r="Q24" i="34"/>
  <c r="B42" i="30"/>
  <c r="D46" i="30"/>
  <c r="B46" i="30"/>
  <c r="B45" i="30"/>
  <c r="D45" i="30"/>
  <c r="B43" i="30"/>
  <c r="D43" i="30"/>
  <c r="D42" i="30"/>
  <c r="M157" i="30"/>
  <c r="N157" i="30"/>
  <c r="M158" i="30"/>
  <c r="N158" i="30"/>
  <c r="M159" i="30"/>
  <c r="N159" i="30"/>
  <c r="M160" i="30"/>
  <c r="N160" i="30"/>
  <c r="M161" i="30"/>
  <c r="N161" i="30"/>
  <c r="M162" i="30"/>
  <c r="N162" i="30"/>
  <c r="M163" i="30"/>
  <c r="N163" i="30"/>
  <c r="M164" i="30"/>
  <c r="N164" i="30"/>
  <c r="M165" i="30"/>
  <c r="N165" i="30"/>
  <c r="M166" i="30"/>
  <c r="N166" i="30"/>
  <c r="M167" i="30"/>
  <c r="N167" i="30"/>
  <c r="M168" i="30"/>
  <c r="N168" i="30"/>
  <c r="M169" i="30"/>
  <c r="N169" i="30"/>
  <c r="M170" i="30"/>
  <c r="N170" i="30"/>
  <c r="M171" i="30"/>
  <c r="N171" i="30"/>
  <c r="M172" i="30"/>
  <c r="N172" i="30"/>
  <c r="M173" i="30"/>
  <c r="N173" i="30"/>
  <c r="M174" i="30"/>
  <c r="N174" i="30"/>
  <c r="M175" i="30"/>
  <c r="N175" i="30"/>
  <c r="M176" i="30"/>
  <c r="N176" i="30"/>
  <c r="M177" i="30"/>
  <c r="N177" i="30"/>
  <c r="M178" i="30"/>
  <c r="N178" i="30"/>
  <c r="M179" i="30"/>
  <c r="N179" i="30"/>
  <c r="M180" i="30"/>
  <c r="N180" i="30"/>
  <c r="M181" i="30"/>
  <c r="N181" i="30"/>
  <c r="M182" i="30"/>
  <c r="N182" i="30"/>
  <c r="M183" i="30"/>
  <c r="N183" i="30"/>
  <c r="M184" i="30"/>
  <c r="N184" i="30"/>
  <c r="M185" i="30"/>
  <c r="N185" i="30"/>
  <c r="M186" i="30"/>
  <c r="N186" i="30"/>
  <c r="N156" i="30"/>
  <c r="M156" i="30"/>
  <c r="M87" i="30"/>
  <c r="N87" i="30"/>
  <c r="M88" i="30"/>
  <c r="N88" i="30"/>
  <c r="M89" i="30"/>
  <c r="N89" i="30"/>
  <c r="M90" i="30"/>
  <c r="N90" i="30"/>
  <c r="M91" i="30"/>
  <c r="N91" i="30"/>
  <c r="M92" i="30"/>
  <c r="N92" i="30"/>
  <c r="M93" i="30"/>
  <c r="N93" i="30"/>
  <c r="M94" i="30"/>
  <c r="N94" i="30"/>
  <c r="M95" i="30"/>
  <c r="N95" i="30"/>
  <c r="M96" i="30"/>
  <c r="N96" i="30"/>
  <c r="M97" i="30"/>
  <c r="N97" i="30"/>
  <c r="M98" i="30"/>
  <c r="N98" i="30"/>
  <c r="M99" i="30"/>
  <c r="N99" i="30"/>
  <c r="M100" i="30"/>
  <c r="N100" i="30"/>
  <c r="M101" i="30"/>
  <c r="N101" i="30"/>
  <c r="M102" i="30"/>
  <c r="N102" i="30"/>
  <c r="M103" i="30"/>
  <c r="N103" i="30"/>
  <c r="M104" i="30"/>
  <c r="N104" i="30"/>
  <c r="M105" i="30"/>
  <c r="N105" i="30"/>
  <c r="M106" i="30"/>
  <c r="N106" i="30"/>
  <c r="M107" i="30"/>
  <c r="N107" i="30"/>
  <c r="M108" i="30"/>
  <c r="N108" i="30"/>
  <c r="M109" i="30"/>
  <c r="N109" i="30"/>
  <c r="M110" i="30"/>
  <c r="N110" i="30"/>
  <c r="M111" i="30"/>
  <c r="N111" i="30"/>
  <c r="M112" i="30"/>
  <c r="N112" i="30"/>
  <c r="M113" i="30"/>
  <c r="N113" i="30"/>
  <c r="M114" i="30"/>
  <c r="N114" i="30"/>
  <c r="M115" i="30"/>
  <c r="N115" i="30"/>
  <c r="M116" i="30"/>
  <c r="N116" i="30"/>
  <c r="N86" i="30"/>
  <c r="M86" i="30"/>
  <c r="M120" i="30" s="1"/>
  <c r="J36" i="30"/>
  <c r="J37" i="30" s="1"/>
  <c r="G29" i="30"/>
  <c r="H28" i="30"/>
  <c r="G28" i="30"/>
  <c r="Q29" i="34" l="1"/>
  <c r="AD103" i="34" s="1"/>
  <c r="AE103" i="34" s="1"/>
  <c r="I190" i="30"/>
  <c r="I191" i="30" s="1"/>
  <c r="I192" i="30" s="1"/>
  <c r="I193" i="30" s="1"/>
  <c r="I194" i="30" s="1"/>
  <c r="I195" i="30" s="1"/>
  <c r="I196" i="30" s="1"/>
  <c r="I197" i="30" s="1"/>
  <c r="I198" i="30" s="1"/>
  <c r="I199" i="30" s="1"/>
  <c r="I200" i="30" s="1"/>
  <c r="I201" i="30" s="1"/>
  <c r="I202" i="30" s="1"/>
  <c r="I203" i="30" s="1"/>
  <c r="I204" i="30" s="1"/>
  <c r="I205" i="30" s="1"/>
  <c r="I206" i="30" s="1"/>
  <c r="I207" i="30" s="1"/>
  <c r="I208" i="30" s="1"/>
  <c r="I209" i="30" s="1"/>
  <c r="I210" i="30" s="1"/>
  <c r="I211" i="30" s="1"/>
  <c r="I212" i="30" s="1"/>
  <c r="I213" i="30" s="1"/>
  <c r="I214" i="30" s="1"/>
  <c r="I215" i="30" s="1"/>
  <c r="I216" i="30" s="1"/>
  <c r="I217" i="30" s="1"/>
  <c r="I218" i="30" s="1"/>
  <c r="I219" i="30" s="1"/>
  <c r="I220" i="30" s="1"/>
  <c r="N220" i="30"/>
  <c r="M220" i="30"/>
  <c r="N219" i="30"/>
  <c r="M219" i="30"/>
  <c r="N218" i="30"/>
  <c r="M218" i="30"/>
  <c r="N217" i="30"/>
  <c r="M217" i="30"/>
  <c r="N216" i="30"/>
  <c r="M216" i="30"/>
  <c r="N215" i="30"/>
  <c r="M215" i="30"/>
  <c r="N214" i="30"/>
  <c r="M214" i="30"/>
  <c r="N213" i="30"/>
  <c r="M213" i="30"/>
  <c r="N212" i="30"/>
  <c r="M212" i="30"/>
  <c r="N211" i="30"/>
  <c r="M211" i="30"/>
  <c r="N210" i="30"/>
  <c r="M210" i="30"/>
  <c r="N209" i="30"/>
  <c r="M209" i="30"/>
  <c r="N208" i="30"/>
  <c r="M208" i="30"/>
  <c r="N207" i="30"/>
  <c r="M207" i="30"/>
  <c r="N206" i="30"/>
  <c r="M206" i="30"/>
  <c r="N205" i="30"/>
  <c r="M205" i="30"/>
  <c r="N204" i="30"/>
  <c r="M204" i="30"/>
  <c r="N203" i="30"/>
  <c r="M203" i="30"/>
  <c r="N202" i="30"/>
  <c r="M202" i="30"/>
  <c r="N201" i="30"/>
  <c r="M201" i="30"/>
  <c r="N200" i="30"/>
  <c r="M200" i="30"/>
  <c r="N199" i="30"/>
  <c r="M199" i="30"/>
  <c r="N198" i="30"/>
  <c r="M198" i="30"/>
  <c r="N197" i="30"/>
  <c r="M197" i="30"/>
  <c r="N196" i="30"/>
  <c r="M196" i="30"/>
  <c r="N195" i="30"/>
  <c r="M195" i="30"/>
  <c r="N194" i="30"/>
  <c r="M194" i="30"/>
  <c r="N193" i="30"/>
  <c r="M193" i="30"/>
  <c r="N192" i="30"/>
  <c r="M192" i="30"/>
  <c r="N191" i="30"/>
  <c r="M191" i="30"/>
  <c r="N190" i="30"/>
  <c r="M190" i="30"/>
  <c r="I156" i="30"/>
  <c r="I120" i="30"/>
  <c r="I86" i="30"/>
  <c r="G37" i="30"/>
  <c r="H37" i="30"/>
  <c r="H29" i="30"/>
  <c r="Q10" i="30"/>
  <c r="Q8" i="30"/>
  <c r="K36" i="30"/>
  <c r="K37" i="30" s="1"/>
  <c r="L36" i="30"/>
  <c r="L37" i="30" s="1"/>
  <c r="M36" i="30"/>
  <c r="M37" i="30" s="1"/>
  <c r="N36" i="30"/>
  <c r="N37" i="30" s="1"/>
  <c r="O36" i="30"/>
  <c r="O37" i="30" s="1"/>
  <c r="P36" i="30"/>
  <c r="P37" i="30" s="1"/>
  <c r="Q36" i="30"/>
  <c r="Q37" i="30" s="1"/>
  <c r="R36" i="30"/>
  <c r="R37" i="30" s="1"/>
  <c r="S36" i="30"/>
  <c r="S37" i="30" s="1"/>
  <c r="T36" i="30"/>
  <c r="T37" i="30" s="1"/>
  <c r="U36" i="30"/>
  <c r="U37" i="30" s="1"/>
  <c r="T8" i="30" l="1"/>
  <c r="AD79" i="34"/>
  <c r="AE79" i="34" s="1"/>
  <c r="AF79" i="34" s="1"/>
  <c r="AD99" i="34"/>
  <c r="AE99" i="34" s="1"/>
  <c r="AF99" i="34" s="1"/>
  <c r="AD92" i="34"/>
  <c r="AE92" i="34" s="1"/>
  <c r="AF92" i="34" s="1"/>
  <c r="AD98" i="34"/>
  <c r="AE98" i="34" s="1"/>
  <c r="AF98" i="34" s="1"/>
  <c r="AD105" i="34"/>
  <c r="AE105" i="34" s="1"/>
  <c r="AF105" i="34" s="1"/>
  <c r="AD89" i="34"/>
  <c r="AE89" i="34" s="1"/>
  <c r="AF89" i="34" s="1"/>
  <c r="AD96" i="34"/>
  <c r="AE96" i="34" s="1"/>
  <c r="AF96" i="34" s="1"/>
  <c r="AD80" i="34"/>
  <c r="AE80" i="34" s="1"/>
  <c r="AF80" i="34" s="1"/>
  <c r="AD108" i="34"/>
  <c r="AE108" i="34" s="1"/>
  <c r="AF108" i="34" s="1"/>
  <c r="AD83" i="34"/>
  <c r="AE83" i="34" s="1"/>
  <c r="AF83" i="34" s="1"/>
  <c r="AD106" i="34"/>
  <c r="AE106" i="34" s="1"/>
  <c r="AF106" i="34" s="1"/>
  <c r="AD86" i="34"/>
  <c r="AE86" i="34" s="1"/>
  <c r="AF86" i="34" s="1"/>
  <c r="AD101" i="34"/>
  <c r="AE101" i="34" s="1"/>
  <c r="AF101" i="34" s="1"/>
  <c r="AD85" i="34"/>
  <c r="AE85" i="34" s="1"/>
  <c r="AF85" i="34" s="1"/>
  <c r="AD104" i="34"/>
  <c r="AE104" i="34" s="1"/>
  <c r="AF104" i="34" s="1"/>
  <c r="AD109" i="34"/>
  <c r="AE109" i="34" s="1"/>
  <c r="AF109" i="34" s="1"/>
  <c r="AD84" i="34"/>
  <c r="AE84" i="34" s="1"/>
  <c r="AF84" i="34" s="1"/>
  <c r="AD94" i="34"/>
  <c r="AE94" i="34" s="1"/>
  <c r="AF94" i="34" s="1"/>
  <c r="AD102" i="34"/>
  <c r="AE102" i="34" s="1"/>
  <c r="AF102" i="34" s="1"/>
  <c r="AD91" i="34"/>
  <c r="AE91" i="34" s="1"/>
  <c r="AF91" i="34" s="1"/>
  <c r="AD87" i="34"/>
  <c r="AE87" i="34" s="1"/>
  <c r="AF87" i="34" s="1"/>
  <c r="AD82" i="34"/>
  <c r="AE82" i="34" s="1"/>
  <c r="AF82" i="34" s="1"/>
  <c r="AD107" i="34"/>
  <c r="AE107" i="34" s="1"/>
  <c r="AF107" i="34" s="1"/>
  <c r="AD93" i="34"/>
  <c r="AE93" i="34" s="1"/>
  <c r="AF93" i="34" s="1"/>
  <c r="AD95" i="34"/>
  <c r="AE95" i="34" s="1"/>
  <c r="AF95" i="34" s="1"/>
  <c r="AD88" i="34"/>
  <c r="AE88" i="34" s="1"/>
  <c r="AF88" i="34" s="1"/>
  <c r="AD100" i="34"/>
  <c r="AE100" i="34" s="1"/>
  <c r="AF100" i="34" s="1"/>
  <c r="AD90" i="34"/>
  <c r="AE90" i="34" s="1"/>
  <c r="AF90" i="34" s="1"/>
  <c r="AD97" i="34"/>
  <c r="AE97" i="34" s="1"/>
  <c r="AF97" i="34" s="1"/>
  <c r="AD81" i="34"/>
  <c r="AE81" i="34" s="1"/>
  <c r="AF81" i="34" s="1"/>
  <c r="AF103" i="34"/>
  <c r="AD78" i="34"/>
  <c r="AE78" i="34" s="1"/>
  <c r="Q30" i="34"/>
  <c r="Q31" i="34" s="1"/>
  <c r="I157" i="30"/>
  <c r="AF78" i="34" l="1"/>
  <c r="G54" i="34"/>
  <c r="G57" i="34"/>
  <c r="G59" i="34"/>
  <c r="G58" i="34"/>
  <c r="G56" i="34"/>
  <c r="G55" i="34"/>
  <c r="I158" i="30"/>
  <c r="G60" i="34" l="1"/>
  <c r="I159" i="30"/>
  <c r="Q33" i="34" l="1"/>
  <c r="I160" i="30"/>
  <c r="I161" i="30" l="1"/>
  <c r="I162" i="30" l="1"/>
  <c r="I163" i="30" l="1"/>
  <c r="I164" i="30" l="1"/>
  <c r="I165" i="30" l="1"/>
  <c r="I166" i="30" l="1"/>
  <c r="I167" i="30" l="1"/>
  <c r="I168" i="30" l="1"/>
  <c r="I169" i="30" l="1"/>
  <c r="I170" i="30" l="1"/>
  <c r="I171" i="30" l="1"/>
  <c r="I172" i="30" l="1"/>
  <c r="I173" i="30" l="1"/>
  <c r="I174" i="30" l="1"/>
  <c r="I175" i="30" l="1"/>
  <c r="I176" i="30" l="1"/>
  <c r="I177" i="30" l="1"/>
  <c r="I178" i="30" l="1"/>
  <c r="I179" i="30" l="1"/>
  <c r="I180" i="30" l="1"/>
  <c r="I181" i="30" l="1"/>
  <c r="I182" i="30" l="1"/>
  <c r="I183" i="30" l="1"/>
  <c r="I184" i="30" l="1"/>
  <c r="I185" i="30" l="1"/>
  <c r="I186" i="30" l="1"/>
  <c r="G74" i="34" l="1"/>
  <c r="G75" i="34"/>
  <c r="G76" i="34"/>
  <c r="G77" i="34"/>
  <c r="G30" i="34"/>
  <c r="G37" i="34" s="1"/>
  <c r="AH78" i="34" s="1"/>
  <c r="F30" i="34"/>
  <c r="G38" i="34" l="1"/>
  <c r="G40" i="34" s="1"/>
  <c r="AH91" i="34"/>
  <c r="AH92" i="34"/>
  <c r="AH79" i="34"/>
  <c r="AH98" i="34"/>
  <c r="AH109" i="34"/>
  <c r="AH90" i="34"/>
  <c r="Q79" i="34"/>
  <c r="F37" i="34"/>
  <c r="F38" i="34" s="1"/>
  <c r="F40" i="34" s="1"/>
  <c r="Q19" i="34" s="1"/>
  <c r="Q78" i="34"/>
  <c r="Q102" i="34"/>
  <c r="Q94" i="34"/>
  <c r="Q86" i="34"/>
  <c r="Q109" i="34"/>
  <c r="Q101" i="34"/>
  <c r="Q93" i="34"/>
  <c r="Q85" i="34"/>
  <c r="Q84" i="34"/>
  <c r="Q107" i="34"/>
  <c r="Q99" i="34"/>
  <c r="Q91" i="34"/>
  <c r="Q83" i="34"/>
  <c r="Q106" i="34"/>
  <c r="Q98" i="34"/>
  <c r="Q90" i="34"/>
  <c r="Q82" i="34"/>
  <c r="Q108" i="34"/>
  <c r="Q105" i="34"/>
  <c r="Q97" i="34"/>
  <c r="Q89" i="34"/>
  <c r="Q81" i="34"/>
  <c r="Q100" i="34"/>
  <c r="Q104" i="34"/>
  <c r="Q96" i="34"/>
  <c r="Q88" i="34"/>
  <c r="Q80" i="34"/>
  <c r="Q92" i="34"/>
  <c r="Q103" i="34"/>
  <c r="Q95" i="34"/>
  <c r="Q87" i="34"/>
  <c r="O90" i="34"/>
  <c r="O91" i="34"/>
  <c r="O92" i="34"/>
  <c r="O93" i="34"/>
  <c r="O94" i="34"/>
  <c r="O95" i="34"/>
  <c r="O96" i="34"/>
  <c r="O97" i="34"/>
  <c r="O98" i="34"/>
  <c r="O99" i="34"/>
  <c r="O100" i="34"/>
  <c r="O101" i="34"/>
  <c r="O102" i="34"/>
  <c r="O103" i="34"/>
  <c r="O104" i="34"/>
  <c r="O105" i="34"/>
  <c r="O106" i="34"/>
  <c r="O107" i="34"/>
  <c r="O108" i="34"/>
  <c r="O109" i="34"/>
  <c r="O78" i="34"/>
  <c r="O79" i="34"/>
  <c r="K90" i="34"/>
  <c r="L90" i="34"/>
  <c r="M90" i="34"/>
  <c r="K93" i="34"/>
  <c r="L93" i="34"/>
  <c r="M93" i="34"/>
  <c r="K99" i="34"/>
  <c r="L99" i="34"/>
  <c r="M99" i="34"/>
  <c r="K104" i="34"/>
  <c r="L104" i="34"/>
  <c r="M104" i="34"/>
  <c r="H90" i="34"/>
  <c r="H93" i="34"/>
  <c r="H99" i="34"/>
  <c r="H104" i="34"/>
  <c r="C79" i="34"/>
  <c r="C80" i="34"/>
  <c r="D80" i="34"/>
  <c r="E80" i="34"/>
  <c r="F80" i="34"/>
  <c r="C81" i="34"/>
  <c r="C82" i="34"/>
  <c r="C83" i="34"/>
  <c r="C84" i="34"/>
  <c r="C85" i="34"/>
  <c r="D85" i="34"/>
  <c r="E85" i="34"/>
  <c r="F85" i="34"/>
  <c r="C86" i="34"/>
  <c r="C87" i="34"/>
  <c r="C88" i="34"/>
  <c r="C89" i="34"/>
  <c r="C90" i="34"/>
  <c r="E90" i="34"/>
  <c r="C91" i="34"/>
  <c r="C92" i="34"/>
  <c r="C93" i="34"/>
  <c r="E93" i="34"/>
  <c r="C94" i="34"/>
  <c r="C95" i="34"/>
  <c r="C96" i="34"/>
  <c r="C97" i="34"/>
  <c r="C98" i="34"/>
  <c r="C99" i="34"/>
  <c r="D99" i="34"/>
  <c r="E99" i="34"/>
  <c r="F99" i="34"/>
  <c r="C100" i="34"/>
  <c r="C101" i="34"/>
  <c r="C102" i="34"/>
  <c r="C103" i="34"/>
  <c r="C104" i="34"/>
  <c r="D104" i="34"/>
  <c r="E104" i="34"/>
  <c r="F104" i="34"/>
  <c r="C105" i="34"/>
  <c r="C106" i="34"/>
  <c r="C107" i="34"/>
  <c r="C108" i="34"/>
  <c r="C109" i="34"/>
  <c r="D109" i="34"/>
  <c r="F109" i="34"/>
  <c r="D74" i="34"/>
  <c r="E74" i="34"/>
  <c r="F74" i="34"/>
  <c r="D75" i="34"/>
  <c r="E75" i="34"/>
  <c r="F75" i="34"/>
  <c r="D76" i="34"/>
  <c r="E76" i="34"/>
  <c r="F76" i="34"/>
  <c r="C77" i="34"/>
  <c r="D77" i="34"/>
  <c r="E77" i="34"/>
  <c r="F77" i="34"/>
  <c r="F78" i="34"/>
  <c r="D78" i="34"/>
  <c r="C78" i="34"/>
  <c r="B78" i="34"/>
  <c r="N99" i="34" l="1"/>
  <c r="P99" i="34" s="1"/>
  <c r="N104" i="34"/>
  <c r="P104" i="34" s="1"/>
  <c r="N90" i="34"/>
  <c r="P90" i="34" s="1"/>
  <c r="N93" i="34"/>
  <c r="P93" i="34" s="1"/>
  <c r="R86" i="35" l="1"/>
  <c r="S86" i="35"/>
  <c r="U86" i="35"/>
  <c r="V86" i="35"/>
  <c r="E37" i="31" l="1"/>
  <c r="L37" i="31" s="1"/>
  <c r="C38" i="20" l="1"/>
  <c r="AM66" i="32" l="1"/>
  <c r="F35" i="2" l="1"/>
  <c r="S12" i="2" s="1"/>
  <c r="I63" i="5" l="1"/>
  <c r="I66" i="5"/>
  <c r="I64" i="5"/>
  <c r="I65" i="5"/>
  <c r="M121" i="30"/>
  <c r="N121" i="30"/>
  <c r="M122" i="30"/>
  <c r="N122" i="30"/>
  <c r="M123" i="30"/>
  <c r="N123" i="30"/>
  <c r="M124" i="30"/>
  <c r="N124" i="30"/>
  <c r="M125" i="30"/>
  <c r="N125" i="30"/>
  <c r="M126" i="30"/>
  <c r="N126" i="30"/>
  <c r="M127" i="30"/>
  <c r="N127" i="30"/>
  <c r="M128" i="30"/>
  <c r="N128" i="30"/>
  <c r="M129" i="30"/>
  <c r="N129" i="30"/>
  <c r="M130" i="30"/>
  <c r="N130" i="30"/>
  <c r="M131" i="30"/>
  <c r="N131" i="30"/>
  <c r="M132" i="30"/>
  <c r="N132" i="30"/>
  <c r="M133" i="30"/>
  <c r="N133" i="30"/>
  <c r="M134" i="30"/>
  <c r="N134" i="30"/>
  <c r="M135" i="30"/>
  <c r="N135" i="30"/>
  <c r="M136" i="30"/>
  <c r="N136" i="30"/>
  <c r="M137" i="30"/>
  <c r="N137" i="30"/>
  <c r="M138" i="30"/>
  <c r="N138" i="30"/>
  <c r="M139" i="30"/>
  <c r="N139" i="30"/>
  <c r="M140" i="30"/>
  <c r="N140" i="30"/>
  <c r="M141" i="30"/>
  <c r="N141" i="30"/>
  <c r="M142" i="30"/>
  <c r="N142" i="30"/>
  <c r="M143" i="30"/>
  <c r="N143" i="30"/>
  <c r="M144" i="30"/>
  <c r="N144" i="30"/>
  <c r="M145" i="30"/>
  <c r="N145" i="30"/>
  <c r="M146" i="30"/>
  <c r="N146" i="30"/>
  <c r="M147" i="30"/>
  <c r="N147" i="30"/>
  <c r="M148" i="30"/>
  <c r="N148" i="30"/>
  <c r="M149" i="30"/>
  <c r="N149" i="30"/>
  <c r="M150" i="30"/>
  <c r="N150" i="30"/>
  <c r="N120" i="30"/>
  <c r="I88" i="5" l="1"/>
  <c r="I68" i="5"/>
  <c r="I67" i="5"/>
  <c r="I69" i="5" l="1"/>
  <c r="I70" i="5" l="1"/>
  <c r="I71" i="5" l="1"/>
  <c r="U9" i="35"/>
  <c r="U123" i="35" s="1"/>
  <c r="V9" i="35"/>
  <c r="AE10" i="35"/>
  <c r="AE15" i="35" s="1"/>
  <c r="AD11" i="35"/>
  <c r="U12" i="35"/>
  <c r="V12" i="35"/>
  <c r="AD12" i="35"/>
  <c r="AD15" i="35"/>
  <c r="U16" i="35"/>
  <c r="U124" i="35" s="1"/>
  <c r="V16" i="35"/>
  <c r="AD16" i="35"/>
  <c r="AE16" i="35"/>
  <c r="AD17" i="35"/>
  <c r="AE17" i="35"/>
  <c r="U26" i="35"/>
  <c r="U158" i="35" s="1"/>
  <c r="U27" i="35"/>
  <c r="U32" i="35"/>
  <c r="U33" i="35"/>
  <c r="V49" i="35"/>
  <c r="R279" i="35" s="1"/>
  <c r="V50" i="35"/>
  <c r="R283" i="35" s="1"/>
  <c r="V51" i="35"/>
  <c r="R288" i="35" s="1"/>
  <c r="V52" i="35"/>
  <c r="R293" i="35" s="1"/>
  <c r="V56" i="35"/>
  <c r="R313" i="35" s="1"/>
  <c r="U126" i="35"/>
  <c r="U154" i="35"/>
  <c r="U161" i="35"/>
  <c r="U162" i="35"/>
  <c r="U167" i="35"/>
  <c r="U169" i="35"/>
  <c r="U170" i="35"/>
  <c r="U171" i="35"/>
  <c r="U172" i="35"/>
  <c r="V274" i="35"/>
  <c r="V275" i="35" s="1"/>
  <c r="W274" i="35"/>
  <c r="R276" i="35"/>
  <c r="R281" i="35"/>
  <c r="R286" i="35"/>
  <c r="R291" i="35"/>
  <c r="R296" i="35"/>
  <c r="R301" i="35"/>
  <c r="R306" i="35"/>
  <c r="R311" i="35"/>
  <c r="R316" i="35"/>
  <c r="R318" i="35"/>
  <c r="R319" i="35"/>
  <c r="S319" i="35"/>
  <c r="R321" i="35"/>
  <c r="S324" i="35"/>
  <c r="R328" i="35"/>
  <c r="R329" i="35"/>
  <c r="AE11" i="35" l="1"/>
  <c r="AG11" i="35" s="1"/>
  <c r="AE12" i="35"/>
  <c r="AX6" i="30" s="1"/>
  <c r="V14" i="35"/>
  <c r="U155" i="35"/>
  <c r="I72" i="5"/>
  <c r="U153" i="35"/>
  <c r="AF12" i="35"/>
  <c r="AG17" i="35"/>
  <c r="R294" i="35"/>
  <c r="AF17" i="35"/>
  <c r="AF11" i="35"/>
  <c r="AG16" i="35"/>
  <c r="AF16" i="35"/>
  <c r="R289" i="35"/>
  <c r="AG15" i="35"/>
  <c r="AF15" i="35"/>
  <c r="R284" i="35"/>
  <c r="R314" i="35"/>
  <c r="R278" i="35"/>
  <c r="AG12" i="35" l="1"/>
  <c r="I73" i="5"/>
  <c r="I74" i="5" l="1"/>
  <c r="I75" i="5" l="1"/>
  <c r="I76" i="5" l="1"/>
  <c r="I77" i="5" l="1"/>
  <c r="I78" i="5" l="1"/>
  <c r="BG8" i="22"/>
  <c r="BH6" i="22"/>
  <c r="BJ6" i="22"/>
  <c r="BG7" i="22"/>
  <c r="BH7" i="22"/>
  <c r="BI7" i="22"/>
  <c r="BJ7" i="22"/>
  <c r="C213" i="22"/>
  <c r="D213" i="22"/>
  <c r="F213" i="22" s="1"/>
  <c r="F225" i="22" s="1"/>
  <c r="E213" i="22"/>
  <c r="E225" i="22" s="1"/>
  <c r="G213" i="22"/>
  <c r="AC213" i="22" s="1"/>
  <c r="I213" i="22"/>
  <c r="I217" i="22" s="1"/>
  <c r="M213" i="22"/>
  <c r="S213" i="22" s="1"/>
  <c r="S224" i="22" s="1"/>
  <c r="P213" i="22"/>
  <c r="P224" i="22" s="1"/>
  <c r="AA213" i="22"/>
  <c r="AE213" i="22"/>
  <c r="BH8" i="22"/>
  <c r="BI8" i="22"/>
  <c r="BJ8" i="22"/>
  <c r="B214" i="22"/>
  <c r="B215" i="22" s="1"/>
  <c r="B216" i="22" s="1"/>
  <c r="B217" i="22" s="1"/>
  <c r="B218" i="22" s="1"/>
  <c r="B219" i="22" s="1"/>
  <c r="B220" i="22" s="1"/>
  <c r="B221" i="22" s="1"/>
  <c r="B222" i="22" s="1"/>
  <c r="B223" i="22" s="1"/>
  <c r="B224" i="22" s="1"/>
  <c r="B225" i="22" s="1"/>
  <c r="B226" i="22" s="1"/>
  <c r="B227" i="22" s="1"/>
  <c r="B228" i="22" s="1"/>
  <c r="B229" i="22" s="1"/>
  <c r="B230" i="22" s="1"/>
  <c r="B231" i="22" s="1"/>
  <c r="B232" i="22" s="1"/>
  <c r="B233" i="22" s="1"/>
  <c r="B234" i="22" s="1"/>
  <c r="C214" i="22"/>
  <c r="D214" i="22"/>
  <c r="G214" i="22"/>
  <c r="AC214" i="22" s="1"/>
  <c r="Z214" i="22"/>
  <c r="AA214" i="22"/>
  <c r="AE214" i="22"/>
  <c r="C215" i="22"/>
  <c r="D215" i="22"/>
  <c r="AE215" i="22"/>
  <c r="BC8" i="22"/>
  <c r="BC30" i="22" s="1"/>
  <c r="C216" i="22"/>
  <c r="D216" i="22"/>
  <c r="AE216" i="22"/>
  <c r="BC9" i="22"/>
  <c r="BC31" i="22" s="1"/>
  <c r="C217" i="22"/>
  <c r="D217" i="22"/>
  <c r="AE217" i="22"/>
  <c r="AE218" i="22"/>
  <c r="BB11" i="22"/>
  <c r="AE219" i="22"/>
  <c r="BB12" i="22"/>
  <c r="AE220" i="22"/>
  <c r="G221" i="22"/>
  <c r="AE221" i="22"/>
  <c r="BJ16" i="22"/>
  <c r="AE222" i="22"/>
  <c r="BJ17" i="22"/>
  <c r="AE223" i="22"/>
  <c r="BJ18" i="22"/>
  <c r="AD224" i="22"/>
  <c r="AE224" i="22"/>
  <c r="AC225" i="22"/>
  <c r="AD225" i="22"/>
  <c r="AE225" i="22"/>
  <c r="AC226" i="22"/>
  <c r="AD226" i="22"/>
  <c r="AE226" i="22"/>
  <c r="AC227" i="22"/>
  <c r="AD227" i="22"/>
  <c r="AE227" i="22"/>
  <c r="AC228" i="22"/>
  <c r="AD228" i="22"/>
  <c r="AE228" i="22"/>
  <c r="BB21" i="22"/>
  <c r="BC21" i="22"/>
  <c r="AC229" i="22"/>
  <c r="AD229" i="22"/>
  <c r="AE229" i="22"/>
  <c r="BB22" i="22"/>
  <c r="BC22" i="22"/>
  <c r="AC230" i="22"/>
  <c r="AD230" i="22"/>
  <c r="AE230" i="22"/>
  <c r="AC231" i="22"/>
  <c r="AD231" i="22"/>
  <c r="AE231" i="22"/>
  <c r="BB24" i="22"/>
  <c r="BC24" i="22"/>
  <c r="AC232" i="22"/>
  <c r="AD232" i="22"/>
  <c r="AE232" i="22"/>
  <c r="AC233" i="22"/>
  <c r="AD233" i="22"/>
  <c r="AE233" i="22"/>
  <c r="BB26" i="22"/>
  <c r="BB27" i="22" s="1"/>
  <c r="BC26" i="22"/>
  <c r="BC27" i="22" s="1"/>
  <c r="AC234" i="22"/>
  <c r="AD234" i="22"/>
  <c r="AE234" i="22"/>
  <c r="C240" i="22"/>
  <c r="D240" i="22"/>
  <c r="F240" i="22" s="1"/>
  <c r="E240" i="22"/>
  <c r="G240" i="22" s="1"/>
  <c r="G241" i="22" s="1"/>
  <c r="G242" i="22" s="1"/>
  <c r="G243" i="22" s="1"/>
  <c r="M240" i="22"/>
  <c r="M241" i="22" s="1"/>
  <c r="M242" i="22" s="1"/>
  <c r="M243" i="22" s="1"/>
  <c r="P240" i="22"/>
  <c r="P251" i="22" s="1"/>
  <c r="S240" i="22"/>
  <c r="AE240" i="22"/>
  <c r="B241" i="22"/>
  <c r="B242" i="22" s="1"/>
  <c r="B243" i="22" s="1"/>
  <c r="B244" i="22" s="1"/>
  <c r="B245" i="22" s="1"/>
  <c r="B246" i="22" s="1"/>
  <c r="B247" i="22" s="1"/>
  <c r="B248" i="22" s="1"/>
  <c r="B249" i="22" s="1"/>
  <c r="B250" i="22" s="1"/>
  <c r="B251" i="22" s="1"/>
  <c r="B252" i="22" s="1"/>
  <c r="B253" i="22" s="1"/>
  <c r="B254" i="22" s="1"/>
  <c r="B255" i="22" s="1"/>
  <c r="B256" i="22" s="1"/>
  <c r="B257" i="22" s="1"/>
  <c r="B258" i="22" s="1"/>
  <c r="B259" i="22" s="1"/>
  <c r="B260" i="22" s="1"/>
  <c r="B261" i="22" s="1"/>
  <c r="C241" i="22"/>
  <c r="D241" i="22"/>
  <c r="AE241" i="22"/>
  <c r="C242" i="22"/>
  <c r="D242" i="22"/>
  <c r="AE242" i="22"/>
  <c r="C243" i="22"/>
  <c r="D243" i="22"/>
  <c r="AE243" i="22"/>
  <c r="C244" i="22"/>
  <c r="D244" i="22"/>
  <c r="AE244" i="22"/>
  <c r="BB37" i="22"/>
  <c r="BC37" i="22"/>
  <c r="AE245" i="22"/>
  <c r="BB38" i="22"/>
  <c r="BC38" i="22"/>
  <c r="AE246" i="22"/>
  <c r="AE247" i="22"/>
  <c r="BB40" i="22"/>
  <c r="BC40" i="22"/>
  <c r="AE248" i="22"/>
  <c r="AE249" i="22"/>
  <c r="AE250" i="22"/>
  <c r="AE251" i="22"/>
  <c r="AE252" i="22"/>
  <c r="AC253" i="22"/>
  <c r="AD253" i="22"/>
  <c r="AE253" i="22"/>
  <c r="AC254" i="22"/>
  <c r="AD254" i="22"/>
  <c r="AE254" i="22"/>
  <c r="BB47" i="22"/>
  <c r="BC47" i="22"/>
  <c r="AC255" i="22"/>
  <c r="AD255" i="22"/>
  <c r="AE255" i="22"/>
  <c r="BB48" i="22"/>
  <c r="BC48" i="22"/>
  <c r="AC256" i="22"/>
  <c r="AD256" i="22"/>
  <c r="AE256" i="22"/>
  <c r="BB49" i="22"/>
  <c r="J288" i="22" s="1"/>
  <c r="L288" i="22" s="1"/>
  <c r="BC49" i="22"/>
  <c r="G288" i="22" s="1"/>
  <c r="AC257" i="22"/>
  <c r="AD257" i="22"/>
  <c r="AE257" i="22"/>
  <c r="BB50" i="22"/>
  <c r="J289" i="22" s="1"/>
  <c r="L289" i="22" s="1"/>
  <c r="BC50" i="22"/>
  <c r="AC258" i="22"/>
  <c r="AD258" i="22"/>
  <c r="AE258" i="22"/>
  <c r="AC259" i="22"/>
  <c r="AD259" i="22"/>
  <c r="AE259" i="22"/>
  <c r="AC260" i="22"/>
  <c r="AD260" i="22"/>
  <c r="AE260" i="22"/>
  <c r="AC261" i="22"/>
  <c r="AD261" i="22"/>
  <c r="AE261" i="22"/>
  <c r="BP72" i="22"/>
  <c r="BQ72" i="22"/>
  <c r="BR72" i="22"/>
  <c r="BS72" i="22"/>
  <c r="BT72" i="22"/>
  <c r="BU72" i="22"/>
  <c r="BV72" i="22"/>
  <c r="BW72" i="22"/>
  <c r="BX72" i="22"/>
  <c r="C268" i="22"/>
  <c r="D268" i="22" s="1"/>
  <c r="B269" i="22"/>
  <c r="C269" i="22" s="1"/>
  <c r="D269" i="22" s="1"/>
  <c r="BG81" i="22"/>
  <c r="BH81" i="22"/>
  <c r="BI81" i="22"/>
  <c r="BG82" i="22"/>
  <c r="BH82" i="22"/>
  <c r="BI82" i="22"/>
  <c r="BG83" i="22"/>
  <c r="BH83" i="22"/>
  <c r="BI83" i="22"/>
  <c r="BG84" i="22"/>
  <c r="BH84" i="22"/>
  <c r="BI84" i="22"/>
  <c r="BG85" i="22"/>
  <c r="BH85" i="22"/>
  <c r="BI85" i="22"/>
  <c r="BG86" i="22"/>
  <c r="BH86" i="22"/>
  <c r="BI86" i="22"/>
  <c r="BG87" i="22"/>
  <c r="BH87" i="22"/>
  <c r="BI87" i="22"/>
  <c r="BG88" i="22"/>
  <c r="BH88" i="22"/>
  <c r="BI88" i="22"/>
  <c r="BG89" i="22"/>
  <c r="BH89" i="22"/>
  <c r="BI89" i="22"/>
  <c r="BG90" i="22"/>
  <c r="BI90" i="22"/>
  <c r="BG91" i="22"/>
  <c r="BH91" i="22"/>
  <c r="BI91" i="22"/>
  <c r="F283" i="22"/>
  <c r="G283" i="22"/>
  <c r="J283" i="22"/>
  <c r="L283" i="22" s="1"/>
  <c r="K283" i="22"/>
  <c r="M283" i="22" s="1"/>
  <c r="BG92" i="22"/>
  <c r="BH92" i="22"/>
  <c r="BI92" i="22"/>
  <c r="BG93" i="22"/>
  <c r="BI93" i="22"/>
  <c r="BG94" i="22"/>
  <c r="BH94" i="22"/>
  <c r="BI94" i="22"/>
  <c r="BG95" i="22"/>
  <c r="BH95" i="22"/>
  <c r="BI95" i="22"/>
  <c r="BG96" i="22"/>
  <c r="BI96" i="22"/>
  <c r="BG97" i="22"/>
  <c r="BH97" i="22"/>
  <c r="BI97" i="22"/>
  <c r="BG98" i="22"/>
  <c r="BH98" i="22"/>
  <c r="BI98" i="22"/>
  <c r="BG99" i="22"/>
  <c r="BH99" i="22"/>
  <c r="BI99" i="22"/>
  <c r="BG100" i="22"/>
  <c r="BI100" i="22"/>
  <c r="BG101" i="22"/>
  <c r="BH101" i="22"/>
  <c r="BI101" i="22"/>
  <c r="BG102" i="22"/>
  <c r="BH102" i="22"/>
  <c r="BI102" i="22"/>
  <c r="BG103" i="22"/>
  <c r="BH103" i="22"/>
  <c r="BI103" i="22"/>
  <c r="BG104" i="22"/>
  <c r="BI104" i="22"/>
  <c r="BG105" i="22"/>
  <c r="BH105" i="22"/>
  <c r="BI105" i="22"/>
  <c r="BG106" i="22"/>
  <c r="BH106" i="22"/>
  <c r="BI106" i="22"/>
  <c r="BG107" i="22"/>
  <c r="BH107" i="22"/>
  <c r="BI107" i="22"/>
  <c r="BG108" i="22"/>
  <c r="BH108" i="22"/>
  <c r="BI108" i="22"/>
  <c r="BG110" i="22"/>
  <c r="BH110" i="22"/>
  <c r="BI110" i="22"/>
  <c r="BG111" i="22"/>
  <c r="BH111" i="22"/>
  <c r="BI111" i="22"/>
  <c r="BG112" i="22"/>
  <c r="BH112" i="22"/>
  <c r="BI112" i="22"/>
  <c r="BG113" i="22"/>
  <c r="BI113" i="22"/>
  <c r="BG114" i="22"/>
  <c r="BI114" i="22"/>
  <c r="AX116" i="22"/>
  <c r="AY116" i="22" s="1"/>
  <c r="AZ116" i="22" s="1"/>
  <c r="BA116" i="22" s="1"/>
  <c r="BB116" i="22" s="1"/>
  <c r="BC116" i="22" s="1"/>
  <c r="BD116" i="22" s="1"/>
  <c r="BE116" i="22" s="1"/>
  <c r="BF116" i="22" s="1"/>
  <c r="BG116" i="22" s="1"/>
  <c r="BH116" i="22" s="1"/>
  <c r="BI116" i="22" s="1"/>
  <c r="BJ116" i="22" s="1"/>
  <c r="BK116" i="22" s="1"/>
  <c r="BL116" i="22" s="1"/>
  <c r="BM116" i="22" s="1"/>
  <c r="BN116" i="22" s="1"/>
  <c r="BO116" i="22" s="1"/>
  <c r="BP116" i="22" s="1"/>
  <c r="BQ116" i="22" s="1"/>
  <c r="BR116" i="22" s="1"/>
  <c r="BS116" i="22" s="1"/>
  <c r="BT116" i="22" s="1"/>
  <c r="BU116" i="22" s="1"/>
  <c r="BV116" i="22" s="1"/>
  <c r="BW116" i="22" s="1"/>
  <c r="BX116" i="22" s="1"/>
  <c r="BY116" i="22" s="1"/>
  <c r="AH8" i="22"/>
  <c r="AH9" i="22"/>
  <c r="AH18" i="22"/>
  <c r="AK25" i="22"/>
  <c r="AH26" i="22"/>
  <c r="AK26" i="22"/>
  <c r="AK27" i="22"/>
  <c r="AK28" i="22"/>
  <c r="AH29" i="22"/>
  <c r="AM29" i="22" s="1"/>
  <c r="AK29" i="22"/>
  <c r="AK30" i="22"/>
  <c r="AK31" i="22"/>
  <c r="AK32" i="22"/>
  <c r="AH33" i="22"/>
  <c r="AK33" i="22"/>
  <c r="AK36" i="22"/>
  <c r="D182" i="22"/>
  <c r="G182" i="22"/>
  <c r="M182" i="22"/>
  <c r="P182" i="22"/>
  <c r="S182" i="22"/>
  <c r="V182" i="22"/>
  <c r="Y182" i="22"/>
  <c r="AB182" i="22"/>
  <c r="C183" i="22"/>
  <c r="Y183" i="22" s="1"/>
  <c r="L202" i="22"/>
  <c r="AG202" i="22"/>
  <c r="Q8" i="22"/>
  <c r="Q9" i="22"/>
  <c r="Q24" i="22"/>
  <c r="S24" i="22"/>
  <c r="Q25" i="22"/>
  <c r="S25" i="22"/>
  <c r="AD149" i="22"/>
  <c r="C150" i="22"/>
  <c r="S169" i="22"/>
  <c r="T169" i="22"/>
  <c r="AA169" i="22"/>
  <c r="AB169" i="22"/>
  <c r="AI169" i="22"/>
  <c r="AJ169" i="22"/>
  <c r="AR169" i="22"/>
  <c r="AS169" i="22"/>
  <c r="BA169" i="22"/>
  <c r="BB169" i="22"/>
  <c r="BF169" i="22"/>
  <c r="BG169" i="22"/>
  <c r="F289" i="22" l="1"/>
  <c r="G289" i="22"/>
  <c r="E252" i="22"/>
  <c r="AC252" i="22" s="1"/>
  <c r="I214" i="22"/>
  <c r="I215" i="22" s="1"/>
  <c r="I216" i="22" s="1"/>
  <c r="K284" i="22"/>
  <c r="K285" i="22" s="1"/>
  <c r="M285" i="22" s="1"/>
  <c r="M221" i="22"/>
  <c r="M214" i="22"/>
  <c r="M215" i="22" s="1"/>
  <c r="M216" i="22" s="1"/>
  <c r="M217" i="22" s="1"/>
  <c r="M218" i="22" s="1"/>
  <c r="M219" i="22" s="1"/>
  <c r="M220" i="22" s="1"/>
  <c r="F285" i="22"/>
  <c r="M248" i="22"/>
  <c r="AC240" i="22"/>
  <c r="G244" i="22"/>
  <c r="G245" i="22" s="1"/>
  <c r="G246" i="22" s="1"/>
  <c r="G247" i="22" s="1"/>
  <c r="G284" i="22"/>
  <c r="J284" i="22"/>
  <c r="L284" i="22" s="1"/>
  <c r="BB43" i="22" s="1"/>
  <c r="G281" i="22"/>
  <c r="G282" i="22"/>
  <c r="I79" i="5"/>
  <c r="F284" i="22"/>
  <c r="BB52" i="22" s="1"/>
  <c r="Q240" i="22"/>
  <c r="Q250" i="22" s="1"/>
  <c r="K289" i="22"/>
  <c r="M289" i="22" s="1"/>
  <c r="G287" i="22"/>
  <c r="G248" i="22"/>
  <c r="G285" i="22"/>
  <c r="M244" i="22"/>
  <c r="M245" i="22" s="1"/>
  <c r="M246" i="22" s="1"/>
  <c r="M247" i="22" s="1"/>
  <c r="K288" i="22"/>
  <c r="M288" i="22" s="1"/>
  <c r="G286" i="22"/>
  <c r="F286" i="22"/>
  <c r="BC32" i="22"/>
  <c r="F287" i="22"/>
  <c r="AJ202" i="22"/>
  <c r="F288" i="22"/>
  <c r="E214" i="22"/>
  <c r="E217" i="22" s="1"/>
  <c r="E218" i="22" s="1"/>
  <c r="E219" i="22" s="1"/>
  <c r="E220" i="22" s="1"/>
  <c r="E221" i="22" s="1"/>
  <c r="E222" i="22" s="1"/>
  <c r="G215" i="22"/>
  <c r="H240" i="22"/>
  <c r="F252" i="22"/>
  <c r="AD252" i="22" s="1"/>
  <c r="F245" i="22"/>
  <c r="F251" i="22"/>
  <c r="AD251" i="22" s="1"/>
  <c r="E241" i="22"/>
  <c r="I240" i="22"/>
  <c r="C184" i="22"/>
  <c r="P184" i="22" s="1"/>
  <c r="P241" i="22"/>
  <c r="R241" i="22" s="1"/>
  <c r="Q252" i="22" s="1"/>
  <c r="BJ10" i="22"/>
  <c r="BG10" i="22"/>
  <c r="BH10" i="22"/>
  <c r="BI10" i="22"/>
  <c r="BH9" i="22"/>
  <c r="BI9" i="22"/>
  <c r="BJ9" i="22"/>
  <c r="BG9" i="22"/>
  <c r="BH11" i="22"/>
  <c r="BI11" i="22"/>
  <c r="BJ11" i="22"/>
  <c r="BG11" i="22"/>
  <c r="E269" i="22"/>
  <c r="N269" i="22" s="1"/>
  <c r="BP73" i="22" s="1"/>
  <c r="B270" i="22"/>
  <c r="R213" i="22"/>
  <c r="P214" i="22"/>
  <c r="R214" i="22" s="1"/>
  <c r="Q225" i="22" s="1"/>
  <c r="Q213" i="22"/>
  <c r="Q223" i="22" s="1"/>
  <c r="S241" i="22"/>
  <c r="T241" i="22" s="1"/>
  <c r="U240" i="22"/>
  <c r="V213" i="22"/>
  <c r="X213" i="22" s="1"/>
  <c r="T213" i="22"/>
  <c r="T223" i="22" s="1"/>
  <c r="U213" i="22"/>
  <c r="S214" i="22"/>
  <c r="T214" i="22" s="1"/>
  <c r="V240" i="22"/>
  <c r="X240" i="22" s="1"/>
  <c r="S251" i="22"/>
  <c r="T240" i="22"/>
  <c r="T250" i="22" s="1"/>
  <c r="K213" i="22"/>
  <c r="F224" i="22"/>
  <c r="F218" i="22"/>
  <c r="F219" i="22" s="1"/>
  <c r="H213" i="22"/>
  <c r="R240" i="22"/>
  <c r="F214" i="22"/>
  <c r="F215" i="22" s="1"/>
  <c r="F216" i="22" s="1"/>
  <c r="F217" i="22" s="1"/>
  <c r="F220" i="22" s="1"/>
  <c r="F221" i="22" s="1"/>
  <c r="F222" i="22" s="1"/>
  <c r="Z241" i="22"/>
  <c r="F241" i="22"/>
  <c r="AD240" i="22"/>
  <c r="V183" i="22"/>
  <c r="D183" i="22"/>
  <c r="G183" i="22"/>
  <c r="Y184" i="22"/>
  <c r="T25" i="22"/>
  <c r="S183" i="22"/>
  <c r="T24" i="22"/>
  <c r="AB184" i="22"/>
  <c r="AB183" i="22"/>
  <c r="P183" i="22"/>
  <c r="AM33" i="22"/>
  <c r="AM26" i="22"/>
  <c r="C151" i="22"/>
  <c r="AD150" i="22"/>
  <c r="V184" i="22" l="1"/>
  <c r="S184" i="22"/>
  <c r="C185" i="22"/>
  <c r="AB185" i="22" s="1"/>
  <c r="D184" i="22"/>
  <c r="F223" i="22"/>
  <c r="AD223" i="22" s="1"/>
  <c r="AD222" i="22"/>
  <c r="E223" i="22"/>
  <c r="AC222" i="22"/>
  <c r="AC221" i="22"/>
  <c r="J285" i="22"/>
  <c r="L285" i="22" s="1"/>
  <c r="M284" i="22"/>
  <c r="BC43" i="22" s="1"/>
  <c r="BB53" i="22"/>
  <c r="K286" i="22"/>
  <c r="M286" i="22" s="1"/>
  <c r="I80" i="5"/>
  <c r="E215" i="22"/>
  <c r="E216" i="22" s="1"/>
  <c r="BC52" i="22"/>
  <c r="G291" i="22"/>
  <c r="J286" i="22"/>
  <c r="W213" i="22"/>
  <c r="W223" i="22" s="1"/>
  <c r="G216" i="22"/>
  <c r="Q241" i="22"/>
  <c r="AD245" i="22"/>
  <c r="F246" i="22"/>
  <c r="AD246" i="22" s="1"/>
  <c r="Q214" i="22"/>
  <c r="K240" i="22"/>
  <c r="I241" i="22"/>
  <c r="I242" i="22" s="1"/>
  <c r="I243" i="22" s="1"/>
  <c r="I244" i="22"/>
  <c r="P242" i="22"/>
  <c r="P252" i="22"/>
  <c r="E242" i="22"/>
  <c r="AC241" i="22"/>
  <c r="E244" i="22"/>
  <c r="J240" i="22"/>
  <c r="H241" i="22"/>
  <c r="H242" i="22" s="1"/>
  <c r="H243" i="22" s="1"/>
  <c r="H244" i="22" s="1"/>
  <c r="H245" i="22" s="1"/>
  <c r="H246" i="22" s="1"/>
  <c r="H247" i="22"/>
  <c r="H248" i="22"/>
  <c r="J213" i="22"/>
  <c r="AD213" i="22"/>
  <c r="H214" i="22"/>
  <c r="H220" i="22"/>
  <c r="AD220" i="22" s="1"/>
  <c r="H221" i="22"/>
  <c r="AD221" i="22" s="1"/>
  <c r="K214" i="22"/>
  <c r="K215" i="22" s="1"/>
  <c r="K216" i="22" s="1"/>
  <c r="K217" i="22"/>
  <c r="V241" i="22"/>
  <c r="V251" i="22"/>
  <c r="U214" i="22"/>
  <c r="T225" i="22" s="1"/>
  <c r="R223" i="22"/>
  <c r="Q234" i="22" s="1"/>
  <c r="Q224" i="22"/>
  <c r="U241" i="22"/>
  <c r="T252" i="22" s="1"/>
  <c r="S225" i="22"/>
  <c r="S215" i="22"/>
  <c r="V214" i="22"/>
  <c r="V224" i="22"/>
  <c r="C270" i="22"/>
  <c r="D270" i="22" s="1"/>
  <c r="B271" i="22"/>
  <c r="W251" i="22"/>
  <c r="X250" i="22"/>
  <c r="W261" i="22" s="1"/>
  <c r="F242" i="22"/>
  <c r="AD241" i="22"/>
  <c r="R250" i="22"/>
  <c r="Q261" i="22" s="1"/>
  <c r="Q251" i="22"/>
  <c r="U250" i="22"/>
  <c r="T261" i="22" s="1"/>
  <c r="T251" i="22"/>
  <c r="U223" i="22"/>
  <c r="T234" i="22" s="1"/>
  <c r="T224" i="22"/>
  <c r="X223" i="22"/>
  <c r="W234" i="22" s="1"/>
  <c r="W224" i="22"/>
  <c r="S242" i="22"/>
  <c r="S252" i="22"/>
  <c r="P215" i="22"/>
  <c r="P225" i="22"/>
  <c r="W240" i="22"/>
  <c r="W250" i="22" s="1"/>
  <c r="D185" i="22"/>
  <c r="S185" i="22"/>
  <c r="Y185" i="22"/>
  <c r="AD151" i="22"/>
  <c r="P185" i="22"/>
  <c r="M185" i="22"/>
  <c r="V185" i="22"/>
  <c r="C186" i="22"/>
  <c r="Y186" i="22" s="1"/>
  <c r="G185" i="22"/>
  <c r="G184" i="22"/>
  <c r="AE185" i="22"/>
  <c r="AE184" i="22"/>
  <c r="AE188" i="22"/>
  <c r="AE183" i="22"/>
  <c r="AE187" i="22"/>
  <c r="AE182" i="22"/>
  <c r="AE190" i="22"/>
  <c r="AE193" i="22"/>
  <c r="AE197" i="22"/>
  <c r="AE192" i="22"/>
  <c r="AE196" i="22"/>
  <c r="AE189" i="22"/>
  <c r="AE186" i="22"/>
  <c r="AE191" i="22"/>
  <c r="AE200" i="22"/>
  <c r="AE194" i="22"/>
  <c r="AE199" i="22"/>
  <c r="AE195" i="22"/>
  <c r="AE202" i="22"/>
  <c r="AE198" i="22"/>
  <c r="AE201" i="22"/>
  <c r="C152" i="22"/>
  <c r="E224" i="22" l="1"/>
  <c r="AC224" i="22" s="1"/>
  <c r="AC223" i="22"/>
  <c r="AC215" i="22"/>
  <c r="BC53" i="22"/>
  <c r="BC56" i="22" s="1"/>
  <c r="K287" i="22"/>
  <c r="M287" i="22" s="1"/>
  <c r="I81" i="5"/>
  <c r="L286" i="22"/>
  <c r="J287" i="22"/>
  <c r="L287" i="22" s="1"/>
  <c r="AC216" i="22"/>
  <c r="G217" i="22"/>
  <c r="AC244" i="22"/>
  <c r="E245" i="22"/>
  <c r="Q242" i="22"/>
  <c r="R242" i="22"/>
  <c r="Q253" i="22" s="1"/>
  <c r="P243" i="22"/>
  <c r="P253" i="22"/>
  <c r="E243" i="22"/>
  <c r="AC243" i="22" s="1"/>
  <c r="AC242" i="22"/>
  <c r="L240" i="22"/>
  <c r="J244" i="22"/>
  <c r="J241" i="22"/>
  <c r="J242" i="22" s="1"/>
  <c r="J243" i="22"/>
  <c r="N240" i="22"/>
  <c r="K241" i="22"/>
  <c r="K242" i="22" s="1"/>
  <c r="K243" i="22" s="1"/>
  <c r="K244" i="22"/>
  <c r="G186" i="22"/>
  <c r="P216" i="22"/>
  <c r="P226" i="22"/>
  <c r="R215" i="22"/>
  <c r="Q226" i="22" s="1"/>
  <c r="Q215" i="22"/>
  <c r="AD242" i="22"/>
  <c r="F243" i="22"/>
  <c r="C271" i="22"/>
  <c r="D271" i="22" s="1"/>
  <c r="B272" i="22"/>
  <c r="S226" i="22"/>
  <c r="S216" i="22"/>
  <c r="U215" i="22"/>
  <c r="T226" i="22" s="1"/>
  <c r="T215" i="22"/>
  <c r="V225" i="22"/>
  <c r="V215" i="22"/>
  <c r="X214" i="22"/>
  <c r="W225" i="22" s="1"/>
  <c r="W214" i="22"/>
  <c r="AD214" i="22"/>
  <c r="H215" i="22"/>
  <c r="E270" i="22"/>
  <c r="F270" i="22"/>
  <c r="N213" i="22"/>
  <c r="J216" i="22"/>
  <c r="L213" i="22"/>
  <c r="J214" i="22"/>
  <c r="J215" i="22" s="1"/>
  <c r="J217" i="22"/>
  <c r="S253" i="22"/>
  <c r="S243" i="22"/>
  <c r="U242" i="22"/>
  <c r="T253" i="22" s="1"/>
  <c r="T242" i="22"/>
  <c r="V242" i="22"/>
  <c r="V252" i="22"/>
  <c r="X241" i="22"/>
  <c r="W252" i="22" s="1"/>
  <c r="W241" i="22"/>
  <c r="P186" i="22"/>
  <c r="D186" i="22"/>
  <c r="M186" i="22"/>
  <c r="C187" i="22"/>
  <c r="AB186" i="22"/>
  <c r="AE204" i="22"/>
  <c r="AD152" i="22"/>
  <c r="C153" i="22"/>
  <c r="N270" i="22" l="1"/>
  <c r="BQ73" i="22" s="1"/>
  <c r="I82" i="5"/>
  <c r="G218" i="22"/>
  <c r="AC217" i="22"/>
  <c r="E246" i="22"/>
  <c r="AC245" i="22"/>
  <c r="N248" i="22"/>
  <c r="N241" i="22"/>
  <c r="N242" i="22" s="1"/>
  <c r="N243" i="22" s="1"/>
  <c r="N244" i="22" s="1"/>
  <c r="N245" i="22" s="1"/>
  <c r="N246" i="22" s="1"/>
  <c r="N247" i="22" s="1"/>
  <c r="L244" i="22"/>
  <c r="L241" i="22"/>
  <c r="L242" i="22" s="1"/>
  <c r="L243" i="22" s="1"/>
  <c r="R243" i="22"/>
  <c r="Q254" i="22" s="1"/>
  <c r="Q243" i="22"/>
  <c r="P244" i="22"/>
  <c r="P254" i="22"/>
  <c r="G271" i="22"/>
  <c r="E271" i="22"/>
  <c r="F271" i="22"/>
  <c r="S254" i="22"/>
  <c r="S244" i="22"/>
  <c r="U243" i="22"/>
  <c r="T254" i="22" s="1"/>
  <c r="T243" i="22"/>
  <c r="L214" i="22"/>
  <c r="L215" i="22" s="1"/>
  <c r="L216" i="22" s="1"/>
  <c r="L217" i="22"/>
  <c r="S227" i="22"/>
  <c r="S217" i="22"/>
  <c r="T216" i="22"/>
  <c r="U216" i="22"/>
  <c r="T227" i="22" s="1"/>
  <c r="V243" i="22"/>
  <c r="V253" i="22"/>
  <c r="W242" i="22"/>
  <c r="X242" i="22"/>
  <c r="W253" i="22" s="1"/>
  <c r="P217" i="22"/>
  <c r="P227" i="22"/>
  <c r="Q216" i="22"/>
  <c r="R216" i="22"/>
  <c r="Q227" i="22" s="1"/>
  <c r="AD243" i="22"/>
  <c r="F244" i="22"/>
  <c r="N221" i="22"/>
  <c r="N214" i="22"/>
  <c r="N215" i="22" s="1"/>
  <c r="N216" i="22" s="1"/>
  <c r="N217" i="22" s="1"/>
  <c r="N218" i="22" s="1"/>
  <c r="N219" i="22" s="1"/>
  <c r="N220" i="22" s="1"/>
  <c r="AD215" i="22"/>
  <c r="H216" i="22"/>
  <c r="V216" i="22"/>
  <c r="V226" i="22"/>
  <c r="W215" i="22"/>
  <c r="X215" i="22"/>
  <c r="W226" i="22" s="1"/>
  <c r="B273" i="22"/>
  <c r="C272" i="22"/>
  <c r="D187" i="22"/>
  <c r="P187" i="22"/>
  <c r="M187" i="22"/>
  <c r="C188" i="22"/>
  <c r="AB187" i="22"/>
  <c r="Y187" i="22"/>
  <c r="G187" i="22"/>
  <c r="C154" i="22"/>
  <c r="AD153" i="22"/>
  <c r="E115" i="35"/>
  <c r="I105" i="35"/>
  <c r="E95" i="35"/>
  <c r="I92" i="35"/>
  <c r="H92" i="35"/>
  <c r="H91" i="35"/>
  <c r="I68" i="35"/>
  <c r="I67" i="35"/>
  <c r="H67" i="35"/>
  <c r="E60" i="35"/>
  <c r="E59" i="35"/>
  <c r="E57" i="35"/>
  <c r="E51" i="35"/>
  <c r="E46" i="35"/>
  <c r="E45" i="35"/>
  <c r="E39" i="35"/>
  <c r="E38" i="35"/>
  <c r="E36" i="35"/>
  <c r="E28" i="35"/>
  <c r="E21" i="35"/>
  <c r="E17" i="35"/>
  <c r="E15" i="35"/>
  <c r="H11" i="35"/>
  <c r="H10" i="35"/>
  <c r="E9" i="35"/>
  <c r="D128" i="34"/>
  <c r="E127" i="34"/>
  <c r="E126" i="34"/>
  <c r="O89" i="34"/>
  <c r="O88" i="34"/>
  <c r="O87" i="34"/>
  <c r="O86" i="34"/>
  <c r="O85" i="34"/>
  <c r="M85" i="34"/>
  <c r="L85" i="34"/>
  <c r="K85" i="34"/>
  <c r="H85" i="34"/>
  <c r="O84" i="34"/>
  <c r="O83" i="34"/>
  <c r="O82" i="34"/>
  <c r="O81" i="34"/>
  <c r="O80" i="34"/>
  <c r="M80" i="34"/>
  <c r="L80" i="34"/>
  <c r="K80" i="34"/>
  <c r="H80" i="34"/>
  <c r="Q11" i="34"/>
  <c r="P22" i="34"/>
  <c r="P21" i="34"/>
  <c r="P20" i="34"/>
  <c r="P19" i="34"/>
  <c r="P16" i="34"/>
  <c r="Q13" i="34"/>
  <c r="Q6" i="34"/>
  <c r="B40" i="33"/>
  <c r="B41" i="33"/>
  <c r="B42" i="33"/>
  <c r="B43" i="33"/>
  <c r="B44" i="33"/>
  <c r="B45" i="33"/>
  <c r="B46" i="33"/>
  <c r="B47" i="33"/>
  <c r="B48" i="33"/>
  <c r="B49" i="33"/>
  <c r="B50" i="33"/>
  <c r="B51" i="33"/>
  <c r="B52" i="33"/>
  <c r="B53" i="33"/>
  <c r="B54" i="33"/>
  <c r="B55" i="33"/>
  <c r="B56" i="33"/>
  <c r="B57" i="33"/>
  <c r="B58" i="33"/>
  <c r="B59" i="33"/>
  <c r="B60" i="33"/>
  <c r="B61" i="33"/>
  <c r="B62" i="33"/>
  <c r="B63" i="33"/>
  <c r="B64" i="33"/>
  <c r="B65" i="33"/>
  <c r="B66" i="33"/>
  <c r="B67" i="33"/>
  <c r="B68" i="33"/>
  <c r="B69" i="33"/>
  <c r="B70" i="33"/>
  <c r="B71" i="33"/>
  <c r="B39" i="33"/>
  <c r="K97" i="33"/>
  <c r="K94" i="33"/>
  <c r="C87" i="33"/>
  <c r="B87" i="33"/>
  <c r="L85" i="33"/>
  <c r="L84" i="33"/>
  <c r="C84" i="33"/>
  <c r="C83" i="33"/>
  <c r="B83" i="33"/>
  <c r="C71" i="33"/>
  <c r="E66" i="33"/>
  <c r="C66" i="33"/>
  <c r="E61" i="33"/>
  <c r="C61" i="33"/>
  <c r="E55" i="33"/>
  <c r="E52" i="33"/>
  <c r="E47" i="33"/>
  <c r="C47" i="33"/>
  <c r="E42" i="33"/>
  <c r="C42" i="33"/>
  <c r="C40" i="33"/>
  <c r="N22" i="33"/>
  <c r="M22" i="33"/>
  <c r="N21" i="33"/>
  <c r="M21" i="33"/>
  <c r="N20" i="33"/>
  <c r="M20" i="33"/>
  <c r="E20" i="33"/>
  <c r="C20" i="33"/>
  <c r="N19" i="33"/>
  <c r="M19" i="33"/>
  <c r="E19" i="33"/>
  <c r="C19" i="33"/>
  <c r="I83" i="5" l="1"/>
  <c r="N271" i="22"/>
  <c r="BR73" i="22" s="1"/>
  <c r="AC218" i="22"/>
  <c r="G219" i="22"/>
  <c r="P255" i="22"/>
  <c r="Q244" i="22"/>
  <c r="P245" i="22"/>
  <c r="R244" i="22"/>
  <c r="Q255" i="22" s="1"/>
  <c r="E247" i="22"/>
  <c r="AC246" i="22"/>
  <c r="AD216" i="22"/>
  <c r="H217" i="22"/>
  <c r="F247" i="22"/>
  <c r="AD244" i="22"/>
  <c r="S228" i="22"/>
  <c r="S218" i="22"/>
  <c r="U217" i="22"/>
  <c r="T228" i="22" s="1"/>
  <c r="T217" i="22"/>
  <c r="S245" i="22"/>
  <c r="S255" i="22"/>
  <c r="T244" i="22"/>
  <c r="U244" i="22"/>
  <c r="T255" i="22" s="1"/>
  <c r="P228" i="22"/>
  <c r="P218" i="22"/>
  <c r="R217" i="22"/>
  <c r="Q228" i="22" s="1"/>
  <c r="Q217" i="22"/>
  <c r="V254" i="22"/>
  <c r="V244" i="22"/>
  <c r="X243" i="22"/>
  <c r="W254" i="22" s="1"/>
  <c r="W243" i="22"/>
  <c r="BC60" i="22"/>
  <c r="BC61" i="22" s="1"/>
  <c r="D272" i="22"/>
  <c r="C273" i="22"/>
  <c r="D273" i="22" s="1"/>
  <c r="B274" i="22"/>
  <c r="V227" i="22"/>
  <c r="V217" i="22"/>
  <c r="W216" i="22"/>
  <c r="X216" i="22"/>
  <c r="W227" i="22" s="1"/>
  <c r="C189" i="22"/>
  <c r="AB188" i="22"/>
  <c r="G188" i="22"/>
  <c r="M188" i="22"/>
  <c r="D188" i="22"/>
  <c r="Y188" i="22"/>
  <c r="P188" i="22"/>
  <c r="C155" i="22"/>
  <c r="AD154" i="22"/>
  <c r="N80" i="34"/>
  <c r="P80" i="34" s="1"/>
  <c r="E84" i="35"/>
  <c r="N85" i="34"/>
  <c r="P85" i="34" s="1"/>
  <c r="E128" i="34"/>
  <c r="D129" i="34"/>
  <c r="D105" i="32"/>
  <c r="D85" i="32"/>
  <c r="D72" i="32"/>
  <c r="D73" i="32" s="1"/>
  <c r="D59" i="32"/>
  <c r="D60" i="32" s="1"/>
  <c r="C9" i="32" s="1"/>
  <c r="E52" i="32"/>
  <c r="D52" i="32"/>
  <c r="E50" i="32"/>
  <c r="D50" i="32"/>
  <c r="E49" i="32"/>
  <c r="D49" i="32"/>
  <c r="E45" i="32"/>
  <c r="D45" i="32"/>
  <c r="D40" i="32"/>
  <c r="E38" i="32"/>
  <c r="E48" i="32" s="1"/>
  <c r="D38" i="32"/>
  <c r="AA37" i="32"/>
  <c r="Z37" i="32"/>
  <c r="Y37" i="32"/>
  <c r="X37" i="32"/>
  <c r="W37" i="32"/>
  <c r="V37" i="32"/>
  <c r="U37" i="32"/>
  <c r="T37" i="32"/>
  <c r="S37" i="32"/>
  <c r="R37" i="32"/>
  <c r="E37" i="32"/>
  <c r="E46" i="32" s="1"/>
  <c r="E51" i="32" s="1"/>
  <c r="D37" i="32"/>
  <c r="F31" i="32"/>
  <c r="F30" i="32"/>
  <c r="F43" i="32" s="1"/>
  <c r="AD22" i="32"/>
  <c r="X21" i="32"/>
  <c r="W21" i="32"/>
  <c r="T20" i="32"/>
  <c r="E18" i="32"/>
  <c r="T16" i="32"/>
  <c r="Y15" i="32"/>
  <c r="T15" i="32"/>
  <c r="AB13" i="32" s="1"/>
  <c r="Z13" i="32" s="1"/>
  <c r="D15" i="32"/>
  <c r="Y14" i="32"/>
  <c r="Y13" i="32"/>
  <c r="Y12" i="32"/>
  <c r="B5" i="32"/>
  <c r="AG37" i="32" l="1"/>
  <c r="AC37" i="32"/>
  <c r="AK37" i="32"/>
  <c r="E17" i="32"/>
  <c r="E19" i="32" s="1"/>
  <c r="AB9" i="32"/>
  <c r="AC9" i="32" s="1"/>
  <c r="D46" i="32"/>
  <c r="D51" i="32" s="1"/>
  <c r="F51" i="32" s="1"/>
  <c r="F49" i="32"/>
  <c r="F50" i="32"/>
  <c r="F37" i="32"/>
  <c r="AB11" i="32"/>
  <c r="AB14" i="32"/>
  <c r="AA14" i="32" s="1"/>
  <c r="I84" i="5"/>
  <c r="AB10" i="32"/>
  <c r="Z10" i="32" s="1"/>
  <c r="E47" i="32"/>
  <c r="D47" i="32"/>
  <c r="U168" i="35"/>
  <c r="U22" i="35"/>
  <c r="U125" i="35"/>
  <c r="AH17" i="22"/>
  <c r="BC7" i="22"/>
  <c r="E32" i="35"/>
  <c r="E50" i="35"/>
  <c r="E48" i="35" s="1"/>
  <c r="E72" i="35"/>
  <c r="T17" i="32"/>
  <c r="Y11" i="32" s="1"/>
  <c r="F38" i="32"/>
  <c r="AB12" i="32"/>
  <c r="AA12" i="32" s="1"/>
  <c r="AA16" i="32" s="1"/>
  <c r="AB17" i="32"/>
  <c r="Z17" i="32" s="1"/>
  <c r="D39" i="32"/>
  <c r="AC219" i="22"/>
  <c r="G220" i="22"/>
  <c r="AC220" i="22" s="1"/>
  <c r="P246" i="22"/>
  <c r="P256" i="22"/>
  <c r="Q245" i="22"/>
  <c r="R245" i="22"/>
  <c r="Q256" i="22" s="1"/>
  <c r="AC247" i="22"/>
  <c r="E248" i="22"/>
  <c r="V218" i="22"/>
  <c r="V228" i="22"/>
  <c r="X217" i="22"/>
  <c r="W228" i="22" s="1"/>
  <c r="W217" i="22"/>
  <c r="H272" i="22"/>
  <c r="E272" i="22"/>
  <c r="F272" i="22"/>
  <c r="G272" i="22"/>
  <c r="V245" i="22"/>
  <c r="V255" i="22"/>
  <c r="W244" i="22"/>
  <c r="X244" i="22"/>
  <c r="W255" i="22" s="1"/>
  <c r="P219" i="22"/>
  <c r="P229" i="22"/>
  <c r="R218" i="22"/>
  <c r="Q229" i="22" s="1"/>
  <c r="Q218" i="22"/>
  <c r="S229" i="22"/>
  <c r="S219" i="22"/>
  <c r="U218" i="22"/>
  <c r="T229" i="22" s="1"/>
  <c r="T218" i="22"/>
  <c r="H218" i="22"/>
  <c r="AD217" i="22"/>
  <c r="S246" i="22"/>
  <c r="S256" i="22"/>
  <c r="T245" i="22"/>
  <c r="U245" i="22"/>
  <c r="T256" i="22" s="1"/>
  <c r="C274" i="22"/>
  <c r="D274" i="22" s="1"/>
  <c r="B275" i="22"/>
  <c r="H273" i="22"/>
  <c r="E273" i="22"/>
  <c r="I273" i="22"/>
  <c r="F273" i="22"/>
  <c r="G273" i="22"/>
  <c r="AD247" i="22"/>
  <c r="F248" i="22"/>
  <c r="P189" i="22"/>
  <c r="AB189" i="22"/>
  <c r="G189" i="22"/>
  <c r="M189" i="22"/>
  <c r="C190" i="22"/>
  <c r="D189" i="22"/>
  <c r="Y189" i="22"/>
  <c r="C156" i="22"/>
  <c r="AD155" i="22"/>
  <c r="E129" i="34"/>
  <c r="D130" i="34"/>
  <c r="AE37" i="32"/>
  <c r="AB19" i="32"/>
  <c r="AB15" i="32"/>
  <c r="AB16" i="32"/>
  <c r="T18" i="32"/>
  <c r="Y19" i="32" s="1"/>
  <c r="AB18" i="32"/>
  <c r="T19" i="32"/>
  <c r="AI37" i="32"/>
  <c r="AA13" i="32"/>
  <c r="AA15" i="32" s="1"/>
  <c r="AD37" i="32"/>
  <c r="AH37" i="32"/>
  <c r="E39" i="32"/>
  <c r="D48" i="32"/>
  <c r="F48" i="32" s="1"/>
  <c r="F52" i="32"/>
  <c r="AB37" i="32"/>
  <c r="AF37" i="32"/>
  <c r="AJ37" i="32"/>
  <c r="D62" i="32"/>
  <c r="D9" i="32" s="1"/>
  <c r="D61" i="32"/>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34" i="31"/>
  <c r="C104" i="31"/>
  <c r="B104" i="31"/>
  <c r="D104" i="31" s="1"/>
  <c r="D103" i="31"/>
  <c r="B103" i="31"/>
  <c r="C96" i="31"/>
  <c r="B96" i="31"/>
  <c r="C93" i="31"/>
  <c r="C92" i="31"/>
  <c r="B92" i="31"/>
  <c r="C66" i="31"/>
  <c r="E61" i="31"/>
  <c r="L61" i="31" s="1"/>
  <c r="C61" i="31"/>
  <c r="E56" i="31"/>
  <c r="L56" i="31" s="1"/>
  <c r="C56" i="31"/>
  <c r="E50" i="31"/>
  <c r="L50" i="31" s="1"/>
  <c r="E47" i="31"/>
  <c r="L47" i="31" s="1"/>
  <c r="E42" i="31"/>
  <c r="L42" i="31" s="1"/>
  <c r="C42" i="31"/>
  <c r="C37" i="31"/>
  <c r="C35" i="31"/>
  <c r="D19" i="31"/>
  <c r="D18" i="31"/>
  <c r="L12" i="31"/>
  <c r="G5" i="31"/>
  <c r="AO15" i="30"/>
  <c r="AO16" i="30"/>
  <c r="AO17" i="30"/>
  <c r="AO18" i="30"/>
  <c r="AO19" i="30"/>
  <c r="AO20" i="30"/>
  <c r="AO21" i="30"/>
  <c r="AO22" i="30"/>
  <c r="AO23" i="30"/>
  <c r="AO24" i="30"/>
  <c r="AO25" i="30"/>
  <c r="AO26" i="30"/>
  <c r="AO27" i="30"/>
  <c r="AO28" i="30"/>
  <c r="AO29" i="30"/>
  <c r="AO30" i="30"/>
  <c r="AO31" i="30"/>
  <c r="AO32" i="30"/>
  <c r="AO33" i="30"/>
  <c r="AO34" i="30"/>
  <c r="AO35" i="30"/>
  <c r="AO36" i="30"/>
  <c r="AO37" i="30"/>
  <c r="AO38" i="30"/>
  <c r="AO39" i="30"/>
  <c r="AO40" i="30"/>
  <c r="AO41" i="30"/>
  <c r="AO42" i="30"/>
  <c r="AO43" i="30"/>
  <c r="AO44" i="30"/>
  <c r="AO45" i="30"/>
  <c r="AO46" i="30"/>
  <c r="AO14" i="30"/>
  <c r="Y9" i="32" l="1"/>
  <c r="Z9" i="32"/>
  <c r="AA9" i="32"/>
  <c r="AA19" i="32" s="1"/>
  <c r="Z14" i="32"/>
  <c r="AD14" i="32" s="1"/>
  <c r="AD9" i="32"/>
  <c r="AD13" i="32"/>
  <c r="AG13" i="32" s="1"/>
  <c r="AH13" i="32" s="1"/>
  <c r="AI13" i="32" s="1"/>
  <c r="Y10" i="32"/>
  <c r="Y18" i="32"/>
  <c r="D106" i="32"/>
  <c r="F47" i="32"/>
  <c r="D8" i="32" s="1"/>
  <c r="AA11" i="32"/>
  <c r="AA17" i="32" s="1"/>
  <c r="AD17" i="32" s="1"/>
  <c r="Z11" i="32"/>
  <c r="AD11" i="32" s="1"/>
  <c r="AF9" i="32"/>
  <c r="AG9" i="32"/>
  <c r="AH9" i="32" s="1"/>
  <c r="AI9" i="32" s="1"/>
  <c r="AF14" i="32"/>
  <c r="AG14" i="32"/>
  <c r="AH14" i="32" s="1"/>
  <c r="AI14" i="32" s="1"/>
  <c r="I85" i="5"/>
  <c r="B182" i="22"/>
  <c r="AL33" i="22"/>
  <c r="AL26" i="22"/>
  <c r="B184" i="22"/>
  <c r="AL29" i="22"/>
  <c r="B183" i="22"/>
  <c r="B185" i="22"/>
  <c r="B186" i="22"/>
  <c r="B187" i="22"/>
  <c r="B188" i="22"/>
  <c r="E73" i="35"/>
  <c r="E31" i="35"/>
  <c r="B189" i="22"/>
  <c r="Z12" i="32"/>
  <c r="AD12" i="32" s="1"/>
  <c r="U75" i="35"/>
  <c r="W59" i="35"/>
  <c r="U76" i="35"/>
  <c r="Y16" i="32"/>
  <c r="Y17" i="32"/>
  <c r="BJ15" i="22"/>
  <c r="BC64" i="22"/>
  <c r="BJ12" i="22" s="1"/>
  <c r="BC33" i="22"/>
  <c r="BI12" i="22" s="1"/>
  <c r="F39" i="32"/>
  <c r="C8" i="32" s="1"/>
  <c r="AA10" i="32"/>
  <c r="AA18" i="32" s="1"/>
  <c r="N272" i="22"/>
  <c r="BS73" i="22" s="1"/>
  <c r="N273" i="22"/>
  <c r="BT73" i="22" s="1"/>
  <c r="E249" i="22"/>
  <c r="AC248" i="22"/>
  <c r="Q246" i="22"/>
  <c r="P247" i="22"/>
  <c r="P257" i="22"/>
  <c r="R246" i="22"/>
  <c r="Q257" i="22" s="1"/>
  <c r="G274" i="22"/>
  <c r="H274" i="22"/>
  <c r="E274" i="22"/>
  <c r="I274" i="22"/>
  <c r="F274" i="22"/>
  <c r="J274" i="22"/>
  <c r="S257" i="22"/>
  <c r="S247" i="22"/>
  <c r="T246" i="22"/>
  <c r="U246" i="22"/>
  <c r="T257" i="22" s="1"/>
  <c r="S220" i="22"/>
  <c r="S230" i="22"/>
  <c r="T219" i="22"/>
  <c r="U219" i="22"/>
  <c r="T230" i="22" s="1"/>
  <c r="AD218" i="22"/>
  <c r="H219" i="22"/>
  <c r="AD219" i="22" s="1"/>
  <c r="P220" i="22"/>
  <c r="P230" i="22"/>
  <c r="Q219" i="22"/>
  <c r="R219" i="22"/>
  <c r="Q230" i="22" s="1"/>
  <c r="V246" i="22"/>
  <c r="V256" i="22"/>
  <c r="X245" i="22"/>
  <c r="W256" i="22" s="1"/>
  <c r="W245" i="22"/>
  <c r="F249" i="22"/>
  <c r="AD248" i="22"/>
  <c r="B276" i="22"/>
  <c r="C275" i="22"/>
  <c r="D275" i="22" s="1"/>
  <c r="V219" i="22"/>
  <c r="V229" i="22"/>
  <c r="X218" i="22"/>
  <c r="W229" i="22" s="1"/>
  <c r="W218" i="22"/>
  <c r="M190" i="22"/>
  <c r="G190" i="22"/>
  <c r="B190" i="22"/>
  <c r="C191" i="22"/>
  <c r="Y190" i="22"/>
  <c r="P190" i="22"/>
  <c r="AB190" i="22"/>
  <c r="AD156" i="22"/>
  <c r="C157" i="22"/>
  <c r="E130" i="34"/>
  <c r="D131" i="34"/>
  <c r="Z18" i="32"/>
  <c r="AD18" i="32" s="1"/>
  <c r="Z16" i="32"/>
  <c r="AD16" i="32" s="1"/>
  <c r="Z19" i="32"/>
  <c r="AD19" i="32" s="1"/>
  <c r="Z15" i="32"/>
  <c r="AD15" i="32" s="1"/>
  <c r="H231" i="30"/>
  <c r="I121" i="30"/>
  <c r="I122" i="30" s="1"/>
  <c r="I123" i="30" s="1"/>
  <c r="I124" i="30" s="1"/>
  <c r="I125" i="30" s="1"/>
  <c r="I126" i="30" s="1"/>
  <c r="I127" i="30" s="1"/>
  <c r="I128" i="30" s="1"/>
  <c r="I129" i="30" s="1"/>
  <c r="I130" i="30" s="1"/>
  <c r="I131" i="30" s="1"/>
  <c r="I132" i="30" s="1"/>
  <c r="I133" i="30" s="1"/>
  <c r="I134" i="30" s="1"/>
  <c r="I135" i="30" s="1"/>
  <c r="I136" i="30" s="1"/>
  <c r="I137" i="30" s="1"/>
  <c r="I138" i="30" s="1"/>
  <c r="I139" i="30" s="1"/>
  <c r="I140" i="30" s="1"/>
  <c r="I141" i="30" s="1"/>
  <c r="I142" i="30" s="1"/>
  <c r="I143" i="30" s="1"/>
  <c r="I144" i="30" s="1"/>
  <c r="I145" i="30" s="1"/>
  <c r="I146" i="30" s="1"/>
  <c r="I147" i="30" s="1"/>
  <c r="I148" i="30" s="1"/>
  <c r="I149" i="30" s="1"/>
  <c r="I150" i="30" s="1"/>
  <c r="I87" i="30"/>
  <c r="U74" i="30"/>
  <c r="U77" i="30" s="1"/>
  <c r="T74" i="30"/>
  <c r="T77" i="30" s="1"/>
  <c r="T78" i="30" s="1"/>
  <c r="T79" i="30" s="1"/>
  <c r="S74" i="30"/>
  <c r="S77" i="30" s="1"/>
  <c r="S78" i="30" s="1"/>
  <c r="S79" i="30" s="1"/>
  <c r="R74" i="30"/>
  <c r="Q74" i="30"/>
  <c r="Q75" i="30" s="1"/>
  <c r="P74" i="30"/>
  <c r="P77" i="30" s="1"/>
  <c r="P78" i="30" s="1"/>
  <c r="P79" i="30" s="1"/>
  <c r="O74" i="30"/>
  <c r="O77" i="30" s="1"/>
  <c r="N74" i="30"/>
  <c r="N77" i="30" s="1"/>
  <c r="M74" i="30"/>
  <c r="M77" i="30" s="1"/>
  <c r="L74" i="30"/>
  <c r="K74" i="30"/>
  <c r="K75" i="30" s="1"/>
  <c r="J74" i="30"/>
  <c r="J75" i="30" s="1"/>
  <c r="T23" i="30"/>
  <c r="S23" i="30"/>
  <c r="R23" i="30"/>
  <c r="Q23" i="30"/>
  <c r="P23" i="30"/>
  <c r="O23" i="30"/>
  <c r="E37" i="30"/>
  <c r="E36" i="30"/>
  <c r="AT15" i="30"/>
  <c r="E35" i="30"/>
  <c r="E34" i="30"/>
  <c r="E31" i="30"/>
  <c r="E30" i="30"/>
  <c r="T12" i="30"/>
  <c r="S12" i="30"/>
  <c r="Q12" i="30"/>
  <c r="P12" i="30"/>
  <c r="O12" i="30"/>
  <c r="N12" i="30"/>
  <c r="M12" i="30"/>
  <c r="L12" i="30"/>
  <c r="E29" i="30"/>
  <c r="D29" i="30"/>
  <c r="E28" i="30"/>
  <c r="D28" i="30"/>
  <c r="E27" i="30"/>
  <c r="D27" i="30"/>
  <c r="B22" i="30"/>
  <c r="O78" i="30" l="1"/>
  <c r="O79" i="30" s="1"/>
  <c r="AJ9" i="32"/>
  <c r="AJ14" i="32"/>
  <c r="AE14" i="32"/>
  <c r="AE9" i="32"/>
  <c r="AE13" i="32"/>
  <c r="AF13" i="32"/>
  <c r="AJ13" i="32" s="1"/>
  <c r="AF17" i="32"/>
  <c r="AG17" i="32"/>
  <c r="AH17" i="32" s="1"/>
  <c r="AI17" i="32" s="1"/>
  <c r="AE17" i="32"/>
  <c r="J77" i="30"/>
  <c r="AD10" i="32"/>
  <c r="D65" i="32"/>
  <c r="AE11" i="32"/>
  <c r="AG11" i="32"/>
  <c r="AH11" i="32" s="1"/>
  <c r="AI11" i="32" s="1"/>
  <c r="AF11" i="32"/>
  <c r="AE19" i="32"/>
  <c r="AG19" i="32"/>
  <c r="AH19" i="32" s="1"/>
  <c r="AI19" i="32" s="1"/>
  <c r="AF19" i="32"/>
  <c r="AE16" i="32"/>
  <c r="AF16" i="32"/>
  <c r="AG16" i="32"/>
  <c r="AH16" i="32" s="1"/>
  <c r="AI16" i="32" s="1"/>
  <c r="AE12" i="32"/>
  <c r="AF12" i="32"/>
  <c r="AG12" i="32"/>
  <c r="AE18" i="32"/>
  <c r="AG18" i="32"/>
  <c r="AH18" i="32" s="1"/>
  <c r="AI18" i="32" s="1"/>
  <c r="AF18" i="32"/>
  <c r="AK9" i="32"/>
  <c r="AE15" i="32"/>
  <c r="AF15" i="32"/>
  <c r="AG15" i="32"/>
  <c r="AH15" i="32" s="1"/>
  <c r="AI15" i="32" s="1"/>
  <c r="AK14" i="32"/>
  <c r="AL14" i="32" s="1"/>
  <c r="I86" i="5"/>
  <c r="V75" i="35"/>
  <c r="J76" i="30"/>
  <c r="K77" i="30"/>
  <c r="K76" i="30"/>
  <c r="N75" i="30"/>
  <c r="N76" i="30" s="1"/>
  <c r="U118" i="35"/>
  <c r="V76" i="35"/>
  <c r="Q14" i="34"/>
  <c r="Q15" i="34" s="1"/>
  <c r="Q16" i="34" s="1"/>
  <c r="P75" i="30"/>
  <c r="P80" i="30" s="1"/>
  <c r="N274" i="22"/>
  <c r="BU73" i="22" s="1"/>
  <c r="AC249" i="22"/>
  <c r="E250" i="22"/>
  <c r="Q247" i="22"/>
  <c r="R247" i="22"/>
  <c r="Q258" i="22" s="1"/>
  <c r="P248" i="22"/>
  <c r="P258" i="22"/>
  <c r="B277" i="22"/>
  <c r="C277" i="22" s="1"/>
  <c r="D277" i="22" s="1"/>
  <c r="C276" i="22"/>
  <c r="D276" i="22" s="1"/>
  <c r="S231" i="22"/>
  <c r="S221" i="22"/>
  <c r="T220" i="22"/>
  <c r="U220" i="22"/>
  <c r="T231" i="22" s="1"/>
  <c r="V230" i="22"/>
  <c r="V220" i="22"/>
  <c r="W219" i="22"/>
  <c r="X219" i="22"/>
  <c r="W230" i="22" s="1"/>
  <c r="AD249" i="22"/>
  <c r="F250" i="22"/>
  <c r="AD250" i="22" s="1"/>
  <c r="V247" i="22"/>
  <c r="V257" i="22"/>
  <c r="X246" i="22"/>
  <c r="W257" i="22" s="1"/>
  <c r="W246" i="22"/>
  <c r="P221" i="22"/>
  <c r="P231" i="22"/>
  <c r="R220" i="22"/>
  <c r="Q231" i="22" s="1"/>
  <c r="Q220" i="22"/>
  <c r="E275" i="22"/>
  <c r="I275" i="22"/>
  <c r="F275" i="22"/>
  <c r="J275" i="22"/>
  <c r="G275" i="22"/>
  <c r="K275" i="22"/>
  <c r="H275" i="22"/>
  <c r="S258" i="22"/>
  <c r="S248" i="22"/>
  <c r="U247" i="22"/>
  <c r="T258" i="22" s="1"/>
  <c r="T247" i="22"/>
  <c r="Y191" i="22"/>
  <c r="P191" i="22"/>
  <c r="B191" i="22"/>
  <c r="AB191" i="22"/>
  <c r="M191" i="22"/>
  <c r="C192" i="22"/>
  <c r="G191" i="22"/>
  <c r="AD157" i="22"/>
  <c r="C158" i="22"/>
  <c r="E131" i="34"/>
  <c r="D132" i="34"/>
  <c r="AT16" i="30"/>
  <c r="L15" i="31"/>
  <c r="T75" i="30"/>
  <c r="T76" i="30" s="1"/>
  <c r="Q77" i="30"/>
  <c r="Q78" i="30" s="1"/>
  <c r="Q79" i="30" s="1"/>
  <c r="E33" i="30" s="1"/>
  <c r="L77" i="30"/>
  <c r="L75" i="30"/>
  <c r="R77" i="30"/>
  <c r="R78" i="30" s="1"/>
  <c r="R79" i="30" s="1"/>
  <c r="R75" i="30"/>
  <c r="S75" i="30"/>
  <c r="I88" i="30"/>
  <c r="Q76" i="30"/>
  <c r="M75" i="30"/>
  <c r="O75" i="30"/>
  <c r="U75" i="30"/>
  <c r="AJ19" i="32" l="1"/>
  <c r="AJ11" i="32"/>
  <c r="AJ16" i="32"/>
  <c r="AJ18" i="32"/>
  <c r="AM14" i="32"/>
  <c r="Q22" i="34"/>
  <c r="Q21" i="34"/>
  <c r="Q20" i="34"/>
  <c r="AK17" i="32"/>
  <c r="AL17" i="32" s="1"/>
  <c r="AC14" i="32"/>
  <c r="AJ15" i="32"/>
  <c r="AJ17" i="32"/>
  <c r="AK13" i="32"/>
  <c r="AL13" i="32" s="1"/>
  <c r="Q18" i="34"/>
  <c r="Q17" i="34"/>
  <c r="T28" i="30"/>
  <c r="T29" i="30" s="1"/>
  <c r="Q29" i="30"/>
  <c r="AM13" i="32"/>
  <c r="AE10" i="32"/>
  <c r="AG10" i="32"/>
  <c r="AH10" i="32" s="1"/>
  <c r="AI10" i="32" s="1"/>
  <c r="AF10" i="32"/>
  <c r="AC13" i="32"/>
  <c r="AK11" i="32"/>
  <c r="AL11" i="32" s="1"/>
  <c r="AK15" i="32"/>
  <c r="AL15" i="32" s="1"/>
  <c r="AM15" i="32"/>
  <c r="AC15" i="32"/>
  <c r="AK18" i="32"/>
  <c r="AL18" i="32" s="1"/>
  <c r="AM18" i="32"/>
  <c r="AC18" i="32"/>
  <c r="AK12" i="32"/>
  <c r="AL12" i="32" s="1"/>
  <c r="AH12" i="32"/>
  <c r="AI12" i="32" s="1"/>
  <c r="AK19" i="32"/>
  <c r="AL19" i="32" s="1"/>
  <c r="AC19" i="32"/>
  <c r="AM19" i="32"/>
  <c r="AJ12" i="32"/>
  <c r="AC12" i="32"/>
  <c r="AM12" i="32"/>
  <c r="AK16" i="32"/>
  <c r="AL16" i="32" s="1"/>
  <c r="AM16" i="32"/>
  <c r="AC16" i="32"/>
  <c r="AC17" i="32"/>
  <c r="AM17" i="32"/>
  <c r="T81" i="30"/>
  <c r="I87" i="5"/>
  <c r="U141" i="35"/>
  <c r="T80" i="30"/>
  <c r="E32" i="30"/>
  <c r="P76" i="30"/>
  <c r="P28" i="30" s="1"/>
  <c r="P29" i="30" s="1"/>
  <c r="M76" i="30"/>
  <c r="Q80" i="30"/>
  <c r="N275" i="22"/>
  <c r="BV73" i="22" s="1"/>
  <c r="E251" i="22"/>
  <c r="AC251" i="22" s="1"/>
  <c r="AC250" i="22"/>
  <c r="Q248" i="22"/>
  <c r="P249" i="22"/>
  <c r="P259" i="22"/>
  <c r="R248" i="22"/>
  <c r="Q259" i="22" s="1"/>
  <c r="S249" i="22"/>
  <c r="S259" i="22"/>
  <c r="T248" i="22"/>
  <c r="U248" i="22"/>
  <c r="T259" i="22" s="1"/>
  <c r="F276" i="22"/>
  <c r="J276" i="22"/>
  <c r="G276" i="22"/>
  <c r="K276" i="22"/>
  <c r="H276" i="22"/>
  <c r="L276" i="22"/>
  <c r="E276" i="22"/>
  <c r="I276" i="22"/>
  <c r="P232" i="22"/>
  <c r="P222" i="22"/>
  <c r="Q221" i="22"/>
  <c r="R221" i="22"/>
  <c r="Q232" i="22" s="1"/>
  <c r="V248" i="22"/>
  <c r="V258" i="22"/>
  <c r="X247" i="22"/>
  <c r="W258" i="22" s="1"/>
  <c r="W247" i="22"/>
  <c r="F277" i="22"/>
  <c r="J277" i="22"/>
  <c r="G277" i="22"/>
  <c r="K277" i="22"/>
  <c r="H277" i="22"/>
  <c r="L277" i="22"/>
  <c r="E277" i="22"/>
  <c r="I277" i="22"/>
  <c r="M277" i="22"/>
  <c r="V221" i="22"/>
  <c r="V231" i="22"/>
  <c r="W220" i="22"/>
  <c r="X220" i="22"/>
  <c r="W231" i="22" s="1"/>
  <c r="S232" i="22"/>
  <c r="S222" i="22"/>
  <c r="T221" i="22"/>
  <c r="U221" i="22"/>
  <c r="T232" i="22" s="1"/>
  <c r="AB192" i="22"/>
  <c r="P192" i="22"/>
  <c r="M192" i="22"/>
  <c r="C193" i="22"/>
  <c r="Y192" i="22"/>
  <c r="G192" i="22"/>
  <c r="B192" i="22"/>
  <c r="AD158" i="22"/>
  <c r="C159" i="22"/>
  <c r="L17" i="31"/>
  <c r="E14" i="35"/>
  <c r="E16" i="35" s="1"/>
  <c r="E132" i="34"/>
  <c r="D133" i="34"/>
  <c r="L16" i="31"/>
  <c r="O80" i="30"/>
  <c r="O76" i="30"/>
  <c r="O28" i="30" s="1"/>
  <c r="O29" i="30" s="1"/>
  <c r="I89" i="30"/>
  <c r="U76" i="30"/>
  <c r="R76" i="30"/>
  <c r="R28" i="30" s="1"/>
  <c r="R29" i="30" s="1"/>
  <c r="R80" i="30"/>
  <c r="J230" i="30" s="1"/>
  <c r="J231" i="30" s="1"/>
  <c r="S76" i="30"/>
  <c r="S28" i="30" s="1"/>
  <c r="S29" i="30" s="1"/>
  <c r="S80" i="30"/>
  <c r="Q81" i="30"/>
  <c r="L76" i="30"/>
  <c r="D76" i="32" l="1"/>
  <c r="Q13" i="30"/>
  <c r="E78" i="35"/>
  <c r="AM11" i="32"/>
  <c r="AC11" i="32"/>
  <c r="AJ10" i="32"/>
  <c r="R83" i="34"/>
  <c r="R91" i="34"/>
  <c r="R99" i="34"/>
  <c r="R107" i="34"/>
  <c r="R84" i="34"/>
  <c r="R92" i="34"/>
  <c r="R100" i="34"/>
  <c r="R108" i="34"/>
  <c r="R85" i="34"/>
  <c r="R93" i="34"/>
  <c r="R101" i="34"/>
  <c r="R109" i="34"/>
  <c r="R86" i="34"/>
  <c r="R94" i="34"/>
  <c r="R102" i="34"/>
  <c r="R78" i="34"/>
  <c r="R79" i="34"/>
  <c r="R87" i="34"/>
  <c r="R95" i="34"/>
  <c r="R103" i="34"/>
  <c r="R80" i="34"/>
  <c r="R88" i="34"/>
  <c r="R96" i="34"/>
  <c r="R104" i="34"/>
  <c r="R81" i="34"/>
  <c r="R89" i="34"/>
  <c r="R97" i="34"/>
  <c r="R105" i="34"/>
  <c r="R82" i="34"/>
  <c r="R90" i="34"/>
  <c r="R98" i="34"/>
  <c r="R106" i="34"/>
  <c r="E67" i="35"/>
  <c r="AC10" i="32"/>
  <c r="AK10" i="32"/>
  <c r="AL10" i="32" s="1"/>
  <c r="T21" i="32" s="1"/>
  <c r="AM10" i="32"/>
  <c r="R81" i="30"/>
  <c r="P81" i="30"/>
  <c r="N23" i="33"/>
  <c r="E66" i="35"/>
  <c r="BB14" i="22"/>
  <c r="N276" i="22"/>
  <c r="BW73" i="22" s="1"/>
  <c r="N277" i="22"/>
  <c r="BX73" i="22" s="1"/>
  <c r="P250" i="22"/>
  <c r="P261" i="22" s="1"/>
  <c r="P260" i="22"/>
  <c r="R249" i="22"/>
  <c r="Q260" i="22" s="1"/>
  <c r="Q249" i="22"/>
  <c r="V249" i="22"/>
  <c r="V259" i="22"/>
  <c r="W248" i="22"/>
  <c r="X248" i="22"/>
  <c r="W259" i="22" s="1"/>
  <c r="V222" i="22"/>
  <c r="V232" i="22"/>
  <c r="W221" i="22"/>
  <c r="X221" i="22"/>
  <c r="W232" i="22" s="1"/>
  <c r="P223" i="22"/>
  <c r="P234" i="22" s="1"/>
  <c r="P233" i="22"/>
  <c r="Q222" i="22"/>
  <c r="R222" i="22"/>
  <c r="Q233" i="22" s="1"/>
  <c r="S233" i="22"/>
  <c r="S223" i="22"/>
  <c r="S234" i="22" s="1"/>
  <c r="U222" i="22"/>
  <c r="T233" i="22" s="1"/>
  <c r="T222" i="22"/>
  <c r="S250" i="22"/>
  <c r="S261" i="22" s="1"/>
  <c r="S260" i="22"/>
  <c r="T249" i="22"/>
  <c r="U249" i="22"/>
  <c r="T260" i="22" s="1"/>
  <c r="P193" i="22"/>
  <c r="C194" i="22"/>
  <c r="G193" i="22"/>
  <c r="AB193" i="22"/>
  <c r="Y193" i="22"/>
  <c r="M193" i="22"/>
  <c r="B193" i="22"/>
  <c r="AD159" i="22"/>
  <c r="C160" i="22"/>
  <c r="L18" i="31"/>
  <c r="BB13" i="22" s="1"/>
  <c r="E133" i="34"/>
  <c r="D134" i="34"/>
  <c r="C90" i="31"/>
  <c r="C95" i="31" s="1"/>
  <c r="F87" i="31"/>
  <c r="C89" i="31"/>
  <c r="C94" i="31" s="1"/>
  <c r="S81" i="30"/>
  <c r="O81" i="30"/>
  <c r="I90" i="30"/>
  <c r="U10" i="35" l="1"/>
  <c r="U14" i="35" s="1"/>
  <c r="AU46" i="30"/>
  <c r="AU15" i="30"/>
  <c r="AU16" i="30"/>
  <c r="AU45" i="30"/>
  <c r="AU41" i="30"/>
  <c r="AU38" i="30"/>
  <c r="AU34" i="30"/>
  <c r="AU30" i="30"/>
  <c r="AU26" i="30"/>
  <c r="AU22" i="30"/>
  <c r="P13" i="30"/>
  <c r="L13" i="30"/>
  <c r="AU43" i="30"/>
  <c r="AU36" i="30"/>
  <c r="AU32" i="30"/>
  <c r="AU24" i="30"/>
  <c r="T13" i="30"/>
  <c r="N13" i="30"/>
  <c r="AU31" i="30"/>
  <c r="S13" i="30"/>
  <c r="AU44" i="30"/>
  <c r="AU40" i="30"/>
  <c r="AU37" i="30"/>
  <c r="AU33" i="30"/>
  <c r="AU29" i="30"/>
  <c r="AU25" i="30"/>
  <c r="AU21" i="30"/>
  <c r="O13" i="30"/>
  <c r="AU28" i="30"/>
  <c r="AU20" i="30"/>
  <c r="AU18" i="30"/>
  <c r="AU19" i="30"/>
  <c r="AU42" i="30"/>
  <c r="AU39" i="30"/>
  <c r="AU35" i="30"/>
  <c r="AU27" i="30"/>
  <c r="AU23" i="30"/>
  <c r="AU17" i="30"/>
  <c r="M13" i="30"/>
  <c r="T22" i="32"/>
  <c r="D18" i="32" s="1"/>
  <c r="E76" i="35"/>
  <c r="AH19" i="22"/>
  <c r="U204" i="35"/>
  <c r="E56" i="35"/>
  <c r="E77" i="35" s="1"/>
  <c r="N24" i="33"/>
  <c r="N25" i="33"/>
  <c r="E47" i="35" s="1"/>
  <c r="BB15" i="22"/>
  <c r="BB33" i="22" s="1"/>
  <c r="BG12" i="22" s="1"/>
  <c r="BB30" i="22"/>
  <c r="F282" i="22"/>
  <c r="AA240" i="22"/>
  <c r="AA241" i="22" s="1"/>
  <c r="F281" i="22"/>
  <c r="BH14" i="22"/>
  <c r="BB31" i="22"/>
  <c r="BB64" i="22"/>
  <c r="BH12" i="22" s="1"/>
  <c r="V223" i="22"/>
  <c r="V234" i="22" s="1"/>
  <c r="V233" i="22"/>
  <c r="X222" i="22"/>
  <c r="W233" i="22" s="1"/>
  <c r="W222" i="22"/>
  <c r="V250" i="22"/>
  <c r="V261" i="22" s="1"/>
  <c r="V260" i="22"/>
  <c r="X249" i="22"/>
  <c r="W260" i="22" s="1"/>
  <c r="W249" i="22"/>
  <c r="P194" i="22"/>
  <c r="B194" i="22"/>
  <c r="AB194" i="22"/>
  <c r="C195" i="22"/>
  <c r="Y194" i="22"/>
  <c r="G194" i="22"/>
  <c r="AU160" i="22"/>
  <c r="C161" i="22"/>
  <c r="AD160" i="22"/>
  <c r="E134" i="34"/>
  <c r="D135" i="34"/>
  <c r="D104" i="32"/>
  <c r="D74" i="32"/>
  <c r="B88" i="31"/>
  <c r="B93" i="31" s="1"/>
  <c r="L20" i="31"/>
  <c r="L19" i="31"/>
  <c r="D75" i="32" s="1"/>
  <c r="E17" i="31"/>
  <c r="E20" i="31"/>
  <c r="B89" i="31" s="1"/>
  <c r="B94" i="31" s="1"/>
  <c r="E16" i="31"/>
  <c r="B90" i="31" s="1"/>
  <c r="B95" i="31" s="1"/>
  <c r="E19" i="31"/>
  <c r="M37" i="31" s="1"/>
  <c r="E18" i="31"/>
  <c r="F92" i="31"/>
  <c r="F93" i="31" s="1"/>
  <c r="F88" i="31"/>
  <c r="I91" i="30"/>
  <c r="AV35" i="30" l="1"/>
  <c r="Q55" i="31"/>
  <c r="W55" i="31"/>
  <c r="Q38" i="31"/>
  <c r="W38" i="31"/>
  <c r="AV18" i="30"/>
  <c r="Q41" i="31"/>
  <c r="AV21" i="30"/>
  <c r="W41" i="31"/>
  <c r="Q57" i="31"/>
  <c r="W57" i="31"/>
  <c r="AV37" i="30"/>
  <c r="AV31" i="30"/>
  <c r="W51" i="31"/>
  <c r="Q51" i="31"/>
  <c r="W52" i="31"/>
  <c r="Q52" i="31"/>
  <c r="AV32" i="30"/>
  <c r="AV34" i="30"/>
  <c r="Q54" i="31"/>
  <c r="W54" i="31"/>
  <c r="AV16" i="30"/>
  <c r="Q36" i="31"/>
  <c r="W36" i="31"/>
  <c r="W37" i="31"/>
  <c r="Q37" i="31"/>
  <c r="AV17" i="30"/>
  <c r="W40" i="31"/>
  <c r="Q40" i="31"/>
  <c r="AV20" i="30"/>
  <c r="W60" i="31"/>
  <c r="AV40" i="30"/>
  <c r="Q60" i="31"/>
  <c r="W56" i="31"/>
  <c r="Q56" i="31"/>
  <c r="AV36" i="30"/>
  <c r="AV15" i="30"/>
  <c r="Q35" i="31"/>
  <c r="W35" i="31"/>
  <c r="W43" i="31"/>
  <c r="Q43" i="31"/>
  <c r="AV23" i="30"/>
  <c r="AV42" i="30"/>
  <c r="W62" i="31"/>
  <c r="Q62" i="31"/>
  <c r="Q48" i="31"/>
  <c r="W48" i="31"/>
  <c r="AV28" i="30"/>
  <c r="AV29" i="30"/>
  <c r="W49" i="31"/>
  <c r="Q49" i="31"/>
  <c r="AV44" i="30"/>
  <c r="W64" i="31"/>
  <c r="Q64" i="31"/>
  <c r="AV43" i="30"/>
  <c r="W63" i="31"/>
  <c r="Q63" i="31"/>
  <c r="AV26" i="30"/>
  <c r="Q46" i="31"/>
  <c r="W46" i="31"/>
  <c r="AV41" i="30"/>
  <c r="W61" i="31"/>
  <c r="Q61" i="31"/>
  <c r="AV46" i="30"/>
  <c r="Q66" i="31"/>
  <c r="W66" i="31"/>
  <c r="AV39" i="30"/>
  <c r="W59" i="31"/>
  <c r="Q59" i="31"/>
  <c r="AV25" i="30"/>
  <c r="W45" i="31"/>
  <c r="Q45" i="31"/>
  <c r="AV22" i="30"/>
  <c r="Q42" i="31"/>
  <c r="W42" i="31"/>
  <c r="Q58" i="31"/>
  <c r="W58" i="31"/>
  <c r="AV38" i="30"/>
  <c r="W47" i="31"/>
  <c r="Q47" i="31"/>
  <c r="AV27" i="30"/>
  <c r="Q39" i="31"/>
  <c r="AV19" i="30"/>
  <c r="W39" i="31"/>
  <c r="W53" i="31"/>
  <c r="AV33" i="30"/>
  <c r="Q53" i="31"/>
  <c r="AV24" i="30"/>
  <c r="Q44" i="31"/>
  <c r="W44" i="31"/>
  <c r="W50" i="31"/>
  <c r="Q50" i="31"/>
  <c r="AV30" i="30"/>
  <c r="AV45" i="30"/>
  <c r="W65" i="31"/>
  <c r="Q65" i="31"/>
  <c r="E79" i="35"/>
  <c r="E81" i="35" s="1"/>
  <c r="J78" i="35" s="1"/>
  <c r="U163" i="35"/>
  <c r="F53" i="34"/>
  <c r="F44" i="34" s="1"/>
  <c r="E55" i="35"/>
  <c r="S78" i="33"/>
  <c r="S79" i="33" s="1"/>
  <c r="I81" i="33"/>
  <c r="O80" i="33"/>
  <c r="N26" i="33"/>
  <c r="N27" i="33" s="1"/>
  <c r="L78" i="33"/>
  <c r="L79" i="33" s="1"/>
  <c r="BB32" i="22"/>
  <c r="I80" i="33"/>
  <c r="K98" i="33" s="1"/>
  <c r="O81" i="33"/>
  <c r="E20" i="35"/>
  <c r="E83" i="35" s="1"/>
  <c r="U13" i="35"/>
  <c r="U117" i="35" s="1"/>
  <c r="AB195" i="22"/>
  <c r="M195" i="22"/>
  <c r="C196" i="22"/>
  <c r="G195" i="22"/>
  <c r="Y195" i="22"/>
  <c r="P195" i="22"/>
  <c r="B195" i="22"/>
  <c r="AD161" i="22"/>
  <c r="C162" i="22"/>
  <c r="AU161" i="22"/>
  <c r="E135" i="34"/>
  <c r="D136" i="34"/>
  <c r="H95" i="33"/>
  <c r="G95" i="33"/>
  <c r="M23" i="33"/>
  <c r="D79" i="32"/>
  <c r="D82" i="32" s="1"/>
  <c r="D107" i="32"/>
  <c r="D12" i="32" s="1"/>
  <c r="C12" i="32"/>
  <c r="E87" i="31"/>
  <c r="E92" i="31" s="1"/>
  <c r="E88" i="31"/>
  <c r="E93" i="31" s="1"/>
  <c r="M56" i="31"/>
  <c r="J37" i="31"/>
  <c r="J56" i="31"/>
  <c r="J50" i="31"/>
  <c r="J61" i="31"/>
  <c r="J47" i="31"/>
  <c r="M42" i="31"/>
  <c r="M61" i="31"/>
  <c r="M50" i="31"/>
  <c r="J42" i="31"/>
  <c r="M47" i="31"/>
  <c r="N47" i="31" s="1"/>
  <c r="I92" i="30"/>
  <c r="W69" i="31" l="1"/>
  <c r="W70" i="31"/>
  <c r="W68" i="31"/>
  <c r="Q70" i="31"/>
  <c r="Q69" i="31"/>
  <c r="Q68" i="31"/>
  <c r="F60" i="34"/>
  <c r="Q35" i="34" s="1"/>
  <c r="K95" i="33"/>
  <c r="N28" i="33"/>
  <c r="F20" i="33"/>
  <c r="U165" i="35" s="1"/>
  <c r="F19" i="33"/>
  <c r="F18" i="33"/>
  <c r="F17" i="33"/>
  <c r="N81" i="33" s="1"/>
  <c r="N79" i="33"/>
  <c r="F21" i="33"/>
  <c r="N80" i="33" s="1"/>
  <c r="E68" i="35"/>
  <c r="E35" i="35"/>
  <c r="V8" i="35"/>
  <c r="C197" i="22"/>
  <c r="Y196" i="22"/>
  <c r="G196" i="22"/>
  <c r="B196" i="22"/>
  <c r="AB196" i="22"/>
  <c r="P196" i="22"/>
  <c r="M196" i="22"/>
  <c r="C163" i="22"/>
  <c r="AU162" i="22"/>
  <c r="AD162" i="22"/>
  <c r="E136" i="34"/>
  <c r="D137" i="34"/>
  <c r="M25" i="33"/>
  <c r="E29" i="35" s="1"/>
  <c r="M24" i="33"/>
  <c r="E104" i="31"/>
  <c r="N37" i="31"/>
  <c r="G104" i="31"/>
  <c r="N50" i="31"/>
  <c r="F104" i="31"/>
  <c r="N42" i="31"/>
  <c r="H104" i="31"/>
  <c r="N56" i="31"/>
  <c r="I104" i="31"/>
  <c r="N61" i="31"/>
  <c r="I93" i="30"/>
  <c r="R79" i="33" l="1"/>
  <c r="Q61" i="33"/>
  <c r="Q47" i="33"/>
  <c r="Q52" i="33"/>
  <c r="Q42" i="33"/>
  <c r="Q55" i="33"/>
  <c r="Q66" i="33"/>
  <c r="R78" i="33"/>
  <c r="U137" i="35"/>
  <c r="V17" i="35"/>
  <c r="M197" i="22"/>
  <c r="B197" i="22"/>
  <c r="Y197" i="22"/>
  <c r="D197" i="22"/>
  <c r="G197" i="22"/>
  <c r="P197" i="22"/>
  <c r="C198" i="22"/>
  <c r="AB197" i="22"/>
  <c r="AU163" i="22"/>
  <c r="AD163" i="22"/>
  <c r="N163" i="22"/>
  <c r="C164" i="22"/>
  <c r="E137" i="34"/>
  <c r="D138" i="34"/>
  <c r="C81" i="33"/>
  <c r="C86" i="33" s="1"/>
  <c r="C80" i="33"/>
  <c r="C85" i="33" s="1"/>
  <c r="F78" i="33"/>
  <c r="S80" i="33"/>
  <c r="M26" i="33"/>
  <c r="I94" i="30"/>
  <c r="V18" i="35" l="1"/>
  <c r="V19" i="35"/>
  <c r="P198" i="22"/>
  <c r="B198" i="22"/>
  <c r="G198" i="22"/>
  <c r="AB198" i="22"/>
  <c r="D198" i="22"/>
  <c r="M198" i="22"/>
  <c r="C199" i="22"/>
  <c r="Y198" i="22"/>
  <c r="AU164" i="22"/>
  <c r="N164" i="22"/>
  <c r="C165" i="22"/>
  <c r="AD164" i="22"/>
  <c r="E138" i="34"/>
  <c r="D139" i="34"/>
  <c r="F79" i="33"/>
  <c r="F83" i="33"/>
  <c r="F84" i="33" s="1"/>
  <c r="B79" i="33"/>
  <c r="B84" i="33" s="1"/>
  <c r="D17" i="33"/>
  <c r="M28" i="33"/>
  <c r="D21" i="33"/>
  <c r="B80" i="33" s="1"/>
  <c r="B85" i="33" s="1"/>
  <c r="M27" i="33"/>
  <c r="D18" i="33"/>
  <c r="D19" i="33"/>
  <c r="D20" i="33"/>
  <c r="S81" i="33"/>
  <c r="I95" i="30"/>
  <c r="B81" i="33" l="1"/>
  <c r="B86" i="33" s="1"/>
  <c r="Y13" i="35"/>
  <c r="V13" i="35"/>
  <c r="U122" i="35" s="1"/>
  <c r="V20" i="35"/>
  <c r="V21" i="35"/>
  <c r="C200" i="22"/>
  <c r="AB199" i="22"/>
  <c r="B199" i="22"/>
  <c r="S199" i="22"/>
  <c r="D199" i="22"/>
  <c r="G199" i="22"/>
  <c r="M199" i="22"/>
  <c r="P199" i="22"/>
  <c r="AD165" i="22"/>
  <c r="N165" i="22"/>
  <c r="AU165" i="22"/>
  <c r="C166" i="22"/>
  <c r="E139" i="34"/>
  <c r="D140" i="34"/>
  <c r="R81" i="33"/>
  <c r="E79" i="33"/>
  <c r="K85" i="33" s="1"/>
  <c r="J97" i="33" s="1"/>
  <c r="J98" i="33" s="1"/>
  <c r="R80" i="33"/>
  <c r="E78" i="33"/>
  <c r="K47" i="33"/>
  <c r="K42" i="33"/>
  <c r="K55" i="33"/>
  <c r="K66" i="33"/>
  <c r="K52" i="33"/>
  <c r="K61" i="33"/>
  <c r="I96" i="30"/>
  <c r="E88" i="33" l="1"/>
  <c r="D200" i="22"/>
  <c r="B200" i="22"/>
  <c r="P200" i="22"/>
  <c r="M200" i="22"/>
  <c r="G200" i="22"/>
  <c r="AB200" i="22"/>
  <c r="S200" i="22"/>
  <c r="C201" i="22"/>
  <c r="AD166" i="22"/>
  <c r="AU166" i="22"/>
  <c r="V166" i="22"/>
  <c r="N166" i="22"/>
  <c r="C167" i="22"/>
  <c r="E84" i="33"/>
  <c r="E140" i="34"/>
  <c r="D141" i="34"/>
  <c r="K84" i="33"/>
  <c r="J94" i="33" s="1"/>
  <c r="J95" i="33" s="1"/>
  <c r="E83" i="33"/>
  <c r="I97" i="30"/>
  <c r="M201" i="22" l="1"/>
  <c r="S201" i="22"/>
  <c r="C202" i="22"/>
  <c r="D201" i="22"/>
  <c r="B201" i="22"/>
  <c r="P201" i="22"/>
  <c r="G201" i="22"/>
  <c r="AU167" i="22"/>
  <c r="V167" i="22"/>
  <c r="C168" i="22"/>
  <c r="N167" i="22"/>
  <c r="AD167" i="22"/>
  <c r="E141" i="34"/>
  <c r="D142" i="34"/>
  <c r="H78" i="33"/>
  <c r="E89" i="33"/>
  <c r="K79" i="33" s="1"/>
  <c r="K78" i="33"/>
  <c r="I98" i="30"/>
  <c r="G202" i="22" l="1"/>
  <c r="G204" i="22" s="1"/>
  <c r="D202" i="22"/>
  <c r="P202" i="22"/>
  <c r="P204" i="22" s="1"/>
  <c r="M202" i="22"/>
  <c r="AB202" i="22"/>
  <c r="AC202" i="22" s="1"/>
  <c r="AF202" i="22"/>
  <c r="AF201" i="22" s="1"/>
  <c r="B202" i="22"/>
  <c r="S202" i="22"/>
  <c r="T202" i="22" s="1"/>
  <c r="T201" i="22" s="1"/>
  <c r="N168" i="22"/>
  <c r="C169" i="22"/>
  <c r="AD168" i="22"/>
  <c r="V168" i="22"/>
  <c r="AU168" i="22"/>
  <c r="E142" i="34"/>
  <c r="D143" i="34"/>
  <c r="H81" i="33"/>
  <c r="H80" i="33"/>
  <c r="H79" i="33"/>
  <c r="H82" i="33"/>
  <c r="I99" i="30"/>
  <c r="H202" i="22" l="1"/>
  <c r="H201" i="22" s="1"/>
  <c r="I201" i="22" s="1"/>
  <c r="N202" i="22"/>
  <c r="N201" i="22" s="1"/>
  <c r="O201" i="22" s="1"/>
  <c r="Q202" i="22"/>
  <c r="Q201" i="22" s="1"/>
  <c r="Q200" i="22" s="1"/>
  <c r="T200" i="22"/>
  <c r="U201" i="22"/>
  <c r="AF200" i="22"/>
  <c r="AG201" i="22"/>
  <c r="E202" i="22"/>
  <c r="E201" i="22" s="1"/>
  <c r="E200" i="22" s="1"/>
  <c r="V169" i="22"/>
  <c r="AD169" i="22"/>
  <c r="AD171" i="22" s="1"/>
  <c r="AU169" i="22"/>
  <c r="N169" i="22"/>
  <c r="E143" i="34"/>
  <c r="D144" i="34"/>
  <c r="I100" i="30"/>
  <c r="H200" i="22" l="1"/>
  <c r="I200" i="22" s="1"/>
  <c r="R201" i="22"/>
  <c r="R200" i="22" s="1"/>
  <c r="N200" i="22"/>
  <c r="O200" i="22" s="1"/>
  <c r="F201" i="22"/>
  <c r="F200" i="22" s="1"/>
  <c r="AG200" i="22"/>
  <c r="AF199" i="22"/>
  <c r="Q199" i="22"/>
  <c r="U200" i="22"/>
  <c r="T199" i="22"/>
  <c r="E199" i="22"/>
  <c r="O169" i="22"/>
  <c r="W169" i="22" s="1"/>
  <c r="AE169" i="22" s="1"/>
  <c r="AN169" i="22" s="1"/>
  <c r="AV169" i="22" s="1"/>
  <c r="BE169" i="22" s="1"/>
  <c r="E144" i="34"/>
  <c r="D145" i="34"/>
  <c r="I101" i="30"/>
  <c r="H199" i="22" l="1"/>
  <c r="I199" i="22" s="1"/>
  <c r="N199" i="22"/>
  <c r="O199" i="22" s="1"/>
  <c r="R199" i="22"/>
  <c r="Q198" i="22"/>
  <c r="U199" i="22"/>
  <c r="AG199" i="22"/>
  <c r="AF198" i="22"/>
  <c r="F199" i="22"/>
  <c r="E198" i="22"/>
  <c r="E145" i="34"/>
  <c r="D146" i="34"/>
  <c r="E146" i="34" s="1"/>
  <c r="I102" i="30"/>
  <c r="H198" i="22" l="1"/>
  <c r="I198" i="22" s="1"/>
  <c r="N198" i="22"/>
  <c r="N197" i="22" s="1"/>
  <c r="R198" i="22"/>
  <c r="Q197" i="22"/>
  <c r="AG198" i="22"/>
  <c r="AF197" i="22"/>
  <c r="F198" i="22"/>
  <c r="E197" i="22"/>
  <c r="I103" i="30"/>
  <c r="H197" i="22" l="1"/>
  <c r="O198" i="22"/>
  <c r="O197" i="22" s="1"/>
  <c r="R197" i="22"/>
  <c r="Q196" i="22"/>
  <c r="I197" i="22"/>
  <c r="H196" i="22"/>
  <c r="AG197" i="22"/>
  <c r="AF196" i="22"/>
  <c r="N196" i="22"/>
  <c r="F197" i="22"/>
  <c r="I104" i="30"/>
  <c r="AG196" i="22" l="1"/>
  <c r="AF195" i="22"/>
  <c r="R196" i="22"/>
  <c r="Q195" i="22"/>
  <c r="O196" i="22"/>
  <c r="N195" i="22"/>
  <c r="I196" i="22"/>
  <c r="H195" i="22"/>
  <c r="I105" i="30"/>
  <c r="I195" i="22" l="1"/>
  <c r="H194" i="22"/>
  <c r="Q194" i="22"/>
  <c r="R195" i="22"/>
  <c r="O195" i="22"/>
  <c r="AF194" i="22"/>
  <c r="AG195" i="22"/>
  <c r="I106" i="30"/>
  <c r="R194" i="22" l="1"/>
  <c r="Q193" i="22"/>
  <c r="AG194" i="22"/>
  <c r="AF193" i="22"/>
  <c r="I194" i="22"/>
  <c r="H193" i="22"/>
  <c r="I107" i="30"/>
  <c r="I193" i="22" l="1"/>
  <c r="H192" i="22"/>
  <c r="R193" i="22"/>
  <c r="Q192" i="22"/>
  <c r="AG193" i="22"/>
  <c r="AF192" i="22"/>
  <c r="I108" i="30"/>
  <c r="AG192" i="22" l="1"/>
  <c r="AF191" i="22"/>
  <c r="H191" i="22"/>
  <c r="I192" i="22"/>
  <c r="Q191" i="22"/>
  <c r="R192" i="22"/>
  <c r="I109" i="30"/>
  <c r="AG191" i="22" l="1"/>
  <c r="AF190" i="22"/>
  <c r="Q190" i="22"/>
  <c r="R191" i="22"/>
  <c r="I191" i="22"/>
  <c r="H190" i="22"/>
  <c r="I110" i="30"/>
  <c r="R190" i="22" l="1"/>
  <c r="Q189" i="22"/>
  <c r="I190" i="22"/>
  <c r="H189" i="22"/>
  <c r="AG190" i="22"/>
  <c r="AF189" i="22"/>
  <c r="I111" i="30"/>
  <c r="AG189" i="22" l="1"/>
  <c r="AF188" i="22"/>
  <c r="R189" i="22"/>
  <c r="Q188" i="22"/>
  <c r="I189" i="22"/>
  <c r="H188" i="22"/>
  <c r="I112" i="30"/>
  <c r="R188" i="22" l="1"/>
  <c r="Q187" i="22"/>
  <c r="I188" i="22"/>
  <c r="H187" i="22"/>
  <c r="AF187" i="22"/>
  <c r="AG188" i="22"/>
  <c r="I113" i="30"/>
  <c r="R187" i="22" l="1"/>
  <c r="Q186" i="22"/>
  <c r="AG187" i="22"/>
  <c r="AF186" i="22"/>
  <c r="I187" i="22"/>
  <c r="H186" i="22"/>
  <c r="I114" i="30"/>
  <c r="AF185" i="22" l="1"/>
  <c r="AG186" i="22"/>
  <c r="I186" i="22"/>
  <c r="H185" i="22"/>
  <c r="R186" i="22"/>
  <c r="Q185" i="22"/>
  <c r="I115" i="30"/>
  <c r="Q184" i="22" l="1"/>
  <c r="R185" i="22"/>
  <c r="AF184" i="22"/>
  <c r="AG185" i="22"/>
  <c r="H184" i="22"/>
  <c r="I185" i="22"/>
  <c r="I116" i="30"/>
  <c r="AF183" i="22" l="1"/>
  <c r="AG184" i="22"/>
  <c r="H183" i="22"/>
  <c r="I184" i="22"/>
  <c r="Q183" i="22"/>
  <c r="R184" i="22"/>
  <c r="R183" i="22" l="1"/>
  <c r="Q182" i="22"/>
  <c r="AF182" i="22"/>
  <c r="AG183" i="22"/>
  <c r="I183" i="22"/>
  <c r="H182" i="22"/>
  <c r="I182" i="22" l="1"/>
  <c r="R182" i="22"/>
  <c r="AG182" i="22"/>
  <c r="C19" i="29"/>
  <c r="I4" i="5" l="1"/>
  <c r="E85" i="22" l="1"/>
  <c r="G96" i="22" s="1"/>
  <c r="E84" i="22"/>
  <c r="G95" i="22" s="1"/>
  <c r="E75" i="22"/>
  <c r="E96" i="22" s="1"/>
  <c r="E74" i="22"/>
  <c r="E95" i="22" s="1"/>
  <c r="E60" i="22"/>
  <c r="E59" i="22"/>
  <c r="E58" i="22"/>
  <c r="E51" i="22"/>
  <c r="E50" i="22"/>
  <c r="E49" i="22"/>
  <c r="E41" i="22"/>
  <c r="J9" i="22" s="1"/>
  <c r="E40" i="22"/>
  <c r="E32" i="22"/>
  <c r="E31" i="22"/>
  <c r="E24" i="22"/>
  <c r="E13" i="22"/>
  <c r="E12" i="22"/>
  <c r="C123" i="29" l="1"/>
  <c r="D118" i="29"/>
  <c r="E118" i="29" s="1"/>
  <c r="D69" i="29"/>
  <c r="D108" i="29" s="1"/>
  <c r="D63" i="29"/>
  <c r="D102" i="29" s="1"/>
  <c r="D62" i="29"/>
  <c r="D61" i="29"/>
  <c r="E52" i="29"/>
  <c r="E95" i="29" s="1"/>
  <c r="L16" i="29"/>
  <c r="K16" i="29"/>
  <c r="L12" i="29"/>
  <c r="K12" i="29"/>
  <c r="L11" i="29"/>
  <c r="K11" i="29"/>
  <c r="L10" i="29"/>
  <c r="K10" i="29"/>
  <c r="L9" i="29"/>
  <c r="L8" i="29"/>
  <c r="K8" i="29"/>
  <c r="L7" i="29"/>
  <c r="K7" i="29"/>
  <c r="G100" i="22"/>
  <c r="E100" i="22"/>
  <c r="G98" i="22"/>
  <c r="F98" i="22"/>
  <c r="E98" i="22"/>
  <c r="G97" i="22"/>
  <c r="E97" i="22"/>
  <c r="E89" i="22"/>
  <c r="E88" i="22"/>
  <c r="E79" i="22"/>
  <c r="E78" i="22"/>
  <c r="E62" i="22"/>
  <c r="E61" i="22"/>
  <c r="E64" i="22" s="1"/>
  <c r="K11" i="22" s="1"/>
  <c r="E53" i="22"/>
  <c r="E52" i="22"/>
  <c r="E55" i="22" s="1"/>
  <c r="K10" i="22" s="1"/>
  <c r="E44" i="22"/>
  <c r="E43" i="22"/>
  <c r="E35" i="22"/>
  <c r="E34" i="22"/>
  <c r="E26" i="22"/>
  <c r="K18" i="22"/>
  <c r="J15" i="22"/>
  <c r="I15" i="22"/>
  <c r="H15" i="22"/>
  <c r="J14" i="22"/>
  <c r="I14" i="22"/>
  <c r="H14" i="22"/>
  <c r="J13" i="22"/>
  <c r="I13" i="22"/>
  <c r="H13" i="22"/>
  <c r="H12" i="22"/>
  <c r="J11" i="22"/>
  <c r="I11" i="22"/>
  <c r="H11" i="22"/>
  <c r="J10" i="22"/>
  <c r="I10" i="22"/>
  <c r="H10" i="22"/>
  <c r="I9" i="22"/>
  <c r="H9" i="22"/>
  <c r="J8" i="22"/>
  <c r="I8" i="22"/>
  <c r="H8" i="22"/>
  <c r="I7" i="22"/>
  <c r="H7" i="22"/>
  <c r="D100" i="29" l="1"/>
  <c r="G101" i="22"/>
  <c r="E101" i="22"/>
  <c r="C122" i="29"/>
  <c r="B123" i="29" s="1"/>
  <c r="E90" i="22"/>
  <c r="E63" i="22"/>
  <c r="E45" i="22"/>
  <c r="E36" i="22"/>
  <c r="E69" i="29"/>
  <c r="E54" i="22"/>
  <c r="E80" i="22"/>
  <c r="D101" i="29"/>
  <c r="E108" i="29"/>
  <c r="C13" i="19" l="1"/>
  <c r="C9" i="19"/>
  <c r="C8" i="19"/>
  <c r="C7" i="19"/>
  <c r="C20" i="20"/>
  <c r="C17" i="20"/>
  <c r="C107" i="20" s="1"/>
  <c r="C16" i="20"/>
  <c r="B112" i="20" s="1"/>
  <c r="C14" i="20"/>
  <c r="C12" i="20"/>
  <c r="C9" i="20"/>
  <c r="C8" i="20"/>
  <c r="C6" i="20"/>
  <c r="B107" i="20"/>
  <c r="C90" i="20"/>
  <c r="K15" i="20" s="1"/>
  <c r="D88" i="20"/>
  <c r="D83" i="20"/>
  <c r="E83" i="20" s="1"/>
  <c r="C74" i="20"/>
  <c r="D107" i="20" s="1"/>
  <c r="C69" i="20"/>
  <c r="C66" i="20"/>
  <c r="D65" i="20"/>
  <c r="E65" i="20" s="1"/>
  <c r="D63" i="20"/>
  <c r="C62" i="20"/>
  <c r="D61" i="20"/>
  <c r="E61" i="20" s="1"/>
  <c r="D59" i="20"/>
  <c r="E59" i="20" s="1"/>
  <c r="D58" i="20"/>
  <c r="E58" i="20" s="1"/>
  <c r="D53" i="20"/>
  <c r="E53" i="20" s="1"/>
  <c r="D51" i="20"/>
  <c r="D50" i="20"/>
  <c r="E50" i="20" s="1"/>
  <c r="D46" i="20"/>
  <c r="D41" i="20"/>
  <c r="E41" i="20" s="1"/>
  <c r="E38" i="20"/>
  <c r="D38" i="20"/>
  <c r="D33" i="20"/>
  <c r="E33" i="20" s="1"/>
  <c r="D28" i="20"/>
  <c r="L13" i="20" s="1"/>
  <c r="D27" i="20"/>
  <c r="L12" i="20" s="1"/>
  <c r="D25" i="20"/>
  <c r="E25" i="20" s="1"/>
  <c r="D24" i="20"/>
  <c r="E24" i="20" s="1"/>
  <c r="D21" i="20"/>
  <c r="E21" i="20" s="1"/>
  <c r="D18" i="20"/>
  <c r="D74" i="20" s="1"/>
  <c r="P13" i="20"/>
  <c r="K13" i="20"/>
  <c r="P12" i="20"/>
  <c r="K12" i="20"/>
  <c r="P11" i="20"/>
  <c r="M11" i="20"/>
  <c r="L11" i="20"/>
  <c r="K11" i="20"/>
  <c r="D11" i="20"/>
  <c r="E11" i="20" s="1"/>
  <c r="P10" i="20"/>
  <c r="K10" i="20"/>
  <c r="K9" i="20"/>
  <c r="K8" i="20"/>
  <c r="D17" i="20" l="1"/>
  <c r="E17" i="20" s="1"/>
  <c r="C52" i="20"/>
  <c r="C106" i="20"/>
  <c r="C108" i="20" s="1"/>
  <c r="D9" i="20"/>
  <c r="E9" i="20" s="1"/>
  <c r="K26" i="19"/>
  <c r="D12" i="20"/>
  <c r="E12" i="20" s="1"/>
  <c r="C17" i="19"/>
  <c r="C16" i="19"/>
  <c r="E18" i="20"/>
  <c r="E74" i="20" s="1"/>
  <c r="E27" i="20"/>
  <c r="M12" i="20" s="1"/>
  <c r="N12" i="20" s="1"/>
  <c r="L10" i="20"/>
  <c r="C43" i="20"/>
  <c r="D8" i="20"/>
  <c r="E8" i="20" s="1"/>
  <c r="B126" i="20"/>
  <c r="D6" i="20"/>
  <c r="E6" i="20" s="1"/>
  <c r="L8" i="20"/>
  <c r="D14" i="20"/>
  <c r="D43" i="20" s="1"/>
  <c r="C34" i="20"/>
  <c r="C70" i="20" s="1"/>
  <c r="C75" i="20" s="1"/>
  <c r="D62" i="20"/>
  <c r="C172" i="20"/>
  <c r="C173" i="20" s="1"/>
  <c r="C158" i="20"/>
  <c r="C162" i="20" s="1"/>
  <c r="D66" i="20"/>
  <c r="D69" i="20"/>
  <c r="D90" i="20"/>
  <c r="L15" i="20" s="1"/>
  <c r="B119" i="20"/>
  <c r="D16" i="20"/>
  <c r="E16" i="20" s="1"/>
  <c r="D20" i="20"/>
  <c r="E20" i="20" s="1"/>
  <c r="E62" i="20"/>
  <c r="B105" i="20"/>
  <c r="L9" i="20"/>
  <c r="M8" i="20"/>
  <c r="N8" i="20" s="1"/>
  <c r="E69" i="20"/>
  <c r="M9" i="20"/>
  <c r="N9" i="20" s="1"/>
  <c r="O9" i="20" s="1"/>
  <c r="E46" i="20"/>
  <c r="E88" i="20"/>
  <c r="E51" i="20"/>
  <c r="M10" i="20"/>
  <c r="N10" i="20" s="1"/>
  <c r="E28" i="20"/>
  <c r="E63" i="20"/>
  <c r="E66" i="20" s="1"/>
  <c r="B106" i="20" l="1"/>
  <c r="B108" i="20" s="1"/>
  <c r="E52" i="20"/>
  <c r="D52" i="20"/>
  <c r="O10" i="20"/>
  <c r="O12" i="20"/>
  <c r="O8" i="20"/>
  <c r="C12" i="19"/>
  <c r="C19" i="20" s="1"/>
  <c r="D112" i="20"/>
  <c r="D105" i="20"/>
  <c r="E14" i="20"/>
  <c r="E43" i="20" s="1"/>
  <c r="D34" i="20"/>
  <c r="D70" i="20" s="1"/>
  <c r="D119" i="20" s="1"/>
  <c r="C161" i="20"/>
  <c r="E90" i="20"/>
  <c r="M15" i="20" s="1"/>
  <c r="O15" i="20" s="1"/>
  <c r="BC4" i="30" s="1"/>
  <c r="M13" i="20"/>
  <c r="N13" i="20" s="1"/>
  <c r="O13" i="20" s="1"/>
  <c r="E107" i="20"/>
  <c r="E106" i="20"/>
  <c r="C76" i="20"/>
  <c r="C94" i="20" l="1"/>
  <c r="C93" i="20"/>
  <c r="C96" i="20"/>
  <c r="N15" i="20"/>
  <c r="P17" i="19"/>
  <c r="E34" i="20"/>
  <c r="E70" i="20" s="1"/>
  <c r="D126" i="20" s="1"/>
  <c r="D75" i="20"/>
  <c r="D76" i="20" s="1"/>
  <c r="E108" i="20"/>
  <c r="D106" i="20"/>
  <c r="D108" i="20" s="1"/>
  <c r="E75" i="20" l="1"/>
  <c r="E76" i="20" s="1"/>
  <c r="C95" i="20"/>
  <c r="F10" i="19"/>
  <c r="BC3" i="30"/>
  <c r="L16" i="30"/>
  <c r="N16" i="30"/>
  <c r="M16" i="30"/>
  <c r="N18" i="11"/>
  <c r="M18" i="11"/>
  <c r="N17" i="11"/>
  <c r="M17" i="11"/>
  <c r="L16" i="11"/>
  <c r="N16" i="11" s="1"/>
  <c r="L15" i="11"/>
  <c r="N15" i="11" s="1"/>
  <c r="N14" i="11"/>
  <c r="M14" i="11"/>
  <c r="L13" i="11"/>
  <c r="M13" i="11" s="1"/>
  <c r="L12" i="11"/>
  <c r="N12" i="11" s="1"/>
  <c r="L11" i="11"/>
  <c r="M11" i="11" s="1"/>
  <c r="L10" i="11"/>
  <c r="M10" i="11" s="1"/>
  <c r="L9" i="11"/>
  <c r="N9" i="11" s="1"/>
  <c r="L8" i="11"/>
  <c r="M8" i="11" s="1"/>
  <c r="L7" i="11"/>
  <c r="M7" i="11" s="1"/>
  <c r="L6" i="11"/>
  <c r="N6" i="11" s="1"/>
  <c r="O17" i="11" l="1"/>
  <c r="O18" i="11"/>
  <c r="N7" i="11"/>
  <c r="O7" i="11" s="1"/>
  <c r="N10" i="11"/>
  <c r="O10" i="11" s="1"/>
  <c r="N13" i="11"/>
  <c r="O13" i="11" s="1"/>
  <c r="M15" i="11"/>
  <c r="O15" i="11" s="1"/>
  <c r="O14" i="11"/>
  <c r="M6" i="11"/>
  <c r="M9" i="11"/>
  <c r="O9" i="11" s="1"/>
  <c r="M12" i="11"/>
  <c r="O12" i="11" s="1"/>
  <c r="L20" i="11"/>
  <c r="N8" i="11"/>
  <c r="N11" i="11"/>
  <c r="O11" i="11" s="1"/>
  <c r="M16" i="11"/>
  <c r="O16" i="11" s="1"/>
  <c r="N20" i="11" l="1"/>
  <c r="O6" i="11"/>
  <c r="M20" i="11"/>
  <c r="O8" i="11"/>
  <c r="O20" i="11" l="1"/>
  <c r="F21" i="5" l="1"/>
  <c r="F27" i="5" s="1"/>
  <c r="F22" i="5"/>
  <c r="F25" i="5"/>
  <c r="F31" i="5" s="1"/>
  <c r="E25" i="5"/>
  <c r="E21" i="5"/>
  <c r="C22" i="5"/>
  <c r="C25" i="5"/>
  <c r="C21" i="5"/>
  <c r="B25" i="5"/>
  <c r="B21" i="5"/>
  <c r="I10" i="5"/>
  <c r="C35" i="5" s="1"/>
  <c r="I11" i="5"/>
  <c r="C10" i="5"/>
  <c r="C13" i="5"/>
  <c r="C9" i="5"/>
  <c r="B13" i="5"/>
  <c r="B9" i="5"/>
  <c r="E38" i="5"/>
  <c r="E36" i="5"/>
  <c r="B36" i="5"/>
  <c r="K28" i="5"/>
  <c r="K27" i="5"/>
  <c r="F28" i="5"/>
  <c r="F16" i="5"/>
  <c r="F15" i="5"/>
  <c r="F38" i="5" l="1"/>
  <c r="I36" i="5"/>
  <c r="I35" i="5"/>
  <c r="K29" i="5"/>
  <c r="F36" i="5"/>
  <c r="F35" i="5"/>
  <c r="C28" i="5"/>
  <c r="F37" i="5"/>
  <c r="C27" i="5"/>
  <c r="C31" i="5"/>
  <c r="K30" i="5"/>
  <c r="C11" i="32" l="1"/>
  <c r="D100" i="32" l="1"/>
  <c r="D11" i="32" s="1"/>
  <c r="L22" i="2" l="1"/>
  <c r="N9" i="2"/>
  <c r="I9" i="5" l="1"/>
  <c r="I8" i="5"/>
  <c r="B54" i="5"/>
  <c r="B57" i="5" l="1"/>
  <c r="B55" i="5"/>
  <c r="B50" i="5"/>
  <c r="B48" i="5"/>
  <c r="B51" i="5"/>
  <c r="B49" i="5"/>
  <c r="B52" i="5"/>
  <c r="B47" i="5"/>
  <c r="B56" i="5"/>
  <c r="B53" i="5"/>
  <c r="C49" i="5" l="1"/>
  <c r="F49" i="5" s="1"/>
  <c r="C52" i="5"/>
  <c r="F52" i="5" s="1"/>
  <c r="C51" i="5"/>
  <c r="F51" i="5" s="1"/>
  <c r="C55" i="5"/>
  <c r="F55" i="5" s="1"/>
  <c r="C56" i="5"/>
  <c r="F56" i="5" s="1"/>
  <c r="C53" i="5"/>
  <c r="F53" i="5" s="1"/>
  <c r="D49" i="5" l="1"/>
  <c r="G49" i="5" s="1"/>
  <c r="D51" i="5"/>
  <c r="G51" i="5" s="1"/>
  <c r="D56" i="5"/>
  <c r="G56" i="5" s="1"/>
  <c r="D53" i="5"/>
  <c r="G53" i="5" s="1"/>
  <c r="D55" i="5"/>
  <c r="G55" i="5" s="1"/>
  <c r="D50" i="5"/>
  <c r="G50" i="5" s="1"/>
  <c r="D52" i="5"/>
  <c r="G52" i="5" s="1"/>
  <c r="D48" i="5"/>
  <c r="G48" i="5" s="1"/>
  <c r="D54" i="5"/>
  <c r="G54" i="5" s="1"/>
  <c r="C47" i="5"/>
  <c r="F47" i="5" s="1"/>
  <c r="D47" i="5"/>
  <c r="C48" i="5" l="1"/>
  <c r="F48" i="5" s="1"/>
  <c r="G47" i="5"/>
  <c r="C54" i="5"/>
  <c r="F54" i="5" s="1"/>
  <c r="D57" i="5"/>
  <c r="G57" i="5" s="1"/>
  <c r="C50" i="5"/>
  <c r="F50" i="5" s="1"/>
  <c r="C57" i="5"/>
  <c r="F57" i="5" s="1"/>
  <c r="C63" i="5" l="1"/>
  <c r="D63" i="5" s="1"/>
  <c r="F9" i="5"/>
  <c r="C64" i="5" l="1"/>
  <c r="D64" i="5" s="1"/>
  <c r="E64" i="5" s="1"/>
  <c r="E63" i="5"/>
  <c r="C12" i="5"/>
  <c r="H36" i="5" s="1"/>
  <c r="C11" i="5"/>
  <c r="H35" i="5" s="1"/>
  <c r="C7" i="20"/>
  <c r="E8" i="22"/>
  <c r="C65" i="5" l="1"/>
  <c r="D65" i="5" s="1"/>
  <c r="E65" i="5" s="1"/>
  <c r="C47" i="20"/>
  <c r="F47" i="20" s="1"/>
  <c r="C84" i="20"/>
  <c r="C57" i="20"/>
  <c r="D7" i="20"/>
  <c r="C60" i="20"/>
  <c r="C64" i="20"/>
  <c r="C13" i="20"/>
  <c r="B10" i="5"/>
  <c r="C23" i="5"/>
  <c r="C24" i="5"/>
  <c r="C30" i="5" s="1"/>
  <c r="F10" i="5"/>
  <c r="B11" i="5"/>
  <c r="L13" i="2"/>
  <c r="L12" i="2"/>
  <c r="J12" i="2"/>
  <c r="L23" i="2"/>
  <c r="J23" i="2"/>
  <c r="L20" i="2"/>
  <c r="L19" i="2"/>
  <c r="L18" i="2"/>
  <c r="J18" i="2"/>
  <c r="L17" i="2"/>
  <c r="J17" i="2"/>
  <c r="L16" i="2"/>
  <c r="L15" i="2"/>
  <c r="C66" i="5" l="1"/>
  <c r="C67" i="5" s="1"/>
  <c r="E7" i="20"/>
  <c r="D57" i="20"/>
  <c r="D84" i="20"/>
  <c r="D47" i="20"/>
  <c r="D60" i="20"/>
  <c r="D64" i="20"/>
  <c r="C77" i="20"/>
  <c r="C78" i="20" s="1"/>
  <c r="C79" i="20" s="1"/>
  <c r="D13" i="20"/>
  <c r="D72" i="20"/>
  <c r="C72" i="20"/>
  <c r="E76" i="22" s="1"/>
  <c r="E72" i="20"/>
  <c r="E10" i="5"/>
  <c r="E16" i="5" s="1"/>
  <c r="C29" i="5"/>
  <c r="C36" i="5"/>
  <c r="J21" i="5"/>
  <c r="J27" i="5" s="1"/>
  <c r="J22" i="5"/>
  <c r="J28" i="5" s="1"/>
  <c r="B22" i="5"/>
  <c r="E9" i="5"/>
  <c r="B12" i="5"/>
  <c r="B24" i="5"/>
  <c r="AJ108" i="38"/>
  <c r="AK108" i="38" s="1"/>
  <c r="U74" i="2" s="1"/>
  <c r="F108" i="34"/>
  <c r="AJ107" i="38"/>
  <c r="AK107" i="38" s="1"/>
  <c r="U73" i="2" s="1"/>
  <c r="F107" i="34"/>
  <c r="AJ106" i="38"/>
  <c r="AK106" i="38" s="1"/>
  <c r="U72" i="2" s="1"/>
  <c r="F106" i="34"/>
  <c r="AJ105" i="38"/>
  <c r="AK105" i="38" s="1"/>
  <c r="U71" i="2" s="1"/>
  <c r="F105" i="34"/>
  <c r="D105" i="34"/>
  <c r="AJ104" i="38"/>
  <c r="AK104" i="38" s="1"/>
  <c r="U70" i="2" s="1"/>
  <c r="V69" i="2"/>
  <c r="S69" i="2" s="1"/>
  <c r="V68" i="2"/>
  <c r="S68" i="2" s="1"/>
  <c r="V67" i="2"/>
  <c r="S67" i="2" s="1"/>
  <c r="V66" i="2"/>
  <c r="S66" i="2" s="1"/>
  <c r="D100" i="34"/>
  <c r="V65" i="2"/>
  <c r="S65" i="2" s="1"/>
  <c r="F98" i="34"/>
  <c r="D98" i="34"/>
  <c r="AJ97" i="38"/>
  <c r="AK97" i="38" s="1"/>
  <c r="U63" i="2" s="1"/>
  <c r="AJ96" i="38"/>
  <c r="AK96" i="38" s="1"/>
  <c r="U62" i="2" s="1"/>
  <c r="AJ95" i="38"/>
  <c r="AK95" i="38" s="1"/>
  <c r="U61" i="2" s="1"/>
  <c r="AJ94" i="38"/>
  <c r="AK94" i="38" s="1"/>
  <c r="U60" i="2" s="1"/>
  <c r="AJ93" i="38"/>
  <c r="AK93" i="38" s="1"/>
  <c r="U59" i="2" s="1"/>
  <c r="F93" i="34"/>
  <c r="D93" i="34"/>
  <c r="F92" i="34"/>
  <c r="F91" i="34"/>
  <c r="F90" i="34"/>
  <c r="D90" i="34"/>
  <c r="AJ89" i="38"/>
  <c r="AK89" i="38" s="1"/>
  <c r="U55" i="2" s="1"/>
  <c r="F89" i="34"/>
  <c r="E89" i="34"/>
  <c r="D89" i="34"/>
  <c r="AJ88" i="38"/>
  <c r="AK88" i="38" s="1"/>
  <c r="U54" i="2" s="1"/>
  <c r="F88" i="34"/>
  <c r="E88" i="34"/>
  <c r="AJ87" i="38"/>
  <c r="AK87" i="38" s="1"/>
  <c r="U53" i="2" s="1"/>
  <c r="F87" i="34"/>
  <c r="E87" i="34"/>
  <c r="D87" i="34"/>
  <c r="AJ86" i="38"/>
  <c r="AK86" i="38" s="1"/>
  <c r="U52" i="2" s="1"/>
  <c r="F86" i="34"/>
  <c r="E86" i="34"/>
  <c r="AJ85" i="38"/>
  <c r="AK85" i="38" s="1"/>
  <c r="U51" i="2" s="1"/>
  <c r="V50" i="2"/>
  <c r="S50" i="2" s="1"/>
  <c r="V49" i="2"/>
  <c r="S49" i="2" s="1"/>
  <c r="V48" i="2"/>
  <c r="S48" i="2" s="1"/>
  <c r="V47" i="2"/>
  <c r="S47" i="2" s="1"/>
  <c r="D79" i="34"/>
  <c r="Z44" i="2"/>
  <c r="Z45" i="2" s="1"/>
  <c r="W44" i="2"/>
  <c r="B45" i="2"/>
  <c r="B79" i="38" s="1"/>
  <c r="S15" i="2"/>
  <c r="S14" i="2"/>
  <c r="H9" i="2"/>
  <c r="D66" i="5" l="1"/>
  <c r="E66" i="5" s="1"/>
  <c r="AG97" i="34"/>
  <c r="AH97" i="34" s="1"/>
  <c r="AG86" i="34"/>
  <c r="AH86" i="34" s="1"/>
  <c r="AG94" i="34"/>
  <c r="AH94" i="34" s="1"/>
  <c r="AG105" i="34"/>
  <c r="AH105" i="34" s="1"/>
  <c r="C54" i="33"/>
  <c r="D92" i="34"/>
  <c r="M98" i="34"/>
  <c r="H98" i="34"/>
  <c r="I98" i="34" s="1"/>
  <c r="J98" i="34" s="1"/>
  <c r="E98" i="34"/>
  <c r="K98" i="34"/>
  <c r="L98" i="34"/>
  <c r="K79" i="34"/>
  <c r="L79" i="34"/>
  <c r="E79" i="34"/>
  <c r="M79" i="34"/>
  <c r="H79" i="34"/>
  <c r="AG95" i="34"/>
  <c r="AH95" i="34" s="1"/>
  <c r="AG106" i="34"/>
  <c r="AH106" i="34" s="1"/>
  <c r="F100" i="34"/>
  <c r="AG88" i="34"/>
  <c r="AH88" i="34" s="1"/>
  <c r="F81" i="34"/>
  <c r="F79" i="34"/>
  <c r="AG85" i="34"/>
  <c r="AH85" i="34" s="1"/>
  <c r="AG87" i="34"/>
  <c r="AH87" i="34" s="1"/>
  <c r="AG89" i="34"/>
  <c r="AH89" i="34" s="1"/>
  <c r="D91" i="34"/>
  <c r="D86" i="34"/>
  <c r="C50" i="33"/>
  <c r="D88" i="34"/>
  <c r="AG96" i="34"/>
  <c r="AH96" i="34" s="1"/>
  <c r="AG104" i="34"/>
  <c r="AH104" i="34" s="1"/>
  <c r="AG107" i="34"/>
  <c r="AH107" i="34" s="1"/>
  <c r="AG93" i="34"/>
  <c r="AH93" i="34" s="1"/>
  <c r="K105" i="34"/>
  <c r="H105" i="34"/>
  <c r="E105" i="34"/>
  <c r="L105" i="34"/>
  <c r="M105" i="34"/>
  <c r="AG108" i="34"/>
  <c r="AH108" i="34" s="1"/>
  <c r="B46" i="2"/>
  <c r="B80" i="38" s="1"/>
  <c r="B79" i="34"/>
  <c r="E100" i="34"/>
  <c r="K100" i="34"/>
  <c r="L100" i="34"/>
  <c r="M100" i="34"/>
  <c r="H100" i="34"/>
  <c r="M91" i="34"/>
  <c r="E91" i="34"/>
  <c r="K91" i="34"/>
  <c r="H91" i="34"/>
  <c r="L91" i="34"/>
  <c r="K92" i="34"/>
  <c r="L92" i="34"/>
  <c r="M92" i="34"/>
  <c r="H92" i="34"/>
  <c r="E92" i="34"/>
  <c r="K94" i="34"/>
  <c r="L94" i="34"/>
  <c r="M94" i="34"/>
  <c r="E94" i="34"/>
  <c r="H94" i="34"/>
  <c r="K96" i="34"/>
  <c r="L96" i="34"/>
  <c r="M96" i="34"/>
  <c r="H96" i="34"/>
  <c r="E96" i="34"/>
  <c r="H97" i="34"/>
  <c r="E97" i="34"/>
  <c r="K97" i="34"/>
  <c r="L97" i="34"/>
  <c r="M97" i="34"/>
  <c r="E95" i="34"/>
  <c r="K95" i="34"/>
  <c r="L95" i="34"/>
  <c r="M95" i="34"/>
  <c r="H95" i="34"/>
  <c r="AM67" i="32"/>
  <c r="U36" i="35"/>
  <c r="U40" i="35" s="1"/>
  <c r="G80" i="34"/>
  <c r="G104" i="34"/>
  <c r="G85" i="34"/>
  <c r="H87" i="34"/>
  <c r="H88" i="34"/>
  <c r="I88" i="34" s="1"/>
  <c r="J88" i="34" s="1"/>
  <c r="H89" i="34"/>
  <c r="H86" i="34"/>
  <c r="C67" i="33"/>
  <c r="C55" i="33"/>
  <c r="T14" i="2"/>
  <c r="T15" i="2"/>
  <c r="D35" i="31"/>
  <c r="M86" i="34"/>
  <c r="L86" i="34"/>
  <c r="K86" i="34"/>
  <c r="K87" i="34"/>
  <c r="L87" i="34"/>
  <c r="M87" i="34"/>
  <c r="M88" i="34"/>
  <c r="L88" i="34"/>
  <c r="K88" i="34"/>
  <c r="L89" i="34"/>
  <c r="K89" i="34"/>
  <c r="M89" i="34"/>
  <c r="C43" i="31"/>
  <c r="C48" i="33"/>
  <c r="C44" i="31"/>
  <c r="C49" i="33"/>
  <c r="C46" i="31"/>
  <c r="C51" i="33"/>
  <c r="C47" i="31"/>
  <c r="C52" i="33"/>
  <c r="E56" i="33"/>
  <c r="Q56" i="33"/>
  <c r="K56" i="33"/>
  <c r="E58" i="33"/>
  <c r="Q58" i="33"/>
  <c r="K58" i="33"/>
  <c r="C55" i="31"/>
  <c r="C60" i="33"/>
  <c r="C36" i="31"/>
  <c r="C41" i="33"/>
  <c r="E48" i="33"/>
  <c r="Q48" i="33"/>
  <c r="K48" i="33"/>
  <c r="E49" i="33"/>
  <c r="Q49" i="33"/>
  <c r="K49" i="33"/>
  <c r="E50" i="33"/>
  <c r="Q50" i="33"/>
  <c r="K50" i="33"/>
  <c r="E51" i="33"/>
  <c r="Q51" i="33"/>
  <c r="K51" i="33"/>
  <c r="E60" i="33"/>
  <c r="Q60" i="33"/>
  <c r="K60" i="33"/>
  <c r="C57" i="31"/>
  <c r="C62" i="33"/>
  <c r="C48" i="31"/>
  <c r="C53" i="33"/>
  <c r="E57" i="33"/>
  <c r="Q57" i="33"/>
  <c r="K57" i="33"/>
  <c r="E59" i="33"/>
  <c r="Q59" i="33"/>
  <c r="K59" i="33"/>
  <c r="E62" i="33"/>
  <c r="Q62" i="33"/>
  <c r="K62" i="33"/>
  <c r="E41" i="33"/>
  <c r="Q41" i="33"/>
  <c r="K41" i="33"/>
  <c r="E53" i="33"/>
  <c r="Q53" i="33"/>
  <c r="K53" i="33"/>
  <c r="E54" i="33"/>
  <c r="Q54" i="33"/>
  <c r="K54" i="33"/>
  <c r="E67" i="33"/>
  <c r="Q67" i="33"/>
  <c r="K67" i="33"/>
  <c r="E43" i="31"/>
  <c r="L43" i="31" s="1"/>
  <c r="M43" i="31" s="1"/>
  <c r="N43" i="31" s="1"/>
  <c r="J43" i="31"/>
  <c r="E44" i="31"/>
  <c r="L44" i="31" s="1"/>
  <c r="M44" i="31" s="1"/>
  <c r="N44" i="31" s="1"/>
  <c r="J44" i="31"/>
  <c r="E45" i="31"/>
  <c r="L45" i="31" s="1"/>
  <c r="M45" i="31" s="1"/>
  <c r="N45" i="31" s="1"/>
  <c r="J45" i="31"/>
  <c r="E46" i="31"/>
  <c r="L46" i="31" s="1"/>
  <c r="M46" i="31" s="1"/>
  <c r="N46" i="31" s="1"/>
  <c r="J46" i="31"/>
  <c r="C50" i="31"/>
  <c r="E55" i="31"/>
  <c r="L55" i="31" s="1"/>
  <c r="M55" i="31" s="1"/>
  <c r="N55" i="31" s="1"/>
  <c r="J55" i="31"/>
  <c r="C49" i="31"/>
  <c r="E52" i="31"/>
  <c r="L52" i="31" s="1"/>
  <c r="M52" i="31" s="1"/>
  <c r="N52" i="31" s="1"/>
  <c r="J52" i="31"/>
  <c r="E54" i="31"/>
  <c r="L54" i="31" s="1"/>
  <c r="M54" i="31" s="1"/>
  <c r="N54" i="31" s="1"/>
  <c r="J54" i="31"/>
  <c r="E57" i="31"/>
  <c r="L57" i="31" s="1"/>
  <c r="M57" i="31" s="1"/>
  <c r="N57" i="31" s="1"/>
  <c r="J57" i="31"/>
  <c r="C62" i="31"/>
  <c r="E36" i="31"/>
  <c r="L36" i="31" s="1"/>
  <c r="M36" i="31" s="1"/>
  <c r="J36" i="31"/>
  <c r="E48" i="31"/>
  <c r="L48" i="31" s="1"/>
  <c r="M48" i="31" s="1"/>
  <c r="N48" i="31" s="1"/>
  <c r="J48" i="31"/>
  <c r="E49" i="31"/>
  <c r="L49" i="31" s="1"/>
  <c r="M49" i="31" s="1"/>
  <c r="N49" i="31" s="1"/>
  <c r="J49" i="31"/>
  <c r="E62" i="31"/>
  <c r="L62" i="31" s="1"/>
  <c r="M62" i="31" s="1"/>
  <c r="N62" i="31" s="1"/>
  <c r="J62" i="31"/>
  <c r="C45" i="31"/>
  <c r="E51" i="31"/>
  <c r="L51" i="31" s="1"/>
  <c r="M51" i="31" s="1"/>
  <c r="N51" i="31" s="1"/>
  <c r="J51" i="31"/>
  <c r="E53" i="31"/>
  <c r="L53" i="31" s="1"/>
  <c r="M53" i="31" s="1"/>
  <c r="N53" i="31" s="1"/>
  <c r="J53" i="31"/>
  <c r="F61" i="31"/>
  <c r="D77" i="20"/>
  <c r="D78" i="20" s="1"/>
  <c r="D79" i="20" s="1"/>
  <c r="E13" i="20"/>
  <c r="E77" i="20" s="1"/>
  <c r="E78" i="20" s="1"/>
  <c r="E79" i="20" s="1"/>
  <c r="E114" i="20"/>
  <c r="E113" i="20"/>
  <c r="C85" i="20"/>
  <c r="K14" i="20" s="1"/>
  <c r="C121" i="20"/>
  <c r="C128" i="20"/>
  <c r="C113" i="20"/>
  <c r="C127" i="20"/>
  <c r="C129" i="20" s="1"/>
  <c r="C114" i="20"/>
  <c r="C120" i="20"/>
  <c r="C122" i="20" s="1"/>
  <c r="E60" i="20"/>
  <c r="E84" i="20"/>
  <c r="E64" i="20"/>
  <c r="E47" i="20"/>
  <c r="E57" i="20"/>
  <c r="I22" i="5"/>
  <c r="C68" i="5"/>
  <c r="D67" i="5"/>
  <c r="E67" i="5" s="1"/>
  <c r="I21" i="5"/>
  <c r="B23" i="5"/>
  <c r="E49" i="5"/>
  <c r="E53" i="5"/>
  <c r="E57" i="5"/>
  <c r="E50" i="5"/>
  <c r="E54" i="5"/>
  <c r="E47" i="5"/>
  <c r="E51" i="5"/>
  <c r="E55" i="5"/>
  <c r="E15" i="5"/>
  <c r="E48" i="5"/>
  <c r="E52" i="5"/>
  <c r="E56" i="5"/>
  <c r="D83" i="34"/>
  <c r="F47" i="33"/>
  <c r="D94" i="34"/>
  <c r="Z46" i="2"/>
  <c r="Z47" i="2" s="1"/>
  <c r="Z48" i="2" s="1"/>
  <c r="Z49" i="2" s="1"/>
  <c r="Z50" i="2" s="1"/>
  <c r="Z51" i="2" s="1"/>
  <c r="Z52" i="2" s="1"/>
  <c r="Z53" i="2" s="1"/>
  <c r="Z54" i="2" s="1"/>
  <c r="Z55" i="2" s="1"/>
  <c r="Z56" i="2" s="1"/>
  <c r="Z57" i="2" s="1"/>
  <c r="Z58" i="2" s="1"/>
  <c r="Z59" i="2" s="1"/>
  <c r="Z60" i="2" s="1"/>
  <c r="Z61" i="2" s="1"/>
  <c r="Z62" i="2" s="1"/>
  <c r="Z63" i="2" s="1"/>
  <c r="Z64" i="2" s="1"/>
  <c r="Z65" i="2" s="1"/>
  <c r="Z66" i="2" s="1"/>
  <c r="Z67" i="2" s="1"/>
  <c r="Z68" i="2" s="1"/>
  <c r="Z69" i="2" s="1"/>
  <c r="Z70" i="2" s="1"/>
  <c r="Z71" i="2" s="1"/>
  <c r="Z72" i="2" s="1"/>
  <c r="Z73" i="2" s="1"/>
  <c r="Z74" i="2" s="1"/>
  <c r="Z75" i="2" s="1"/>
  <c r="D82" i="34"/>
  <c r="D81" i="34"/>
  <c r="S13" i="2"/>
  <c r="D95" i="34"/>
  <c r="D96" i="34"/>
  <c r="D97" i="34"/>
  <c r="D101" i="34"/>
  <c r="L21" i="2"/>
  <c r="I104" i="34"/>
  <c r="J104" i="34" s="1"/>
  <c r="S104" i="34" s="1"/>
  <c r="T104" i="34" s="1"/>
  <c r="U104" i="34" s="1"/>
  <c r="AI104" i="34" s="1"/>
  <c r="L14" i="2"/>
  <c r="F97" i="34"/>
  <c r="D84" i="34"/>
  <c r="D106" i="34"/>
  <c r="E83" i="34"/>
  <c r="F84" i="34"/>
  <c r="I99" i="34"/>
  <c r="J99" i="34" s="1"/>
  <c r="S99" i="34" s="1"/>
  <c r="T99" i="34" s="1"/>
  <c r="U99" i="34" s="1"/>
  <c r="AI99" i="34" s="1"/>
  <c r="E84" i="34"/>
  <c r="F83" i="34"/>
  <c r="F96" i="34"/>
  <c r="E82" i="34"/>
  <c r="F82" i="34"/>
  <c r="F95" i="34"/>
  <c r="F94" i="34"/>
  <c r="J15" i="2"/>
  <c r="J19" i="2"/>
  <c r="J22" i="2"/>
  <c r="K63" i="5" l="1"/>
  <c r="N63" i="5" s="1"/>
  <c r="K46" i="5"/>
  <c r="T53" i="35" s="1"/>
  <c r="L46" i="5"/>
  <c r="U53" i="35" s="1"/>
  <c r="N79" i="34"/>
  <c r="P79" i="34" s="1"/>
  <c r="N100" i="34"/>
  <c r="P100" i="34" s="1"/>
  <c r="N105" i="34"/>
  <c r="P105" i="34" s="1"/>
  <c r="I85" i="34"/>
  <c r="J85" i="34" s="1"/>
  <c r="S85" i="34" s="1"/>
  <c r="I91" i="34"/>
  <c r="J91" i="34" s="1"/>
  <c r="I105" i="34"/>
  <c r="J105" i="34" s="1"/>
  <c r="I79" i="34"/>
  <c r="J79" i="34" s="1"/>
  <c r="U38" i="35"/>
  <c r="U41" i="35" s="1"/>
  <c r="U37" i="35" s="1"/>
  <c r="I80" i="34"/>
  <c r="J80" i="34" s="1"/>
  <c r="S80" i="34" s="1"/>
  <c r="B47" i="2"/>
  <c r="B81" i="38" s="1"/>
  <c r="B80" i="34"/>
  <c r="N98" i="34"/>
  <c r="P98" i="34" s="1"/>
  <c r="S98" i="34" s="1"/>
  <c r="T98" i="34" s="1"/>
  <c r="U98" i="34" s="1"/>
  <c r="K81" i="34"/>
  <c r="E81" i="34"/>
  <c r="D55" i="31"/>
  <c r="I87" i="34"/>
  <c r="J87" i="34" s="1"/>
  <c r="I92" i="34"/>
  <c r="J92" i="34" s="1"/>
  <c r="F101" i="34"/>
  <c r="M101" i="34"/>
  <c r="L101" i="34"/>
  <c r="E101" i="34"/>
  <c r="K101" i="34"/>
  <c r="H101" i="34"/>
  <c r="M106" i="34"/>
  <c r="H106" i="34"/>
  <c r="E106" i="34"/>
  <c r="K106" i="34"/>
  <c r="L106" i="34"/>
  <c r="I86" i="34"/>
  <c r="J86" i="34" s="1"/>
  <c r="G99" i="34"/>
  <c r="I100" i="34"/>
  <c r="J100" i="34" s="1"/>
  <c r="N92" i="34"/>
  <c r="P92" i="34" s="1"/>
  <c r="N95" i="34"/>
  <c r="P95" i="34" s="1"/>
  <c r="N94" i="34"/>
  <c r="P94" i="34" s="1"/>
  <c r="N96" i="34"/>
  <c r="P96" i="34" s="1"/>
  <c r="N97" i="34"/>
  <c r="P97" i="34" s="1"/>
  <c r="N91" i="34"/>
  <c r="P91" i="34" s="1"/>
  <c r="F56" i="31"/>
  <c r="G61" i="33" s="1"/>
  <c r="F66" i="33"/>
  <c r="G98" i="34"/>
  <c r="G92" i="34"/>
  <c r="F61" i="33"/>
  <c r="AM68" i="32"/>
  <c r="G88" i="34"/>
  <c r="G79" i="34"/>
  <c r="D47" i="33"/>
  <c r="I47" i="33" s="1"/>
  <c r="J47" i="33" s="1"/>
  <c r="L47" i="33" s="1"/>
  <c r="G86" i="34"/>
  <c r="G100" i="34"/>
  <c r="G93" i="34"/>
  <c r="H84" i="34"/>
  <c r="G87" i="34"/>
  <c r="H83" i="34"/>
  <c r="D42" i="31"/>
  <c r="T47" i="32" s="1"/>
  <c r="G91" i="34"/>
  <c r="H81" i="34"/>
  <c r="G89" i="34"/>
  <c r="H82" i="34"/>
  <c r="G105" i="34"/>
  <c r="G90" i="34"/>
  <c r="D57" i="31"/>
  <c r="D43" i="31"/>
  <c r="D44" i="31"/>
  <c r="D71" i="33"/>
  <c r="U42" i="35"/>
  <c r="D40" i="33"/>
  <c r="T13" i="2"/>
  <c r="U39" i="35"/>
  <c r="U34" i="35" s="1"/>
  <c r="AT17" i="30"/>
  <c r="F42" i="33"/>
  <c r="C46" i="33"/>
  <c r="D36" i="31"/>
  <c r="N87" i="34"/>
  <c r="P87" i="34" s="1"/>
  <c r="N89" i="34"/>
  <c r="P89" i="34" s="1"/>
  <c r="M84" i="34"/>
  <c r="L84" i="34"/>
  <c r="K84" i="34"/>
  <c r="M81" i="34"/>
  <c r="L81" i="34"/>
  <c r="D61" i="33"/>
  <c r="D42" i="33"/>
  <c r="D66" i="33"/>
  <c r="N88" i="34"/>
  <c r="P88" i="34" s="1"/>
  <c r="S88" i="34" s="1"/>
  <c r="M82" i="34"/>
  <c r="L82" i="34"/>
  <c r="K82" i="34"/>
  <c r="K83" i="34"/>
  <c r="M83" i="34"/>
  <c r="L83" i="34"/>
  <c r="N86" i="34"/>
  <c r="P86" i="34" s="1"/>
  <c r="E44" i="33"/>
  <c r="Q44" i="33"/>
  <c r="K44" i="33"/>
  <c r="E63" i="33"/>
  <c r="Q63" i="33"/>
  <c r="K63" i="33"/>
  <c r="E46" i="33"/>
  <c r="Q46" i="33"/>
  <c r="K46" i="33"/>
  <c r="C52" i="31"/>
  <c r="C57" i="33"/>
  <c r="C38" i="31"/>
  <c r="D38" i="31" s="1"/>
  <c r="C43" i="33"/>
  <c r="D50" i="33"/>
  <c r="D53" i="33"/>
  <c r="E43" i="33"/>
  <c r="Q43" i="33"/>
  <c r="K43" i="33"/>
  <c r="E68" i="33"/>
  <c r="Q68" i="33"/>
  <c r="K68" i="33"/>
  <c r="C58" i="31"/>
  <c r="C63" i="33"/>
  <c r="C39" i="31"/>
  <c r="C44" i="33"/>
  <c r="C40" i="31"/>
  <c r="C45" i="33"/>
  <c r="D54" i="33"/>
  <c r="D60" i="33"/>
  <c r="D49" i="33"/>
  <c r="C54" i="31"/>
  <c r="C59" i="33"/>
  <c r="D62" i="33"/>
  <c r="E45" i="33"/>
  <c r="Q45" i="33"/>
  <c r="K45" i="33"/>
  <c r="C63" i="31"/>
  <c r="C68" i="33"/>
  <c r="C53" i="31"/>
  <c r="C58" i="33"/>
  <c r="C51" i="31"/>
  <c r="C56" i="33"/>
  <c r="G66" i="33"/>
  <c r="D41" i="33"/>
  <c r="D48" i="33"/>
  <c r="F62" i="31"/>
  <c r="E58" i="31"/>
  <c r="L58" i="31" s="1"/>
  <c r="M58" i="31" s="1"/>
  <c r="N58" i="31" s="1"/>
  <c r="J58" i="31"/>
  <c r="F96" i="22"/>
  <c r="E41" i="31"/>
  <c r="L41" i="31" s="1"/>
  <c r="M41" i="31" s="1"/>
  <c r="N41" i="31" s="1"/>
  <c r="J41" i="31"/>
  <c r="AM47" i="32"/>
  <c r="F42" i="31"/>
  <c r="G47" i="33" s="1"/>
  <c r="D45" i="31"/>
  <c r="N36" i="31"/>
  <c r="F46" i="31"/>
  <c r="E38" i="31"/>
  <c r="L38" i="31" s="1"/>
  <c r="M38" i="31" s="1"/>
  <c r="N38" i="31" s="1"/>
  <c r="J38" i="31"/>
  <c r="D56" i="31"/>
  <c r="T61" i="32" s="1"/>
  <c r="E63" i="31"/>
  <c r="L63" i="31" s="1"/>
  <c r="M63" i="31" s="1"/>
  <c r="N63" i="31" s="1"/>
  <c r="J63" i="31"/>
  <c r="D48" i="31"/>
  <c r="E39" i="31"/>
  <c r="L39" i="31" s="1"/>
  <c r="M39" i="31" s="1"/>
  <c r="N39" i="31" s="1"/>
  <c r="J39" i="31"/>
  <c r="F95" i="22"/>
  <c r="F100" i="22" s="1"/>
  <c r="F101" i="22" s="1"/>
  <c r="C41" i="31"/>
  <c r="D37" i="31"/>
  <c r="V42" i="32" s="1"/>
  <c r="D61" i="31"/>
  <c r="V66" i="32" s="1"/>
  <c r="G61" i="31"/>
  <c r="C10" i="29"/>
  <c r="F37" i="31"/>
  <c r="G42" i="33" s="1"/>
  <c r="E40" i="31"/>
  <c r="L40" i="31" s="1"/>
  <c r="M40" i="31" s="1"/>
  <c r="N40" i="31" s="1"/>
  <c r="J40" i="31"/>
  <c r="D66" i="31"/>
  <c r="D49" i="31"/>
  <c r="E85" i="20"/>
  <c r="M14" i="20" s="1"/>
  <c r="E128" i="20"/>
  <c r="E127" i="20"/>
  <c r="D85" i="20"/>
  <c r="L14" i="20" s="1"/>
  <c r="E121" i="20"/>
  <c r="E120" i="20"/>
  <c r="E115" i="20"/>
  <c r="C115" i="20"/>
  <c r="I13" i="5"/>
  <c r="B28" i="5" s="1"/>
  <c r="L48" i="5" s="1"/>
  <c r="U55" i="35" s="1"/>
  <c r="C69" i="5"/>
  <c r="D68" i="5"/>
  <c r="E68" i="5" s="1"/>
  <c r="F24" i="5"/>
  <c r="F30" i="5" s="1"/>
  <c r="F23" i="5"/>
  <c r="J24" i="5"/>
  <c r="J30" i="5" s="1"/>
  <c r="J23" i="5"/>
  <c r="J29" i="5" s="1"/>
  <c r="E23" i="5"/>
  <c r="D102" i="34"/>
  <c r="G94" i="34"/>
  <c r="G95" i="34"/>
  <c r="I93" i="34"/>
  <c r="J93" i="34" s="1"/>
  <c r="S93" i="34" s="1"/>
  <c r="T93" i="34" s="1"/>
  <c r="U93" i="34" s="1"/>
  <c r="AI93" i="34" s="1"/>
  <c r="L24" i="2"/>
  <c r="D107" i="34"/>
  <c r="AM61" i="32"/>
  <c r="F50" i="33"/>
  <c r="F54" i="33"/>
  <c r="D67" i="33"/>
  <c r="I90" i="34"/>
  <c r="J90" i="34" s="1"/>
  <c r="S90" i="34" s="1"/>
  <c r="T90" i="34" s="1"/>
  <c r="U90" i="34" s="1"/>
  <c r="D51" i="33"/>
  <c r="U35" i="35" l="1"/>
  <c r="O47" i="33"/>
  <c r="P47" i="33" s="1"/>
  <c r="R47" i="33" s="1"/>
  <c r="S100" i="34"/>
  <c r="T100" i="34" s="1"/>
  <c r="U100" i="34" s="1"/>
  <c r="AI100" i="34" s="1"/>
  <c r="S105" i="34"/>
  <c r="T105" i="34" s="1"/>
  <c r="U105" i="34" s="1"/>
  <c r="AI105" i="34" s="1"/>
  <c r="S79" i="34"/>
  <c r="T79" i="34" s="1"/>
  <c r="U79" i="34" s="1"/>
  <c r="W79" i="34" s="1"/>
  <c r="V53" i="35"/>
  <c r="R299" i="35" s="1"/>
  <c r="K64" i="5"/>
  <c r="N64" i="5" s="1"/>
  <c r="O66" i="33"/>
  <c r="P66" i="33" s="1"/>
  <c r="R66" i="33" s="1"/>
  <c r="S87" i="34"/>
  <c r="T87" i="34" s="1"/>
  <c r="AA47" i="32"/>
  <c r="AK47" i="32" s="1"/>
  <c r="S86" i="34"/>
  <c r="T86" i="34" s="1"/>
  <c r="N106" i="34"/>
  <c r="P106" i="34" s="1"/>
  <c r="N101" i="34"/>
  <c r="P101" i="34" s="1"/>
  <c r="W98" i="34"/>
  <c r="AI98" i="34"/>
  <c r="Z47" i="32"/>
  <c r="AJ47" i="32" s="1"/>
  <c r="I106" i="34"/>
  <c r="J106" i="34" s="1"/>
  <c r="F103" i="34"/>
  <c r="F102" i="34"/>
  <c r="K107" i="34"/>
  <c r="L107" i="34"/>
  <c r="M107" i="34"/>
  <c r="H107" i="34"/>
  <c r="E107" i="34"/>
  <c r="F53" i="33"/>
  <c r="O53" i="33" s="1"/>
  <c r="P53" i="33" s="1"/>
  <c r="R53" i="33" s="1"/>
  <c r="I83" i="34"/>
  <c r="J83" i="34" s="1"/>
  <c r="H102" i="34"/>
  <c r="K102" i="34"/>
  <c r="L102" i="34"/>
  <c r="M102" i="34"/>
  <c r="E102" i="34"/>
  <c r="W90" i="34"/>
  <c r="AI90" i="34"/>
  <c r="I101" i="34"/>
  <c r="J101" i="34" s="1"/>
  <c r="B48" i="2"/>
  <c r="B82" i="38" s="1"/>
  <c r="B81" i="34"/>
  <c r="F67" i="33"/>
  <c r="I67" i="33" s="1"/>
  <c r="J67" i="33" s="1"/>
  <c r="L67" i="33" s="1"/>
  <c r="S91" i="34"/>
  <c r="T91" i="34" s="1"/>
  <c r="T66" i="32"/>
  <c r="AD66" i="32" s="1"/>
  <c r="I61" i="33"/>
  <c r="J61" i="33" s="1"/>
  <c r="L61" i="33" s="1"/>
  <c r="F47" i="31"/>
  <c r="G47" i="31" s="1"/>
  <c r="I82" i="34"/>
  <c r="J82" i="34" s="1"/>
  <c r="O54" i="33"/>
  <c r="P54" i="33" s="1"/>
  <c r="R54" i="33" s="1"/>
  <c r="I89" i="34"/>
  <c r="J89" i="34" s="1"/>
  <c r="S89" i="34" s="1"/>
  <c r="I81" i="34"/>
  <c r="J81" i="34" s="1"/>
  <c r="I84" i="34"/>
  <c r="J84" i="34" s="1"/>
  <c r="X61" i="32"/>
  <c r="AH61" i="32" s="1"/>
  <c r="S92" i="34"/>
  <c r="T92" i="34" s="1"/>
  <c r="T85" i="34"/>
  <c r="G56" i="31"/>
  <c r="X62" i="32"/>
  <c r="V62" i="32"/>
  <c r="Y62" i="32"/>
  <c r="W62" i="32"/>
  <c r="AA62" i="32"/>
  <c r="R62" i="32"/>
  <c r="Z62" i="32"/>
  <c r="S62" i="32"/>
  <c r="T62" i="32"/>
  <c r="U62" i="32"/>
  <c r="S47" i="32"/>
  <c r="AC47" i="32" s="1"/>
  <c r="V47" i="32"/>
  <c r="AF47" i="32" s="1"/>
  <c r="S42" i="32"/>
  <c r="AC42" i="32" s="1"/>
  <c r="S66" i="32"/>
  <c r="AC66" i="32" s="1"/>
  <c r="F55" i="33"/>
  <c r="H56" i="31"/>
  <c r="I56" i="31" s="1"/>
  <c r="K56" i="31" s="1"/>
  <c r="F50" i="31"/>
  <c r="G50" i="31" s="1"/>
  <c r="S48" i="32"/>
  <c r="X48" i="32"/>
  <c r="T48" i="32"/>
  <c r="Y48" i="32"/>
  <c r="R48" i="32"/>
  <c r="Z48" i="32"/>
  <c r="U48" i="32"/>
  <c r="AA48" i="32"/>
  <c r="V48" i="32"/>
  <c r="W48" i="32"/>
  <c r="AA61" i="32"/>
  <c r="AK61" i="32" s="1"/>
  <c r="W47" i="32"/>
  <c r="AG47" i="32" s="1"/>
  <c r="W42" i="32"/>
  <c r="AG42" i="32" s="1"/>
  <c r="Z66" i="32"/>
  <c r="AJ66" i="32" s="1"/>
  <c r="F51" i="33"/>
  <c r="O51" i="33" s="1"/>
  <c r="P51" i="33" s="1"/>
  <c r="R51" i="33" s="1"/>
  <c r="Y61" i="32"/>
  <c r="AI61" i="32" s="1"/>
  <c r="U47" i="32"/>
  <c r="AE47" i="32" s="1"/>
  <c r="T42" i="32"/>
  <c r="AD42" i="32" s="1"/>
  <c r="Y42" i="32"/>
  <c r="AI42" i="32" s="1"/>
  <c r="W66" i="32"/>
  <c r="AG66" i="32" s="1"/>
  <c r="AA49" i="32"/>
  <c r="T49" i="32"/>
  <c r="X49" i="32"/>
  <c r="V49" i="32"/>
  <c r="R49" i="32"/>
  <c r="W49" i="32"/>
  <c r="Z49" i="32"/>
  <c r="Y49" i="32"/>
  <c r="S49" i="32"/>
  <c r="U49" i="32"/>
  <c r="S41" i="32"/>
  <c r="AA41" i="32"/>
  <c r="X41" i="32"/>
  <c r="W41" i="32"/>
  <c r="T41" i="32"/>
  <c r="U41" i="32"/>
  <c r="Y41" i="32"/>
  <c r="R41" i="32"/>
  <c r="V41" i="32"/>
  <c r="Z41" i="32"/>
  <c r="Z61" i="32"/>
  <c r="AJ61" i="32" s="1"/>
  <c r="R47" i="32"/>
  <c r="AB47" i="32" s="1"/>
  <c r="U42" i="32"/>
  <c r="AE42" i="32" s="1"/>
  <c r="X42" i="32"/>
  <c r="AH42" i="32" s="1"/>
  <c r="T60" i="32"/>
  <c r="Z60" i="32"/>
  <c r="R60" i="32"/>
  <c r="X60" i="32"/>
  <c r="S60" i="32"/>
  <c r="U60" i="32"/>
  <c r="W60" i="32"/>
  <c r="V60" i="32"/>
  <c r="Y60" i="32"/>
  <c r="AA60" i="32"/>
  <c r="U66" i="32"/>
  <c r="AE66" i="32" s="1"/>
  <c r="AM69" i="32"/>
  <c r="F52" i="33"/>
  <c r="Y50" i="32"/>
  <c r="R50" i="32"/>
  <c r="Z50" i="32"/>
  <c r="AA50" i="32"/>
  <c r="X50" i="32"/>
  <c r="T50" i="32"/>
  <c r="S50" i="32"/>
  <c r="U50" i="32"/>
  <c r="W50" i="32"/>
  <c r="V50" i="32"/>
  <c r="S61" i="32"/>
  <c r="AC61" i="32" s="1"/>
  <c r="R61" i="32"/>
  <c r="AB61" i="32" s="1"/>
  <c r="X47" i="32"/>
  <c r="AH47" i="32" s="1"/>
  <c r="Z42" i="32"/>
  <c r="AJ42" i="32" s="1"/>
  <c r="W54" i="32"/>
  <c r="R54" i="32"/>
  <c r="Z54" i="32"/>
  <c r="T54" i="32"/>
  <c r="X54" i="32"/>
  <c r="U54" i="32"/>
  <c r="S54" i="32"/>
  <c r="AA54" i="32"/>
  <c r="V54" i="32"/>
  <c r="Y54" i="32"/>
  <c r="R66" i="32"/>
  <c r="AB66" i="32" s="1"/>
  <c r="Y66" i="32"/>
  <c r="AI66" i="32" s="1"/>
  <c r="AA42" i="32"/>
  <c r="AK42" i="32" s="1"/>
  <c r="I94" i="34"/>
  <c r="J94" i="34" s="1"/>
  <c r="S94" i="34" s="1"/>
  <c r="T94" i="34" s="1"/>
  <c r="U53" i="32"/>
  <c r="X53" i="32"/>
  <c r="R53" i="32"/>
  <c r="V53" i="32"/>
  <c r="Z53" i="32"/>
  <c r="W53" i="32"/>
  <c r="Y53" i="32"/>
  <c r="T53" i="32"/>
  <c r="S53" i="32"/>
  <c r="AA53" i="32"/>
  <c r="W61" i="32"/>
  <c r="AG61" i="32" s="1"/>
  <c r="U61" i="32"/>
  <c r="AE61" i="32" s="1"/>
  <c r="Y47" i="32"/>
  <c r="AI47" i="32" s="1"/>
  <c r="R42" i="32"/>
  <c r="AB42" i="32" s="1"/>
  <c r="AA66" i="32"/>
  <c r="AK66" i="32" s="1"/>
  <c r="X66" i="32"/>
  <c r="AH66" i="32" s="1"/>
  <c r="G84" i="34"/>
  <c r="V61" i="32"/>
  <c r="AF61" i="32" s="1"/>
  <c r="G82" i="34"/>
  <c r="I96" i="34"/>
  <c r="J96" i="34" s="1"/>
  <c r="S96" i="34" s="1"/>
  <c r="T96" i="34" s="1"/>
  <c r="G96" i="34"/>
  <c r="G83" i="34"/>
  <c r="AM42" i="32"/>
  <c r="G106" i="34"/>
  <c r="G81" i="34"/>
  <c r="G101" i="34"/>
  <c r="I66" i="33"/>
  <c r="J66" i="33" s="1"/>
  <c r="L66" i="33" s="1"/>
  <c r="F56" i="33"/>
  <c r="D40" i="31"/>
  <c r="I42" i="33"/>
  <c r="J42" i="33" s="1"/>
  <c r="L42" i="33" s="1"/>
  <c r="O61" i="33"/>
  <c r="P61" i="33" s="1"/>
  <c r="R61" i="33" s="1"/>
  <c r="O42" i="33"/>
  <c r="P42" i="33" s="1"/>
  <c r="R42" i="33" s="1"/>
  <c r="O50" i="33"/>
  <c r="P50" i="33" s="1"/>
  <c r="R50" i="33" s="1"/>
  <c r="D39" i="31"/>
  <c r="S61" i="35"/>
  <c r="W61" i="35" s="1"/>
  <c r="U134" i="35"/>
  <c r="U80" i="35" s="1"/>
  <c r="W63" i="35"/>
  <c r="S284" i="35"/>
  <c r="W50" i="35"/>
  <c r="X50" i="35"/>
  <c r="D52" i="33"/>
  <c r="AW17" i="30"/>
  <c r="E13" i="35"/>
  <c r="N83" i="34"/>
  <c r="P83" i="34" s="1"/>
  <c r="N81" i="34"/>
  <c r="T88" i="34"/>
  <c r="N82" i="34"/>
  <c r="P82" i="34" s="1"/>
  <c r="T80" i="34"/>
  <c r="N84" i="34"/>
  <c r="P84" i="34" s="1"/>
  <c r="D55" i="33"/>
  <c r="F55" i="31"/>
  <c r="H55" i="31" s="1"/>
  <c r="I55" i="31" s="1"/>
  <c r="K55" i="31" s="1"/>
  <c r="F60" i="33"/>
  <c r="C59" i="31"/>
  <c r="C64" i="33"/>
  <c r="G51" i="33"/>
  <c r="F97" i="22"/>
  <c r="I50" i="33"/>
  <c r="J50" i="33" s="1"/>
  <c r="L50" i="33" s="1"/>
  <c r="D68" i="33"/>
  <c r="D45" i="33"/>
  <c r="D63" i="33"/>
  <c r="D43" i="33"/>
  <c r="F48" i="33"/>
  <c r="C64" i="31"/>
  <c r="C69" i="33"/>
  <c r="F57" i="31"/>
  <c r="H57" i="31" s="1"/>
  <c r="I57" i="31" s="1"/>
  <c r="K57" i="31" s="1"/>
  <c r="F62" i="33"/>
  <c r="F41" i="33"/>
  <c r="I54" i="33"/>
  <c r="J54" i="33" s="1"/>
  <c r="L54" i="33" s="1"/>
  <c r="D56" i="33"/>
  <c r="D58" i="33"/>
  <c r="D44" i="33"/>
  <c r="E69" i="33"/>
  <c r="Q69" i="33"/>
  <c r="K69" i="33"/>
  <c r="E64" i="33"/>
  <c r="Q64" i="33"/>
  <c r="K64" i="33"/>
  <c r="F49" i="33"/>
  <c r="F52" i="31"/>
  <c r="F57" i="33"/>
  <c r="D46" i="33"/>
  <c r="G67" i="33"/>
  <c r="AD47" i="32"/>
  <c r="AF66" i="32"/>
  <c r="H61" i="31"/>
  <c r="I61" i="31" s="1"/>
  <c r="K61" i="31" s="1"/>
  <c r="AF42" i="32"/>
  <c r="AD61" i="32"/>
  <c r="G62" i="31"/>
  <c r="D62" i="31"/>
  <c r="H62" i="31" s="1"/>
  <c r="I62" i="31" s="1"/>
  <c r="K62" i="31" s="1"/>
  <c r="G46" i="31"/>
  <c r="F43" i="31"/>
  <c r="G48" i="33" s="1"/>
  <c r="E64" i="31"/>
  <c r="L64" i="31" s="1"/>
  <c r="M64" i="31" s="1"/>
  <c r="N64" i="31" s="1"/>
  <c r="J64" i="31"/>
  <c r="F49" i="31"/>
  <c r="G54" i="33" s="1"/>
  <c r="G37" i="31"/>
  <c r="H37" i="31"/>
  <c r="I37" i="31" s="1"/>
  <c r="K37" i="31" s="1"/>
  <c r="D46" i="31"/>
  <c r="U51" i="32" s="1"/>
  <c r="E59" i="31"/>
  <c r="L59" i="31" s="1"/>
  <c r="M59" i="31" s="1"/>
  <c r="N59" i="31" s="1"/>
  <c r="J59" i="31"/>
  <c r="F48" i="31"/>
  <c r="G53" i="33" s="1"/>
  <c r="F45" i="31"/>
  <c r="G50" i="33" s="1"/>
  <c r="F51" i="31"/>
  <c r="G56" i="33" s="1"/>
  <c r="D51" i="31"/>
  <c r="V56" i="32" s="1"/>
  <c r="D53" i="31"/>
  <c r="D50" i="31"/>
  <c r="U55" i="32" s="1"/>
  <c r="D47" i="31"/>
  <c r="S52" i="32" s="1"/>
  <c r="AM49" i="32"/>
  <c r="F44" i="31"/>
  <c r="G49" i="33" s="1"/>
  <c r="F36" i="31"/>
  <c r="G41" i="33" s="1"/>
  <c r="D63" i="31"/>
  <c r="D41" i="31"/>
  <c r="D58" i="31"/>
  <c r="G42" i="31"/>
  <c r="H42" i="31"/>
  <c r="I42" i="31" s="1"/>
  <c r="K42" i="31" s="1"/>
  <c r="E42" i="22"/>
  <c r="E77" i="22"/>
  <c r="O14" i="20"/>
  <c r="P16" i="19" s="1"/>
  <c r="N14" i="20"/>
  <c r="E129" i="20"/>
  <c r="E122" i="20"/>
  <c r="E22" i="5"/>
  <c r="I28" i="5"/>
  <c r="B31" i="5"/>
  <c r="B27" i="5"/>
  <c r="K48" i="5" s="1"/>
  <c r="B30" i="5"/>
  <c r="I27" i="5"/>
  <c r="B29" i="5"/>
  <c r="D69" i="5"/>
  <c r="E69" i="5" s="1"/>
  <c r="C70" i="5"/>
  <c r="I23" i="5"/>
  <c r="E24" i="5"/>
  <c r="I24" i="5"/>
  <c r="F29" i="5"/>
  <c r="E37" i="5"/>
  <c r="E35" i="5"/>
  <c r="AM62" i="32"/>
  <c r="AM55" i="32"/>
  <c r="AM53" i="32"/>
  <c r="F63" i="33"/>
  <c r="F58" i="33"/>
  <c r="AM50" i="32"/>
  <c r="AM51" i="32"/>
  <c r="F46" i="33"/>
  <c r="AM56" i="32"/>
  <c r="AM52" i="32"/>
  <c r="AM60" i="32"/>
  <c r="AM54" i="32"/>
  <c r="AM48" i="32"/>
  <c r="T55" i="35" l="1"/>
  <c r="V55" i="35" s="1"/>
  <c r="I52" i="33"/>
  <c r="J52" i="33" s="1"/>
  <c r="L52" i="33" s="1"/>
  <c r="O67" i="33"/>
  <c r="P67" i="33" s="1"/>
  <c r="R67" i="33" s="1"/>
  <c r="AI79" i="34"/>
  <c r="AJ79" i="34" s="1"/>
  <c r="I51" i="33"/>
  <c r="J51" i="33" s="1"/>
  <c r="L51" i="33" s="1"/>
  <c r="G55" i="33"/>
  <c r="R298" i="35"/>
  <c r="S106" i="34"/>
  <c r="T106" i="34" s="1"/>
  <c r="U106" i="34" s="1"/>
  <c r="AI106" i="34" s="1"/>
  <c r="I53" i="33"/>
  <c r="J53" i="33" s="1"/>
  <c r="L53" i="33" s="1"/>
  <c r="G57" i="31"/>
  <c r="G52" i="33"/>
  <c r="S83" i="34"/>
  <c r="T83" i="34" s="1"/>
  <c r="T55" i="32"/>
  <c r="AD55" i="32" s="1"/>
  <c r="U56" i="32"/>
  <c r="AE56" i="32" s="1"/>
  <c r="S101" i="34"/>
  <c r="T101" i="34" s="1"/>
  <c r="U101" i="34" s="1"/>
  <c r="AI101" i="34" s="1"/>
  <c r="S84" i="34"/>
  <c r="T84" i="34" s="1"/>
  <c r="AJ90" i="34"/>
  <c r="AJ98" i="34"/>
  <c r="C65" i="33"/>
  <c r="D103" i="34"/>
  <c r="I102" i="34"/>
  <c r="J102" i="34" s="1"/>
  <c r="S82" i="34"/>
  <c r="T82" i="34" s="1"/>
  <c r="B49" i="2"/>
  <c r="B83" i="38" s="1"/>
  <c r="B82" i="34"/>
  <c r="C70" i="33"/>
  <c r="D108" i="34"/>
  <c r="AA51" i="32"/>
  <c r="H103" i="34"/>
  <c r="E103" i="34"/>
  <c r="K103" i="34"/>
  <c r="L103" i="34"/>
  <c r="M103" i="34"/>
  <c r="I55" i="33"/>
  <c r="J55" i="33" s="1"/>
  <c r="L55" i="33" s="1"/>
  <c r="I95" i="34"/>
  <c r="J95" i="34" s="1"/>
  <c r="S95" i="34" s="1"/>
  <c r="T95" i="34" s="1"/>
  <c r="U95" i="34" s="1"/>
  <c r="AI95" i="34" s="1"/>
  <c r="V67" i="32"/>
  <c r="AF67" i="32" s="1"/>
  <c r="Y51" i="32"/>
  <c r="AI51" i="32" s="1"/>
  <c r="I107" i="34"/>
  <c r="J107" i="34" s="1"/>
  <c r="E108" i="34"/>
  <c r="K108" i="34"/>
  <c r="L108" i="34"/>
  <c r="M108" i="34"/>
  <c r="H108" i="34"/>
  <c r="I108" i="34" s="1"/>
  <c r="J108" i="34" s="1"/>
  <c r="D59" i="33"/>
  <c r="I97" i="34"/>
  <c r="J97" i="34" s="1"/>
  <c r="S97" i="34" s="1"/>
  <c r="T97" i="34" s="1"/>
  <c r="U97" i="34" s="1"/>
  <c r="AI97" i="34" s="1"/>
  <c r="G97" i="34"/>
  <c r="N102" i="34"/>
  <c r="P102" i="34" s="1"/>
  <c r="N107" i="34"/>
  <c r="P107" i="34" s="1"/>
  <c r="U92" i="34"/>
  <c r="U85" i="34"/>
  <c r="AI85" i="34" s="1"/>
  <c r="U86" i="34"/>
  <c r="AI86" i="34" s="1"/>
  <c r="U91" i="34"/>
  <c r="U87" i="34"/>
  <c r="AI87" i="34" s="1"/>
  <c r="U94" i="34"/>
  <c r="AI94" i="34" s="1"/>
  <c r="U80" i="34"/>
  <c r="AI80" i="34" s="1"/>
  <c r="U88" i="34"/>
  <c r="AI88" i="34" s="1"/>
  <c r="U96" i="34"/>
  <c r="AI96" i="34" s="1"/>
  <c r="P81" i="34"/>
  <c r="S81" i="34" s="1"/>
  <c r="I56" i="33"/>
  <c r="J56" i="33" s="1"/>
  <c r="L56" i="33" s="1"/>
  <c r="D52" i="31"/>
  <c r="S46" i="32"/>
  <c r="T46" i="32"/>
  <c r="U46" i="32"/>
  <c r="X46" i="32"/>
  <c r="V46" i="32"/>
  <c r="AA46" i="32"/>
  <c r="W46" i="32"/>
  <c r="Y46" i="32"/>
  <c r="Z46" i="32"/>
  <c r="R46" i="32"/>
  <c r="R67" i="32"/>
  <c r="AB67" i="32" s="1"/>
  <c r="Z52" i="32"/>
  <c r="AJ52" i="32" s="1"/>
  <c r="V51" i="32"/>
  <c r="AF51" i="32" s="1"/>
  <c r="AA55" i="32"/>
  <c r="AK55" i="32" s="1"/>
  <c r="AA56" i="32"/>
  <c r="AK56" i="32" s="1"/>
  <c r="U45" i="32"/>
  <c r="Y45" i="32"/>
  <c r="T45" i="32"/>
  <c r="AA45" i="32"/>
  <c r="X45" i="32"/>
  <c r="R45" i="32"/>
  <c r="V45" i="32"/>
  <c r="Z45" i="32"/>
  <c r="W45" i="32"/>
  <c r="S45" i="32"/>
  <c r="Y67" i="32"/>
  <c r="AI67" i="32" s="1"/>
  <c r="R52" i="32"/>
  <c r="AB52" i="32" s="1"/>
  <c r="S51" i="32"/>
  <c r="AC51" i="32" s="1"/>
  <c r="V55" i="32"/>
  <c r="AF55" i="32" s="1"/>
  <c r="S56" i="32"/>
  <c r="AC56" i="32" s="1"/>
  <c r="X58" i="32"/>
  <c r="W58" i="32"/>
  <c r="U58" i="32"/>
  <c r="T58" i="32"/>
  <c r="Y58" i="32"/>
  <c r="S58" i="32"/>
  <c r="V58" i="32"/>
  <c r="AA58" i="32"/>
  <c r="R58" i="32"/>
  <c r="Z58" i="32"/>
  <c r="X67" i="32"/>
  <c r="AH67" i="32" s="1"/>
  <c r="V52" i="32"/>
  <c r="AF52" i="32" s="1"/>
  <c r="W52" i="32"/>
  <c r="AG52" i="32" s="1"/>
  <c r="T51" i="32"/>
  <c r="AD51" i="32" s="1"/>
  <c r="Z55" i="32"/>
  <c r="AJ55" i="32" s="1"/>
  <c r="W55" i="32"/>
  <c r="AG55" i="32" s="1"/>
  <c r="R56" i="32"/>
  <c r="AB56" i="32" s="1"/>
  <c r="W67" i="32"/>
  <c r="AG67" i="32" s="1"/>
  <c r="U67" i="32"/>
  <c r="AE67" i="32" s="1"/>
  <c r="Y52" i="32"/>
  <c r="AI52" i="32" s="1"/>
  <c r="T52" i="32"/>
  <c r="AD52" i="32" s="1"/>
  <c r="Z51" i="32"/>
  <c r="AJ51" i="32" s="1"/>
  <c r="R55" i="32"/>
  <c r="AB55" i="32" s="1"/>
  <c r="S55" i="32"/>
  <c r="AC55" i="32" s="1"/>
  <c r="Z56" i="32"/>
  <c r="AJ56" i="32" s="1"/>
  <c r="F59" i="33"/>
  <c r="O59" i="33" s="1"/>
  <c r="P59" i="33" s="1"/>
  <c r="R59" i="33" s="1"/>
  <c r="AA52" i="32"/>
  <c r="AK52" i="32" s="1"/>
  <c r="AM57" i="32"/>
  <c r="S63" i="32"/>
  <c r="T63" i="32"/>
  <c r="U63" i="32"/>
  <c r="W63" i="32"/>
  <c r="Y63" i="32"/>
  <c r="AA63" i="32"/>
  <c r="X63" i="32"/>
  <c r="V63" i="32"/>
  <c r="R63" i="32"/>
  <c r="Z63" i="32"/>
  <c r="AA44" i="32"/>
  <c r="X44" i="32"/>
  <c r="T44" i="32"/>
  <c r="Y44" i="32"/>
  <c r="Z44" i="32"/>
  <c r="R44" i="32"/>
  <c r="S44" i="32"/>
  <c r="U44" i="32"/>
  <c r="V44" i="32"/>
  <c r="W44" i="32"/>
  <c r="S67" i="32"/>
  <c r="AC67" i="32" s="1"/>
  <c r="AA67" i="32"/>
  <c r="AK67" i="32" s="1"/>
  <c r="X52" i="32"/>
  <c r="AH52" i="32" s="1"/>
  <c r="R51" i="32"/>
  <c r="AB51" i="32" s="1"/>
  <c r="X55" i="32"/>
  <c r="AH55" i="32" s="1"/>
  <c r="T56" i="32"/>
  <c r="AD56" i="32" s="1"/>
  <c r="G57" i="33"/>
  <c r="D57" i="33"/>
  <c r="I57" i="33" s="1"/>
  <c r="J57" i="33" s="1"/>
  <c r="L57" i="33" s="1"/>
  <c r="Y43" i="32"/>
  <c r="T43" i="32"/>
  <c r="R43" i="32"/>
  <c r="Z43" i="32"/>
  <c r="V43" i="32"/>
  <c r="S43" i="32"/>
  <c r="W43" i="32"/>
  <c r="AA43" i="32"/>
  <c r="U43" i="32"/>
  <c r="X43" i="32"/>
  <c r="T67" i="32"/>
  <c r="AD67" i="32" s="1"/>
  <c r="U52" i="32"/>
  <c r="AE52" i="32" s="1"/>
  <c r="X51" i="32"/>
  <c r="AH51" i="32" s="1"/>
  <c r="Y55" i="32"/>
  <c r="AI55" i="32" s="1"/>
  <c r="Y56" i="32"/>
  <c r="AI56" i="32" s="1"/>
  <c r="X56" i="32"/>
  <c r="AH56" i="32" s="1"/>
  <c r="AM70" i="32"/>
  <c r="F54" i="31"/>
  <c r="G54" i="31" s="1"/>
  <c r="U68" i="32"/>
  <c r="Z68" i="32"/>
  <c r="V68" i="32"/>
  <c r="Y68" i="32"/>
  <c r="W68" i="32"/>
  <c r="R68" i="32"/>
  <c r="X68" i="32"/>
  <c r="T68" i="32"/>
  <c r="S68" i="32"/>
  <c r="AA68" i="32"/>
  <c r="Z67" i="32"/>
  <c r="AJ67" i="32" s="1"/>
  <c r="W51" i="32"/>
  <c r="AG51" i="32" s="1"/>
  <c r="W56" i="32"/>
  <c r="AG56" i="32" s="1"/>
  <c r="AM41" i="32"/>
  <c r="AF41" i="32"/>
  <c r="G102" i="34"/>
  <c r="O55" i="33"/>
  <c r="P55" i="33" s="1"/>
  <c r="R55" i="33" s="1"/>
  <c r="O52" i="33"/>
  <c r="P52" i="33" s="1"/>
  <c r="R52" i="33" s="1"/>
  <c r="AW16" i="30"/>
  <c r="AK41" i="32"/>
  <c r="AG49" i="32"/>
  <c r="AG48" i="32"/>
  <c r="G62" i="33"/>
  <c r="H52" i="31"/>
  <c r="I52" i="31" s="1"/>
  <c r="K52" i="31" s="1"/>
  <c r="S64" i="35"/>
  <c r="AL47" i="32"/>
  <c r="AN47" i="32" s="1"/>
  <c r="AO47" i="32" s="1"/>
  <c r="AX22" i="30" s="1"/>
  <c r="G60" i="33"/>
  <c r="G55" i="31"/>
  <c r="AC41" i="32"/>
  <c r="AB41" i="32"/>
  <c r="AI41" i="32"/>
  <c r="AD41" i="32"/>
  <c r="I46" i="33"/>
  <c r="J46" i="33" s="1"/>
  <c r="L46" i="33" s="1"/>
  <c r="AE41" i="32"/>
  <c r="AG41" i="32"/>
  <c r="AH41" i="32"/>
  <c r="AJ41" i="32"/>
  <c r="E34" i="35"/>
  <c r="E53" i="35"/>
  <c r="E75" i="35"/>
  <c r="T89" i="34"/>
  <c r="E70" i="33"/>
  <c r="Q70" i="33"/>
  <c r="K70" i="33"/>
  <c r="O58" i="33"/>
  <c r="P58" i="33" s="1"/>
  <c r="R58" i="33" s="1"/>
  <c r="I58" i="33"/>
  <c r="J58" i="33" s="1"/>
  <c r="L58" i="33" s="1"/>
  <c r="F63" i="31"/>
  <c r="G68" i="33" s="1"/>
  <c r="F68" i="33"/>
  <c r="F43" i="33"/>
  <c r="O46" i="33"/>
  <c r="P46" i="33" s="1"/>
  <c r="R46" i="33" s="1"/>
  <c r="G52" i="31"/>
  <c r="D69" i="33"/>
  <c r="O56" i="33"/>
  <c r="P56" i="33" s="1"/>
  <c r="R56" i="33" s="1"/>
  <c r="E65" i="33"/>
  <c r="Q65" i="33"/>
  <c r="K65" i="33"/>
  <c r="F45" i="33"/>
  <c r="F44" i="33"/>
  <c r="O62" i="33"/>
  <c r="P62" i="33" s="1"/>
  <c r="R62" i="33" s="1"/>
  <c r="I62" i="33"/>
  <c r="J62" i="33" s="1"/>
  <c r="L62" i="33" s="1"/>
  <c r="D64" i="33"/>
  <c r="O63" i="33"/>
  <c r="P63" i="33" s="1"/>
  <c r="R63" i="33" s="1"/>
  <c r="I63" i="33"/>
  <c r="J63" i="33" s="1"/>
  <c r="L63" i="33" s="1"/>
  <c r="O49" i="33"/>
  <c r="P49" i="33" s="1"/>
  <c r="R49" i="33" s="1"/>
  <c r="I49" i="33"/>
  <c r="J49" i="33" s="1"/>
  <c r="L49" i="33" s="1"/>
  <c r="O60" i="33"/>
  <c r="P60" i="33" s="1"/>
  <c r="R60" i="33" s="1"/>
  <c r="I60" i="33"/>
  <c r="J60" i="33" s="1"/>
  <c r="L60" i="33" s="1"/>
  <c r="O41" i="33"/>
  <c r="P41" i="33" s="1"/>
  <c r="R41" i="33" s="1"/>
  <c r="I41" i="33"/>
  <c r="J41" i="33" s="1"/>
  <c r="L41" i="33" s="1"/>
  <c r="O48" i="33"/>
  <c r="P48" i="33" s="1"/>
  <c r="R48" i="33" s="1"/>
  <c r="I48" i="33"/>
  <c r="J48" i="33" s="1"/>
  <c r="L48" i="33" s="1"/>
  <c r="AD50" i="32"/>
  <c r="AF50" i="32"/>
  <c r="AG50" i="32"/>
  <c r="AD53" i="32"/>
  <c r="AF53" i="32"/>
  <c r="AI54" i="32"/>
  <c r="AK54" i="32"/>
  <c r="AJ54" i="32"/>
  <c r="AI49" i="32"/>
  <c r="AD48" i="32"/>
  <c r="AK49" i="32"/>
  <c r="AB48" i="32"/>
  <c r="AF60" i="32"/>
  <c r="AJ49" i="32"/>
  <c r="AC62" i="32"/>
  <c r="AK60" i="32"/>
  <c r="AH49" i="32"/>
  <c r="AE48" i="32"/>
  <c r="AJ50" i="32"/>
  <c r="AE50" i="32"/>
  <c r="AC53" i="32"/>
  <c r="AJ53" i="32"/>
  <c r="AC54" i="32"/>
  <c r="AH54" i="32"/>
  <c r="AD54" i="32"/>
  <c r="AG62" i="32"/>
  <c r="AF48" i="32"/>
  <c r="AJ62" i="32"/>
  <c r="AC48" i="32"/>
  <c r="AD49" i="32"/>
  <c r="AH48" i="32"/>
  <c r="AC60" i="32"/>
  <c r="AF62" i="32"/>
  <c r="AE60" i="32"/>
  <c r="AI50" i="32"/>
  <c r="AH50" i="32"/>
  <c r="AB53" i="32"/>
  <c r="AH53" i="32"/>
  <c r="AG53" i="32"/>
  <c r="AG54" i="32"/>
  <c r="AB54" i="32"/>
  <c r="AI62" i="32"/>
  <c r="AG60" i="32"/>
  <c r="AH62" i="32"/>
  <c r="AK48" i="32"/>
  <c r="AF49" i="32"/>
  <c r="AI48" i="32"/>
  <c r="AE49" i="32"/>
  <c r="AB62" i="32"/>
  <c r="AB60" i="32"/>
  <c r="AK50" i="32"/>
  <c r="AC50" i="32"/>
  <c r="AB50" i="32"/>
  <c r="AK53" i="32"/>
  <c r="AI53" i="32"/>
  <c r="AE53" i="32"/>
  <c r="AF54" i="32"/>
  <c r="AE54" i="32"/>
  <c r="AK62" i="32"/>
  <c r="AI60" i="32"/>
  <c r="AB49" i="32"/>
  <c r="AE62" i="32"/>
  <c r="AD60" i="32"/>
  <c r="AD62" i="32"/>
  <c r="AH60" i="32"/>
  <c r="AC49" i="32"/>
  <c r="AJ48" i="32"/>
  <c r="AJ60" i="32"/>
  <c r="H47" i="31"/>
  <c r="I47" i="31" s="1"/>
  <c r="K47" i="31" s="1"/>
  <c r="AC52" i="32"/>
  <c r="H51" i="31"/>
  <c r="I51" i="31" s="1"/>
  <c r="K51" i="31" s="1"/>
  <c r="H46" i="31"/>
  <c r="I46" i="31" s="1"/>
  <c r="K46" i="31" s="1"/>
  <c r="AK51" i="32"/>
  <c r="AE51" i="32"/>
  <c r="AL61" i="32"/>
  <c r="AN61" i="32" s="1"/>
  <c r="AO61" i="32" s="1"/>
  <c r="AX36" i="30" s="1"/>
  <c r="AE55" i="32"/>
  <c r="AL66" i="32"/>
  <c r="AN66" i="32" s="1"/>
  <c r="AO66" i="32" s="1"/>
  <c r="AX41" i="30" s="1"/>
  <c r="C6" i="19" s="1"/>
  <c r="AF56" i="32"/>
  <c r="AL42" i="32"/>
  <c r="F41" i="31"/>
  <c r="G46" i="33" s="1"/>
  <c r="C65" i="31"/>
  <c r="F40" i="31"/>
  <c r="G45" i="33" s="1"/>
  <c r="AM44" i="32"/>
  <c r="F39" i="31"/>
  <c r="G44" i="33" s="1"/>
  <c r="C60" i="31"/>
  <c r="F58" i="31"/>
  <c r="G63" i="33" s="1"/>
  <c r="G36" i="31"/>
  <c r="H36" i="31"/>
  <c r="I36" i="31" s="1"/>
  <c r="K36" i="31" s="1"/>
  <c r="G44" i="31"/>
  <c r="H44" i="31"/>
  <c r="I44" i="31" s="1"/>
  <c r="K44" i="31" s="1"/>
  <c r="H48" i="31"/>
  <c r="I48" i="31" s="1"/>
  <c r="K48" i="31" s="1"/>
  <c r="G48" i="31"/>
  <c r="H49" i="31"/>
  <c r="I49" i="31" s="1"/>
  <c r="K49" i="31" s="1"/>
  <c r="G49" i="31"/>
  <c r="G51" i="31"/>
  <c r="E60" i="31"/>
  <c r="L60" i="31" s="1"/>
  <c r="M60" i="31" s="1"/>
  <c r="J60" i="31"/>
  <c r="E65" i="31"/>
  <c r="L65" i="31" s="1"/>
  <c r="M65" i="31" s="1"/>
  <c r="N65" i="31" s="1"/>
  <c r="J65" i="31"/>
  <c r="F53" i="31"/>
  <c r="G58" i="33" s="1"/>
  <c r="D59" i="31"/>
  <c r="D64" i="31"/>
  <c r="D54" i="31"/>
  <c r="Y59" i="32" s="1"/>
  <c r="F38" i="31"/>
  <c r="G43" i="33" s="1"/>
  <c r="G45" i="31"/>
  <c r="H45" i="31"/>
  <c r="I45" i="31" s="1"/>
  <c r="K45" i="31" s="1"/>
  <c r="H50" i="31"/>
  <c r="I50" i="31" s="1"/>
  <c r="K50" i="31" s="1"/>
  <c r="G43" i="31"/>
  <c r="H43" i="31"/>
  <c r="I43" i="31" s="1"/>
  <c r="K43" i="31" s="1"/>
  <c r="E67" i="22"/>
  <c r="J11" i="30"/>
  <c r="K11" i="30"/>
  <c r="E94" i="22"/>
  <c r="E81" i="22"/>
  <c r="K13" i="22" s="1"/>
  <c r="C10" i="19"/>
  <c r="AM43" i="32"/>
  <c r="I14" i="5"/>
  <c r="I29" i="5" s="1"/>
  <c r="D70" i="5"/>
  <c r="E70" i="5" s="1"/>
  <c r="C71" i="5"/>
  <c r="AM63" i="32"/>
  <c r="AM45" i="32"/>
  <c r="AM58" i="32"/>
  <c r="F64" i="33"/>
  <c r="AM59" i="32"/>
  <c r="AM46" i="32"/>
  <c r="U166" i="35" l="1"/>
  <c r="R308" i="35"/>
  <c r="R309" i="35"/>
  <c r="O57" i="33"/>
  <c r="P57" i="33" s="1"/>
  <c r="R57" i="33" s="1"/>
  <c r="G59" i="33"/>
  <c r="S107" i="34"/>
  <c r="T107" i="34" s="1"/>
  <c r="U107" i="34" s="1"/>
  <c r="AI107" i="34" s="1"/>
  <c r="N108" i="34"/>
  <c r="P108" i="34" s="1"/>
  <c r="S108" i="34" s="1"/>
  <c r="T108" i="34" s="1"/>
  <c r="U108" i="34" s="1"/>
  <c r="AI108" i="34" s="1"/>
  <c r="I59" i="33"/>
  <c r="J59" i="33" s="1"/>
  <c r="L59" i="33" s="1"/>
  <c r="F69" i="33"/>
  <c r="I69" i="33" s="1"/>
  <c r="J69" i="33" s="1"/>
  <c r="L69" i="33" s="1"/>
  <c r="G107" i="34"/>
  <c r="W91" i="34"/>
  <c r="AI91" i="34"/>
  <c r="B50" i="2"/>
  <c r="B84" i="38" s="1"/>
  <c r="B83" i="34"/>
  <c r="I103" i="34"/>
  <c r="J103" i="34" s="1"/>
  <c r="W92" i="34"/>
  <c r="AI92" i="34"/>
  <c r="S102" i="34"/>
  <c r="T102" i="34" s="1"/>
  <c r="U102" i="34" s="1"/>
  <c r="AI102" i="34" s="1"/>
  <c r="N103" i="34"/>
  <c r="P103" i="34" s="1"/>
  <c r="U82" i="34"/>
  <c r="AI82" i="34" s="1"/>
  <c r="U89" i="34"/>
  <c r="AI89" i="34" s="1"/>
  <c r="U84" i="34"/>
  <c r="AI84" i="34" s="1"/>
  <c r="U83" i="34"/>
  <c r="AI83" i="34" s="1"/>
  <c r="U11" i="30"/>
  <c r="T81" i="34"/>
  <c r="G108" i="34"/>
  <c r="Z59" i="32"/>
  <c r="AJ59" i="32" s="1"/>
  <c r="R59" i="32"/>
  <c r="AB59" i="32" s="1"/>
  <c r="S59" i="32"/>
  <c r="AC59" i="32" s="1"/>
  <c r="U59" i="32"/>
  <c r="AE59" i="32" s="1"/>
  <c r="X59" i="32"/>
  <c r="AH59" i="32" s="1"/>
  <c r="T59" i="32"/>
  <c r="AD59" i="32" s="1"/>
  <c r="W59" i="32"/>
  <c r="AG59" i="32" s="1"/>
  <c r="V59" i="32"/>
  <c r="AF59" i="32" s="1"/>
  <c r="W69" i="32"/>
  <c r="S69" i="32"/>
  <c r="AA69" i="32"/>
  <c r="T69" i="32"/>
  <c r="U69" i="32"/>
  <c r="V69" i="32"/>
  <c r="Z69" i="32"/>
  <c r="R69" i="32"/>
  <c r="X69" i="32"/>
  <c r="Y69" i="32"/>
  <c r="W64" i="32"/>
  <c r="R64" i="32"/>
  <c r="X64" i="32"/>
  <c r="T64" i="32"/>
  <c r="Y64" i="32"/>
  <c r="U64" i="32"/>
  <c r="AA64" i="32"/>
  <c r="Z64" i="32"/>
  <c r="S64" i="32"/>
  <c r="V64" i="32"/>
  <c r="AA59" i="32"/>
  <c r="AK59" i="32" s="1"/>
  <c r="R57" i="32"/>
  <c r="AB57" i="32" s="1"/>
  <c r="T57" i="32"/>
  <c r="AD57" i="32" s="1"/>
  <c r="X57" i="32"/>
  <c r="AH57" i="32" s="1"/>
  <c r="W57" i="32"/>
  <c r="AG57" i="32" s="1"/>
  <c r="Z57" i="32"/>
  <c r="AJ57" i="32" s="1"/>
  <c r="V57" i="32"/>
  <c r="AF57" i="32" s="1"/>
  <c r="U57" i="32"/>
  <c r="AE57" i="32" s="1"/>
  <c r="Y57" i="32"/>
  <c r="AI57" i="32" s="1"/>
  <c r="S57" i="32"/>
  <c r="AC57" i="32" s="1"/>
  <c r="AA57" i="32"/>
  <c r="AK57" i="32" s="1"/>
  <c r="G103" i="34"/>
  <c r="G63" i="31"/>
  <c r="H63" i="31"/>
  <c r="I63" i="31" s="1"/>
  <c r="K63" i="31" s="1"/>
  <c r="AF45" i="32"/>
  <c r="AF44" i="32"/>
  <c r="AL50" i="32"/>
  <c r="AN50" i="32" s="1"/>
  <c r="AO50" i="32" s="1"/>
  <c r="AX25" i="30" s="1"/>
  <c r="AL41" i="32"/>
  <c r="AN41" i="32" s="1"/>
  <c r="AO41" i="32" s="1"/>
  <c r="AX16" i="30" s="1"/>
  <c r="F70" i="33"/>
  <c r="AN42" i="32"/>
  <c r="AO42" i="32" s="1"/>
  <c r="AX17" i="30" s="1"/>
  <c r="Q14" i="30" s="1"/>
  <c r="M70" i="31"/>
  <c r="M69" i="31"/>
  <c r="M68" i="31"/>
  <c r="E9" i="22" s="1"/>
  <c r="AE43" i="32"/>
  <c r="AL54" i="32"/>
  <c r="AN54" i="32" s="1"/>
  <c r="AO54" i="32" s="1"/>
  <c r="AX29" i="30" s="1"/>
  <c r="AL53" i="32"/>
  <c r="AN53" i="32" s="1"/>
  <c r="AO53" i="32" s="1"/>
  <c r="AX28" i="30" s="1"/>
  <c r="D70" i="33"/>
  <c r="O43" i="33"/>
  <c r="P43" i="33" s="1"/>
  <c r="R43" i="33" s="1"/>
  <c r="I43" i="33"/>
  <c r="J43" i="33" s="1"/>
  <c r="L43" i="33" s="1"/>
  <c r="AM64" i="32"/>
  <c r="O45" i="33"/>
  <c r="P45" i="33" s="1"/>
  <c r="R45" i="33" s="1"/>
  <c r="I45" i="33"/>
  <c r="J45" i="33" s="1"/>
  <c r="L45" i="33" s="1"/>
  <c r="O68" i="33"/>
  <c r="P68" i="33" s="1"/>
  <c r="R68" i="33" s="1"/>
  <c r="I68" i="33"/>
  <c r="J68" i="33" s="1"/>
  <c r="L68" i="33" s="1"/>
  <c r="O69" i="33"/>
  <c r="P69" i="33" s="1"/>
  <c r="R69" i="33" s="1"/>
  <c r="O64" i="33"/>
  <c r="P64" i="33" s="1"/>
  <c r="R64" i="33" s="1"/>
  <c r="I64" i="33"/>
  <c r="J64" i="33" s="1"/>
  <c r="L64" i="33" s="1"/>
  <c r="D65" i="33"/>
  <c r="O44" i="33"/>
  <c r="P44" i="33" s="1"/>
  <c r="R44" i="33" s="1"/>
  <c r="I44" i="33"/>
  <c r="J44" i="33" s="1"/>
  <c r="L44" i="33" s="1"/>
  <c r="AF58" i="32"/>
  <c r="AB58" i="32"/>
  <c r="AJ68" i="32"/>
  <c r="AK68" i="32"/>
  <c r="AG68" i="32"/>
  <c r="AF46" i="32"/>
  <c r="AC46" i="32"/>
  <c r="AB46" i="32"/>
  <c r="AE63" i="32"/>
  <c r="AB63" i="32"/>
  <c r="AK63" i="32"/>
  <c r="AC44" i="32"/>
  <c r="AI43" i="32"/>
  <c r="AH45" i="32"/>
  <c r="AC45" i="32"/>
  <c r="AH44" i="32"/>
  <c r="AJ43" i="32"/>
  <c r="AC58" i="32"/>
  <c r="AK58" i="32"/>
  <c r="AE58" i="32"/>
  <c r="AI68" i="32"/>
  <c r="AE68" i="32"/>
  <c r="AH46" i="32"/>
  <c r="AK46" i="32"/>
  <c r="AG46" i="32"/>
  <c r="AG63" i="32"/>
  <c r="AJ63" i="32"/>
  <c r="AF63" i="32"/>
  <c r="AL49" i="32"/>
  <c r="AN49" i="32" s="1"/>
  <c r="AO49" i="32" s="1"/>
  <c r="AX24" i="30" s="1"/>
  <c r="AK45" i="32"/>
  <c r="AL60" i="32"/>
  <c r="AN60" i="32" s="1"/>
  <c r="AO60" i="32" s="1"/>
  <c r="AX35" i="30" s="1"/>
  <c r="AJ45" i="32"/>
  <c r="AE44" i="32"/>
  <c r="AB45" i="32"/>
  <c r="AB43" i="32"/>
  <c r="AB44" i="32"/>
  <c r="AD43" i="32"/>
  <c r="AG58" i="32"/>
  <c r="AI58" i="32"/>
  <c r="AJ58" i="32"/>
  <c r="AC68" i="32"/>
  <c r="AD68" i="32"/>
  <c r="AJ46" i="32"/>
  <c r="AE46" i="32"/>
  <c r="AH63" i="32"/>
  <c r="AI63" i="32"/>
  <c r="AE45" i="32"/>
  <c r="AL62" i="32"/>
  <c r="AN62" i="32" s="1"/>
  <c r="AO62" i="32" s="1"/>
  <c r="AX37" i="30" s="1"/>
  <c r="AJ44" i="32"/>
  <c r="AG45" i="32"/>
  <c r="AG43" i="32"/>
  <c r="AK44" i="32"/>
  <c r="AF43" i="32"/>
  <c r="AI45" i="32"/>
  <c r="AH43" i="32"/>
  <c r="AH58" i="32"/>
  <c r="AD58" i="32"/>
  <c r="AF68" i="32"/>
  <c r="AH68" i="32"/>
  <c r="AB68" i="32"/>
  <c r="AI46" i="32"/>
  <c r="AD46" i="32"/>
  <c r="AC63" i="32"/>
  <c r="AD63" i="32"/>
  <c r="AC43" i="32"/>
  <c r="AD44" i="32"/>
  <c r="AK43" i="32"/>
  <c r="AI44" i="32"/>
  <c r="AL48" i="32"/>
  <c r="AN48" i="32" s="1"/>
  <c r="AO48" i="32" s="1"/>
  <c r="AX23" i="30" s="1"/>
  <c r="AG44" i="32"/>
  <c r="AD45" i="32"/>
  <c r="AI59" i="32"/>
  <c r="AL51" i="32"/>
  <c r="AN51" i="32" s="1"/>
  <c r="AO51" i="32" s="1"/>
  <c r="AX26" i="30" s="1"/>
  <c r="AL56" i="32"/>
  <c r="AN56" i="32" s="1"/>
  <c r="AO56" i="32" s="1"/>
  <c r="AX31" i="30" s="1"/>
  <c r="AL67" i="32"/>
  <c r="AN67" i="32" s="1"/>
  <c r="AO67" i="32" s="1"/>
  <c r="AX42" i="30" s="1"/>
  <c r="AL55" i="32"/>
  <c r="AN55" i="32" s="1"/>
  <c r="AO55" i="32" s="1"/>
  <c r="AX30" i="30" s="1"/>
  <c r="AL52" i="32"/>
  <c r="AN52" i="32" s="1"/>
  <c r="AO52" i="32" s="1"/>
  <c r="AX27" i="30" s="1"/>
  <c r="F59" i="31"/>
  <c r="G64" i="33" s="1"/>
  <c r="G39" i="31"/>
  <c r="H39" i="31"/>
  <c r="I39" i="31" s="1"/>
  <c r="K39" i="31" s="1"/>
  <c r="N60" i="31"/>
  <c r="H58" i="31"/>
  <c r="I58" i="31" s="1"/>
  <c r="K58" i="31" s="1"/>
  <c r="G58" i="31"/>
  <c r="G38" i="31"/>
  <c r="H38" i="31"/>
  <c r="I38" i="31" s="1"/>
  <c r="K38" i="31" s="1"/>
  <c r="H53" i="31"/>
  <c r="I53" i="31" s="1"/>
  <c r="K53" i="31" s="1"/>
  <c r="G53" i="31"/>
  <c r="D60" i="31"/>
  <c r="G40" i="31"/>
  <c r="H40" i="31"/>
  <c r="I40" i="31" s="1"/>
  <c r="K40" i="31" s="1"/>
  <c r="D65" i="31"/>
  <c r="G41" i="31"/>
  <c r="H41" i="31"/>
  <c r="I41" i="31" s="1"/>
  <c r="K41" i="31" s="1"/>
  <c r="F64" i="31"/>
  <c r="G69" i="33" s="1"/>
  <c r="F65" i="31"/>
  <c r="G70" i="33" s="1"/>
  <c r="H54" i="31"/>
  <c r="I54" i="31" s="1"/>
  <c r="K54" i="31" s="1"/>
  <c r="N11" i="30"/>
  <c r="M11" i="30"/>
  <c r="L11" i="30"/>
  <c r="F65" i="33"/>
  <c r="E29" i="5"/>
  <c r="E28" i="5"/>
  <c r="L47" i="5" s="1"/>
  <c r="U54" i="35" s="1"/>
  <c r="E27" i="5"/>
  <c r="K47" i="5" s="1"/>
  <c r="T54" i="35" s="1"/>
  <c r="E31" i="5"/>
  <c r="I30" i="5"/>
  <c r="E30" i="5"/>
  <c r="C72" i="5"/>
  <c r="D71" i="5"/>
  <c r="E71" i="5" s="1"/>
  <c r="V54" i="35" l="1"/>
  <c r="R303" i="35" s="1"/>
  <c r="AP16" i="30"/>
  <c r="AQ16" i="30"/>
  <c r="AR16" i="30"/>
  <c r="AS16" i="30"/>
  <c r="AP17" i="30"/>
  <c r="AQ17" i="30"/>
  <c r="AR17" i="30"/>
  <c r="AS17" i="30"/>
  <c r="O65" i="33"/>
  <c r="P65" i="33" s="1"/>
  <c r="R65" i="33" s="1"/>
  <c r="AJ92" i="34"/>
  <c r="AJ91" i="34"/>
  <c r="B51" i="2"/>
  <c r="B85" i="38" s="1"/>
  <c r="B84" i="34"/>
  <c r="S103" i="34"/>
  <c r="T103" i="34" s="1"/>
  <c r="U103" i="34" s="1"/>
  <c r="AI103" i="34" s="1"/>
  <c r="U81" i="34"/>
  <c r="AI81" i="34" s="1"/>
  <c r="AL57" i="32"/>
  <c r="AN57" i="32" s="1"/>
  <c r="AO57" i="32" s="1"/>
  <c r="AX32" i="30" s="1"/>
  <c r="R65" i="32"/>
  <c r="V65" i="32"/>
  <c r="AF65" i="32" s="1"/>
  <c r="Z65" i="32"/>
  <c r="X65" i="32"/>
  <c r="AH65" i="32" s="1"/>
  <c r="S65" i="32"/>
  <c r="AC65" i="32" s="1"/>
  <c r="AA65" i="32"/>
  <c r="AK65" i="32" s="1"/>
  <c r="U65" i="32"/>
  <c r="T65" i="32"/>
  <c r="Y65" i="32"/>
  <c r="W65" i="32"/>
  <c r="S70" i="32"/>
  <c r="AC70" i="32" s="1"/>
  <c r="R70" i="32"/>
  <c r="AB70" i="32" s="1"/>
  <c r="Z70" i="32"/>
  <c r="AJ70" i="32" s="1"/>
  <c r="T70" i="32"/>
  <c r="AD70" i="32" s="1"/>
  <c r="X70" i="32"/>
  <c r="AH70" i="32" s="1"/>
  <c r="U70" i="32"/>
  <c r="AE70" i="32" s="1"/>
  <c r="Y70" i="32"/>
  <c r="AI70" i="32" s="1"/>
  <c r="AA70" i="32"/>
  <c r="AK70" i="32" s="1"/>
  <c r="W70" i="32"/>
  <c r="V70" i="32"/>
  <c r="AF70" i="32" s="1"/>
  <c r="AE64" i="32"/>
  <c r="AL58" i="32"/>
  <c r="AN58" i="32" s="1"/>
  <c r="AO58" i="32" s="1"/>
  <c r="AX33" i="30" s="1"/>
  <c r="I70" i="33"/>
  <c r="J70" i="33" s="1"/>
  <c r="L70" i="33" s="1"/>
  <c r="O70" i="33"/>
  <c r="P70" i="33" s="1"/>
  <c r="R70" i="33" s="1"/>
  <c r="AL63" i="32"/>
  <c r="AN63" i="32" s="1"/>
  <c r="AO63" i="32" s="1"/>
  <c r="AX38" i="30" s="1"/>
  <c r="AL68" i="32"/>
  <c r="AN68" i="32" s="1"/>
  <c r="AO68" i="32" s="1"/>
  <c r="AX43" i="30" s="1"/>
  <c r="AJ64" i="32"/>
  <c r="AH64" i="32"/>
  <c r="AD64" i="32"/>
  <c r="AF64" i="32"/>
  <c r="AK64" i="32"/>
  <c r="AI64" i="32"/>
  <c r="AC64" i="32"/>
  <c r="AM65" i="32"/>
  <c r="AB64" i="32"/>
  <c r="AG64" i="32"/>
  <c r="N68" i="31"/>
  <c r="N69" i="31"/>
  <c r="N70" i="31"/>
  <c r="AL46" i="32"/>
  <c r="AN46" i="32" s="1"/>
  <c r="AO46" i="32" s="1"/>
  <c r="AX21" i="30" s="1"/>
  <c r="I65" i="33"/>
  <c r="J65" i="33" s="1"/>
  <c r="L65" i="33" s="1"/>
  <c r="AK69" i="32"/>
  <c r="AG69" i="32"/>
  <c r="AL44" i="32"/>
  <c r="AN44" i="32" s="1"/>
  <c r="AO44" i="32" s="1"/>
  <c r="AX19" i="30" s="1"/>
  <c r="AC69" i="32"/>
  <c r="AI69" i="32"/>
  <c r="AE69" i="32"/>
  <c r="AL43" i="32"/>
  <c r="AN43" i="32" s="1"/>
  <c r="AO43" i="32" s="1"/>
  <c r="AX18" i="30" s="1"/>
  <c r="AH69" i="32"/>
  <c r="AD69" i="32"/>
  <c r="AJ69" i="32"/>
  <c r="AL45" i="32"/>
  <c r="AN45" i="32" s="1"/>
  <c r="AO45" i="32" s="1"/>
  <c r="AX20" i="30" s="1"/>
  <c r="AF69" i="32"/>
  <c r="AB69" i="32"/>
  <c r="AG70" i="32"/>
  <c r="AL59" i="32"/>
  <c r="AN59" i="32" s="1"/>
  <c r="AO59" i="32" s="1"/>
  <c r="AX34" i="30" s="1"/>
  <c r="H65" i="31"/>
  <c r="I65" i="31" s="1"/>
  <c r="K65" i="31" s="1"/>
  <c r="H59" i="31"/>
  <c r="I59" i="31" s="1"/>
  <c r="K59" i="31" s="1"/>
  <c r="G59" i="31"/>
  <c r="F60" i="31"/>
  <c r="G65" i="33" s="1"/>
  <c r="G65" i="31"/>
  <c r="H64" i="31"/>
  <c r="I64" i="31" s="1"/>
  <c r="K64" i="31" s="1"/>
  <c r="G64" i="31"/>
  <c r="G99" i="22"/>
  <c r="F99" i="22"/>
  <c r="E99" i="22"/>
  <c r="E102" i="22" s="1"/>
  <c r="E103" i="22" s="1"/>
  <c r="E104" i="22" s="1"/>
  <c r="E105" i="22" s="1"/>
  <c r="C73" i="5"/>
  <c r="D72" i="5"/>
  <c r="E72" i="5" s="1"/>
  <c r="U136" i="35" l="1"/>
  <c r="V60" i="35"/>
  <c r="R324" i="35" s="1"/>
  <c r="R304" i="35"/>
  <c r="AE65" i="32"/>
  <c r="B52" i="2"/>
  <c r="B86" i="38" s="1"/>
  <c r="B85" i="34"/>
  <c r="AL69" i="32"/>
  <c r="AN69" i="32" s="1"/>
  <c r="AO69" i="32" s="1"/>
  <c r="AX44" i="30" s="1"/>
  <c r="AL64" i="32"/>
  <c r="AN64" i="32" s="1"/>
  <c r="AO64" i="32" s="1"/>
  <c r="AX39" i="30" s="1"/>
  <c r="AD65" i="32"/>
  <c r="AG65" i="32"/>
  <c r="AJ65" i="32"/>
  <c r="AI65" i="32"/>
  <c r="AB65" i="32"/>
  <c r="J13" i="2"/>
  <c r="W45" i="2"/>
  <c r="AL70" i="32"/>
  <c r="AN70" i="32" s="1"/>
  <c r="AO70" i="32" s="1"/>
  <c r="AX45" i="30" s="1"/>
  <c r="H60" i="31"/>
  <c r="I60" i="31" s="1"/>
  <c r="K60" i="31" s="1"/>
  <c r="G60" i="31"/>
  <c r="E106" i="22"/>
  <c r="D73" i="5"/>
  <c r="E73" i="5" s="1"/>
  <c r="C74" i="5"/>
  <c r="W60" i="35" l="1"/>
  <c r="R323" i="35"/>
  <c r="Y44" i="2"/>
  <c r="Y45" i="2" s="1"/>
  <c r="B53" i="2"/>
  <c r="B87" i="38" s="1"/>
  <c r="B86" i="34"/>
  <c r="X79" i="34"/>
  <c r="AL65" i="32"/>
  <c r="AN65" i="32" s="1"/>
  <c r="AO65" i="32" s="1"/>
  <c r="AX40" i="30" s="1"/>
  <c r="D74" i="5"/>
  <c r="E74" i="5" s="1"/>
  <c r="C75" i="5"/>
  <c r="B54" i="2" l="1"/>
  <c r="B88" i="38" s="1"/>
  <c r="B87" i="34"/>
  <c r="Y79" i="34"/>
  <c r="Z79" i="34" s="1"/>
  <c r="C76" i="5"/>
  <c r="D75" i="5"/>
  <c r="E75" i="5" s="1"/>
  <c r="B55" i="2" l="1"/>
  <c r="B89" i="38" s="1"/>
  <c r="B88" i="34"/>
  <c r="P158" i="30"/>
  <c r="P192" i="30" s="1"/>
  <c r="P160" i="30"/>
  <c r="P194" i="30" s="1"/>
  <c r="P162" i="30"/>
  <c r="P196" i="30" s="1"/>
  <c r="P164" i="30"/>
  <c r="P198" i="30" s="1"/>
  <c r="P166" i="30"/>
  <c r="P200" i="30" s="1"/>
  <c r="P168" i="30"/>
  <c r="P202" i="30" s="1"/>
  <c r="P170" i="30"/>
  <c r="P204" i="30" s="1"/>
  <c r="P172" i="30"/>
  <c r="P206" i="30" s="1"/>
  <c r="P174" i="30"/>
  <c r="P208" i="30" s="1"/>
  <c r="P176" i="30"/>
  <c r="P210" i="30" s="1"/>
  <c r="P178" i="30"/>
  <c r="P212" i="30" s="1"/>
  <c r="P180" i="30"/>
  <c r="P214" i="30" s="1"/>
  <c r="P182" i="30"/>
  <c r="P216" i="30" s="1"/>
  <c r="P184" i="30"/>
  <c r="P218" i="30" s="1"/>
  <c r="P186" i="30"/>
  <c r="P220" i="30" s="1"/>
  <c r="P86" i="30"/>
  <c r="P120" i="30" s="1"/>
  <c r="P88" i="30"/>
  <c r="P122" i="30" s="1"/>
  <c r="P90" i="30"/>
  <c r="P124" i="30" s="1"/>
  <c r="P92" i="30"/>
  <c r="P126" i="30" s="1"/>
  <c r="P94" i="30"/>
  <c r="P128" i="30" s="1"/>
  <c r="P96" i="30"/>
  <c r="P130" i="30" s="1"/>
  <c r="P98" i="30"/>
  <c r="P132" i="30" s="1"/>
  <c r="P100" i="30"/>
  <c r="P134" i="30" s="1"/>
  <c r="P102" i="30"/>
  <c r="P136" i="30" s="1"/>
  <c r="P104" i="30"/>
  <c r="P138" i="30" s="1"/>
  <c r="P106" i="30"/>
  <c r="P140" i="30" s="1"/>
  <c r="P108" i="30"/>
  <c r="P142" i="30" s="1"/>
  <c r="P110" i="30"/>
  <c r="P144" i="30" s="1"/>
  <c r="P112" i="30"/>
  <c r="P146" i="30" s="1"/>
  <c r="P114" i="30"/>
  <c r="P148" i="30" s="1"/>
  <c r="P116" i="30"/>
  <c r="P150" i="30" s="1"/>
  <c r="P157" i="30"/>
  <c r="P191" i="30" s="1"/>
  <c r="P159" i="30"/>
  <c r="P193" i="30" s="1"/>
  <c r="P161" i="30"/>
  <c r="P195" i="30" s="1"/>
  <c r="P163" i="30"/>
  <c r="P197" i="30" s="1"/>
  <c r="P165" i="30"/>
  <c r="P199" i="30" s="1"/>
  <c r="P167" i="30"/>
  <c r="P201" i="30" s="1"/>
  <c r="P169" i="30"/>
  <c r="P203" i="30" s="1"/>
  <c r="P171" i="30"/>
  <c r="P205" i="30" s="1"/>
  <c r="P173" i="30"/>
  <c r="P207" i="30" s="1"/>
  <c r="P175" i="30"/>
  <c r="P209" i="30" s="1"/>
  <c r="P177" i="30"/>
  <c r="P211" i="30" s="1"/>
  <c r="P179" i="30"/>
  <c r="P213" i="30" s="1"/>
  <c r="P181" i="30"/>
  <c r="P215" i="30" s="1"/>
  <c r="P183" i="30"/>
  <c r="P217" i="30" s="1"/>
  <c r="P185" i="30"/>
  <c r="P219" i="30" s="1"/>
  <c r="P87" i="30"/>
  <c r="P121" i="30" s="1"/>
  <c r="P89" i="30"/>
  <c r="P123" i="30" s="1"/>
  <c r="P91" i="30"/>
  <c r="P125" i="30" s="1"/>
  <c r="P93" i="30"/>
  <c r="P127" i="30" s="1"/>
  <c r="P95" i="30"/>
  <c r="P129" i="30" s="1"/>
  <c r="P97" i="30"/>
  <c r="P131" i="30" s="1"/>
  <c r="P99" i="30"/>
  <c r="P133" i="30" s="1"/>
  <c r="P101" i="30"/>
  <c r="P135" i="30" s="1"/>
  <c r="P103" i="30"/>
  <c r="P137" i="30" s="1"/>
  <c r="P105" i="30"/>
  <c r="P139" i="30" s="1"/>
  <c r="P107" i="30"/>
  <c r="P141" i="30" s="1"/>
  <c r="P109" i="30"/>
  <c r="P143" i="30" s="1"/>
  <c r="P111" i="30"/>
  <c r="P145" i="30" s="1"/>
  <c r="P113" i="30"/>
  <c r="P147" i="30" s="1"/>
  <c r="P115" i="30"/>
  <c r="P149" i="30" s="1"/>
  <c r="P156" i="30"/>
  <c r="P190" i="30" s="1"/>
  <c r="C77" i="5"/>
  <c r="D76" i="5"/>
  <c r="E76" i="5" s="1"/>
  <c r="B56" i="2" l="1"/>
  <c r="B90" i="38" s="1"/>
  <c r="B89" i="34"/>
  <c r="D77" i="5"/>
  <c r="E77" i="5" s="1"/>
  <c r="C78" i="5"/>
  <c r="B57" i="2" l="1"/>
  <c r="B91" i="38" s="1"/>
  <c r="B90" i="34"/>
  <c r="D78" i="5"/>
  <c r="E78" i="5" s="1"/>
  <c r="C79" i="5"/>
  <c r="B58" i="2" l="1"/>
  <c r="B92" i="38" s="1"/>
  <c r="B91" i="34"/>
  <c r="C80" i="5"/>
  <c r="D79" i="5"/>
  <c r="E79" i="5" s="1"/>
  <c r="B59" i="2" l="1"/>
  <c r="B93" i="38" s="1"/>
  <c r="B92" i="34"/>
  <c r="D80" i="5"/>
  <c r="E80" i="5" s="1"/>
  <c r="C81" i="5"/>
  <c r="B60" i="2" l="1"/>
  <c r="B94" i="38" s="1"/>
  <c r="B93" i="34"/>
  <c r="D81" i="5"/>
  <c r="E81" i="5" s="1"/>
  <c r="C82" i="5"/>
  <c r="B61" i="2" l="1"/>
  <c r="B95" i="38" s="1"/>
  <c r="B94" i="34"/>
  <c r="D82" i="5"/>
  <c r="E82" i="5" s="1"/>
  <c r="C83" i="5"/>
  <c r="B62" i="2" l="1"/>
  <c r="B96" i="38" s="1"/>
  <c r="B95" i="34"/>
  <c r="C84" i="5"/>
  <c r="D83" i="5"/>
  <c r="E83" i="5" s="1"/>
  <c r="B63" i="2" l="1"/>
  <c r="B97" i="38" s="1"/>
  <c r="B96" i="34"/>
  <c r="C85" i="5"/>
  <c r="D84" i="5"/>
  <c r="E84" i="5" s="1"/>
  <c r="B64" i="2" l="1"/>
  <c r="B98" i="38" s="1"/>
  <c r="B97" i="34"/>
  <c r="D85" i="5"/>
  <c r="E85" i="5" s="1"/>
  <c r="C86" i="5"/>
  <c r="B65" i="2" l="1"/>
  <c r="B99" i="38" s="1"/>
  <c r="B98" i="34"/>
  <c r="D86" i="5"/>
  <c r="E86" i="5" s="1"/>
  <c r="C87" i="5"/>
  <c r="B66" i="2" l="1"/>
  <c r="B100" i="38" s="1"/>
  <c r="B99" i="34"/>
  <c r="C88" i="5"/>
  <c r="D87" i="5"/>
  <c r="E87" i="5" s="1"/>
  <c r="B67" i="2" l="1"/>
  <c r="B101" i="38" s="1"/>
  <c r="B100" i="34"/>
  <c r="D88" i="5"/>
  <c r="E88" i="5" s="1"/>
  <c r="J16" i="2"/>
  <c r="B68" i="2" l="1"/>
  <c r="B102" i="38" s="1"/>
  <c r="B101" i="34"/>
  <c r="J20" i="2"/>
  <c r="B69" i="2" l="1"/>
  <c r="B103" i="38" s="1"/>
  <c r="B102" i="34"/>
  <c r="T12" i="2"/>
  <c r="B70" i="2" l="1"/>
  <c r="B104" i="38" s="1"/>
  <c r="B103" i="34"/>
  <c r="B71" i="2" l="1"/>
  <c r="B105" i="38" s="1"/>
  <c r="B104" i="34"/>
  <c r="B72" i="2" l="1"/>
  <c r="B106" i="38" s="1"/>
  <c r="B105" i="34"/>
  <c r="B73" i="2" l="1"/>
  <c r="B107" i="38" s="1"/>
  <c r="B106" i="34"/>
  <c r="B74" i="2" l="1"/>
  <c r="B108" i="38" s="1"/>
  <c r="B107" i="34"/>
  <c r="B75" i="2" l="1"/>
  <c r="B108" i="34"/>
  <c r="B109" i="34" l="1"/>
  <c r="B109" i="38"/>
  <c r="X90" i="34"/>
  <c r="Y90" i="34" s="1"/>
  <c r="Z90" i="34" s="1"/>
  <c r="X91" i="34" l="1"/>
  <c r="Y91" i="34" s="1"/>
  <c r="Z91" i="34" s="1"/>
  <c r="X92" i="34" l="1"/>
  <c r="Y92" i="34" s="1"/>
  <c r="Z92" i="34" s="1"/>
  <c r="X98" i="34" l="1"/>
  <c r="Y98" i="34" s="1"/>
  <c r="Z98" i="34" s="1"/>
  <c r="X49" i="35" l="1"/>
  <c r="S279" i="35"/>
  <c r="W49" i="35"/>
  <c r="C139" i="20" l="1"/>
  <c r="D19" i="20"/>
  <c r="C145" i="20"/>
  <c r="C159" i="20"/>
  <c r="C160" i="20" s="1"/>
  <c r="C146" i="20"/>
  <c r="C140" i="20"/>
  <c r="C166" i="20"/>
  <c r="C167" i="20" s="1"/>
  <c r="B138" i="20"/>
  <c r="C97" i="20" l="1"/>
  <c r="D94" i="20"/>
  <c r="E19" i="20"/>
  <c r="D93" i="20"/>
  <c r="D96" i="20"/>
  <c r="D154" i="20"/>
  <c r="B158" i="20" s="1"/>
  <c r="D152" i="20"/>
  <c r="D151" i="20"/>
  <c r="D153" i="20"/>
  <c r="D150" i="20"/>
  <c r="B139" i="20" l="1"/>
  <c r="B166" i="20"/>
  <c r="B172" i="20"/>
  <c r="B159" i="20"/>
  <c r="B160" i="20" s="1"/>
  <c r="B146" i="20"/>
  <c r="D95" i="20"/>
  <c r="D97" i="20" s="1"/>
  <c r="B173" i="20"/>
  <c r="B167" i="20"/>
  <c r="B140" i="20"/>
  <c r="B161" i="20"/>
  <c r="B162" i="20"/>
  <c r="B145" i="20"/>
  <c r="E94" i="20"/>
  <c r="E93" i="20"/>
  <c r="E96" i="20"/>
  <c r="U9" i="30" l="1"/>
  <c r="E97" i="35"/>
  <c r="D58" i="32"/>
  <c r="D63" i="32" s="1"/>
  <c r="E38" i="30"/>
  <c r="E95" i="20"/>
  <c r="E97" i="20" s="1"/>
  <c r="U23" i="30" l="1"/>
  <c r="U28" i="30" s="1"/>
  <c r="U29" i="30" s="1"/>
  <c r="U78" i="30"/>
  <c r="J9" i="30"/>
  <c r="E44" i="2" s="1"/>
  <c r="F23" i="2" s="1"/>
  <c r="K9" i="30"/>
  <c r="K23" i="30" s="1"/>
  <c r="K28" i="30" s="1"/>
  <c r="K29" i="30" s="1"/>
  <c r="C10" i="20"/>
  <c r="D10" i="20" s="1"/>
  <c r="E10" i="20" s="1"/>
  <c r="E23" i="22"/>
  <c r="AM40" i="32" l="1"/>
  <c r="I44" i="2"/>
  <c r="AB44" i="2" s="1"/>
  <c r="K78" i="38"/>
  <c r="H78" i="38"/>
  <c r="I78" i="38" s="1"/>
  <c r="J78" i="38" s="1"/>
  <c r="E78" i="38"/>
  <c r="M78" i="38"/>
  <c r="L78" i="38"/>
  <c r="J23" i="30"/>
  <c r="J28" i="30" s="1"/>
  <c r="J29" i="30" s="1"/>
  <c r="K109" i="34"/>
  <c r="E109" i="34"/>
  <c r="H109" i="34"/>
  <c r="I109" i="34" s="1"/>
  <c r="J109" i="34" s="1"/>
  <c r="M109" i="34"/>
  <c r="L109" i="34"/>
  <c r="AM71" i="32"/>
  <c r="E71" i="33"/>
  <c r="E66" i="31"/>
  <c r="L66" i="31" s="1"/>
  <c r="M66" i="31" s="1"/>
  <c r="N66" i="31" s="1"/>
  <c r="J66" i="31"/>
  <c r="Q71" i="33"/>
  <c r="K71" i="33"/>
  <c r="E25" i="22"/>
  <c r="E27" i="22" s="1"/>
  <c r="J7" i="22"/>
  <c r="K78" i="30"/>
  <c r="L9" i="30"/>
  <c r="L23" i="30" s="1"/>
  <c r="L28" i="30" s="1"/>
  <c r="L29" i="30" s="1"/>
  <c r="M9" i="30"/>
  <c r="M23" i="30" s="1"/>
  <c r="M28" i="30" s="1"/>
  <c r="M29" i="30" s="1"/>
  <c r="N9" i="30"/>
  <c r="N23" i="30" s="1"/>
  <c r="N28" i="30" s="1"/>
  <c r="N29" i="30" s="1"/>
  <c r="J78" i="30"/>
  <c r="U79" i="30"/>
  <c r="U80" i="30"/>
  <c r="L230" i="30"/>
  <c r="L231" i="30" s="1"/>
  <c r="BG15" i="38" l="1"/>
  <c r="BA347" i="38" s="1"/>
  <c r="N78" i="38"/>
  <c r="P78" i="38" s="1"/>
  <c r="S78" i="38" s="1"/>
  <c r="T78" i="38" s="1"/>
  <c r="U78" i="38" s="1"/>
  <c r="J44" i="2"/>
  <c r="K44" i="2"/>
  <c r="G78" i="38"/>
  <c r="W71" i="32"/>
  <c r="G109" i="34"/>
  <c r="AA71" i="32"/>
  <c r="R71" i="32"/>
  <c r="T71" i="32"/>
  <c r="V71" i="32"/>
  <c r="U71" i="32"/>
  <c r="N109" i="34"/>
  <c r="P109" i="34" s="1"/>
  <c r="S109" i="34" s="1"/>
  <c r="Y71" i="32"/>
  <c r="X71" i="32"/>
  <c r="S71" i="32"/>
  <c r="Z71" i="32"/>
  <c r="F66" i="31"/>
  <c r="F71" i="33"/>
  <c r="M78" i="34"/>
  <c r="E78" i="34"/>
  <c r="K78" i="34"/>
  <c r="L78" i="34"/>
  <c r="H78" i="34"/>
  <c r="E40" i="33"/>
  <c r="E35" i="31"/>
  <c r="L35" i="31" s="1"/>
  <c r="M35" i="31" s="1"/>
  <c r="J35" i="31"/>
  <c r="Q40" i="33"/>
  <c r="K40" i="33"/>
  <c r="U81" i="30"/>
  <c r="J80" i="30"/>
  <c r="J79" i="30"/>
  <c r="J81" i="30" s="1"/>
  <c r="N78" i="30"/>
  <c r="M78" i="30"/>
  <c r="L78" i="30"/>
  <c r="K79" i="30"/>
  <c r="K81" i="30" s="1"/>
  <c r="K80" i="30"/>
  <c r="BA348" i="38" l="1"/>
  <c r="BG16" i="38" s="1"/>
  <c r="BA376" i="38"/>
  <c r="BG45" i="38" s="1"/>
  <c r="AL78" i="38"/>
  <c r="BG55" i="38" s="1"/>
  <c r="BA357" i="38"/>
  <c r="BA349" i="38"/>
  <c r="BG17" i="38" s="1"/>
  <c r="I78" i="34"/>
  <c r="J78" i="34" s="1"/>
  <c r="AG71" i="32"/>
  <c r="AE71" i="32"/>
  <c r="X40" i="32"/>
  <c r="G78" i="34"/>
  <c r="T40" i="32"/>
  <c r="R40" i="32"/>
  <c r="V40" i="32"/>
  <c r="Y40" i="32"/>
  <c r="S40" i="32"/>
  <c r="Z40" i="32"/>
  <c r="W40" i="32"/>
  <c r="U40" i="32"/>
  <c r="AJ71" i="32"/>
  <c r="AC71" i="32"/>
  <c r="F40" i="33"/>
  <c r="F35" i="31"/>
  <c r="I71" i="33"/>
  <c r="J71" i="33" s="1"/>
  <c r="L71" i="33" s="1"/>
  <c r="O71" i="33"/>
  <c r="P71" i="33" s="1"/>
  <c r="R71" i="33" s="1"/>
  <c r="AK71" i="32"/>
  <c r="G66" i="31"/>
  <c r="G71" i="33"/>
  <c r="H66" i="31"/>
  <c r="I66" i="31" s="1"/>
  <c r="K66" i="31" s="1"/>
  <c r="T109" i="34"/>
  <c r="AH71" i="32"/>
  <c r="N35" i="31"/>
  <c r="C15" i="20"/>
  <c r="AB71" i="32"/>
  <c r="AI71" i="32"/>
  <c r="AA40" i="32"/>
  <c r="N78" i="34"/>
  <c r="P78" i="34" s="1"/>
  <c r="AD71" i="32"/>
  <c r="AF71" i="32"/>
  <c r="L79" i="30"/>
  <c r="L81" i="30" s="1"/>
  <c r="L80" i="30"/>
  <c r="M79" i="30"/>
  <c r="M81" i="30" s="1"/>
  <c r="M80" i="30"/>
  <c r="N80" i="30"/>
  <c r="N79" i="30"/>
  <c r="N81" i="30" s="1"/>
  <c r="AD78" i="38" l="1"/>
  <c r="BG25" i="38"/>
  <c r="BA358" i="38"/>
  <c r="S78" i="34"/>
  <c r="U109" i="34"/>
  <c r="AD40" i="32"/>
  <c r="AI40" i="32"/>
  <c r="AC40" i="32"/>
  <c r="AK40" i="32"/>
  <c r="AH40" i="32"/>
  <c r="AF40" i="32"/>
  <c r="AL71" i="32"/>
  <c r="AN71" i="32" s="1"/>
  <c r="AO71" i="32" s="1"/>
  <c r="AX46" i="30" s="1"/>
  <c r="D15" i="20"/>
  <c r="C54" i="20"/>
  <c r="C71" i="20" s="1"/>
  <c r="B120" i="20"/>
  <c r="D113" i="20"/>
  <c r="B113" i="20"/>
  <c r="B127" i="20"/>
  <c r="O35" i="31"/>
  <c r="AW15" i="30"/>
  <c r="G40" i="33"/>
  <c r="H35" i="31"/>
  <c r="I35" i="31" s="1"/>
  <c r="K35" i="31" s="1"/>
  <c r="G35" i="31"/>
  <c r="O40" i="33"/>
  <c r="P40" i="33" s="1"/>
  <c r="R40" i="33" s="1"/>
  <c r="I40" i="33"/>
  <c r="J40" i="33" s="1"/>
  <c r="L40" i="33" s="1"/>
  <c r="AG40" i="32"/>
  <c r="AE40" i="32"/>
  <c r="AJ40" i="32"/>
  <c r="AB40" i="32"/>
  <c r="AE78" i="38" l="1"/>
  <c r="AF78" i="38" s="1"/>
  <c r="AM78" i="38"/>
  <c r="BH346" i="38"/>
  <c r="BF344" i="38"/>
  <c r="BF351" i="38" s="1"/>
  <c r="BG26" i="38"/>
  <c r="BG344" i="38"/>
  <c r="BH344" i="38"/>
  <c r="BF346" i="38"/>
  <c r="BG346" i="38"/>
  <c r="BI346" i="38"/>
  <c r="BK344" i="38"/>
  <c r="BK351" i="38" s="1"/>
  <c r="BE346" i="38"/>
  <c r="BL344" i="38"/>
  <c r="BO344" i="38"/>
  <c r="BO346" i="38"/>
  <c r="BN346" i="38"/>
  <c r="BI344" i="38"/>
  <c r="BM346" i="38"/>
  <c r="BM344" i="38"/>
  <c r="BL346" i="38"/>
  <c r="BN344" i="38"/>
  <c r="BN351" i="38" s="1"/>
  <c r="BK346" i="38"/>
  <c r="BJ346" i="38"/>
  <c r="BE344" i="38"/>
  <c r="BJ344" i="38"/>
  <c r="W109" i="34"/>
  <c r="AI109" i="34"/>
  <c r="T78" i="34"/>
  <c r="U78" i="34" s="1"/>
  <c r="AL40" i="32"/>
  <c r="AN40" i="32" s="1"/>
  <c r="B114" i="20"/>
  <c r="B115" i="20" s="1"/>
  <c r="B128" i="20"/>
  <c r="B129" i="20" s="1"/>
  <c r="B121" i="20"/>
  <c r="B122" i="20" s="1"/>
  <c r="C80" i="20"/>
  <c r="D114" i="20" s="1"/>
  <c r="D115" i="20" s="1"/>
  <c r="P35" i="31"/>
  <c r="R35" i="31"/>
  <c r="S35" i="31" s="1"/>
  <c r="T35" i="31" s="1"/>
  <c r="E15" i="20"/>
  <c r="D54" i="20"/>
  <c r="D71" i="20" s="1"/>
  <c r="D80" i="20" s="1"/>
  <c r="D121" i="20" s="1"/>
  <c r="D120" i="20"/>
  <c r="AO40" i="32" l="1"/>
  <c r="AX15" i="30" s="1"/>
  <c r="BA15" i="30" s="1"/>
  <c r="AG78" i="38"/>
  <c r="AH78" i="38" s="1"/>
  <c r="BH352" i="38"/>
  <c r="BG352" i="38"/>
  <c r="BH351" i="38"/>
  <c r="BG351" i="38"/>
  <c r="BF347" i="38"/>
  <c r="BF352" i="38"/>
  <c r="BF353" i="38" s="1"/>
  <c r="BF354" i="38" s="1"/>
  <c r="BJ352" i="38"/>
  <c r="BE352" i="38"/>
  <c r="BG347" i="38"/>
  <c r="BH347" i="38"/>
  <c r="BO352" i="38"/>
  <c r="BL347" i="38"/>
  <c r="BM351" i="38"/>
  <c r="BM352" i="38"/>
  <c r="BL352" i="38"/>
  <c r="BO351" i="38"/>
  <c r="BM347" i="38"/>
  <c r="BE351" i="38"/>
  <c r="BJ347" i="38"/>
  <c r="BI351" i="38"/>
  <c r="BI352" i="38"/>
  <c r="BE347" i="38"/>
  <c r="BN347" i="38"/>
  <c r="BJ351" i="38"/>
  <c r="BK352" i="38"/>
  <c r="BK353" i="38" s="1"/>
  <c r="BK354" i="38" s="1"/>
  <c r="BK347" i="38"/>
  <c r="BL351" i="38"/>
  <c r="BN352" i="38"/>
  <c r="BN353" i="38" s="1"/>
  <c r="BO347" i="38"/>
  <c r="BI347" i="38"/>
  <c r="W78" i="34"/>
  <c r="AI78" i="34"/>
  <c r="AJ109" i="34"/>
  <c r="X109" i="34"/>
  <c r="Y109" i="34" s="1"/>
  <c r="Z109" i="34" s="1"/>
  <c r="E54" i="20"/>
  <c r="E71" i="20" s="1"/>
  <c r="E80" i="20" s="1"/>
  <c r="D128" i="20" s="1"/>
  <c r="D127" i="20"/>
  <c r="D122" i="20"/>
  <c r="AP15" i="30" l="1"/>
  <c r="AS15" i="30"/>
  <c r="AR15" i="30"/>
  <c r="AQ15" i="30"/>
  <c r="BH353" i="38"/>
  <c r="BH354" i="38" s="1"/>
  <c r="BG353" i="38"/>
  <c r="BG354" i="38" s="1"/>
  <c r="BL353" i="38"/>
  <c r="BL354" i="38" s="1"/>
  <c r="BI353" i="38"/>
  <c r="BI354" i="38" s="1"/>
  <c r="BE353" i="38"/>
  <c r="BE354" i="38" s="1"/>
  <c r="BJ353" i="38"/>
  <c r="BJ354" i="38" s="1"/>
  <c r="BF355" i="38"/>
  <c r="BO353" i="38"/>
  <c r="BO354" i="38" s="1"/>
  <c r="BN354" i="38"/>
  <c r="BN355" i="38"/>
  <c r="BK355" i="38"/>
  <c r="BM353" i="38"/>
  <c r="AJ78" i="34"/>
  <c r="D129" i="20"/>
  <c r="BL355" i="38" l="1"/>
  <c r="BL357" i="38" s="1"/>
  <c r="BG355" i="38"/>
  <c r="BG357" i="38" s="1"/>
  <c r="BG358" i="38" s="1"/>
  <c r="BG359" i="38" s="1"/>
  <c r="BI355" i="38"/>
  <c r="BI356" i="38" s="1"/>
  <c r="BH355" i="38"/>
  <c r="BH356" i="38" s="1"/>
  <c r="BE355" i="38"/>
  <c r="BE357" i="38" s="1"/>
  <c r="BJ355" i="38"/>
  <c r="BJ357" i="38" s="1"/>
  <c r="BJ358" i="38" s="1"/>
  <c r="BJ359" i="38" s="1"/>
  <c r="BO355" i="38"/>
  <c r="BO356" i="38" s="1"/>
  <c r="BF356" i="38"/>
  <c r="BF357" i="38"/>
  <c r="BM354" i="38"/>
  <c r="BM355" i="38"/>
  <c r="BK356" i="38"/>
  <c r="BK357" i="38"/>
  <c r="BN356" i="38"/>
  <c r="BN357" i="38"/>
  <c r="BL356" i="38" l="1"/>
  <c r="BG356" i="38"/>
  <c r="BH357" i="38"/>
  <c r="BH358" i="38" s="1"/>
  <c r="BH360" i="38" s="1"/>
  <c r="BG360" i="38"/>
  <c r="BG361" i="38"/>
  <c r="BI357" i="38"/>
  <c r="BI358" i="38" s="1"/>
  <c r="BI361" i="38" s="1"/>
  <c r="BJ356" i="38"/>
  <c r="BE356" i="38"/>
  <c r="BO357" i="38"/>
  <c r="BO358" i="38" s="1"/>
  <c r="BJ361" i="38"/>
  <c r="BF358" i="38"/>
  <c r="BF359" i="38" s="1"/>
  <c r="BJ360" i="38"/>
  <c r="BM357" i="38"/>
  <c r="BM356" i="38"/>
  <c r="BL358" i="38"/>
  <c r="BL360" i="38" s="1"/>
  <c r="BN358" i="38"/>
  <c r="BN360" i="38" s="1"/>
  <c r="BK358" i="38"/>
  <c r="BK360" i="38" s="1"/>
  <c r="BE358" i="38"/>
  <c r="BE359" i="38" s="1"/>
  <c r="X78" i="34"/>
  <c r="Y78" i="34" s="1"/>
  <c r="Z78" i="34" s="1"/>
  <c r="BH359" i="38" l="1"/>
  <c r="BH361" i="38"/>
  <c r="BI363" i="38" s="1"/>
  <c r="BH362" i="38"/>
  <c r="BO361" i="38"/>
  <c r="BO360" i="38"/>
  <c r="BO362" i="38" s="1"/>
  <c r="BF360" i="38"/>
  <c r="BG362" i="38" s="1"/>
  <c r="BE360" i="38"/>
  <c r="BE361" i="38"/>
  <c r="BL361" i="38"/>
  <c r="BI360" i="38"/>
  <c r="BI362" i="38" s="1"/>
  <c r="BO359" i="38"/>
  <c r="BK362" i="38"/>
  <c r="BI359" i="38"/>
  <c r="BN361" i="38"/>
  <c r="BF361" i="38"/>
  <c r="BK359" i="38"/>
  <c r="BL362" i="38"/>
  <c r="BK361" i="38"/>
  <c r="BK363" i="38" s="1"/>
  <c r="BN359" i="38"/>
  <c r="BL359" i="38"/>
  <c r="BM358" i="38"/>
  <c r="BM360" i="38" s="1"/>
  <c r="BM362" i="38" s="1"/>
  <c r="BO363" i="38" l="1"/>
  <c r="BH363" i="38"/>
  <c r="BJ362" i="38"/>
  <c r="BF362" i="38"/>
  <c r="BF363" i="38"/>
  <c r="BG363" i="38"/>
  <c r="BJ363" i="38"/>
  <c r="BL363" i="38"/>
  <c r="BN362" i="38"/>
  <c r="BM361" i="38"/>
  <c r="BM359" i="38"/>
  <c r="BM363" i="38" l="1"/>
  <c r="BN363" i="38"/>
  <c r="BA377" i="38"/>
  <c r="BG46" i="38" l="1"/>
  <c r="BA381" i="38"/>
  <c r="BA378" i="38"/>
  <c r="BA379" i="38" s="1"/>
  <c r="BG48" i="38" l="1"/>
  <c r="F36" i="38"/>
  <c r="F37" i="38" s="1"/>
  <c r="F38" i="38" s="1"/>
  <c r="BG50" i="38"/>
  <c r="F7" i="19" s="1"/>
  <c r="F16" i="19" s="1"/>
  <c r="BA372" i="38"/>
  <c r="BG41" i="38" s="1"/>
  <c r="F39" i="38" s="1"/>
  <c r="BG47" i="38"/>
  <c r="BA380" i="38"/>
  <c r="BG49" i="38" s="1"/>
  <c r="BG56" i="38" s="1"/>
  <c r="F40" i="38" l="1"/>
  <c r="Q19" i="38" s="1"/>
  <c r="Q17" i="38"/>
  <c r="M17" i="30"/>
  <c r="L17" i="30"/>
  <c r="J17" i="30"/>
  <c r="N17" i="30"/>
  <c r="AC78" i="38"/>
  <c r="AC79" i="38" s="1"/>
  <c r="K27" i="19"/>
  <c r="F60" i="38" l="1"/>
  <c r="F62" i="38" s="1"/>
  <c r="Q35" i="38" s="1"/>
  <c r="E114" i="35" s="1"/>
  <c r="F44" i="38"/>
  <c r="AC92" i="38"/>
  <c r="AC91" i="38"/>
  <c r="AC98" i="38"/>
  <c r="AC90" i="38"/>
  <c r="P15" i="35" l="1"/>
  <c r="N15" i="35"/>
  <c r="O15" i="35"/>
  <c r="V188" i="22"/>
  <c r="V189" i="22"/>
  <c r="V190" i="22"/>
  <c r="V191" i="22"/>
  <c r="V192" i="22"/>
  <c r="V193" i="22"/>
  <c r="V194" i="22"/>
  <c r="V195" i="22"/>
  <c r="V196" i="22"/>
  <c r="V197" i="22"/>
  <c r="V198" i="22"/>
  <c r="S52" i="35" l="1"/>
  <c r="AG28" i="22"/>
  <c r="AH28" i="22" s="1"/>
  <c r="C21" i="29"/>
  <c r="X44" i="2"/>
  <c r="U35" i="31"/>
  <c r="D64" i="29" l="1"/>
  <c r="D103" i="29"/>
  <c r="E103" i="29" s="1"/>
  <c r="AL28" i="22"/>
  <c r="AM28" i="22"/>
  <c r="X52" i="35"/>
  <c r="W52" i="35"/>
  <c r="S294" i="35"/>
  <c r="V35" i="31"/>
  <c r="X35" i="31"/>
  <c r="Y35" i="31" s="1"/>
  <c r="Z35" i="31" s="1"/>
  <c r="M194" i="22" l="1"/>
  <c r="N194" i="22" s="1"/>
  <c r="O194" i="22" s="1"/>
  <c r="M183" i="22"/>
  <c r="M184" i="22"/>
  <c r="E64" i="29"/>
  <c r="E134" i="29" s="1"/>
  <c r="D134" i="29"/>
  <c r="O36" i="31"/>
  <c r="G134" i="29" l="1"/>
  <c r="F134" i="29"/>
  <c r="M204" i="22"/>
  <c r="N193" i="22" s="1"/>
  <c r="U36" i="31"/>
  <c r="R36" i="31"/>
  <c r="P36" i="31"/>
  <c r="K13" i="2"/>
  <c r="X45" i="2"/>
  <c r="N192" i="22" l="1"/>
  <c r="N191" i="22" s="1"/>
  <c r="O193" i="22"/>
  <c r="O37" i="31"/>
  <c r="S36" i="31"/>
  <c r="X36" i="31"/>
  <c r="V36" i="31"/>
  <c r="O192" i="22" l="1"/>
  <c r="O191" i="22" s="1"/>
  <c r="N190" i="22"/>
  <c r="T36" i="31"/>
  <c r="Y36" i="31"/>
  <c r="R37" i="31"/>
  <c r="P37" i="31"/>
  <c r="O190" i="22" l="1"/>
  <c r="N189" i="22"/>
  <c r="S37" i="31"/>
  <c r="Z36" i="31"/>
  <c r="N188" i="22" l="1"/>
  <c r="O189" i="22"/>
  <c r="T37" i="31"/>
  <c r="O188" i="22" l="1"/>
  <c r="N187" i="22"/>
  <c r="D120" i="32"/>
  <c r="N186" i="22" l="1"/>
  <c r="O187" i="22"/>
  <c r="D121" i="32"/>
  <c r="D122" i="32"/>
  <c r="D124" i="32" s="1"/>
  <c r="F20" i="19"/>
  <c r="F8" i="19"/>
  <c r="K25" i="19"/>
  <c r="C18" i="19"/>
  <c r="C21" i="19" s="1"/>
  <c r="E45" i="30"/>
  <c r="E44" i="30"/>
  <c r="F21" i="19" l="1"/>
  <c r="N15" i="30" s="1"/>
  <c r="F29" i="19"/>
  <c r="C22" i="19"/>
  <c r="C24" i="19"/>
  <c r="N185" i="22"/>
  <c r="O186" i="22"/>
  <c r="D134" i="32"/>
  <c r="D123" i="32"/>
  <c r="D133" i="32" s="1"/>
  <c r="D126" i="32"/>
  <c r="D127" i="32" s="1"/>
  <c r="D129" i="32" s="1"/>
  <c r="M42" i="33"/>
  <c r="M64" i="33"/>
  <c r="M41" i="33"/>
  <c r="S46" i="33"/>
  <c r="S42" i="33"/>
  <c r="M65" i="33"/>
  <c r="S44" i="33"/>
  <c r="S69" i="33"/>
  <c r="S45" i="33"/>
  <c r="S62" i="33"/>
  <c r="S54" i="33"/>
  <c r="M56" i="33"/>
  <c r="M50" i="33"/>
  <c r="M43" i="33"/>
  <c r="M40" i="33"/>
  <c r="S49" i="33"/>
  <c r="M59" i="33"/>
  <c r="S51" i="33"/>
  <c r="M47" i="33"/>
  <c r="M55" i="33"/>
  <c r="S60" i="33"/>
  <c r="AH7" i="22"/>
  <c r="AH12" i="22" s="1"/>
  <c r="S52" i="33"/>
  <c r="M70" i="33"/>
  <c r="S43" i="33"/>
  <c r="M44" i="33"/>
  <c r="M54" i="33"/>
  <c r="M53" i="33"/>
  <c r="M69" i="33"/>
  <c r="M45" i="33"/>
  <c r="M57" i="33"/>
  <c r="M52" i="33"/>
  <c r="M68" i="33"/>
  <c r="S66" i="33"/>
  <c r="M46" i="33"/>
  <c r="S47" i="33"/>
  <c r="M66" i="33"/>
  <c r="S63" i="33"/>
  <c r="M60" i="33"/>
  <c r="M62" i="33"/>
  <c r="S50" i="33"/>
  <c r="S59" i="33"/>
  <c r="S40" i="33"/>
  <c r="S56" i="33"/>
  <c r="S57" i="33"/>
  <c r="S58" i="33"/>
  <c r="S65" i="33"/>
  <c r="S68" i="33"/>
  <c r="S53" i="33"/>
  <c r="S64" i="33"/>
  <c r="Q7" i="22"/>
  <c r="Q12" i="22" s="1"/>
  <c r="U8" i="35"/>
  <c r="M71" i="33"/>
  <c r="M49" i="33"/>
  <c r="S70" i="33"/>
  <c r="M58" i="33"/>
  <c r="S48" i="33"/>
  <c r="M51" i="33"/>
  <c r="M63" i="33"/>
  <c r="S67" i="33"/>
  <c r="S71" i="33"/>
  <c r="M67" i="33"/>
  <c r="S41" i="33"/>
  <c r="S55" i="33"/>
  <c r="S61" i="33"/>
  <c r="M61" i="33"/>
  <c r="M48" i="33"/>
  <c r="C19" i="19"/>
  <c r="F18" i="19"/>
  <c r="F17" i="19"/>
  <c r="E70" i="22"/>
  <c r="O185" i="22" l="1"/>
  <c r="N184" i="22"/>
  <c r="F25" i="19"/>
  <c r="F30" i="19" s="1"/>
  <c r="K28" i="19"/>
  <c r="U205" i="35"/>
  <c r="AH13" i="22"/>
  <c r="AH14" i="22"/>
  <c r="D13" i="32"/>
  <c r="D130" i="32"/>
  <c r="D14" i="32" s="1"/>
  <c r="E93" i="35"/>
  <c r="C14" i="32"/>
  <c r="U130" i="35"/>
  <c r="U131" i="35" s="1"/>
  <c r="U17" i="35"/>
  <c r="U156" i="35"/>
  <c r="S67" i="35"/>
  <c r="W67" i="35" s="1"/>
  <c r="U79" i="35"/>
  <c r="U159" i="35"/>
  <c r="C13" i="32"/>
  <c r="E105" i="35"/>
  <c r="Q14" i="22"/>
  <c r="Q13" i="22"/>
  <c r="D131" i="32"/>
  <c r="F9" i="19" s="1"/>
  <c r="F19" i="19" s="1"/>
  <c r="O184" i="22" l="1"/>
  <c r="N183" i="22"/>
  <c r="U18" i="35"/>
  <c r="U19" i="35"/>
  <c r="AH16" i="22"/>
  <c r="AH15" i="22"/>
  <c r="U209" i="35"/>
  <c r="U211" i="35" s="1"/>
  <c r="U212" i="35" s="1"/>
  <c r="U210" i="35"/>
  <c r="B159" i="22"/>
  <c r="BD159" i="22" s="1"/>
  <c r="B160" i="22"/>
  <c r="BD160" i="22" s="1"/>
  <c r="B163" i="22"/>
  <c r="BD163" i="22" s="1"/>
  <c r="B155" i="22"/>
  <c r="BD155" i="22" s="1"/>
  <c r="B161" i="22"/>
  <c r="BD161" i="22" s="1"/>
  <c r="B152" i="22"/>
  <c r="BD152" i="22" s="1"/>
  <c r="B166" i="22"/>
  <c r="BD166" i="22" s="1"/>
  <c r="B168" i="22"/>
  <c r="BD168" i="22" s="1"/>
  <c r="B169" i="22"/>
  <c r="B164" i="22"/>
  <c r="BD164" i="22" s="1"/>
  <c r="B165" i="22"/>
  <c r="BD165" i="22" s="1"/>
  <c r="B158" i="22"/>
  <c r="BD158" i="22" s="1"/>
  <c r="B154" i="22"/>
  <c r="BD154" i="22" s="1"/>
  <c r="B167" i="22"/>
  <c r="BD167" i="22" s="1"/>
  <c r="B150" i="22"/>
  <c r="BD150" i="22" s="1"/>
  <c r="B156" i="22"/>
  <c r="BD156" i="22" s="1"/>
  <c r="B162" i="22"/>
  <c r="BD162" i="22" s="1"/>
  <c r="B151" i="22"/>
  <c r="BD151" i="22" s="1"/>
  <c r="B153" i="22"/>
  <c r="BD153" i="22" s="1"/>
  <c r="B149" i="22"/>
  <c r="BD149" i="22" s="1"/>
  <c r="B157" i="22"/>
  <c r="BD157" i="22" s="1"/>
  <c r="U133" i="35"/>
  <c r="U132" i="35"/>
  <c r="Q16" i="22"/>
  <c r="Q15" i="22"/>
  <c r="U173" i="35"/>
  <c r="F26" i="19"/>
  <c r="F31" i="19" s="1"/>
  <c r="U157" i="35"/>
  <c r="U202" i="35" s="1"/>
  <c r="U201" i="35"/>
  <c r="U184" i="35" l="1"/>
  <c r="V184" i="35" s="1"/>
  <c r="O183" i="22"/>
  <c r="N182" i="22"/>
  <c r="U215" i="35"/>
  <c r="U216" i="35" s="1"/>
  <c r="U20" i="35"/>
  <c r="U21" i="35"/>
  <c r="U128" i="35"/>
  <c r="U127" i="35"/>
  <c r="BD169" i="22"/>
  <c r="E69" i="22"/>
  <c r="U182" i="35"/>
  <c r="U224" i="35"/>
  <c r="U225" i="35" s="1"/>
  <c r="U181" i="35"/>
  <c r="U174" i="35"/>
  <c r="U183" i="35" l="1"/>
  <c r="O182" i="22"/>
  <c r="U119" i="35"/>
  <c r="U185" i="35" s="1"/>
  <c r="U77" i="35"/>
  <c r="W62" i="35"/>
  <c r="W64" i="35" s="1"/>
  <c r="U138" i="35"/>
  <c r="U139" i="35" s="1"/>
  <c r="V139" i="35" s="1"/>
  <c r="U142" i="35"/>
  <c r="V142" i="35" s="1"/>
  <c r="S246" i="35"/>
  <c r="S252" i="35"/>
  <c r="S253" i="35"/>
  <c r="S254" i="35" s="1"/>
  <c r="U175" i="35"/>
  <c r="R241" i="35"/>
  <c r="S240" i="35"/>
  <c r="S241" i="35"/>
  <c r="U187" i="35" l="1"/>
  <c r="V183" i="35"/>
  <c r="S256" i="35"/>
  <c r="S255" i="35"/>
  <c r="S247" i="35"/>
  <c r="R246" i="35"/>
  <c r="T86" i="35"/>
  <c r="V77" i="35"/>
  <c r="U120" i="35"/>
  <c r="U178" i="35"/>
  <c r="R240" i="35" s="1"/>
  <c r="R239" i="35"/>
  <c r="U177" i="35"/>
  <c r="U176" i="35"/>
  <c r="R247" i="35" l="1"/>
  <c r="V120" i="35"/>
  <c r="U144" i="35"/>
  <c r="V178" i="35"/>
  <c r="AD20" i="35"/>
  <c r="AF20" i="35" s="1"/>
  <c r="R252" i="35"/>
  <c r="V185" i="35"/>
  <c r="R253" i="35"/>
  <c r="R254" i="35" s="1"/>
  <c r="V187" i="35" l="1"/>
  <c r="Z86" i="35"/>
  <c r="U203" i="35"/>
  <c r="U217" i="35" s="1"/>
  <c r="U218" i="35" s="1"/>
  <c r="U220" i="35" s="1"/>
  <c r="U189" i="35"/>
  <c r="Y86" i="35"/>
  <c r="V144" i="35"/>
  <c r="R255" i="35"/>
  <c r="R256" i="35"/>
  <c r="AA86" i="35" l="1"/>
  <c r="V189" i="35"/>
  <c r="AG80" i="34" l="1"/>
  <c r="AH80" i="34" s="1"/>
  <c r="AJ80" i="38"/>
  <c r="AK80" i="38" s="1"/>
  <c r="U46" i="2" s="1"/>
  <c r="AG99" i="34"/>
  <c r="AH99" i="34" s="1"/>
  <c r="AJ99" i="38"/>
  <c r="AK99" i="38" s="1"/>
  <c r="U65" i="2" s="1"/>
  <c r="J21" i="2"/>
  <c r="AG100" i="34"/>
  <c r="AH100" i="34" s="1"/>
  <c r="AJ100" i="38"/>
  <c r="AK100" i="38" s="1"/>
  <c r="U66" i="2" s="1"/>
  <c r="AJ84" i="38"/>
  <c r="AK84" i="38" s="1"/>
  <c r="U50" i="2" s="1"/>
  <c r="AG84" i="34"/>
  <c r="AH84" i="34" s="1"/>
  <c r="AG83" i="34"/>
  <c r="AH83" i="34" s="1"/>
  <c r="AJ83" i="38"/>
  <c r="AK83" i="38" s="1"/>
  <c r="U49" i="2" s="1"/>
  <c r="AG82" i="34"/>
  <c r="AH82" i="34" s="1"/>
  <c r="AJ82" i="38"/>
  <c r="AK82" i="38" s="1"/>
  <c r="U48" i="2" s="1"/>
  <c r="AG81" i="34"/>
  <c r="AH81" i="34" s="1"/>
  <c r="AJ81" i="38"/>
  <c r="AK81" i="38" s="1"/>
  <c r="U47" i="2" s="1"/>
  <c r="AJ101" i="38"/>
  <c r="AK101" i="38" s="1"/>
  <c r="U67" i="2" s="1"/>
  <c r="AG101" i="34"/>
  <c r="AH101" i="34" s="1"/>
  <c r="AG102" i="34"/>
  <c r="AH102" i="34" s="1"/>
  <c r="AJ102" i="38"/>
  <c r="AK102" i="38" s="1"/>
  <c r="U68" i="2" s="1"/>
  <c r="AG103" i="34"/>
  <c r="AH103" i="34" s="1"/>
  <c r="AJ103" i="38"/>
  <c r="AK103" i="38" s="1"/>
  <c r="U69" i="2" s="1"/>
  <c r="J14" i="2"/>
  <c r="W46" i="2"/>
  <c r="J24" i="2" l="1"/>
  <c r="W47" i="2"/>
  <c r="W48" i="2" s="1"/>
  <c r="W49" i="2" s="1"/>
  <c r="W50" i="2" s="1"/>
  <c r="W51" i="2" s="1"/>
  <c r="W52" i="2" s="1"/>
  <c r="W53" i="2" s="1"/>
  <c r="W54" i="2" s="1"/>
  <c r="W55" i="2" s="1"/>
  <c r="W56" i="2" s="1"/>
  <c r="W57" i="2" s="1"/>
  <c r="W58" i="2" s="1"/>
  <c r="W59" i="2" s="1"/>
  <c r="W60" i="2" s="1"/>
  <c r="W61" i="2" s="1"/>
  <c r="W62" i="2" s="1"/>
  <c r="W63" i="2" s="1"/>
  <c r="W64" i="2" s="1"/>
  <c r="W65" i="2" s="1"/>
  <c r="W66" i="2" s="1"/>
  <c r="W67" i="2" s="1"/>
  <c r="W68" i="2" s="1"/>
  <c r="W69" i="2" s="1"/>
  <c r="W70" i="2" s="1"/>
  <c r="W71" i="2" s="1"/>
  <c r="W72" i="2" s="1"/>
  <c r="W73" i="2" s="1"/>
  <c r="W74" i="2" s="1"/>
  <c r="W75" i="2" s="1"/>
  <c r="Y46" i="2"/>
  <c r="Y47" i="2" s="1"/>
  <c r="Y48" i="2" s="1"/>
  <c r="Y49" i="2" s="1"/>
  <c r="Y50" i="2" s="1"/>
  <c r="Y51" i="2" s="1"/>
  <c r="Y52" i="2" s="1"/>
  <c r="Y53" i="2" s="1"/>
  <c r="Y54" i="2" s="1"/>
  <c r="Y55" i="2" s="1"/>
  <c r="Y56" i="2" s="1"/>
  <c r="Y57" i="2" s="1"/>
  <c r="Y58" i="2" s="1"/>
  <c r="Y59" i="2" s="1"/>
  <c r="Y60" i="2" s="1"/>
  <c r="Y61" i="2" s="1"/>
  <c r="Y62" i="2" s="1"/>
  <c r="Y63" i="2" s="1"/>
  <c r="Y64" i="2" s="1"/>
  <c r="Y65" i="2" s="1"/>
  <c r="Y66" i="2" s="1"/>
  <c r="Y67" i="2" s="1"/>
  <c r="Y68" i="2" s="1"/>
  <c r="Y69" i="2" s="1"/>
  <c r="Y70" i="2" s="1"/>
  <c r="Y71" i="2" s="1"/>
  <c r="Y72" i="2" s="1"/>
  <c r="Y73" i="2" s="1"/>
  <c r="Y74" i="2" s="1"/>
  <c r="Y75" i="2" s="1"/>
  <c r="S20" i="2" s="1"/>
  <c r="E117" i="35" s="1"/>
  <c r="T20" i="2" l="1"/>
  <c r="S193" i="22" l="1"/>
  <c r="S192" i="22"/>
  <c r="S198" i="22"/>
  <c r="T198" i="22" s="1"/>
  <c r="S196" i="22"/>
  <c r="S195" i="22"/>
  <c r="S197" i="22"/>
  <c r="S194" i="22"/>
  <c r="U198" i="22" l="1"/>
  <c r="T197" i="22"/>
  <c r="V186" i="22"/>
  <c r="V187" i="22"/>
  <c r="U197" i="22" l="1"/>
  <c r="T196" i="22"/>
  <c r="U196" i="22" l="1"/>
  <c r="T195" i="22"/>
  <c r="U195" i="22" l="1"/>
  <c r="T194" i="22"/>
  <c r="U194" i="22" l="1"/>
  <c r="AZ46" i="30" l="1"/>
  <c r="AY46" i="30"/>
  <c r="AZ28" i="30"/>
  <c r="AZ39" i="30"/>
  <c r="AY39" i="30"/>
  <c r="AZ43" i="30"/>
  <c r="AZ40" i="30"/>
  <c r="AY40" i="30"/>
  <c r="AY22" i="30"/>
  <c r="AZ27" i="30"/>
  <c r="AZ20" i="30"/>
  <c r="AY20" i="30"/>
  <c r="AZ45" i="30"/>
  <c r="AY38" i="30"/>
  <c r="AZ38" i="30"/>
  <c r="AY34" i="30"/>
  <c r="AZ34" i="30"/>
  <c r="AY18" i="30"/>
  <c r="AY31" i="30"/>
  <c r="AZ31" i="30"/>
  <c r="AY42" i="30"/>
  <c r="AZ32" i="30"/>
  <c r="AY32" i="30"/>
  <c r="AZ44" i="30"/>
  <c r="AY44" i="30"/>
  <c r="AY41" i="30"/>
  <c r="AY33" i="30"/>
  <c r="AZ33" i="30"/>
  <c r="AZ24" i="30"/>
  <c r="AZ23" i="30"/>
  <c r="AY23" i="30"/>
  <c r="AZ21" i="30"/>
  <c r="AY37" i="30"/>
  <c r="AZ37" i="30"/>
  <c r="AZ35" i="30"/>
  <c r="AZ36" i="30"/>
  <c r="AY29" i="30"/>
  <c r="AZ29" i="30"/>
  <c r="AY25" i="30"/>
  <c r="AY19" i="30"/>
  <c r="AZ19" i="30"/>
  <c r="AY30" i="30"/>
  <c r="AZ26" i="30"/>
  <c r="AY26" i="30"/>
  <c r="AZ15" i="30"/>
  <c r="BC15" i="30"/>
  <c r="C37" i="19" s="1"/>
  <c r="E11" i="22"/>
  <c r="AZ16" i="30"/>
  <c r="BA16" i="30"/>
  <c r="BC16" i="30" s="1"/>
  <c r="C38" i="19" l="1"/>
  <c r="C40" i="19"/>
  <c r="Q102" i="30"/>
  <c r="Q136" i="30" s="1"/>
  <c r="Q110" i="30"/>
  <c r="Q144" i="30" s="1"/>
  <c r="Q165" i="30"/>
  <c r="Q199" i="30" s="1"/>
  <c r="Q157" i="30"/>
  <c r="Q191" i="30" s="1"/>
  <c r="Q113" i="30"/>
  <c r="Q147" i="30" s="1"/>
  <c r="Q97" i="30"/>
  <c r="Q131" i="30" s="1"/>
  <c r="V78" i="34"/>
  <c r="AB78" i="38"/>
  <c r="Q91" i="30"/>
  <c r="Q125" i="30" s="1"/>
  <c r="Q90" i="30"/>
  <c r="Q124" i="30" s="1"/>
  <c r="Q86" i="30"/>
  <c r="Q120" i="30" s="1"/>
  <c r="Q99" i="30"/>
  <c r="Q133" i="30" s="1"/>
  <c r="Q106" i="30"/>
  <c r="Q140" i="30" s="1"/>
  <c r="U15" i="35"/>
  <c r="U78" i="35" s="1"/>
  <c r="BA17" i="30"/>
  <c r="Q176" i="30"/>
  <c r="Q210" i="30" s="1"/>
  <c r="Q175" i="30"/>
  <c r="Q209" i="30" s="1"/>
  <c r="Q161" i="30"/>
  <c r="Q195" i="30" s="1"/>
  <c r="Q184" i="30"/>
  <c r="Q218" i="30" s="1"/>
  <c r="Q180" i="30"/>
  <c r="Q214" i="30" s="1"/>
  <c r="AY36" i="30"/>
  <c r="AZ41" i="30"/>
  <c r="AY43" i="30"/>
  <c r="Q101" i="30"/>
  <c r="Q135" i="30" s="1"/>
  <c r="Q92" i="30"/>
  <c r="Q126" i="30" s="1"/>
  <c r="Q159" i="30"/>
  <c r="Q193" i="30" s="1"/>
  <c r="AY17" i="30"/>
  <c r="O14" i="30"/>
  <c r="Q177" i="30"/>
  <c r="Q211" i="30" s="1"/>
  <c r="BB15" i="30"/>
  <c r="Q173" i="30"/>
  <c r="Q207" i="30" s="1"/>
  <c r="Q87" i="30"/>
  <c r="Q121" i="30" s="1"/>
  <c r="Q95" i="30"/>
  <c r="Q129" i="30" s="1"/>
  <c r="Q156" i="30"/>
  <c r="Q190" i="30" s="1"/>
  <c r="Q166" i="30"/>
  <c r="Q200" i="30" s="1"/>
  <c r="AZ25" i="30"/>
  <c r="AY24" i="30"/>
  <c r="AZ18" i="30"/>
  <c r="AZ22" i="30"/>
  <c r="Q178" i="30"/>
  <c r="Q212" i="30" s="1"/>
  <c r="Q114" i="30"/>
  <c r="Q148" i="30" s="1"/>
  <c r="Q171" i="30"/>
  <c r="Q205" i="30" s="1"/>
  <c r="Q109" i="30"/>
  <c r="Q143" i="30" s="1"/>
  <c r="Q94" i="30"/>
  <c r="Q128" i="30" s="1"/>
  <c r="AZ17" i="30"/>
  <c r="Q167" i="30"/>
  <c r="Q201" i="30" s="1"/>
  <c r="Q170" i="30"/>
  <c r="Q204" i="30" s="1"/>
  <c r="Q186" i="30"/>
  <c r="Q220" i="30" s="1"/>
  <c r="T14" i="30"/>
  <c r="K230" i="30" s="1"/>
  <c r="K231" i="30" s="1"/>
  <c r="BB16" i="30"/>
  <c r="L45" i="2" s="1"/>
  <c r="Q93" i="30"/>
  <c r="Q127" i="30" s="1"/>
  <c r="Q163" i="30"/>
  <c r="Q197" i="30" s="1"/>
  <c r="Q116" i="30"/>
  <c r="Q150" i="30" s="1"/>
  <c r="Q115" i="30"/>
  <c r="Q149" i="30" s="1"/>
  <c r="Q107" i="30"/>
  <c r="Q141" i="30" s="1"/>
  <c r="Q104" i="30"/>
  <c r="Q138" i="30" s="1"/>
  <c r="Q88" i="30"/>
  <c r="Q122" i="30" s="1"/>
  <c r="AZ30" i="30"/>
  <c r="AY21" i="30"/>
  <c r="AZ42" i="30"/>
  <c r="AY27" i="30"/>
  <c r="F22" i="19"/>
  <c r="F28" i="19" s="1"/>
  <c r="F33" i="19" s="1"/>
  <c r="S14" i="30"/>
  <c r="Q183" i="30"/>
  <c r="Q217" i="30" s="1"/>
  <c r="N14" i="30"/>
  <c r="Q182" i="30"/>
  <c r="Q216" i="30" s="1"/>
  <c r="Q89" i="30"/>
  <c r="Q123" i="30" s="1"/>
  <c r="Q100" i="30"/>
  <c r="Q134" i="30" s="1"/>
  <c r="Q172" i="30"/>
  <c r="Q206" i="30" s="1"/>
  <c r="Q168" i="30"/>
  <c r="Q202" i="30" s="1"/>
  <c r="Q162" i="30"/>
  <c r="Q196" i="30" s="1"/>
  <c r="Q181" i="30"/>
  <c r="Q215" i="30" s="1"/>
  <c r="AY15" i="30"/>
  <c r="V79" i="34"/>
  <c r="AB79" i="38"/>
  <c r="Q174" i="30"/>
  <c r="Q208" i="30" s="1"/>
  <c r="Q179" i="30"/>
  <c r="Q213" i="30" s="1"/>
  <c r="Q108" i="30"/>
  <c r="Q142" i="30" s="1"/>
  <c r="Q105" i="30"/>
  <c r="Q139" i="30" s="1"/>
  <c r="P14" i="30"/>
  <c r="Q158" i="30"/>
  <c r="Q192" i="30" s="1"/>
  <c r="Q112" i="30"/>
  <c r="Q146" i="30" s="1"/>
  <c r="Q160" i="30"/>
  <c r="Q194" i="30" s="1"/>
  <c r="Q164" i="30"/>
  <c r="Q198" i="30" s="1"/>
  <c r="M14" i="30"/>
  <c r="AY35" i="30"/>
  <c r="AY16" i="30"/>
  <c r="AY45" i="30"/>
  <c r="AY28" i="30"/>
  <c r="E28" i="22"/>
  <c r="K7" i="22" s="1"/>
  <c r="E71" i="22"/>
  <c r="K12" i="22" s="1"/>
  <c r="E46" i="22"/>
  <c r="K9" i="22" s="1"/>
  <c r="Q111" i="30"/>
  <c r="Q145" i="30" s="1"/>
  <c r="Q103" i="30"/>
  <c r="Q137" i="30" s="1"/>
  <c r="Q98" i="30"/>
  <c r="Q132" i="30" s="1"/>
  <c r="Q96" i="30"/>
  <c r="Q130" i="30" s="1"/>
  <c r="Q185" i="30"/>
  <c r="Q219" i="30" s="1"/>
  <c r="Q169" i="30"/>
  <c r="Q203" i="30" s="1"/>
  <c r="L14" i="30"/>
  <c r="S92" i="30" l="1"/>
  <c r="S126" i="30" s="1"/>
  <c r="S161" i="30"/>
  <c r="S195" i="30" s="1"/>
  <c r="S162" i="30"/>
  <c r="S196" i="30" s="1"/>
  <c r="S111" i="30"/>
  <c r="S145" i="30" s="1"/>
  <c r="S175" i="30"/>
  <c r="S209" i="30" s="1"/>
  <c r="S103" i="30"/>
  <c r="S137" i="30" s="1"/>
  <c r="S183" i="30"/>
  <c r="S217" i="30" s="1"/>
  <c r="S114" i="30"/>
  <c r="S148" i="30" s="1"/>
  <c r="S113" i="30"/>
  <c r="S147" i="30" s="1"/>
  <c r="S100" i="30"/>
  <c r="S134" i="30" s="1"/>
  <c r="S93" i="30"/>
  <c r="S127" i="30" s="1"/>
  <c r="S170" i="30"/>
  <c r="S204" i="30" s="1"/>
  <c r="S102" i="30"/>
  <c r="S136" i="30" s="1"/>
  <c r="S104" i="30"/>
  <c r="S138" i="30" s="1"/>
  <c r="S172" i="30"/>
  <c r="S206" i="30" s="1"/>
  <c r="S90" i="30"/>
  <c r="S124" i="30" s="1"/>
  <c r="S86" i="30"/>
  <c r="S120" i="30" s="1"/>
  <c r="S95" i="30"/>
  <c r="S129" i="30" s="1"/>
  <c r="S178" i="30"/>
  <c r="S212" i="30" s="1"/>
  <c r="S89" i="30"/>
  <c r="S123" i="30" s="1"/>
  <c r="S177" i="30"/>
  <c r="S211" i="30" s="1"/>
  <c r="S99" i="30"/>
  <c r="S133" i="30" s="1"/>
  <c r="S185" i="30"/>
  <c r="S219" i="30" s="1"/>
  <c r="S87" i="30"/>
  <c r="S121" i="30" s="1"/>
  <c r="S110" i="30"/>
  <c r="S144" i="30" s="1"/>
  <c r="S184" i="30"/>
  <c r="S218" i="30" s="1"/>
  <c r="S156" i="30"/>
  <c r="S190" i="30" s="1"/>
  <c r="S171" i="30"/>
  <c r="S205" i="30" s="1"/>
  <c r="S165" i="30"/>
  <c r="S199" i="30" s="1"/>
  <c r="S174" i="30"/>
  <c r="S208" i="30" s="1"/>
  <c r="S106" i="30"/>
  <c r="S140" i="30" s="1"/>
  <c r="S112" i="30"/>
  <c r="S146" i="30" s="1"/>
  <c r="S157" i="30"/>
  <c r="S191" i="30" s="1"/>
  <c r="S160" i="30"/>
  <c r="S194" i="30" s="1"/>
  <c r="S94" i="30"/>
  <c r="S128" i="30" s="1"/>
  <c r="S167" i="30"/>
  <c r="S201" i="30" s="1"/>
  <c r="S164" i="30"/>
  <c r="S198" i="30" s="1"/>
  <c r="S115" i="30"/>
  <c r="S149" i="30" s="1"/>
  <c r="S181" i="30"/>
  <c r="S215" i="30" s="1"/>
  <c r="S182" i="30"/>
  <c r="S216" i="30" s="1"/>
  <c r="S91" i="30"/>
  <c r="S125" i="30" s="1"/>
  <c r="S163" i="30"/>
  <c r="S197" i="30" s="1"/>
  <c r="S96" i="30"/>
  <c r="S130" i="30" s="1"/>
  <c r="S166" i="30"/>
  <c r="S200" i="30" s="1"/>
  <c r="S88" i="30"/>
  <c r="S122" i="30" s="1"/>
  <c r="S173" i="30"/>
  <c r="S207" i="30" s="1"/>
  <c r="S158" i="30"/>
  <c r="S192" i="30" s="1"/>
  <c r="S176" i="30"/>
  <c r="S210" i="30" s="1"/>
  <c r="S168" i="30"/>
  <c r="S202" i="30" s="1"/>
  <c r="S169" i="30"/>
  <c r="S203" i="30" s="1"/>
  <c r="S97" i="30"/>
  <c r="S131" i="30" s="1"/>
  <c r="S179" i="30"/>
  <c r="S213" i="30" s="1"/>
  <c r="S105" i="30"/>
  <c r="S139" i="30" s="1"/>
  <c r="S108" i="30"/>
  <c r="S142" i="30" s="1"/>
  <c r="S98" i="30"/>
  <c r="S132" i="30" s="1"/>
  <c r="S107" i="30"/>
  <c r="S141" i="30" s="1"/>
  <c r="S186" i="30"/>
  <c r="S220" i="30" s="1"/>
  <c r="S159" i="30"/>
  <c r="S193" i="30" s="1"/>
  <c r="S109" i="30"/>
  <c r="S143" i="30" s="1"/>
  <c r="S101" i="30"/>
  <c r="S135" i="30" s="1"/>
  <c r="S116" i="30"/>
  <c r="S150" i="30" s="1"/>
  <c r="S180" i="30"/>
  <c r="S214" i="30" s="1"/>
  <c r="U81" i="35"/>
  <c r="W86" i="35" s="1"/>
  <c r="U82" i="35"/>
  <c r="X86" i="35" s="1"/>
  <c r="E7" i="30"/>
  <c r="F23" i="19"/>
  <c r="F24" i="19" s="1"/>
  <c r="O163" i="30"/>
  <c r="O197" i="30" s="1"/>
  <c r="O179" i="30"/>
  <c r="O213" i="30" s="1"/>
  <c r="O112" i="30"/>
  <c r="O146" i="30" s="1"/>
  <c r="O162" i="30"/>
  <c r="O196" i="30" s="1"/>
  <c r="O181" i="30"/>
  <c r="O215" i="30" s="1"/>
  <c r="O97" i="30"/>
  <c r="O131" i="30" s="1"/>
  <c r="O113" i="30"/>
  <c r="O147" i="30" s="1"/>
  <c r="O115" i="30"/>
  <c r="O149" i="30" s="1"/>
  <c r="O178" i="30"/>
  <c r="O212" i="30" s="1"/>
  <c r="O93" i="30"/>
  <c r="O127" i="30" s="1"/>
  <c r="O165" i="30"/>
  <c r="O199" i="30" s="1"/>
  <c r="O170" i="30"/>
  <c r="O204" i="30" s="1"/>
  <c r="O159" i="30"/>
  <c r="O193" i="30" s="1"/>
  <c r="O95" i="30"/>
  <c r="O129" i="30" s="1"/>
  <c r="O167" i="30"/>
  <c r="O201" i="30" s="1"/>
  <c r="O108" i="30"/>
  <c r="O142" i="30" s="1"/>
  <c r="O158" i="30"/>
  <c r="O192" i="30" s="1"/>
  <c r="O89" i="30"/>
  <c r="O123" i="30" s="1"/>
  <c r="O87" i="30"/>
  <c r="O121" i="30" s="1"/>
  <c r="O96" i="30"/>
  <c r="O130" i="30" s="1"/>
  <c r="O106" i="30"/>
  <c r="O140" i="30" s="1"/>
  <c r="O102" i="30"/>
  <c r="O136" i="30" s="1"/>
  <c r="O92" i="30"/>
  <c r="O126" i="30" s="1"/>
  <c r="O174" i="30"/>
  <c r="O208" i="30" s="1"/>
  <c r="O157" i="30"/>
  <c r="O191" i="30" s="1"/>
  <c r="O99" i="30"/>
  <c r="O133" i="30" s="1"/>
  <c r="O184" i="30"/>
  <c r="O218" i="30" s="1"/>
  <c r="O86" i="30"/>
  <c r="O120" i="30" s="1"/>
  <c r="O175" i="30"/>
  <c r="O209" i="30" s="1"/>
  <c r="O156" i="30"/>
  <c r="O190" i="30" s="1"/>
  <c r="O116" i="30"/>
  <c r="O150" i="30" s="1"/>
  <c r="O180" i="30"/>
  <c r="O214" i="30" s="1"/>
  <c r="O107" i="30"/>
  <c r="O141" i="30" s="1"/>
  <c r="O183" i="30"/>
  <c r="O217" i="30" s="1"/>
  <c r="O168" i="30"/>
  <c r="O202" i="30" s="1"/>
  <c r="O88" i="30"/>
  <c r="O122" i="30" s="1"/>
  <c r="O169" i="30"/>
  <c r="O203" i="30" s="1"/>
  <c r="O161" i="30"/>
  <c r="O195" i="30" s="1"/>
  <c r="O177" i="30"/>
  <c r="O211" i="30" s="1"/>
  <c r="O100" i="30"/>
  <c r="O134" i="30" s="1"/>
  <c r="O114" i="30"/>
  <c r="O148" i="30" s="1"/>
  <c r="O172" i="30"/>
  <c r="O206" i="30" s="1"/>
  <c r="O164" i="30"/>
  <c r="O198" i="30" s="1"/>
  <c r="O109" i="30"/>
  <c r="O143" i="30" s="1"/>
  <c r="O160" i="30"/>
  <c r="O194" i="30" s="1"/>
  <c r="O166" i="30"/>
  <c r="O200" i="30" s="1"/>
  <c r="O185" i="30"/>
  <c r="O219" i="30" s="1"/>
  <c r="O111" i="30"/>
  <c r="O145" i="30" s="1"/>
  <c r="O176" i="30"/>
  <c r="O210" i="30" s="1"/>
  <c r="O103" i="30"/>
  <c r="O137" i="30" s="1"/>
  <c r="O101" i="30"/>
  <c r="O135" i="30" s="1"/>
  <c r="O186" i="30"/>
  <c r="O220" i="30" s="1"/>
  <c r="O104" i="30"/>
  <c r="O138" i="30" s="1"/>
  <c r="O173" i="30"/>
  <c r="O207" i="30" s="1"/>
  <c r="O110" i="30"/>
  <c r="O144" i="30" s="1"/>
  <c r="O94" i="30"/>
  <c r="O128" i="30" s="1"/>
  <c r="O171" i="30"/>
  <c r="O205" i="30" s="1"/>
  <c r="O98" i="30"/>
  <c r="O132" i="30" s="1"/>
  <c r="O90" i="30"/>
  <c r="O124" i="30" s="1"/>
  <c r="O91" i="30"/>
  <c r="O125" i="30" s="1"/>
  <c r="O182" i="30"/>
  <c r="O216" i="30" s="1"/>
  <c r="O105" i="30"/>
  <c r="O139" i="30" s="1"/>
  <c r="L160" i="30"/>
  <c r="L194" i="30" s="1"/>
  <c r="L164" i="30"/>
  <c r="L198" i="30" s="1"/>
  <c r="L116" i="30"/>
  <c r="L150" i="30" s="1"/>
  <c r="L105" i="30"/>
  <c r="L139" i="30" s="1"/>
  <c r="L99" i="30"/>
  <c r="L133" i="30" s="1"/>
  <c r="L96" i="30"/>
  <c r="L130" i="30" s="1"/>
  <c r="L102" i="30"/>
  <c r="L136" i="30" s="1"/>
  <c r="L173" i="30"/>
  <c r="L207" i="30" s="1"/>
  <c r="L180" i="30"/>
  <c r="L214" i="30" s="1"/>
  <c r="L108" i="30"/>
  <c r="L142" i="30" s="1"/>
  <c r="L166" i="30"/>
  <c r="L200" i="30" s="1"/>
  <c r="L178" i="30"/>
  <c r="L212" i="30" s="1"/>
  <c r="L94" i="30"/>
  <c r="L128" i="30" s="1"/>
  <c r="L177" i="30"/>
  <c r="L211" i="30" s="1"/>
  <c r="L98" i="30"/>
  <c r="L132" i="30" s="1"/>
  <c r="L156" i="30"/>
  <c r="L190" i="30" s="1"/>
  <c r="L186" i="30"/>
  <c r="L220" i="30" s="1"/>
  <c r="L107" i="30"/>
  <c r="L141" i="30" s="1"/>
  <c r="L157" i="30"/>
  <c r="L191" i="30" s="1"/>
  <c r="L172" i="30"/>
  <c r="L206" i="30" s="1"/>
  <c r="L87" i="30"/>
  <c r="L121" i="30" s="1"/>
  <c r="L176" i="30"/>
  <c r="L210" i="30" s="1"/>
  <c r="L97" i="30"/>
  <c r="L131" i="30" s="1"/>
  <c r="L104" i="30"/>
  <c r="L138" i="30" s="1"/>
  <c r="L171" i="30"/>
  <c r="L205" i="30" s="1"/>
  <c r="L113" i="30"/>
  <c r="L147" i="30" s="1"/>
  <c r="L168" i="30"/>
  <c r="L202" i="30" s="1"/>
  <c r="L89" i="30"/>
  <c r="L123" i="30" s="1"/>
  <c r="L103" i="30"/>
  <c r="L137" i="30" s="1"/>
  <c r="L182" i="30"/>
  <c r="L216" i="30" s="1"/>
  <c r="L100" i="30"/>
  <c r="L134" i="30" s="1"/>
  <c r="L95" i="30"/>
  <c r="L129" i="30" s="1"/>
  <c r="L109" i="30"/>
  <c r="L143" i="30" s="1"/>
  <c r="L167" i="30"/>
  <c r="L201" i="30" s="1"/>
  <c r="L92" i="30"/>
  <c r="L126" i="30" s="1"/>
  <c r="L112" i="30"/>
  <c r="L146" i="30" s="1"/>
  <c r="L185" i="30"/>
  <c r="L219" i="30" s="1"/>
  <c r="L174" i="30"/>
  <c r="L208" i="30" s="1"/>
  <c r="L159" i="30"/>
  <c r="L193" i="30" s="1"/>
  <c r="L111" i="30"/>
  <c r="L145" i="30" s="1"/>
  <c r="L115" i="30"/>
  <c r="L149" i="30" s="1"/>
  <c r="L170" i="30"/>
  <c r="L204" i="30" s="1"/>
  <c r="L91" i="30"/>
  <c r="L125" i="30" s="1"/>
  <c r="L163" i="30"/>
  <c r="L197" i="30" s="1"/>
  <c r="L184" i="30"/>
  <c r="L218" i="30" s="1"/>
  <c r="L165" i="30"/>
  <c r="L199" i="30" s="1"/>
  <c r="L158" i="30"/>
  <c r="L192" i="30" s="1"/>
  <c r="L88" i="30"/>
  <c r="L122" i="30" s="1"/>
  <c r="L114" i="30"/>
  <c r="L148" i="30" s="1"/>
  <c r="L169" i="30"/>
  <c r="L203" i="30" s="1"/>
  <c r="L90" i="30"/>
  <c r="L124" i="30" s="1"/>
  <c r="L110" i="30"/>
  <c r="L144" i="30" s="1"/>
  <c r="L183" i="30"/>
  <c r="L217" i="30" s="1"/>
  <c r="L101" i="30"/>
  <c r="L135" i="30" s="1"/>
  <c r="L181" i="30"/>
  <c r="L215" i="30" s="1"/>
  <c r="L106" i="30"/>
  <c r="L140" i="30" s="1"/>
  <c r="L161" i="30"/>
  <c r="L195" i="30" s="1"/>
  <c r="L162" i="30"/>
  <c r="L196" i="30" s="1"/>
  <c r="L86" i="30"/>
  <c r="L120" i="30" s="1"/>
  <c r="L175" i="30"/>
  <c r="L209" i="30" s="1"/>
  <c r="L93" i="30"/>
  <c r="L127" i="30" s="1"/>
  <c r="L179" i="30"/>
  <c r="L213" i="30" s="1"/>
  <c r="BB17" i="30"/>
  <c r="L46" i="2" s="1"/>
  <c r="R46" i="2" s="1"/>
  <c r="BC17" i="30"/>
  <c r="BA52" i="38" s="1"/>
  <c r="BA53" i="38" s="1"/>
  <c r="AT18" i="30" l="1"/>
  <c r="T46" i="2"/>
  <c r="V80" i="34"/>
  <c r="W80" i="34" s="1"/>
  <c r="S66" i="35"/>
  <c r="W66" i="35" s="1"/>
  <c r="W68" i="35" s="1"/>
  <c r="AB80" i="38"/>
  <c r="AD80" i="38" s="1"/>
  <c r="K31" i="19"/>
  <c r="J88" i="30"/>
  <c r="AP18" i="30" l="1"/>
  <c r="AQ18" i="30"/>
  <c r="AR18" i="30"/>
  <c r="AS18" i="30"/>
  <c r="J106" i="30"/>
  <c r="J140" i="30" s="1"/>
  <c r="J179" i="30"/>
  <c r="J213" i="30" s="1"/>
  <c r="J173" i="30"/>
  <c r="J207" i="30" s="1"/>
  <c r="J94" i="30"/>
  <c r="J128" i="30" s="1"/>
  <c r="J101" i="30"/>
  <c r="J135" i="30" s="1"/>
  <c r="J177" i="30"/>
  <c r="J211" i="30" s="1"/>
  <c r="J93" i="30"/>
  <c r="J127" i="30" s="1"/>
  <c r="J122" i="30"/>
  <c r="J167" i="30"/>
  <c r="J201" i="30" s="1"/>
  <c r="J95" i="30"/>
  <c r="J129" i="30" s="1"/>
  <c r="J113" i="30"/>
  <c r="J147" i="30" s="1"/>
  <c r="J114" i="30"/>
  <c r="J148" i="30" s="1"/>
  <c r="J165" i="30"/>
  <c r="J199" i="30" s="1"/>
  <c r="J99" i="30"/>
  <c r="J133" i="30" s="1"/>
  <c r="J87" i="30"/>
  <c r="J121" i="30" s="1"/>
  <c r="J105" i="30"/>
  <c r="J139" i="30" s="1"/>
  <c r="J98" i="30"/>
  <c r="J132" i="30" s="1"/>
  <c r="J178" i="30"/>
  <c r="J212" i="30" s="1"/>
  <c r="J86" i="30"/>
  <c r="J120" i="30" s="1"/>
  <c r="J172" i="30"/>
  <c r="J206" i="30" s="1"/>
  <c r="J168" i="30"/>
  <c r="J202" i="30" s="1"/>
  <c r="J157" i="30"/>
  <c r="J191" i="30" s="1"/>
  <c r="J162" i="30"/>
  <c r="J196" i="30" s="1"/>
  <c r="J90" i="30"/>
  <c r="J124" i="30" s="1"/>
  <c r="J184" i="30"/>
  <c r="J218" i="30" s="1"/>
  <c r="J160" i="30"/>
  <c r="J194" i="30" s="1"/>
  <c r="J111" i="30"/>
  <c r="J145" i="30" s="1"/>
  <c r="J116" i="30"/>
  <c r="J150" i="30" s="1"/>
  <c r="J175" i="30"/>
  <c r="J209" i="30" s="1"/>
  <c r="J103" i="30"/>
  <c r="J137" i="30" s="1"/>
  <c r="J115" i="30"/>
  <c r="J149" i="30" s="1"/>
  <c r="J89" i="30"/>
  <c r="J123" i="30" s="1"/>
  <c r="J169" i="30"/>
  <c r="J203" i="30" s="1"/>
  <c r="J108" i="30"/>
  <c r="J142" i="30" s="1"/>
  <c r="J166" i="30"/>
  <c r="J200" i="30" s="1"/>
  <c r="J182" i="30"/>
  <c r="J216" i="30" s="1"/>
  <c r="J176" i="30"/>
  <c r="J210" i="30" s="1"/>
  <c r="J107" i="30"/>
  <c r="J141" i="30" s="1"/>
  <c r="J97" i="30"/>
  <c r="J131" i="30" s="1"/>
  <c r="J102" i="30"/>
  <c r="J136" i="30" s="1"/>
  <c r="J109" i="30"/>
  <c r="J143" i="30" s="1"/>
  <c r="J92" i="30"/>
  <c r="J126" i="30" s="1"/>
  <c r="J171" i="30"/>
  <c r="J205" i="30" s="1"/>
  <c r="J161" i="30"/>
  <c r="J195" i="30" s="1"/>
  <c r="J181" i="30"/>
  <c r="J215" i="30" s="1"/>
  <c r="J159" i="30"/>
  <c r="J193" i="30" s="1"/>
  <c r="J174" i="30"/>
  <c r="J208" i="30" s="1"/>
  <c r="J183" i="30"/>
  <c r="J217" i="30" s="1"/>
  <c r="J185" i="30"/>
  <c r="J219" i="30" s="1"/>
  <c r="J112" i="30"/>
  <c r="J146" i="30" s="1"/>
  <c r="J163" i="30"/>
  <c r="J197" i="30" s="1"/>
  <c r="J104" i="30"/>
  <c r="J138" i="30" s="1"/>
  <c r="J96" i="30"/>
  <c r="J130" i="30" s="1"/>
  <c r="J170" i="30"/>
  <c r="J204" i="30" s="1"/>
  <c r="J100" i="30"/>
  <c r="J134" i="30" s="1"/>
  <c r="J91" i="30"/>
  <c r="J125" i="30" s="1"/>
  <c r="J156" i="30"/>
  <c r="J190" i="30" s="1"/>
  <c r="J158" i="30"/>
  <c r="J192" i="30" s="1"/>
  <c r="E25" i="30"/>
  <c r="J186" i="30"/>
  <c r="J220" i="30" s="1"/>
  <c r="J180" i="30"/>
  <c r="J214" i="30" s="1"/>
  <c r="J164" i="30"/>
  <c r="J198" i="30" s="1"/>
  <c r="J110" i="30"/>
  <c r="J144" i="30" s="1"/>
  <c r="X46" i="2"/>
  <c r="Q46" i="2"/>
  <c r="AE80" i="38"/>
  <c r="AF80" i="38" s="1"/>
  <c r="AG80" i="38" s="1"/>
  <c r="AH80" i="38" s="1"/>
  <c r="AM80" i="38"/>
  <c r="AJ80" i="34"/>
  <c r="X80" i="34"/>
  <c r="Y80" i="34" s="1"/>
  <c r="Z80" i="34" s="1"/>
  <c r="AW18" i="30"/>
  <c r="BA18" i="30" l="1"/>
  <c r="P47" i="2"/>
  <c r="AB47" i="2" s="1"/>
  <c r="U37" i="31"/>
  <c r="BC18" i="30" l="1"/>
  <c r="AB81" i="38" s="1"/>
  <c r="AD81" i="38" s="1"/>
  <c r="O38" i="31"/>
  <c r="V37" i="31"/>
  <c r="X37" i="31"/>
  <c r="BB18" i="30"/>
  <c r="L47" i="2" s="1"/>
  <c r="R47" i="2" s="1"/>
  <c r="V81" i="34" l="1"/>
  <c r="W81" i="34" s="1"/>
  <c r="AJ81" i="34" s="1"/>
  <c r="T47" i="2"/>
  <c r="AT19" i="30"/>
  <c r="Y37" i="31"/>
  <c r="AE81" i="38"/>
  <c r="AF81" i="38" s="1"/>
  <c r="AG81" i="38" s="1"/>
  <c r="AH81" i="38" s="1"/>
  <c r="AM81" i="38"/>
  <c r="P38" i="31"/>
  <c r="R38" i="31"/>
  <c r="X81" i="34" l="1"/>
  <c r="Y81" i="34" s="1"/>
  <c r="Z81" i="34" s="1"/>
  <c r="AP19" i="30"/>
  <c r="AQ19" i="30"/>
  <c r="AR19" i="30"/>
  <c r="AS19" i="30"/>
  <c r="Z37" i="31"/>
  <c r="AW19" i="30"/>
  <c r="S38" i="31"/>
  <c r="X47" i="2"/>
  <c r="Q47" i="2"/>
  <c r="T38" i="31" l="1"/>
  <c r="BA19" i="30"/>
  <c r="P48" i="2"/>
  <c r="AB48" i="2" s="1"/>
  <c r="U38" i="31"/>
  <c r="BC19" i="30" l="1"/>
  <c r="AB82" i="38" s="1"/>
  <c r="AD82" i="38" s="1"/>
  <c r="O39" i="31"/>
  <c r="BB19" i="30"/>
  <c r="L48" i="2" s="1"/>
  <c r="R48" i="2" s="1"/>
  <c r="X38" i="31"/>
  <c r="V38" i="31"/>
  <c r="V82" i="34" l="1"/>
  <c r="W82" i="34" s="1"/>
  <c r="X82" i="34" s="1"/>
  <c r="Y82" i="34" s="1"/>
  <c r="Z82" i="34" s="1"/>
  <c r="R39" i="31"/>
  <c r="P39" i="31"/>
  <c r="T48" i="2"/>
  <c r="AT20" i="30"/>
  <c r="AM82" i="38"/>
  <c r="AE82" i="38"/>
  <c r="AF82" i="38" s="1"/>
  <c r="AG82" i="38" s="1"/>
  <c r="AH82" i="38" s="1"/>
  <c r="Y38" i="31"/>
  <c r="AJ82" i="34" l="1"/>
  <c r="AP20" i="30"/>
  <c r="AQ20" i="30"/>
  <c r="AR20" i="30"/>
  <c r="AS20" i="30"/>
  <c r="AW20" i="30"/>
  <c r="Z38" i="31"/>
  <c r="X48" i="2"/>
  <c r="Q48" i="2"/>
  <c r="S39" i="31"/>
  <c r="P49" i="2" l="1"/>
  <c r="AB49" i="2" s="1"/>
  <c r="U39" i="31"/>
  <c r="T39" i="31"/>
  <c r="BA20" i="30"/>
  <c r="BC20" i="30" l="1"/>
  <c r="V83" i="34" s="1"/>
  <c r="W83" i="34" s="1"/>
  <c r="X39" i="31"/>
  <c r="V39" i="31"/>
  <c r="BB20" i="30"/>
  <c r="L49" i="2" s="1"/>
  <c r="R49" i="2" s="1"/>
  <c r="O40" i="31"/>
  <c r="AB83" i="38" l="1"/>
  <c r="AD83" i="38" s="1"/>
  <c r="AM83" i="38" s="1"/>
  <c r="P40" i="31"/>
  <c r="R40" i="31"/>
  <c r="Y39" i="31"/>
  <c r="T49" i="2"/>
  <c r="AT21" i="30"/>
  <c r="AJ83" i="34"/>
  <c r="X83" i="34"/>
  <c r="Y83" i="34" s="1"/>
  <c r="Z83" i="34" s="1"/>
  <c r="AE83" i="38" l="1"/>
  <c r="AF83" i="38" s="1"/>
  <c r="AG83" i="38" s="1"/>
  <c r="AH83" i="38" s="1"/>
  <c r="AP21" i="30"/>
  <c r="AQ21" i="30"/>
  <c r="AR21" i="30"/>
  <c r="AS21" i="30"/>
  <c r="AW21" i="30"/>
  <c r="F94" i="22"/>
  <c r="F102" i="22" s="1"/>
  <c r="F103" i="22" s="1"/>
  <c r="F104" i="22" s="1"/>
  <c r="F105" i="22" s="1"/>
  <c r="X49" i="2"/>
  <c r="Q49" i="2"/>
  <c r="S40" i="31"/>
  <c r="Z39" i="31"/>
  <c r="F106" i="22" l="1"/>
  <c r="T40" i="31"/>
  <c r="P50" i="2"/>
  <c r="AB50" i="2" s="1"/>
  <c r="U40" i="31"/>
  <c r="BA21" i="30"/>
  <c r="BC21" i="30" l="1"/>
  <c r="AB84" i="38" s="1"/>
  <c r="AD84" i="38" s="1"/>
  <c r="BB21" i="30"/>
  <c r="L50" i="2" s="1"/>
  <c r="R50" i="2" s="1"/>
  <c r="X40" i="31"/>
  <c r="V40" i="31"/>
  <c r="O41" i="31"/>
  <c r="V84" i="34" l="1"/>
  <c r="W84" i="34" s="1"/>
  <c r="AJ84" i="34" s="1"/>
  <c r="AM84" i="38"/>
  <c r="AE84" i="38"/>
  <c r="AF84" i="38" s="1"/>
  <c r="AG84" i="38" s="1"/>
  <c r="AH84" i="38" s="1"/>
  <c r="T50" i="2"/>
  <c r="AT22" i="30"/>
  <c r="P41" i="31"/>
  <c r="R41" i="31"/>
  <c r="Y40" i="31"/>
  <c r="X84" i="34" l="1"/>
  <c r="Y84" i="34" s="1"/>
  <c r="Z84" i="34" s="1"/>
  <c r="AP22" i="30"/>
  <c r="AQ22" i="30"/>
  <c r="AS22" i="30"/>
  <c r="AR22" i="30"/>
  <c r="AW22" i="30"/>
  <c r="K14" i="2"/>
  <c r="X50" i="2"/>
  <c r="Q50" i="2"/>
  <c r="Z40" i="31"/>
  <c r="S41" i="31"/>
  <c r="BA22" i="30" l="1"/>
  <c r="T41" i="31"/>
  <c r="P51" i="2"/>
  <c r="AB51" i="2" s="1"/>
  <c r="U41" i="31"/>
  <c r="BC22" i="30" l="1"/>
  <c r="BB52" i="38" s="1"/>
  <c r="BB53" i="38" s="1"/>
  <c r="X41" i="31"/>
  <c r="V41" i="31"/>
  <c r="O42" i="31"/>
  <c r="BB22" i="30"/>
  <c r="L51" i="2" s="1"/>
  <c r="R51" i="2" s="1"/>
  <c r="V85" i="34" l="1"/>
  <c r="W85" i="34" s="1"/>
  <c r="X85" i="34" s="1"/>
  <c r="Y85" i="34" s="1"/>
  <c r="Z85" i="34" s="1"/>
  <c r="AB85" i="38"/>
  <c r="AD85" i="38" s="1"/>
  <c r="AE85" i="38" s="1"/>
  <c r="AF85" i="38" s="1"/>
  <c r="AG85" i="38" s="1"/>
  <c r="AH85" i="38" s="1"/>
  <c r="P42" i="31"/>
  <c r="R42" i="31"/>
  <c r="T51" i="2"/>
  <c r="AT23" i="30"/>
  <c r="Y41" i="31"/>
  <c r="AP23" i="30" l="1"/>
  <c r="AQ23" i="30"/>
  <c r="AR23" i="30"/>
  <c r="AS23" i="30"/>
  <c r="AJ85" i="34"/>
  <c r="AM85" i="38"/>
  <c r="Z41" i="31"/>
  <c r="S42" i="31"/>
  <c r="X51" i="2"/>
  <c r="Q51" i="2"/>
  <c r="AW23" i="30"/>
  <c r="T42" i="31" l="1"/>
  <c r="BA23" i="30"/>
  <c r="U42" i="31"/>
  <c r="P52" i="2"/>
  <c r="AB52" i="2" s="1"/>
  <c r="BC23" i="30" l="1"/>
  <c r="V86" i="34" s="1"/>
  <c r="W86" i="34" s="1"/>
  <c r="BB23" i="30"/>
  <c r="L52" i="2" s="1"/>
  <c r="R52" i="2" s="1"/>
  <c r="O43" i="31"/>
  <c r="V42" i="31"/>
  <c r="X42" i="31"/>
  <c r="Y42" i="31" s="1"/>
  <c r="Z42" i="31" s="1"/>
  <c r="AB86" i="38" l="1"/>
  <c r="AD86" i="38" s="1"/>
  <c r="AE86" i="38" s="1"/>
  <c r="AF86" i="38" s="1"/>
  <c r="AG86" i="38" s="1"/>
  <c r="AH86" i="38" s="1"/>
  <c r="R43" i="31"/>
  <c r="S43" i="31" s="1"/>
  <c r="T43" i="31" s="1"/>
  <c r="P43" i="31"/>
  <c r="X86" i="34"/>
  <c r="Y86" i="34" s="1"/>
  <c r="Z86" i="34" s="1"/>
  <c r="AJ86" i="34"/>
  <c r="T52" i="2"/>
  <c r="AT24" i="30"/>
  <c r="AP24" i="30" l="1"/>
  <c r="AQ24" i="30"/>
  <c r="AR24" i="30"/>
  <c r="AS24" i="30"/>
  <c r="AM86" i="38"/>
  <c r="AW24" i="30"/>
  <c r="X52" i="2"/>
  <c r="Q52" i="2"/>
  <c r="P53" i="2" l="1"/>
  <c r="AB53" i="2" s="1"/>
  <c r="U43" i="31"/>
  <c r="BA24" i="30"/>
  <c r="BC24" i="30" l="1"/>
  <c r="AB87" i="38" s="1"/>
  <c r="AD87" i="38" s="1"/>
  <c r="V43" i="31"/>
  <c r="X43" i="31"/>
  <c r="Y43" i="31" s="1"/>
  <c r="Z43" i="31" s="1"/>
  <c r="BB24" i="30"/>
  <c r="L53" i="2" s="1"/>
  <c r="R53" i="2" s="1"/>
  <c r="O44" i="31"/>
  <c r="V87" i="34" l="1"/>
  <c r="W87" i="34" s="1"/>
  <c r="X87" i="34" s="1"/>
  <c r="Y87" i="34" s="1"/>
  <c r="Z87" i="34" s="1"/>
  <c r="P44" i="31"/>
  <c r="R44" i="31"/>
  <c r="S44" i="31" s="1"/>
  <c r="T44" i="31" s="1"/>
  <c r="T53" i="2"/>
  <c r="AT25" i="30"/>
  <c r="AE87" i="38"/>
  <c r="AF87" i="38" s="1"/>
  <c r="AG87" i="38" s="1"/>
  <c r="AH87" i="38" s="1"/>
  <c r="AM87" i="38"/>
  <c r="AJ87" i="34" l="1"/>
  <c r="AS25" i="30"/>
  <c r="AP25" i="30"/>
  <c r="AQ25" i="30"/>
  <c r="AR25" i="30"/>
  <c r="AW25" i="30"/>
  <c r="X53" i="2"/>
  <c r="Q53" i="2"/>
  <c r="BA25" i="30" l="1"/>
  <c r="U44" i="31"/>
  <c r="P54" i="2"/>
  <c r="AB54" i="2" s="1"/>
  <c r="BC25" i="30" l="1"/>
  <c r="AB88" i="38" s="1"/>
  <c r="AD88" i="38" s="1"/>
  <c r="O45" i="31"/>
  <c r="X44" i="31"/>
  <c r="Y44" i="31" s="1"/>
  <c r="Z44" i="31" s="1"/>
  <c r="V44" i="31"/>
  <c r="BB25" i="30"/>
  <c r="L54" i="2" s="1"/>
  <c r="R54" i="2" s="1"/>
  <c r="V88" i="34" l="1"/>
  <c r="W88" i="34" s="1"/>
  <c r="X88" i="34" s="1"/>
  <c r="Y88" i="34" s="1"/>
  <c r="Z88" i="34" s="1"/>
  <c r="AE88" i="38"/>
  <c r="AF88" i="38" s="1"/>
  <c r="AG88" i="38" s="1"/>
  <c r="AH88" i="38" s="1"/>
  <c r="AM88" i="38"/>
  <c r="T54" i="2"/>
  <c r="AT26" i="30"/>
  <c r="P45" i="31"/>
  <c r="R45" i="31"/>
  <c r="S45" i="31" s="1"/>
  <c r="T45" i="31" s="1"/>
  <c r="AP26" i="30" l="1"/>
  <c r="AS26" i="30"/>
  <c r="AQ26" i="30"/>
  <c r="AR26" i="30"/>
  <c r="AJ88" i="34"/>
  <c r="AW26" i="30"/>
  <c r="X54" i="2"/>
  <c r="Q54" i="2"/>
  <c r="U45" i="31" l="1"/>
  <c r="P55" i="2"/>
  <c r="AB55" i="2" s="1"/>
  <c r="BA26" i="30"/>
  <c r="BC26" i="30" l="1"/>
  <c r="V89" i="34" s="1"/>
  <c r="W89" i="34" s="1"/>
  <c r="BB26" i="30"/>
  <c r="L55" i="2" s="1"/>
  <c r="R55" i="2" s="1"/>
  <c r="O46" i="31"/>
  <c r="V45" i="31"/>
  <c r="X45" i="31"/>
  <c r="Y45" i="31" s="1"/>
  <c r="Z45" i="31" s="1"/>
  <c r="AB89" i="38" l="1"/>
  <c r="AD89" i="38" s="1"/>
  <c r="AE89" i="38" s="1"/>
  <c r="AF89" i="38" s="1"/>
  <c r="AG89" i="38" s="1"/>
  <c r="AH89" i="38" s="1"/>
  <c r="AJ89" i="34"/>
  <c r="X89" i="34"/>
  <c r="Y89" i="34" s="1"/>
  <c r="Z89" i="34" s="1"/>
  <c r="R46" i="31"/>
  <c r="S46" i="31" s="1"/>
  <c r="T46" i="31" s="1"/>
  <c r="P46" i="31"/>
  <c r="T55" i="2"/>
  <c r="AT27" i="30"/>
  <c r="AM89" i="38" l="1"/>
  <c r="AP27" i="30"/>
  <c r="AS27" i="30"/>
  <c r="AQ27" i="30"/>
  <c r="AR27" i="30"/>
  <c r="K15" i="2"/>
  <c r="X55" i="2"/>
  <c r="Q55" i="2"/>
  <c r="AW27" i="30"/>
  <c r="AT28" i="30"/>
  <c r="AP28" i="30" l="1"/>
  <c r="AQ28" i="30"/>
  <c r="AR28" i="30"/>
  <c r="AS28" i="30"/>
  <c r="AW28" i="30"/>
  <c r="AT29" i="30"/>
  <c r="P56" i="2"/>
  <c r="AB56" i="2" s="1"/>
  <c r="U46" i="31"/>
  <c r="BA27" i="30"/>
  <c r="AP29" i="30" l="1"/>
  <c r="AQ29" i="30"/>
  <c r="AR29" i="30"/>
  <c r="AS29" i="30"/>
  <c r="BC27" i="30"/>
  <c r="AB90" i="38" s="1"/>
  <c r="BB27" i="30"/>
  <c r="L56" i="2" s="1"/>
  <c r="X46" i="31"/>
  <c r="Y46" i="31" s="1"/>
  <c r="Z46" i="31" s="1"/>
  <c r="V46" i="31"/>
  <c r="T56" i="2"/>
  <c r="Q56" i="2" s="1"/>
  <c r="O47" i="31"/>
  <c r="AW29" i="30"/>
  <c r="BA28" i="30"/>
  <c r="V90" i="34" l="1"/>
  <c r="R47" i="31"/>
  <c r="S47" i="31" s="1"/>
  <c r="T47" i="31" s="1"/>
  <c r="P47" i="31"/>
  <c r="U47" i="31"/>
  <c r="P57" i="2"/>
  <c r="K16" i="2"/>
  <c r="X56" i="2"/>
  <c r="BB28" i="30"/>
  <c r="L57" i="2" s="1"/>
  <c r="BA29" i="30"/>
  <c r="BC28" i="30" l="1"/>
  <c r="V91" i="34" s="1"/>
  <c r="AB57" i="2"/>
  <c r="X47" i="31"/>
  <c r="Y47" i="31" s="1"/>
  <c r="Z47" i="31" s="1"/>
  <c r="V47" i="31"/>
  <c r="T57" i="2"/>
  <c r="K17" i="2" s="1"/>
  <c r="O48" i="31"/>
  <c r="BB29" i="30"/>
  <c r="L58" i="2" s="1"/>
  <c r="AB91" i="38" l="1"/>
  <c r="Q57" i="2"/>
  <c r="R48" i="31"/>
  <c r="S48" i="31" s="1"/>
  <c r="T48" i="31" s="1"/>
  <c r="P48" i="31"/>
  <c r="X57" i="2"/>
  <c r="U48" i="31" l="1"/>
  <c r="P58" i="2"/>
  <c r="AB58" i="2" s="1"/>
  <c r="O49" i="31" l="1"/>
  <c r="Q58" i="2"/>
  <c r="BC29" i="30"/>
  <c r="X48" i="31"/>
  <c r="Y48" i="31" s="1"/>
  <c r="Z48" i="31" s="1"/>
  <c r="V48" i="31"/>
  <c r="AB92" i="38" l="1"/>
  <c r="V92" i="34"/>
  <c r="U49" i="31"/>
  <c r="R58" i="2"/>
  <c r="P59" i="2"/>
  <c r="AB59" i="2" s="1"/>
  <c r="P49" i="31"/>
  <c r="R49" i="31"/>
  <c r="S49" i="31" s="1"/>
  <c r="T49" i="31" s="1"/>
  <c r="T58" i="2" l="1"/>
  <c r="AT30" i="30"/>
  <c r="O50" i="31"/>
  <c r="X49" i="31"/>
  <c r="Y49" i="31" s="1"/>
  <c r="Z49" i="31" s="1"/>
  <c r="V49" i="31"/>
  <c r="AP30" i="30" l="1"/>
  <c r="AS30" i="30"/>
  <c r="AQ30" i="30"/>
  <c r="AR30" i="30"/>
  <c r="AW30" i="30"/>
  <c r="P50" i="31"/>
  <c r="R50" i="31"/>
  <c r="S50" i="31" s="1"/>
  <c r="T50" i="31" s="1"/>
  <c r="K18" i="2"/>
  <c r="X58" i="2"/>
  <c r="BA30" i="30" l="1"/>
  <c r="BC30" i="30" s="1"/>
  <c r="BC52" i="38" l="1"/>
  <c r="BC53" i="38" s="1"/>
  <c r="V93" i="34"/>
  <c r="W93" i="34" s="1"/>
  <c r="AB93" i="38"/>
  <c r="AD93" i="38" s="1"/>
  <c r="BB30" i="30"/>
  <c r="L59" i="2" s="1"/>
  <c r="R59" i="2" s="1"/>
  <c r="AM93" i="38" l="1"/>
  <c r="AE93" i="38"/>
  <c r="AF93" i="38" s="1"/>
  <c r="AG93" i="38" s="1"/>
  <c r="AH93" i="38" s="1"/>
  <c r="T59" i="2"/>
  <c r="AT31" i="30"/>
  <c r="AJ93" i="34"/>
  <c r="X93" i="34"/>
  <c r="Y93" i="34" s="1"/>
  <c r="Z93" i="34" s="1"/>
  <c r="AP31" i="30" l="1"/>
  <c r="AS31" i="30"/>
  <c r="AQ31" i="30"/>
  <c r="AR31" i="30"/>
  <c r="AW31" i="30"/>
  <c r="Q59" i="2"/>
  <c r="X59" i="2"/>
  <c r="P60" i="2" l="1"/>
  <c r="AB60" i="2" s="1"/>
  <c r="U50" i="31"/>
  <c r="BA31" i="30"/>
  <c r="BC31" i="30" l="1"/>
  <c r="V94" i="34" s="1"/>
  <c r="W94" i="34" s="1"/>
  <c r="BB31" i="30"/>
  <c r="L60" i="2" s="1"/>
  <c r="R60" i="2" s="1"/>
  <c r="V50" i="31"/>
  <c r="X50" i="31"/>
  <c r="Y50" i="31" s="1"/>
  <c r="Z50" i="31" s="1"/>
  <c r="O51" i="31"/>
  <c r="AB94" i="38" l="1"/>
  <c r="AD94" i="38" s="1"/>
  <c r="AE94" i="38" s="1"/>
  <c r="AF94" i="38" s="1"/>
  <c r="AG94" i="38" s="1"/>
  <c r="AH94" i="38" s="1"/>
  <c r="AJ94" i="34"/>
  <c r="X94" i="34"/>
  <c r="Y94" i="34" s="1"/>
  <c r="Z94" i="34" s="1"/>
  <c r="R51" i="31"/>
  <c r="S51" i="31" s="1"/>
  <c r="T51" i="31" s="1"/>
  <c r="P51" i="31"/>
  <c r="T60" i="2"/>
  <c r="AT32" i="30"/>
  <c r="AM94" i="38" l="1"/>
  <c r="AP32" i="30"/>
  <c r="AQ32" i="30"/>
  <c r="AS32" i="30"/>
  <c r="AR32" i="30"/>
  <c r="X60" i="2"/>
  <c r="Q60" i="2"/>
  <c r="AW32" i="30"/>
  <c r="BA32" i="30" l="1"/>
  <c r="U51" i="31"/>
  <c r="P61" i="2"/>
  <c r="AB61" i="2" s="1"/>
  <c r="BC32" i="30" l="1"/>
  <c r="AB95" i="38" s="1"/>
  <c r="AD95" i="38" s="1"/>
  <c r="O52" i="31"/>
  <c r="V51" i="31"/>
  <c r="X51" i="31"/>
  <c r="Y51" i="31" s="1"/>
  <c r="Z51" i="31" s="1"/>
  <c r="BB32" i="30"/>
  <c r="L61" i="2" s="1"/>
  <c r="R61" i="2" s="1"/>
  <c r="V95" i="34" l="1"/>
  <c r="W95" i="34" s="1"/>
  <c r="AJ95" i="34" s="1"/>
  <c r="T61" i="2"/>
  <c r="AT33" i="30"/>
  <c r="R52" i="31"/>
  <c r="S52" i="31" s="1"/>
  <c r="T52" i="31" s="1"/>
  <c r="P52" i="31"/>
  <c r="AE95" i="38"/>
  <c r="AF95" i="38" s="1"/>
  <c r="AG95" i="38" s="1"/>
  <c r="AH95" i="38" s="1"/>
  <c r="AM95" i="38"/>
  <c r="X95" i="34" l="1"/>
  <c r="Y95" i="34" s="1"/>
  <c r="Z95" i="34" s="1"/>
  <c r="AP33" i="30"/>
  <c r="AQ33" i="30"/>
  <c r="AR33" i="30"/>
  <c r="AS33" i="30"/>
  <c r="AW33" i="30"/>
  <c r="X61" i="2"/>
  <c r="Q61" i="2"/>
  <c r="P62" i="2" l="1"/>
  <c r="AB62" i="2" s="1"/>
  <c r="U52" i="31"/>
  <c r="BA33" i="30"/>
  <c r="BC33" i="30" l="1"/>
  <c r="AB96" i="38" s="1"/>
  <c r="AD96" i="38" s="1"/>
  <c r="BB33" i="30"/>
  <c r="L62" i="2" s="1"/>
  <c r="R62" i="2" s="1"/>
  <c r="X52" i="31"/>
  <c r="Y52" i="31" s="1"/>
  <c r="Z52" i="31" s="1"/>
  <c r="V52" i="31"/>
  <c r="O53" i="31"/>
  <c r="V96" i="34" l="1"/>
  <c r="W96" i="34" s="1"/>
  <c r="X96" i="34" s="1"/>
  <c r="Y96" i="34" s="1"/>
  <c r="Z96" i="34" s="1"/>
  <c r="P53" i="31"/>
  <c r="R53" i="31"/>
  <c r="S53" i="31" s="1"/>
  <c r="T53" i="31" s="1"/>
  <c r="T62" i="2"/>
  <c r="AT34" i="30"/>
  <c r="AM96" i="38"/>
  <c r="AE96" i="38"/>
  <c r="AF96" i="38" s="1"/>
  <c r="AG96" i="38" s="1"/>
  <c r="AH96" i="38" s="1"/>
  <c r="AJ96" i="34" l="1"/>
  <c r="AP34" i="30"/>
  <c r="AQ34" i="30"/>
  <c r="AR34" i="30"/>
  <c r="AS34" i="30"/>
  <c r="AW34" i="30"/>
  <c r="X62" i="2"/>
  <c r="Q62" i="2"/>
  <c r="P63" i="2" l="1"/>
  <c r="AB63" i="2" s="1"/>
  <c r="U53" i="31"/>
  <c r="BA34" i="30"/>
  <c r="BC34" i="30" l="1"/>
  <c r="V97" i="34" s="1"/>
  <c r="W97" i="34" s="1"/>
  <c r="BB34" i="30"/>
  <c r="L63" i="2" s="1"/>
  <c r="R63" i="2" s="1"/>
  <c r="X53" i="31"/>
  <c r="Y53" i="31" s="1"/>
  <c r="Z53" i="31" s="1"/>
  <c r="V53" i="31"/>
  <c r="O54" i="31"/>
  <c r="AB97" i="38" l="1"/>
  <c r="AD97" i="38" s="1"/>
  <c r="AM97" i="38" s="1"/>
  <c r="X97" i="34"/>
  <c r="Y97" i="34" s="1"/>
  <c r="Z97" i="34" s="1"/>
  <c r="AJ97" i="34"/>
  <c r="R54" i="31"/>
  <c r="S54" i="31" s="1"/>
  <c r="T54" i="31" s="1"/>
  <c r="P54" i="31"/>
  <c r="T63" i="2"/>
  <c r="AT35" i="30"/>
  <c r="AE97" i="38" l="1"/>
  <c r="AF97" i="38" s="1"/>
  <c r="AG97" i="38" s="1"/>
  <c r="AH97" i="38" s="1"/>
  <c r="AS35" i="30"/>
  <c r="AP35" i="30"/>
  <c r="AQ35" i="30"/>
  <c r="AR35" i="30"/>
  <c r="AW35" i="30"/>
  <c r="AT36" i="30"/>
  <c r="E33" i="22"/>
  <c r="E37" i="22" s="1"/>
  <c r="K8" i="22" s="1"/>
  <c r="K19" i="2"/>
  <c r="X63" i="2"/>
  <c r="Q63" i="2"/>
  <c r="AP36" i="30" l="1"/>
  <c r="AS36" i="30"/>
  <c r="AQ36" i="30"/>
  <c r="AR36" i="30"/>
  <c r="U54" i="31"/>
  <c r="P64" i="2"/>
  <c r="AB64" i="2" s="1"/>
  <c r="AW36" i="30"/>
  <c r="BA35" i="30"/>
  <c r="BC35" i="30" l="1"/>
  <c r="V98" i="34" s="1"/>
  <c r="BB35" i="30"/>
  <c r="L64" i="2" s="1"/>
  <c r="BA36" i="30"/>
  <c r="T64" i="2"/>
  <c r="Q64" i="2" s="1"/>
  <c r="O55" i="31"/>
  <c r="V54" i="31"/>
  <c r="X54" i="31"/>
  <c r="Y54" i="31" s="1"/>
  <c r="Z54" i="31" s="1"/>
  <c r="AB98" i="38" l="1"/>
  <c r="P65" i="2"/>
  <c r="U55" i="31"/>
  <c r="BB36" i="30"/>
  <c r="L65" i="2" s="1"/>
  <c r="R65" i="2" s="1"/>
  <c r="R55" i="31"/>
  <c r="S55" i="31" s="1"/>
  <c r="T55" i="31" s="1"/>
  <c r="P55" i="31"/>
  <c r="K20" i="2"/>
  <c r="X64" i="2"/>
  <c r="BC36" i="30" l="1"/>
  <c r="V99" i="34" s="1"/>
  <c r="W99" i="34" s="1"/>
  <c r="AB65" i="2"/>
  <c r="T65" i="2"/>
  <c r="X65" i="2" s="1"/>
  <c r="AT37" i="30"/>
  <c r="V55" i="31"/>
  <c r="X55" i="31"/>
  <c r="Y55" i="31" s="1"/>
  <c r="Z55" i="31" s="1"/>
  <c r="O56" i="31"/>
  <c r="AB99" i="38" l="1"/>
  <c r="AD99" i="38" s="1"/>
  <c r="AE99" i="38" s="1"/>
  <c r="AF99" i="38" s="1"/>
  <c r="AG99" i="38" s="1"/>
  <c r="AH99" i="38" s="1"/>
  <c r="BD52" i="38"/>
  <c r="BD53" i="38" s="1"/>
  <c r="AP37" i="30"/>
  <c r="AS37" i="30"/>
  <c r="AQ37" i="30"/>
  <c r="AR37" i="30"/>
  <c r="Q65" i="2"/>
  <c r="P66" i="2" s="1"/>
  <c r="AB66" i="2" s="1"/>
  <c r="X99" i="34"/>
  <c r="Y99" i="34" s="1"/>
  <c r="Z99" i="34" s="1"/>
  <c r="AJ99" i="34"/>
  <c r="AW37" i="30"/>
  <c r="R56" i="31"/>
  <c r="S56" i="31" s="1"/>
  <c r="T56" i="31" s="1"/>
  <c r="P56" i="31"/>
  <c r="AM99" i="38" l="1"/>
  <c r="U56" i="31"/>
  <c r="V56" i="31" s="1"/>
  <c r="BA37" i="30"/>
  <c r="BC37" i="30" s="1"/>
  <c r="O57" i="31"/>
  <c r="X56" i="31" l="1"/>
  <c r="Y56" i="31" s="1"/>
  <c r="Z56" i="31" s="1"/>
  <c r="V100" i="34"/>
  <c r="W100" i="34" s="1"/>
  <c r="AB100" i="38"/>
  <c r="AD100" i="38" s="1"/>
  <c r="R57" i="31"/>
  <c r="S57" i="31" s="1"/>
  <c r="T57" i="31" s="1"/>
  <c r="P57" i="31"/>
  <c r="BB37" i="30"/>
  <c r="L66" i="2" s="1"/>
  <c r="R66" i="2" s="1"/>
  <c r="T66" i="2" l="1"/>
  <c r="AT38" i="30"/>
  <c r="AE100" i="38"/>
  <c r="AF100" i="38" s="1"/>
  <c r="AG100" i="38" s="1"/>
  <c r="AH100" i="38" s="1"/>
  <c r="AM100" i="38"/>
  <c r="AJ100" i="34"/>
  <c r="X100" i="34"/>
  <c r="Y100" i="34" s="1"/>
  <c r="Z100" i="34" s="1"/>
  <c r="AP38" i="30" l="1"/>
  <c r="AQ38" i="30"/>
  <c r="AS38" i="30"/>
  <c r="AR38" i="30"/>
  <c r="AW38" i="30"/>
  <c r="X66" i="2"/>
  <c r="Q66" i="2"/>
  <c r="P67" i="2" l="1"/>
  <c r="AB67" i="2" s="1"/>
  <c r="U57" i="31"/>
  <c r="BA38" i="30"/>
  <c r="BC38" i="30" l="1"/>
  <c r="AB101" i="38" s="1"/>
  <c r="AD101" i="38" s="1"/>
  <c r="V57" i="31"/>
  <c r="X57" i="31"/>
  <c r="Y57" i="31" s="1"/>
  <c r="Z57" i="31" s="1"/>
  <c r="BB38" i="30"/>
  <c r="L67" i="2" s="1"/>
  <c r="R67" i="2" s="1"/>
  <c r="O58" i="31"/>
  <c r="V101" i="34" l="1"/>
  <c r="W101" i="34" s="1"/>
  <c r="X101" i="34" s="1"/>
  <c r="Y101" i="34" s="1"/>
  <c r="Z101" i="34" s="1"/>
  <c r="T67" i="2"/>
  <c r="AT39" i="30"/>
  <c r="P58" i="31"/>
  <c r="R58" i="31"/>
  <c r="S58" i="31" s="1"/>
  <c r="T58" i="31" s="1"/>
  <c r="AM101" i="38"/>
  <c r="AE101" i="38"/>
  <c r="AF101" i="38" s="1"/>
  <c r="AG101" i="38" s="1"/>
  <c r="AH101" i="38" s="1"/>
  <c r="AJ101" i="34" l="1"/>
  <c r="AS39" i="30"/>
  <c r="AP39" i="30"/>
  <c r="AQ39" i="30"/>
  <c r="AR39" i="30"/>
  <c r="AW39" i="30"/>
  <c r="X67" i="2"/>
  <c r="Q67" i="2"/>
  <c r="U58" i="31" l="1"/>
  <c r="P68" i="2"/>
  <c r="AB68" i="2" s="1"/>
  <c r="BA39" i="30"/>
  <c r="BC39" i="30" l="1"/>
  <c r="AB102" i="38" s="1"/>
  <c r="AD102" i="38" s="1"/>
  <c r="BB39" i="30"/>
  <c r="L68" i="2" s="1"/>
  <c r="R68" i="2" s="1"/>
  <c r="O59" i="31"/>
  <c r="V58" i="31"/>
  <c r="X58" i="31"/>
  <c r="Y58" i="31" s="1"/>
  <c r="Z58" i="31" s="1"/>
  <c r="V102" i="34" l="1"/>
  <c r="W102" i="34" s="1"/>
  <c r="AJ102" i="34" s="1"/>
  <c r="AM102" i="38"/>
  <c r="AE102" i="38"/>
  <c r="AF102" i="38" s="1"/>
  <c r="AG102" i="38" s="1"/>
  <c r="AH102" i="38" s="1"/>
  <c r="R59" i="31"/>
  <c r="S59" i="31" s="1"/>
  <c r="T59" i="31" s="1"/>
  <c r="P59" i="31"/>
  <c r="T68" i="2"/>
  <c r="AT40" i="30"/>
  <c r="X102" i="34" l="1"/>
  <c r="Y102" i="34" s="1"/>
  <c r="Z102" i="34" s="1"/>
  <c r="AP40" i="30"/>
  <c r="AQ40" i="30"/>
  <c r="AR40" i="30"/>
  <c r="AS40" i="30"/>
  <c r="X68" i="2"/>
  <c r="Q68" i="2"/>
  <c r="AW40" i="30"/>
  <c r="BA40" i="30" l="1"/>
  <c r="P69" i="2"/>
  <c r="AB69" i="2" s="1"/>
  <c r="U59" i="31"/>
  <c r="X59" i="31" l="1"/>
  <c r="Y59" i="31" s="1"/>
  <c r="Z59" i="31" s="1"/>
  <c r="V59" i="31"/>
  <c r="O60" i="31"/>
  <c r="BC40" i="30"/>
  <c r="BB40" i="30"/>
  <c r="L69" i="2" s="1"/>
  <c r="R69" i="2" s="1"/>
  <c r="R60" i="31" l="1"/>
  <c r="S60" i="31" s="1"/>
  <c r="T60" i="31" s="1"/>
  <c r="P60" i="31"/>
  <c r="AB103" i="38"/>
  <c r="AD103" i="38" s="1"/>
  <c r="V103" i="34"/>
  <c r="W103" i="34" s="1"/>
  <c r="T69" i="2"/>
  <c r="AT41" i="30"/>
  <c r="AP41" i="30" l="1"/>
  <c r="AQ41" i="30"/>
  <c r="AR41" i="30"/>
  <c r="AS41" i="30"/>
  <c r="AW41" i="30"/>
  <c r="K21" i="2"/>
  <c r="X69" i="2"/>
  <c r="Q69" i="2"/>
  <c r="AE103" i="38"/>
  <c r="AF103" i="38" s="1"/>
  <c r="AG103" i="38" s="1"/>
  <c r="AH103" i="38" s="1"/>
  <c r="AM103" i="38"/>
  <c r="AJ103" i="34"/>
  <c r="X103" i="34"/>
  <c r="Y103" i="34" s="1"/>
  <c r="Z103" i="34" s="1"/>
  <c r="P70" i="2" l="1"/>
  <c r="AB70" i="2" s="1"/>
  <c r="U60" i="31"/>
  <c r="BA41" i="30"/>
  <c r="BC41" i="30" l="1"/>
  <c r="V104" i="34" s="1"/>
  <c r="W104" i="34" s="1"/>
  <c r="BB41" i="30"/>
  <c r="L70" i="2" s="1"/>
  <c r="R70" i="2" s="1"/>
  <c r="V60" i="31"/>
  <c r="X60" i="31"/>
  <c r="Y60" i="31" s="1"/>
  <c r="Z60" i="31" s="1"/>
  <c r="O61" i="31"/>
  <c r="BE52" i="38" l="1"/>
  <c r="BE53" i="38" s="1"/>
  <c r="AB104" i="38"/>
  <c r="AD104" i="38" s="1"/>
  <c r="AM104" i="38" s="1"/>
  <c r="T70" i="2"/>
  <c r="AT42" i="30"/>
  <c r="R61" i="31"/>
  <c r="S61" i="31" s="1"/>
  <c r="T61" i="31" s="1"/>
  <c r="P61" i="31"/>
  <c r="AJ104" i="34"/>
  <c r="X104" i="34"/>
  <c r="Y104" i="34" s="1"/>
  <c r="Z104" i="34" s="1"/>
  <c r="AE104" i="38" l="1"/>
  <c r="AF104" i="38" s="1"/>
  <c r="AG104" i="38" s="1"/>
  <c r="AH104" i="38" s="1"/>
  <c r="AP42" i="30"/>
  <c r="AS42" i="30"/>
  <c r="AQ42" i="30"/>
  <c r="AR42" i="30"/>
  <c r="AW42" i="30"/>
  <c r="X70" i="2"/>
  <c r="Q70" i="2"/>
  <c r="U61" i="31" l="1"/>
  <c r="P71" i="2"/>
  <c r="AB71" i="2" s="1"/>
  <c r="BA42" i="30"/>
  <c r="BC42" i="30" l="1"/>
  <c r="V105" i="34" s="1"/>
  <c r="W105" i="34" s="1"/>
  <c r="O62" i="31"/>
  <c r="BB42" i="30"/>
  <c r="L71" i="2" s="1"/>
  <c r="R71" i="2" s="1"/>
  <c r="X61" i="31"/>
  <c r="Y61" i="31" s="1"/>
  <c r="Z61" i="31" s="1"/>
  <c r="V61" i="31"/>
  <c r="AB105" i="38" l="1"/>
  <c r="AD105" i="38" s="1"/>
  <c r="AE105" i="38" s="1"/>
  <c r="AF105" i="38" s="1"/>
  <c r="AG105" i="38" s="1"/>
  <c r="AH105" i="38" s="1"/>
  <c r="T71" i="2"/>
  <c r="AT43" i="30"/>
  <c r="P62" i="31"/>
  <c r="R62" i="31"/>
  <c r="S62" i="31" s="1"/>
  <c r="T62" i="31" s="1"/>
  <c r="X105" i="34"/>
  <c r="Y105" i="34" s="1"/>
  <c r="Z105" i="34" s="1"/>
  <c r="AJ105" i="34"/>
  <c r="AM105" i="38" l="1"/>
  <c r="AP43" i="30"/>
  <c r="AS43" i="30"/>
  <c r="AQ43" i="30"/>
  <c r="AR43" i="30"/>
  <c r="AW43" i="30"/>
  <c r="X71" i="2"/>
  <c r="Q71" i="2"/>
  <c r="U62" i="31" l="1"/>
  <c r="P72" i="2"/>
  <c r="AB72" i="2" s="1"/>
  <c r="BA43" i="30"/>
  <c r="BC43" i="30" l="1"/>
  <c r="V106" i="34" s="1"/>
  <c r="W106" i="34" s="1"/>
  <c r="V62" i="31"/>
  <c r="X62" i="31"/>
  <c r="Y62" i="31" s="1"/>
  <c r="Z62" i="31" s="1"/>
  <c r="BB43" i="30"/>
  <c r="L72" i="2" s="1"/>
  <c r="R72" i="2" s="1"/>
  <c r="O63" i="31"/>
  <c r="AB106" i="38" l="1"/>
  <c r="AD106" i="38" s="1"/>
  <c r="AM106" i="38" s="1"/>
  <c r="R63" i="31"/>
  <c r="S63" i="31" s="1"/>
  <c r="T63" i="31" s="1"/>
  <c r="P63" i="31"/>
  <c r="T72" i="2"/>
  <c r="AT44" i="30"/>
  <c r="AJ106" i="34"/>
  <c r="X106" i="34"/>
  <c r="Y106" i="34" s="1"/>
  <c r="Z106" i="34" s="1"/>
  <c r="AE106" i="38" l="1"/>
  <c r="AF106" i="38" s="1"/>
  <c r="AG106" i="38" s="1"/>
  <c r="AH106" i="38" s="1"/>
  <c r="AP44" i="30"/>
  <c r="AQ44" i="30"/>
  <c r="AS44" i="30"/>
  <c r="AR44" i="30"/>
  <c r="X72" i="2"/>
  <c r="Q72" i="2"/>
  <c r="AW44" i="30"/>
  <c r="BA44" i="30" l="1"/>
  <c r="P73" i="2"/>
  <c r="AB73" i="2" s="1"/>
  <c r="U63" i="31"/>
  <c r="BC44" i="30" l="1"/>
  <c r="AB107" i="38" s="1"/>
  <c r="AD107" i="38" s="1"/>
  <c r="V63" i="31"/>
  <c r="X63" i="31"/>
  <c r="Y63" i="31" s="1"/>
  <c r="Z63" i="31" s="1"/>
  <c r="O64" i="31"/>
  <c r="BB44" i="30"/>
  <c r="L73" i="2" s="1"/>
  <c r="R73" i="2" s="1"/>
  <c r="V107" i="34" l="1"/>
  <c r="W107" i="34" s="1"/>
  <c r="X107" i="34" s="1"/>
  <c r="Y107" i="34" s="1"/>
  <c r="Z107" i="34" s="1"/>
  <c r="AE107" i="38"/>
  <c r="AF107" i="38" s="1"/>
  <c r="AG107" i="38" s="1"/>
  <c r="AH107" i="38" s="1"/>
  <c r="AM107" i="38"/>
  <c r="T73" i="2"/>
  <c r="AT45" i="30"/>
  <c r="R64" i="31"/>
  <c r="S64" i="31" s="1"/>
  <c r="T64" i="31" s="1"/>
  <c r="P64" i="31"/>
  <c r="AP45" i="30" l="1"/>
  <c r="AS45" i="30"/>
  <c r="AQ45" i="30"/>
  <c r="AR45" i="30"/>
  <c r="AJ107" i="34"/>
  <c r="AW45" i="30"/>
  <c r="X73" i="2"/>
  <c r="Q73" i="2"/>
  <c r="BA45" i="30" l="1"/>
  <c r="P74" i="2"/>
  <c r="AB74" i="2" s="1"/>
  <c r="AD44" i="2" s="1"/>
  <c r="U64" i="31"/>
  <c r="BC45" i="30" l="1"/>
  <c r="V108" i="34" s="1"/>
  <c r="W108" i="34" s="1"/>
  <c r="X64" i="31"/>
  <c r="Y64" i="31" s="1"/>
  <c r="Z64" i="31" s="1"/>
  <c r="V64" i="31"/>
  <c r="O65" i="31"/>
  <c r="BB45" i="30"/>
  <c r="L74" i="2" s="1"/>
  <c r="R74" i="2" s="1"/>
  <c r="AB108" i="38" l="1"/>
  <c r="AD108" i="38" s="1"/>
  <c r="AM108" i="38" s="1"/>
  <c r="R65" i="31"/>
  <c r="P65" i="31"/>
  <c r="O70" i="31"/>
  <c r="O69" i="31"/>
  <c r="O68" i="31"/>
  <c r="T74" i="2"/>
  <c r="AT46" i="30"/>
  <c r="AJ108" i="34"/>
  <c r="X108" i="34"/>
  <c r="Y108" i="34" s="1"/>
  <c r="Z108" i="34" s="1"/>
  <c r="AP46" i="30" l="1"/>
  <c r="AQ46" i="30"/>
  <c r="AR46" i="30"/>
  <c r="AS46" i="30"/>
  <c r="AE108" i="38"/>
  <c r="AF108" i="38" s="1"/>
  <c r="AG108" i="38" s="1"/>
  <c r="AH108" i="38" s="1"/>
  <c r="K22" i="2"/>
  <c r="X74" i="2"/>
  <c r="Q74" i="2"/>
  <c r="AW46" i="30"/>
  <c r="BA46" i="30" s="1"/>
  <c r="E87" i="22"/>
  <c r="G94" i="22" s="1"/>
  <c r="G102" i="22" s="1"/>
  <c r="G103" i="22" s="1"/>
  <c r="G104" i="22" s="1"/>
  <c r="G105" i="22" s="1"/>
  <c r="P69" i="31"/>
  <c r="P68" i="31"/>
  <c r="P70" i="31"/>
  <c r="S65" i="31"/>
  <c r="R70" i="31"/>
  <c r="R68" i="31"/>
  <c r="R69" i="31"/>
  <c r="G106" i="22" l="1"/>
  <c r="K15" i="22"/>
  <c r="P6" i="19"/>
  <c r="U65" i="31"/>
  <c r="P75" i="2"/>
  <c r="AB75" i="2" s="1"/>
  <c r="T65" i="31"/>
  <c r="S70" i="31"/>
  <c r="S68" i="31"/>
  <c r="S69" i="31"/>
  <c r="AC44" i="2" l="1"/>
  <c r="BC46" i="30"/>
  <c r="AB109" i="38" s="1"/>
  <c r="T68" i="31"/>
  <c r="T70" i="31"/>
  <c r="T69" i="31"/>
  <c r="S11" i="19"/>
  <c r="P7" i="19"/>
  <c r="BB46" i="30"/>
  <c r="V65" i="31"/>
  <c r="X65" i="31"/>
  <c r="U69" i="31"/>
  <c r="U68" i="31"/>
  <c r="U70" i="31"/>
  <c r="T75" i="2"/>
  <c r="Q75" i="2" s="1"/>
  <c r="U66" i="31" s="1"/>
  <c r="O66" i="31"/>
  <c r="L24" i="31" l="1"/>
  <c r="AD45" i="2"/>
  <c r="V109" i="34"/>
  <c r="P66" i="31"/>
  <c r="R66" i="31"/>
  <c r="S66" i="31" s="1"/>
  <c r="T66" i="31" s="1"/>
  <c r="X66" i="31"/>
  <c r="Y66" i="31" s="1"/>
  <c r="Z66" i="31" s="1"/>
  <c r="V66" i="31"/>
  <c r="S9" i="19"/>
  <c r="S12" i="19"/>
  <c r="P9" i="19"/>
  <c r="P12" i="19" s="1"/>
  <c r="S6" i="19" s="1"/>
  <c r="S7" i="19" s="1"/>
  <c r="P11" i="19"/>
  <c r="Y65" i="31"/>
  <c r="X69" i="31"/>
  <c r="X68" i="31"/>
  <c r="X70" i="31"/>
  <c r="K23" i="2"/>
  <c r="K24" i="2" s="1"/>
  <c r="X75" i="2"/>
  <c r="S17" i="2" s="1"/>
  <c r="L25" i="31"/>
  <c r="V70" i="31"/>
  <c r="V68" i="31"/>
  <c r="V69" i="31"/>
  <c r="L26" i="31" l="1"/>
  <c r="S19" i="2"/>
  <c r="T19" i="2" s="1"/>
  <c r="S18" i="2"/>
  <c r="T18" i="2" s="1"/>
  <c r="T17" i="2"/>
  <c r="S10" i="19"/>
  <c r="S16" i="19" s="1"/>
  <c r="S17" i="19"/>
  <c r="S13" i="19"/>
  <c r="S14" i="19" s="1"/>
  <c r="S19" i="19"/>
  <c r="Z65" i="31"/>
  <c r="Y70" i="31"/>
  <c r="Y68" i="31"/>
  <c r="Y69" i="31"/>
  <c r="E86" i="22"/>
  <c r="E91" i="22" s="1"/>
  <c r="K14" i="22" s="1"/>
  <c r="K17" i="22" s="1"/>
  <c r="K19" i="22" s="1"/>
  <c r="L23" i="31"/>
  <c r="S18" i="19"/>
  <c r="P13" i="19"/>
  <c r="S21" i="19" l="1"/>
  <c r="S22" i="19" s="1"/>
  <c r="E8" i="30" s="1"/>
  <c r="BC16" i="22"/>
  <c r="BB16" i="22"/>
  <c r="E12" i="35"/>
  <c r="S16" i="2"/>
  <c r="Z68" i="31"/>
  <c r="Z70" i="31"/>
  <c r="Z69" i="31"/>
  <c r="D70" i="32" l="1"/>
  <c r="T16" i="2"/>
  <c r="S21" i="2"/>
  <c r="G11" i="19" s="1"/>
  <c r="E74" i="35"/>
  <c r="E33" i="35"/>
  <c r="E52" i="35"/>
  <c r="BC39" i="22"/>
  <c r="BC23" i="22"/>
  <c r="BC57" i="22"/>
  <c r="BB23" i="22"/>
  <c r="BB39" i="22"/>
  <c r="K32" i="19"/>
  <c r="P22" i="22" l="1"/>
  <c r="Q22" i="22" s="1"/>
  <c r="T22" i="22" s="1"/>
  <c r="S22" i="2"/>
  <c r="T21" i="2"/>
  <c r="E18" i="35"/>
  <c r="P16" i="35" s="1"/>
  <c r="E14" i="22"/>
  <c r="E15" i="22" s="1"/>
  <c r="Q11" i="22"/>
  <c r="P21" i="22"/>
  <c r="Q21" i="22" s="1"/>
  <c r="AH11" i="22"/>
  <c r="E98" i="35"/>
  <c r="P13" i="35" s="1"/>
  <c r="E19" i="35"/>
  <c r="D86" i="32"/>
  <c r="P23" i="22"/>
  <c r="Q23" i="22" s="1"/>
  <c r="T23" i="22" s="1"/>
  <c r="D71" i="32"/>
  <c r="D83" i="32" s="1"/>
  <c r="I230" i="30"/>
  <c r="I231" i="30" s="1"/>
  <c r="E26" i="30"/>
  <c r="V164" i="22" l="1"/>
  <c r="V165" i="22"/>
  <c r="V162" i="22"/>
  <c r="V163" i="22"/>
  <c r="V160" i="22"/>
  <c r="V161" i="22"/>
  <c r="V158" i="22"/>
  <c r="V159" i="22"/>
  <c r="N160" i="22"/>
  <c r="N161" i="22"/>
  <c r="N162" i="22"/>
  <c r="N159" i="22"/>
  <c r="N158" i="22"/>
  <c r="V154" i="22"/>
  <c r="V157" i="22"/>
  <c r="V149" i="22"/>
  <c r="V150" i="22"/>
  <c r="V152" i="22"/>
  <c r="V155" i="22"/>
  <c r="V153" i="22"/>
  <c r="V156" i="22"/>
  <c r="V151" i="22"/>
  <c r="N9" i="35"/>
  <c r="E82" i="35"/>
  <c r="N16" i="35"/>
  <c r="P18" i="35"/>
  <c r="O9" i="35"/>
  <c r="E58" i="35"/>
  <c r="O16" i="35"/>
  <c r="E37" i="35"/>
  <c r="N18" i="35"/>
  <c r="P9" i="35"/>
  <c r="O18" i="35"/>
  <c r="D87" i="32"/>
  <c r="D89" i="32" s="1"/>
  <c r="AG25" i="22"/>
  <c r="F152" i="22"/>
  <c r="T21" i="22"/>
  <c r="F153" i="22"/>
  <c r="F151" i="22"/>
  <c r="F159" i="22"/>
  <c r="F154" i="22"/>
  <c r="D160" i="22"/>
  <c r="F162" i="22"/>
  <c r="D157" i="22"/>
  <c r="F167" i="22"/>
  <c r="D162" i="22"/>
  <c r="F156" i="22"/>
  <c r="F165" i="22"/>
  <c r="D149" i="22"/>
  <c r="F164" i="22"/>
  <c r="D165" i="22"/>
  <c r="D154" i="22"/>
  <c r="D153" i="22"/>
  <c r="F166" i="22"/>
  <c r="D155" i="22"/>
  <c r="F158" i="22"/>
  <c r="F155" i="22"/>
  <c r="F161" i="22"/>
  <c r="D168" i="22"/>
  <c r="D151" i="22"/>
  <c r="D167" i="22"/>
  <c r="F169" i="22"/>
  <c r="D156" i="22"/>
  <c r="F168" i="22"/>
  <c r="F149" i="22"/>
  <c r="D150" i="22"/>
  <c r="D163" i="22"/>
  <c r="D158" i="22"/>
  <c r="F160" i="22"/>
  <c r="D159" i="22"/>
  <c r="F150" i="22"/>
  <c r="F157" i="22"/>
  <c r="D161" i="22"/>
  <c r="D152" i="22"/>
  <c r="D164" i="22"/>
  <c r="D166" i="22"/>
  <c r="F163" i="22"/>
  <c r="N13" i="35"/>
  <c r="E108" i="35"/>
  <c r="O13" i="35"/>
  <c r="N149" i="22"/>
  <c r="N151" i="22"/>
  <c r="N152" i="22"/>
  <c r="N156" i="22"/>
  <c r="N153" i="22"/>
  <c r="N150" i="22"/>
  <c r="N154" i="22"/>
  <c r="N157" i="22"/>
  <c r="N155" i="22"/>
  <c r="G154" i="22" l="1"/>
  <c r="G156" i="22"/>
  <c r="G160" i="22"/>
  <c r="G163" i="22"/>
  <c r="G167" i="22"/>
  <c r="G151" i="22"/>
  <c r="G162" i="22"/>
  <c r="G165" i="22"/>
  <c r="G149" i="22"/>
  <c r="H157" i="22"/>
  <c r="E156" i="22"/>
  <c r="H151" i="22"/>
  <c r="E150" i="22"/>
  <c r="H154" i="22"/>
  <c r="E153" i="22"/>
  <c r="E163" i="22"/>
  <c r="H164" i="22"/>
  <c r="H163" i="22"/>
  <c r="E162" i="22"/>
  <c r="H168" i="22"/>
  <c r="E167" i="22"/>
  <c r="E168" i="22"/>
  <c r="H165" i="22"/>
  <c r="E164" i="22"/>
  <c r="G161" i="22"/>
  <c r="AH25" i="22"/>
  <c r="P11" i="35"/>
  <c r="O11" i="35"/>
  <c r="N11" i="35"/>
  <c r="N171" i="22"/>
  <c r="D91" i="32"/>
  <c r="C10" i="32" s="1"/>
  <c r="D10" i="32"/>
  <c r="D17" i="32" s="1"/>
  <c r="D19" i="32" s="1"/>
  <c r="H161" i="22"/>
  <c r="E160" i="22"/>
  <c r="H149" i="22"/>
  <c r="G153" i="22"/>
  <c r="E165" i="22"/>
  <c r="H166" i="22"/>
  <c r="P14" i="35"/>
  <c r="S56" i="35" s="1"/>
  <c r="N14" i="35"/>
  <c r="O14" i="35"/>
  <c r="G157" i="22"/>
  <c r="G164" i="22"/>
  <c r="G158" i="22"/>
  <c r="S53" i="35"/>
  <c r="P27" i="22"/>
  <c r="Q27" i="22" s="1"/>
  <c r="AG30" i="22"/>
  <c r="AH30" i="22" s="1"/>
  <c r="H158" i="22"/>
  <c r="E157" i="22"/>
  <c r="H152" i="22"/>
  <c r="E151" i="22"/>
  <c r="E159" i="22"/>
  <c r="H160" i="22"/>
  <c r="P26" i="22"/>
  <c r="Q26" i="22" s="1"/>
  <c r="T26" i="22" s="1"/>
  <c r="H156" i="22"/>
  <c r="E155" i="22"/>
  <c r="H155" i="22"/>
  <c r="E154" i="22"/>
  <c r="G155" i="22"/>
  <c r="G150" i="22"/>
  <c r="P12" i="35"/>
  <c r="N12" i="35"/>
  <c r="O12" i="35"/>
  <c r="V171" i="22"/>
  <c r="H150" i="22"/>
  <c r="E149" i="22"/>
  <c r="H159" i="22"/>
  <c r="E158" i="22"/>
  <c r="H162" i="22"/>
  <c r="E161" i="22"/>
  <c r="G152" i="22"/>
  <c r="H169" i="22"/>
  <c r="G168" i="22"/>
  <c r="G159" i="22"/>
  <c r="H167" i="22"/>
  <c r="E166" i="22"/>
  <c r="E152" i="22"/>
  <c r="H153" i="22"/>
  <c r="G166" i="22"/>
  <c r="P10" i="35"/>
  <c r="N10" i="35"/>
  <c r="O10" i="35"/>
  <c r="P17" i="35" l="1"/>
  <c r="AU158" i="22"/>
  <c r="AU159" i="22"/>
  <c r="AU154" i="22"/>
  <c r="AU155" i="22"/>
  <c r="AU156" i="22"/>
  <c r="AU157" i="22"/>
  <c r="AU152" i="22"/>
  <c r="AU153" i="22"/>
  <c r="I152" i="22"/>
  <c r="O152" i="22" s="1"/>
  <c r="W152" i="22" s="1"/>
  <c r="AE152" i="22" s="1"/>
  <c r="I157" i="22"/>
  <c r="O157" i="22" s="1"/>
  <c r="W157" i="22" s="1"/>
  <c r="AE157" i="22" s="1"/>
  <c r="I154" i="22"/>
  <c r="O154" i="22" s="1"/>
  <c r="W154" i="22" s="1"/>
  <c r="AE154" i="22" s="1"/>
  <c r="I151" i="22"/>
  <c r="O151" i="22" s="1"/>
  <c r="W151" i="22" s="1"/>
  <c r="AE151" i="22" s="1"/>
  <c r="I168" i="22"/>
  <c r="J168" i="22" s="1"/>
  <c r="G171" i="22"/>
  <c r="G172" i="22" s="1"/>
  <c r="I158" i="22"/>
  <c r="O158" i="22" s="1"/>
  <c r="W158" i="22" s="1"/>
  <c r="AE158" i="22" s="1"/>
  <c r="O17" i="35"/>
  <c r="O19" i="35" s="1"/>
  <c r="F33" i="2" s="1"/>
  <c r="I163" i="22"/>
  <c r="O163" i="22" s="1"/>
  <c r="W163" i="22" s="1"/>
  <c r="AE163" i="22" s="1"/>
  <c r="N17" i="35"/>
  <c r="N19" i="35" s="1"/>
  <c r="F32" i="2" s="1"/>
  <c r="I164" i="22"/>
  <c r="O164" i="22" s="1"/>
  <c r="W164" i="22" s="1"/>
  <c r="AE164" i="22" s="1"/>
  <c r="I161" i="22"/>
  <c r="O161" i="22" s="1"/>
  <c r="W161" i="22" s="1"/>
  <c r="AE161" i="22" s="1"/>
  <c r="I165" i="22"/>
  <c r="O165" i="22" s="1"/>
  <c r="W165" i="22" s="1"/>
  <c r="AE165" i="22" s="1"/>
  <c r="I167" i="22"/>
  <c r="O167" i="22" s="1"/>
  <c r="W167" i="22" s="1"/>
  <c r="AE167" i="22" s="1"/>
  <c r="I149" i="22"/>
  <c r="O149" i="22" s="1"/>
  <c r="I159" i="22"/>
  <c r="O159" i="22" s="1"/>
  <c r="W159" i="22" s="1"/>
  <c r="AE159" i="22" s="1"/>
  <c r="AL155" i="22"/>
  <c r="AL150" i="22"/>
  <c r="AL167" i="22"/>
  <c r="AL156" i="22"/>
  <c r="AL169" i="22"/>
  <c r="AL162" i="22"/>
  <c r="AL164" i="22"/>
  <c r="AL161" i="22"/>
  <c r="AL157" i="22"/>
  <c r="AL165" i="22"/>
  <c r="T27" i="22"/>
  <c r="AL168" i="22"/>
  <c r="AL163" i="22"/>
  <c r="AL158" i="22"/>
  <c r="AL152" i="22"/>
  <c r="AL160" i="22"/>
  <c r="AL154" i="22"/>
  <c r="AL151" i="22"/>
  <c r="AL159" i="22"/>
  <c r="AL153" i="22"/>
  <c r="AL166" i="22"/>
  <c r="AL149" i="22"/>
  <c r="E171" i="22"/>
  <c r="E172" i="22" s="1"/>
  <c r="S299" i="35"/>
  <c r="X53" i="35"/>
  <c r="W53" i="35"/>
  <c r="S54" i="35"/>
  <c r="AG31" i="22"/>
  <c r="AH31" i="22" s="1"/>
  <c r="I153" i="22"/>
  <c r="O153" i="22" s="1"/>
  <c r="W153" i="22" s="1"/>
  <c r="AE153" i="22" s="1"/>
  <c r="I155" i="22"/>
  <c r="O155" i="22" s="1"/>
  <c r="W155" i="22" s="1"/>
  <c r="AE155" i="22" s="1"/>
  <c r="AG32" i="22"/>
  <c r="AH32" i="22" s="1"/>
  <c r="S55" i="35"/>
  <c r="I160" i="22"/>
  <c r="O160" i="22" s="1"/>
  <c r="W160" i="22" s="1"/>
  <c r="AE160" i="22" s="1"/>
  <c r="I150" i="22"/>
  <c r="O150" i="22" s="1"/>
  <c r="W150" i="22" s="1"/>
  <c r="AE150" i="22" s="1"/>
  <c r="AG27" i="22"/>
  <c r="S51" i="35"/>
  <c r="W56" i="35"/>
  <c r="X56" i="35"/>
  <c r="S314" i="35"/>
  <c r="I166" i="22"/>
  <c r="O166" i="22" s="1"/>
  <c r="W166" i="22" s="1"/>
  <c r="AE166" i="22" s="1"/>
  <c r="AU149" i="22"/>
  <c r="AU150" i="22"/>
  <c r="AU151" i="22"/>
  <c r="AM30" i="22"/>
  <c r="S191" i="22" s="1"/>
  <c r="AL30" i="22"/>
  <c r="AM25" i="22"/>
  <c r="AL25" i="22"/>
  <c r="I162" i="22"/>
  <c r="O162" i="22" s="1"/>
  <c r="W162" i="22" s="1"/>
  <c r="AE162" i="22" s="1"/>
  <c r="I156" i="22"/>
  <c r="O156" i="22" s="1"/>
  <c r="W156" i="22" s="1"/>
  <c r="AE156" i="22" s="1"/>
  <c r="AM150" i="22" l="1"/>
  <c r="AN150" i="22" s="1"/>
  <c r="AV150" i="22" s="1"/>
  <c r="BE150" i="22" s="1"/>
  <c r="O168" i="22"/>
  <c r="P168" i="22" s="1"/>
  <c r="AM152" i="22"/>
  <c r="AN152" i="22" s="1"/>
  <c r="AV152" i="22" s="1"/>
  <c r="BE152" i="22" s="1"/>
  <c r="AM167" i="22"/>
  <c r="AN167" i="22" s="1"/>
  <c r="AV167" i="22" s="1"/>
  <c r="BE167" i="22" s="1"/>
  <c r="AM157" i="22"/>
  <c r="AN157" i="22" s="1"/>
  <c r="AV157" i="22" s="1"/>
  <c r="BE157" i="22" s="1"/>
  <c r="AM161" i="22"/>
  <c r="AN161" i="22" s="1"/>
  <c r="AV161" i="22" s="1"/>
  <c r="BE161" i="22" s="1"/>
  <c r="AM155" i="22"/>
  <c r="AN155" i="22" s="1"/>
  <c r="AV155" i="22" s="1"/>
  <c r="BE155" i="22" s="1"/>
  <c r="AM164" i="22"/>
  <c r="AN164" i="22" s="1"/>
  <c r="AV164" i="22" s="1"/>
  <c r="BE164" i="22" s="1"/>
  <c r="AM165" i="22"/>
  <c r="AN165" i="22" s="1"/>
  <c r="AV165" i="22" s="1"/>
  <c r="BE165" i="22" s="1"/>
  <c r="AM162" i="22"/>
  <c r="AN162" i="22" s="1"/>
  <c r="AV162" i="22" s="1"/>
  <c r="BE162" i="22" s="1"/>
  <c r="AM32" i="22"/>
  <c r="Y199" i="22" s="1"/>
  <c r="AL32" i="22"/>
  <c r="W54" i="35"/>
  <c r="X54" i="35"/>
  <c r="S304" i="35"/>
  <c r="AM168" i="22"/>
  <c r="AH27" i="22"/>
  <c r="AH40" i="22"/>
  <c r="AH41" i="22" s="1"/>
  <c r="AH42" i="22" s="1"/>
  <c r="AI42" i="22" s="1"/>
  <c r="AG34" i="22"/>
  <c r="W149" i="22"/>
  <c r="I171" i="22"/>
  <c r="I172" i="22" s="1"/>
  <c r="AM158" i="22"/>
  <c r="AN158" i="22" s="1"/>
  <c r="AV158" i="22" s="1"/>
  <c r="BE158" i="22" s="1"/>
  <c r="AM166" i="22"/>
  <c r="AN166" i="22" s="1"/>
  <c r="AV166" i="22" s="1"/>
  <c r="BE166" i="22" s="1"/>
  <c r="P19" i="35"/>
  <c r="F34" i="2" s="1"/>
  <c r="C9" i="29"/>
  <c r="S188" i="22"/>
  <c r="S186" i="22"/>
  <c r="S189" i="22"/>
  <c r="S190" i="22"/>
  <c r="S187" i="22"/>
  <c r="K168" i="22"/>
  <c r="L168" i="22" s="1"/>
  <c r="J167" i="22"/>
  <c r="AM149" i="22"/>
  <c r="AM153" i="22"/>
  <c r="AN153" i="22" s="1"/>
  <c r="AV153" i="22" s="1"/>
  <c r="BE153" i="22" s="1"/>
  <c r="AM156" i="22"/>
  <c r="AN156" i="22" s="1"/>
  <c r="AV156" i="22" s="1"/>
  <c r="BE156" i="22" s="1"/>
  <c r="AM154" i="22"/>
  <c r="AN154" i="22" s="1"/>
  <c r="AV154" i="22" s="1"/>
  <c r="BE154" i="22" s="1"/>
  <c r="D191" i="22"/>
  <c r="D193" i="22"/>
  <c r="D194" i="22"/>
  <c r="D190" i="22"/>
  <c r="D195" i="22"/>
  <c r="D196" i="22"/>
  <c r="D192" i="22"/>
  <c r="AM159" i="22"/>
  <c r="AN159" i="22" s="1"/>
  <c r="AV159" i="22" s="1"/>
  <c r="BE159" i="22" s="1"/>
  <c r="AM160" i="22"/>
  <c r="AN160" i="22" s="1"/>
  <c r="AV160" i="22" s="1"/>
  <c r="BE160" i="22" s="1"/>
  <c r="AU171" i="22"/>
  <c r="W51" i="35"/>
  <c r="S57" i="35"/>
  <c r="S289" i="35"/>
  <c r="X51" i="35"/>
  <c r="X55" i="35"/>
  <c r="S309" i="35"/>
  <c r="W55" i="35"/>
  <c r="AM31" i="22"/>
  <c r="V199" i="22" s="1"/>
  <c r="AL31" i="22"/>
  <c r="AM151" i="22"/>
  <c r="AN151" i="22" s="1"/>
  <c r="AV151" i="22" s="1"/>
  <c r="BE151" i="22" s="1"/>
  <c r="AM163" i="22"/>
  <c r="AN163" i="22" s="1"/>
  <c r="AV163" i="22" s="1"/>
  <c r="BE163" i="22" s="1"/>
  <c r="O171" i="22" l="1"/>
  <c r="O172" i="22" s="1"/>
  <c r="W168" i="22"/>
  <c r="X168" i="22" s="1"/>
  <c r="W57" i="35"/>
  <c r="W70" i="35" s="1"/>
  <c r="AM27" i="22"/>
  <c r="AL27" i="22"/>
  <c r="E196" i="22"/>
  <c r="Q168" i="22"/>
  <c r="R168" i="22" s="1"/>
  <c r="S168" i="22"/>
  <c r="P167" i="22"/>
  <c r="Q167" i="22" s="1"/>
  <c r="D204" i="22"/>
  <c r="S204" i="22"/>
  <c r="T193" i="22" s="1"/>
  <c r="AM171" i="22"/>
  <c r="J166" i="22"/>
  <c r="K166" i="22" s="1"/>
  <c r="D80" i="29"/>
  <c r="D81" i="29" s="1"/>
  <c r="D84" i="29"/>
  <c r="D85" i="29" s="1"/>
  <c r="D57" i="29"/>
  <c r="D91" i="29"/>
  <c r="D92" i="29" s="1"/>
  <c r="E38" i="29"/>
  <c r="E129" i="29" s="1"/>
  <c r="D88" i="29"/>
  <c r="E34" i="29"/>
  <c r="E35" i="29" s="1"/>
  <c r="E88" i="29"/>
  <c r="D34" i="29"/>
  <c r="D35" i="29" s="1"/>
  <c r="D48" i="29"/>
  <c r="D49" i="29" s="1"/>
  <c r="E57" i="29"/>
  <c r="E84" i="29"/>
  <c r="E48" i="29"/>
  <c r="E49" i="29" s="1"/>
  <c r="E45" i="29"/>
  <c r="D45" i="29"/>
  <c r="E91" i="29"/>
  <c r="E92" i="29" s="1"/>
  <c r="E41" i="29"/>
  <c r="E80" i="29"/>
  <c r="E81" i="29" s="1"/>
  <c r="D41" i="29"/>
  <c r="D38" i="29"/>
  <c r="D129" i="29" s="1"/>
  <c r="AE149" i="22"/>
  <c r="V202" i="22"/>
  <c r="W202" i="22" s="1"/>
  <c r="V200" i="22"/>
  <c r="V201" i="22"/>
  <c r="S329" i="35"/>
  <c r="S70" i="35"/>
  <c r="K167" i="22"/>
  <c r="L167" i="22" s="1"/>
  <c r="Y201" i="22"/>
  <c r="Y202" i="22"/>
  <c r="Z202" i="22" s="1"/>
  <c r="Y200" i="22"/>
  <c r="AE168" i="22" l="1"/>
  <c r="AN168" i="22" s="1"/>
  <c r="W171" i="22"/>
  <c r="W172" i="22" s="1"/>
  <c r="D132" i="29"/>
  <c r="Y204" i="22"/>
  <c r="D131" i="29"/>
  <c r="L166" i="22"/>
  <c r="Z201" i="22"/>
  <c r="Z200" i="22" s="1"/>
  <c r="D53" i="29"/>
  <c r="D54" i="29" s="1"/>
  <c r="D42" i="29"/>
  <c r="U193" i="22"/>
  <c r="T192" i="22"/>
  <c r="D96" i="29"/>
  <c r="D97" i="29" s="1"/>
  <c r="D105" i="29" s="1"/>
  <c r="T168" i="22"/>
  <c r="R167" i="22"/>
  <c r="D128" i="29"/>
  <c r="V204" i="22"/>
  <c r="X167" i="22"/>
  <c r="Y167" i="22" s="1"/>
  <c r="Y168" i="22"/>
  <c r="Z168" i="22" s="1"/>
  <c r="AA168" i="22"/>
  <c r="E195" i="22"/>
  <c r="F196" i="22"/>
  <c r="W201" i="22"/>
  <c r="E128" i="29"/>
  <c r="J165" i="22"/>
  <c r="AN149" i="22"/>
  <c r="E131" i="29"/>
  <c r="E53" i="29"/>
  <c r="E54" i="29" s="1"/>
  <c r="E42" i="29"/>
  <c r="E132" i="29"/>
  <c r="F129" i="29"/>
  <c r="G129" i="29"/>
  <c r="AL36" i="22"/>
  <c r="AG36" i="22" s="1"/>
  <c r="AM36" i="22" s="1"/>
  <c r="AB201" i="22" s="1"/>
  <c r="AL34" i="22"/>
  <c r="E96" i="29"/>
  <c r="E97" i="29" s="1"/>
  <c r="E85" i="29"/>
  <c r="P166" i="22"/>
  <c r="Q166" i="22" s="1"/>
  <c r="S167" i="22"/>
  <c r="J187" i="22"/>
  <c r="AH187" i="22" s="1"/>
  <c r="J192" i="22"/>
  <c r="AH192" i="22" s="1"/>
  <c r="J186" i="22"/>
  <c r="AH186" i="22" s="1"/>
  <c r="J196" i="22"/>
  <c r="AH196" i="22" s="1"/>
  <c r="J182" i="22"/>
  <c r="J193" i="22"/>
  <c r="AH193" i="22" s="1"/>
  <c r="J199" i="22"/>
  <c r="AH199" i="22" s="1"/>
  <c r="J188" i="22"/>
  <c r="AH188" i="22" s="1"/>
  <c r="J191" i="22"/>
  <c r="AH191" i="22" s="1"/>
  <c r="J200" i="22"/>
  <c r="AH200" i="22" s="1"/>
  <c r="J194" i="22"/>
  <c r="AH194" i="22" s="1"/>
  <c r="J201" i="22"/>
  <c r="J202" i="22"/>
  <c r="J184" i="22"/>
  <c r="AH184" i="22" s="1"/>
  <c r="J183" i="22"/>
  <c r="AH183" i="22" s="1"/>
  <c r="J198" i="22"/>
  <c r="AH198" i="22" s="1"/>
  <c r="J190" i="22"/>
  <c r="AH190" i="22" s="1"/>
  <c r="J197" i="22"/>
  <c r="AH197" i="22" s="1"/>
  <c r="J195" i="22"/>
  <c r="AH195" i="22" s="1"/>
  <c r="J185" i="22"/>
  <c r="AH185" i="22" s="1"/>
  <c r="J189" i="22"/>
  <c r="AH189" i="22" s="1"/>
  <c r="AE171" i="22" l="1"/>
  <c r="AE172" i="22" s="1"/>
  <c r="AF168" i="22"/>
  <c r="AF167" i="22" s="1"/>
  <c r="AG167" i="22" s="1"/>
  <c r="AA201" i="22"/>
  <c r="AA200" i="22" s="1"/>
  <c r="D109" i="29"/>
  <c r="D111" i="29" s="1"/>
  <c r="D66" i="29"/>
  <c r="D70" i="29" s="1"/>
  <c r="D72" i="29" s="1"/>
  <c r="D119" i="29" s="1"/>
  <c r="E105" i="29"/>
  <c r="E109" i="29" s="1"/>
  <c r="E111" i="29" s="1"/>
  <c r="E133" i="29"/>
  <c r="E66" i="29"/>
  <c r="E70" i="29" s="1"/>
  <c r="E72" i="29" s="1"/>
  <c r="E119" i="29" s="1"/>
  <c r="G131" i="29"/>
  <c r="F131" i="29"/>
  <c r="J164" i="22"/>
  <c r="K164" i="22" s="1"/>
  <c r="AC201" i="22"/>
  <c r="AB204" i="22"/>
  <c r="AN171" i="22"/>
  <c r="AN172" i="22" s="1"/>
  <c r="AV149" i="22"/>
  <c r="Z167" i="22"/>
  <c r="AB168" i="22"/>
  <c r="F128" i="29"/>
  <c r="G128" i="29"/>
  <c r="AA167" i="22"/>
  <c r="X166" i="22"/>
  <c r="Y166" i="22" s="1"/>
  <c r="Z199" i="22"/>
  <c r="X201" i="22"/>
  <c r="W200" i="22"/>
  <c r="U192" i="22"/>
  <c r="T191" i="22"/>
  <c r="G132" i="29"/>
  <c r="F132" i="29"/>
  <c r="S166" i="22"/>
  <c r="P165" i="22"/>
  <c r="Q165" i="22" s="1"/>
  <c r="E130" i="29"/>
  <c r="D130" i="29"/>
  <c r="K202" i="22"/>
  <c r="AH202" i="22"/>
  <c r="J204" i="22"/>
  <c r="AH182" i="22"/>
  <c r="AV168" i="22"/>
  <c r="AO168" i="22"/>
  <c r="E194" i="22"/>
  <c r="F195" i="22"/>
  <c r="D133" i="29"/>
  <c r="AH201" i="22"/>
  <c r="K165" i="22"/>
  <c r="L165" i="22" s="1"/>
  <c r="R166" i="22"/>
  <c r="T167" i="22"/>
  <c r="D122" i="29" l="1"/>
  <c r="K13" i="29" s="1"/>
  <c r="AI168" i="22"/>
  <c r="AG168" i="22"/>
  <c r="AH168" i="22" s="1"/>
  <c r="AJ168" i="22" s="1"/>
  <c r="G133" i="29"/>
  <c r="L164" i="22"/>
  <c r="E122" i="29"/>
  <c r="L13" i="29" s="1"/>
  <c r="E123" i="29"/>
  <c r="L14" i="29" s="1"/>
  <c r="K201" i="22"/>
  <c r="AI202" i="22"/>
  <c r="P164" i="22"/>
  <c r="Q164" i="22" s="1"/>
  <c r="S165" i="22"/>
  <c r="J163" i="22"/>
  <c r="Z198" i="22"/>
  <c r="AA199" i="22"/>
  <c r="Z166" i="22"/>
  <c r="AB167" i="22"/>
  <c r="AX168" i="22"/>
  <c r="BE168" i="22"/>
  <c r="AR168" i="22"/>
  <c r="AP168" i="22"/>
  <c r="AQ168" i="22" s="1"/>
  <c r="AO167" i="22"/>
  <c r="AP167" i="22" s="1"/>
  <c r="X165" i="22"/>
  <c r="Y165" i="22" s="1"/>
  <c r="AA166" i="22"/>
  <c r="E113" i="29"/>
  <c r="E135" i="29"/>
  <c r="F133" i="29"/>
  <c r="AF166" i="22"/>
  <c r="AG166" i="22" s="1"/>
  <c r="AI167" i="22"/>
  <c r="AV171" i="22"/>
  <c r="AV172" i="22" s="1"/>
  <c r="BE149" i="22"/>
  <c r="R165" i="22"/>
  <c r="T166" i="22"/>
  <c r="D135" i="29"/>
  <c r="D113" i="29"/>
  <c r="T190" i="22"/>
  <c r="U191" i="22"/>
  <c r="D123" i="29"/>
  <c r="K14" i="29" s="1"/>
  <c r="K18" i="29" s="1"/>
  <c r="F194" i="22"/>
  <c r="E193" i="22"/>
  <c r="G130" i="29"/>
  <c r="F130" i="29"/>
  <c r="W199" i="22"/>
  <c r="X200" i="22"/>
  <c r="AC200" i="22"/>
  <c r="AD201" i="22"/>
  <c r="AH167" i="22" l="1"/>
  <c r="AH166" i="22" s="1"/>
  <c r="K15" i="29"/>
  <c r="L15" i="29"/>
  <c r="R164" i="22"/>
  <c r="T165" i="22"/>
  <c r="J162" i="22"/>
  <c r="K162" i="22" s="1"/>
  <c r="BA168" i="22"/>
  <c r="AX167" i="22"/>
  <c r="AY168" i="22"/>
  <c r="AZ168" i="22" s="1"/>
  <c r="BF168" i="22"/>
  <c r="AA165" i="22"/>
  <c r="X164" i="22"/>
  <c r="Y164" i="22" s="1"/>
  <c r="S164" i="22"/>
  <c r="P163" i="22"/>
  <c r="X199" i="22"/>
  <c r="W198" i="22"/>
  <c r="F193" i="22"/>
  <c r="E192" i="22"/>
  <c r="T189" i="22"/>
  <c r="U190" i="22"/>
  <c r="AI166" i="22"/>
  <c r="AF165" i="22"/>
  <c r="AG165" i="22" s="1"/>
  <c r="AR167" i="22"/>
  <c r="AO166" i="22"/>
  <c r="AP166" i="22" s="1"/>
  <c r="AB166" i="22"/>
  <c r="Z165" i="22"/>
  <c r="L201" i="22"/>
  <c r="AJ201" i="22" s="1"/>
  <c r="K200" i="22"/>
  <c r="AI201" i="22"/>
  <c r="AQ167" i="22"/>
  <c r="AS168" i="22"/>
  <c r="AA198" i="22"/>
  <c r="Z197" i="22"/>
  <c r="AD200" i="22"/>
  <c r="AC199" i="22"/>
  <c r="G135" i="29"/>
  <c r="F135" i="29"/>
  <c r="K163" i="22"/>
  <c r="L163" i="22" s="1"/>
  <c r="AJ167" i="22" l="1"/>
  <c r="L162" i="22"/>
  <c r="Z164" i="22"/>
  <c r="AB165" i="22"/>
  <c r="T188" i="22"/>
  <c r="U189" i="22"/>
  <c r="AH165" i="22"/>
  <c r="AJ166" i="22"/>
  <c r="AS167" i="22"/>
  <c r="AQ166" i="22"/>
  <c r="F192" i="22"/>
  <c r="E191" i="22"/>
  <c r="X163" i="22"/>
  <c r="AA164" i="22"/>
  <c r="AX166" i="22"/>
  <c r="AY166" i="22" s="1"/>
  <c r="BF167" i="22"/>
  <c r="BA167" i="22"/>
  <c r="Z196" i="22"/>
  <c r="AA197" i="22"/>
  <c r="K199" i="22"/>
  <c r="L200" i="22"/>
  <c r="AJ200" i="22" s="1"/>
  <c r="AI200" i="22"/>
  <c r="W197" i="22"/>
  <c r="X198" i="22"/>
  <c r="J161" i="22"/>
  <c r="P162" i="22"/>
  <c r="Q162" i="22" s="1"/>
  <c r="S163" i="22"/>
  <c r="AD199" i="22"/>
  <c r="AC198" i="22"/>
  <c r="AF164" i="22"/>
  <c r="AG164" i="22" s="1"/>
  <c r="AI165" i="22"/>
  <c r="AY167" i="22"/>
  <c r="AZ167" i="22" s="1"/>
  <c r="AR166" i="22"/>
  <c r="AO165" i="22"/>
  <c r="AP165" i="22" s="1"/>
  <c r="Q163" i="22"/>
  <c r="R163" i="22" s="1"/>
  <c r="BG168" i="22"/>
  <c r="BB168" i="22"/>
  <c r="T164" i="22"/>
  <c r="AZ166" i="22" l="1"/>
  <c r="BB167" i="22"/>
  <c r="BG167" i="22"/>
  <c r="L199" i="22"/>
  <c r="AJ199" i="22" s="1"/>
  <c r="AI199" i="22"/>
  <c r="K198" i="22"/>
  <c r="AX165" i="22"/>
  <c r="BF166" i="22"/>
  <c r="BA166" i="22"/>
  <c r="J160" i="22"/>
  <c r="K160" i="22" s="1"/>
  <c r="X162" i="22"/>
  <c r="Y162" i="22" s="1"/>
  <c r="AA163" i="22"/>
  <c r="AH164" i="22"/>
  <c r="AJ165" i="22"/>
  <c r="P161" i="22"/>
  <c r="Q161" i="22" s="1"/>
  <c r="S162" i="22"/>
  <c r="K161" i="22"/>
  <c r="L161" i="22" s="1"/>
  <c r="Z195" i="22"/>
  <c r="AA196" i="22"/>
  <c r="Y163" i="22"/>
  <c r="Z163" i="22" s="1"/>
  <c r="AF163" i="22"/>
  <c r="AG163" i="22" s="1"/>
  <c r="AI164" i="22"/>
  <c r="F191" i="22"/>
  <c r="E190" i="22"/>
  <c r="U188" i="22"/>
  <c r="T187" i="22"/>
  <c r="AS166" i="22"/>
  <c r="AQ165" i="22"/>
  <c r="X197" i="22"/>
  <c r="W196" i="22"/>
  <c r="R162" i="22"/>
  <c r="T163" i="22"/>
  <c r="AC197" i="22"/>
  <c r="AD198" i="22"/>
  <c r="AR165" i="22"/>
  <c r="AO164" i="22"/>
  <c r="AP164" i="22" s="1"/>
  <c r="AB164" i="22"/>
  <c r="L160" i="22" l="1"/>
  <c r="Z162" i="22"/>
  <c r="AB163" i="22"/>
  <c r="L198" i="22"/>
  <c r="AJ198" i="22" s="1"/>
  <c r="AI198" i="22"/>
  <c r="K197" i="22"/>
  <c r="R161" i="22"/>
  <c r="T162" i="22"/>
  <c r="X196" i="22"/>
  <c r="W195" i="22"/>
  <c r="AC196" i="22"/>
  <c r="AD197" i="22"/>
  <c r="BF165" i="22"/>
  <c r="AX164" i="22"/>
  <c r="AY164" i="22" s="1"/>
  <c r="BA165" i="22"/>
  <c r="F190" i="22"/>
  <c r="E189" i="22"/>
  <c r="AA162" i="22"/>
  <c r="X161" i="22"/>
  <c r="J159" i="22"/>
  <c r="U187" i="22"/>
  <c r="T186" i="22"/>
  <c r="AH163" i="22"/>
  <c r="AJ164" i="22"/>
  <c r="AS165" i="22"/>
  <c r="AQ164" i="22"/>
  <c r="P160" i="22"/>
  <c r="S161" i="22"/>
  <c r="AA195" i="22"/>
  <c r="Z194" i="22"/>
  <c r="AR164" i="22"/>
  <c r="AO163" i="22"/>
  <c r="AP163" i="22" s="1"/>
  <c r="AI163" i="22"/>
  <c r="AF162" i="22"/>
  <c r="AG162" i="22" s="1"/>
  <c r="AY165" i="22"/>
  <c r="AZ165" i="22" s="1"/>
  <c r="BG166" i="22"/>
  <c r="BB166" i="22"/>
  <c r="BB165" i="22" l="1"/>
  <c r="AZ164" i="22"/>
  <c r="BG165" i="22"/>
  <c r="J158" i="22"/>
  <c r="K158" i="22" s="1"/>
  <c r="T161" i="22"/>
  <c r="AQ163" i="22"/>
  <c r="AS164" i="22"/>
  <c r="AA161" i="22"/>
  <c r="X160" i="22"/>
  <c r="Y160" i="22" s="1"/>
  <c r="AX163" i="22"/>
  <c r="AY163" i="22" s="1"/>
  <c r="BA164" i="22"/>
  <c r="BF164" i="22"/>
  <c r="K196" i="22"/>
  <c r="AI197" i="22"/>
  <c r="L197" i="22"/>
  <c r="AJ197" i="22" s="1"/>
  <c r="Z193" i="22"/>
  <c r="AA194" i="22"/>
  <c r="AO162" i="22"/>
  <c r="AR163" i="22"/>
  <c r="Y161" i="22"/>
  <c r="Z161" i="22" s="1"/>
  <c r="AF161" i="22"/>
  <c r="AG161" i="22" s="1"/>
  <c r="AI162" i="22"/>
  <c r="AH162" i="22"/>
  <c r="AJ163" i="22"/>
  <c r="AD196" i="22"/>
  <c r="AC195" i="22"/>
  <c r="P159" i="22"/>
  <c r="Q159" i="22" s="1"/>
  <c r="S160" i="22"/>
  <c r="K159" i="22"/>
  <c r="L159" i="22" s="1"/>
  <c r="Q160" i="22"/>
  <c r="R160" i="22" s="1"/>
  <c r="T185" i="22"/>
  <c r="U186" i="22"/>
  <c r="F189" i="22"/>
  <c r="E188" i="22"/>
  <c r="W194" i="22"/>
  <c r="X195" i="22"/>
  <c r="AB162" i="22"/>
  <c r="L158" i="22" l="1"/>
  <c r="R159" i="22"/>
  <c r="T160" i="22"/>
  <c r="AR162" i="22"/>
  <c r="AO161" i="22"/>
  <c r="AP161" i="22" s="1"/>
  <c r="Z160" i="22"/>
  <c r="AB161" i="22"/>
  <c r="AX162" i="22"/>
  <c r="AY162" i="22" s="1"/>
  <c r="BA163" i="22"/>
  <c r="BF163" i="22"/>
  <c r="T184" i="22"/>
  <c r="U185" i="22"/>
  <c r="Z192" i="22"/>
  <c r="AA193" i="22"/>
  <c r="J157" i="22"/>
  <c r="AH161" i="22"/>
  <c r="AJ162" i="22"/>
  <c r="X159" i="22"/>
  <c r="Y159" i="22" s="1"/>
  <c r="AA160" i="22"/>
  <c r="AF160" i="22"/>
  <c r="AI161" i="22"/>
  <c r="X194" i="22"/>
  <c r="W193" i="22"/>
  <c r="P158" i="22"/>
  <c r="Q158" i="22" s="1"/>
  <c r="S159" i="22"/>
  <c r="L196" i="22"/>
  <c r="AJ196" i="22" s="1"/>
  <c r="K195" i="22"/>
  <c r="AI196" i="22"/>
  <c r="AZ163" i="22"/>
  <c r="BB164" i="22"/>
  <c r="BG164" i="22"/>
  <c r="F188" i="22"/>
  <c r="E187" i="22"/>
  <c r="AD195" i="22"/>
  <c r="AC194" i="22"/>
  <c r="AP162" i="22"/>
  <c r="AQ162" i="22" s="1"/>
  <c r="AS163" i="22"/>
  <c r="AF159" i="22" l="1"/>
  <c r="AI160" i="22"/>
  <c r="J156" i="22"/>
  <c r="K156" i="22" s="1"/>
  <c r="Z191" i="22"/>
  <c r="AA192" i="22"/>
  <c r="Z159" i="22"/>
  <c r="AB160" i="22"/>
  <c r="F187" i="22"/>
  <c r="E186" i="22"/>
  <c r="W192" i="22"/>
  <c r="X193" i="22"/>
  <c r="X158" i="22"/>
  <c r="Y158" i="22" s="1"/>
  <c r="AA159" i="22"/>
  <c r="T183" i="22"/>
  <c r="U184" i="22"/>
  <c r="AR161" i="22"/>
  <c r="AO160" i="22"/>
  <c r="AP160" i="22" s="1"/>
  <c r="P157" i="22"/>
  <c r="Q157" i="22" s="1"/>
  <c r="S158" i="22"/>
  <c r="AC193" i="22"/>
  <c r="AD194" i="22"/>
  <c r="BB163" i="22"/>
  <c r="AZ162" i="22"/>
  <c r="BG163" i="22"/>
  <c r="AQ161" i="22"/>
  <c r="AS162" i="22"/>
  <c r="AG160" i="22"/>
  <c r="AH160" i="22" s="1"/>
  <c r="AJ161" i="22"/>
  <c r="K194" i="22"/>
  <c r="L195" i="22"/>
  <c r="AJ195" i="22" s="1"/>
  <c r="AI195" i="22"/>
  <c r="K157" i="22"/>
  <c r="L157" i="22" s="1"/>
  <c r="AX161" i="22"/>
  <c r="AY161" i="22" s="1"/>
  <c r="BF162" i="22"/>
  <c r="BA162" i="22"/>
  <c r="T159" i="22"/>
  <c r="R158" i="22"/>
  <c r="L156" i="22" l="1"/>
  <c r="AA158" i="22"/>
  <c r="X157" i="22"/>
  <c r="Z158" i="22"/>
  <c r="AB159" i="22"/>
  <c r="AA191" i="22"/>
  <c r="Z190" i="22"/>
  <c r="AQ160" i="22"/>
  <c r="AS161" i="22"/>
  <c r="AR160" i="22"/>
  <c r="AO159" i="22"/>
  <c r="J155" i="22"/>
  <c r="K155" i="22" s="1"/>
  <c r="R157" i="22"/>
  <c r="T158" i="22"/>
  <c r="W191" i="22"/>
  <c r="X192" i="22"/>
  <c r="AD193" i="22"/>
  <c r="AC192" i="22"/>
  <c r="F186" i="22"/>
  <c r="E185" i="22"/>
  <c r="L194" i="22"/>
  <c r="AJ194" i="22" s="1"/>
  <c r="K193" i="22"/>
  <c r="AI194" i="22"/>
  <c r="T182" i="22"/>
  <c r="U183" i="22"/>
  <c r="AI159" i="22"/>
  <c r="AF158" i="22"/>
  <c r="AG158" i="22" s="1"/>
  <c r="AZ161" i="22"/>
  <c r="BG162" i="22"/>
  <c r="BB162" i="22"/>
  <c r="AJ160" i="22"/>
  <c r="BF161" i="22"/>
  <c r="BA161" i="22"/>
  <c r="AX160" i="22"/>
  <c r="AY160" i="22" s="1"/>
  <c r="P156" i="22"/>
  <c r="S157" i="22"/>
  <c r="AG159" i="22"/>
  <c r="AH159" i="22" s="1"/>
  <c r="L155" i="22" l="1"/>
  <c r="AH158" i="22"/>
  <c r="AJ159" i="22"/>
  <c r="T157" i="22"/>
  <c r="AA190" i="22"/>
  <c r="Z189" i="22"/>
  <c r="AC191" i="22"/>
  <c r="AD192" i="22"/>
  <c r="AR159" i="22"/>
  <c r="AO158" i="22"/>
  <c r="U182" i="22"/>
  <c r="AB158" i="22"/>
  <c r="E184" i="22"/>
  <c r="F185" i="22"/>
  <c r="P155" i="22"/>
  <c r="S156" i="22"/>
  <c r="AP159" i="22"/>
  <c r="AQ159" i="22" s="1"/>
  <c r="X156" i="22"/>
  <c r="AA157" i="22"/>
  <c r="Q156" i="22"/>
  <c r="R156" i="22" s="1"/>
  <c r="BG161" i="22"/>
  <c r="AZ160" i="22"/>
  <c r="BB161" i="22"/>
  <c r="K192" i="22"/>
  <c r="L193" i="22"/>
  <c r="AJ193" i="22" s="1"/>
  <c r="AI193" i="22"/>
  <c r="X191" i="22"/>
  <c r="W190" i="22"/>
  <c r="J154" i="22"/>
  <c r="K154" i="22" s="1"/>
  <c r="AX159" i="22"/>
  <c r="AY159" i="22" s="1"/>
  <c r="BF160" i="22"/>
  <c r="BA160" i="22"/>
  <c r="AI158" i="22"/>
  <c r="AF157" i="22"/>
  <c r="AG157" i="22" s="1"/>
  <c r="AS160" i="22"/>
  <c r="Y157" i="22"/>
  <c r="Z157" i="22" s="1"/>
  <c r="L154" i="22" l="1"/>
  <c r="AS159" i="22"/>
  <c r="AB157" i="22"/>
  <c r="T156" i="22"/>
  <c r="Z188" i="22"/>
  <c r="AA189" i="22"/>
  <c r="BF159" i="22"/>
  <c r="AX158" i="22"/>
  <c r="AY158" i="22" s="1"/>
  <c r="BA159" i="22"/>
  <c r="BG160" i="22"/>
  <c r="BB160" i="22"/>
  <c r="AZ159" i="22"/>
  <c r="P154" i="22"/>
  <c r="Q154" i="22" s="1"/>
  <c r="S155" i="22"/>
  <c r="AR158" i="22"/>
  <c r="AO157" i="22"/>
  <c r="AP157" i="22" s="1"/>
  <c r="J153" i="22"/>
  <c r="K153" i="22" s="1"/>
  <c r="Q155" i="22"/>
  <c r="R155" i="22" s="1"/>
  <c r="AP158" i="22"/>
  <c r="AQ158" i="22" s="1"/>
  <c r="AA156" i="22"/>
  <c r="X155" i="22"/>
  <c r="W189" i="22"/>
  <c r="X190" i="22"/>
  <c r="E183" i="22"/>
  <c r="F184" i="22"/>
  <c r="AH157" i="22"/>
  <c r="AJ158" i="22"/>
  <c r="K191" i="22"/>
  <c r="L192" i="22"/>
  <c r="AJ192" i="22" s="1"/>
  <c r="AI192" i="22"/>
  <c r="AI157" i="22"/>
  <c r="AF156" i="22"/>
  <c r="Y156" i="22"/>
  <c r="Z156" i="22" s="1"/>
  <c r="AD191" i="22"/>
  <c r="AC190" i="22"/>
  <c r="L153" i="22" l="1"/>
  <c r="AS158" i="22"/>
  <c r="AQ157" i="22"/>
  <c r="AB156" i="22"/>
  <c r="W188" i="22"/>
  <c r="X189" i="22"/>
  <c r="R154" i="22"/>
  <c r="T155" i="22"/>
  <c r="L191" i="22"/>
  <c r="AJ191" i="22" s="1"/>
  <c r="K190" i="22"/>
  <c r="AI191" i="22"/>
  <c r="AR157" i="22"/>
  <c r="AO156" i="22"/>
  <c r="AP156" i="22" s="1"/>
  <c r="X154" i="22"/>
  <c r="Y154" i="22" s="1"/>
  <c r="AA155" i="22"/>
  <c r="Y155" i="22"/>
  <c r="Z155" i="22" s="1"/>
  <c r="Z187" i="22"/>
  <c r="AA188" i="22"/>
  <c r="AC189" i="22"/>
  <c r="AD190" i="22"/>
  <c r="BF158" i="22"/>
  <c r="BA158" i="22"/>
  <c r="AX157" i="22"/>
  <c r="J152" i="22"/>
  <c r="K152" i="22" s="1"/>
  <c r="AI156" i="22"/>
  <c r="AF155" i="22"/>
  <c r="BG159" i="22"/>
  <c r="AZ158" i="22"/>
  <c r="BB159" i="22"/>
  <c r="AJ157" i="22"/>
  <c r="AG156" i="22"/>
  <c r="AH156" i="22" s="1"/>
  <c r="E182" i="22"/>
  <c r="F183" i="22"/>
  <c r="P153" i="22"/>
  <c r="Q153" i="22" s="1"/>
  <c r="S154" i="22"/>
  <c r="L152" i="22" l="1"/>
  <c r="AJ156" i="22"/>
  <c r="AB155" i="22"/>
  <c r="Z154" i="22"/>
  <c r="AF154" i="22"/>
  <c r="AG154" i="22" s="1"/>
  <c r="AI155" i="22"/>
  <c r="AR156" i="22"/>
  <c r="AO155" i="22"/>
  <c r="W187" i="22"/>
  <c r="X188" i="22"/>
  <c r="AA187" i="22"/>
  <c r="Z186" i="22"/>
  <c r="BG158" i="22"/>
  <c r="BB158" i="22"/>
  <c r="K189" i="22"/>
  <c r="L190" i="22"/>
  <c r="AJ190" i="22" s="1"/>
  <c r="AI190" i="22"/>
  <c r="T154" i="22"/>
  <c r="R153" i="22"/>
  <c r="AC188" i="22"/>
  <c r="AD189" i="22"/>
  <c r="AX156" i="22"/>
  <c r="BF157" i="22"/>
  <c r="BA157" i="22"/>
  <c r="AS157" i="22"/>
  <c r="AQ156" i="22"/>
  <c r="J151" i="22"/>
  <c r="S153" i="22"/>
  <c r="P152" i="22"/>
  <c r="Q152" i="22" s="1"/>
  <c r="F182" i="22"/>
  <c r="AG155" i="22"/>
  <c r="AH155" i="22" s="1"/>
  <c r="AY157" i="22"/>
  <c r="AZ157" i="22" s="1"/>
  <c r="X153" i="22"/>
  <c r="Y153" i="22" s="1"/>
  <c r="AA154" i="22"/>
  <c r="AJ155" i="22" l="1"/>
  <c r="AH154" i="22"/>
  <c r="AC187" i="22"/>
  <c r="AD188" i="22"/>
  <c r="AS156" i="22"/>
  <c r="AI154" i="22"/>
  <c r="AF153" i="22"/>
  <c r="AG153" i="22" s="1"/>
  <c r="AB154" i="22"/>
  <c r="Z153" i="22"/>
  <c r="X187" i="22"/>
  <c r="W186" i="22"/>
  <c r="Z185" i="22"/>
  <c r="AA186" i="22"/>
  <c r="BA156" i="22"/>
  <c r="BF156" i="22"/>
  <c r="AX155" i="22"/>
  <c r="AY155" i="22" s="1"/>
  <c r="K188" i="22"/>
  <c r="L189" i="22"/>
  <c r="AJ189" i="22" s="1"/>
  <c r="AI189" i="22"/>
  <c r="AO154" i="22"/>
  <c r="AP154" i="22" s="1"/>
  <c r="AR155" i="22"/>
  <c r="BB157" i="22"/>
  <c r="BG157" i="22"/>
  <c r="R152" i="22"/>
  <c r="T153" i="22"/>
  <c r="AA153" i="22"/>
  <c r="X152" i="22"/>
  <c r="Y152" i="22" s="1"/>
  <c r="AY156" i="22"/>
  <c r="AZ156" i="22" s="1"/>
  <c r="S152" i="22"/>
  <c r="P151" i="22"/>
  <c r="Q151" i="22" s="1"/>
  <c r="J150" i="22"/>
  <c r="K150" i="22" s="1"/>
  <c r="K151" i="22"/>
  <c r="L151" i="22" s="1"/>
  <c r="AP155" i="22"/>
  <c r="AQ155" i="22" s="1"/>
  <c r="BB156" i="22" l="1"/>
  <c r="BG156" i="22"/>
  <c r="AZ155" i="22"/>
  <c r="Z184" i="22"/>
  <c r="AA185" i="22"/>
  <c r="AQ154" i="22"/>
  <c r="AS155" i="22"/>
  <c r="W185" i="22"/>
  <c r="X186" i="22"/>
  <c r="AO153" i="22"/>
  <c r="AP153" i="22" s="1"/>
  <c r="AR154" i="22"/>
  <c r="J149" i="22"/>
  <c r="K149" i="22" s="1"/>
  <c r="K187" i="22"/>
  <c r="L188" i="22"/>
  <c r="AJ188" i="22" s="1"/>
  <c r="AI188" i="22"/>
  <c r="S151" i="22"/>
  <c r="P150" i="22"/>
  <c r="BA155" i="22"/>
  <c r="BF155" i="22"/>
  <c r="AX154" i="22"/>
  <c r="AC186" i="22"/>
  <c r="AD187" i="22"/>
  <c r="R151" i="22"/>
  <c r="T152" i="22"/>
  <c r="Z152" i="22"/>
  <c r="AB153" i="22"/>
  <c r="AH153" i="22"/>
  <c r="AJ154" i="22"/>
  <c r="L150" i="22"/>
  <c r="X151" i="22"/>
  <c r="Y151" i="22" s="1"/>
  <c r="AA152" i="22"/>
  <c r="AI153" i="22"/>
  <c r="AF152" i="22"/>
  <c r="AG152" i="22" s="1"/>
  <c r="BA154" i="22" l="1"/>
  <c r="BF154" i="22"/>
  <c r="AX153" i="22"/>
  <c r="AQ153" i="22"/>
  <c r="AS154" i="22"/>
  <c r="X185" i="22"/>
  <c r="W184" i="22"/>
  <c r="AY154" i="22"/>
  <c r="AZ154" i="22" s="1"/>
  <c r="AA184" i="22"/>
  <c r="Z183" i="22"/>
  <c r="AJ153" i="22"/>
  <c r="AH152" i="22"/>
  <c r="AF151" i="22"/>
  <c r="AG151" i="22" s="1"/>
  <c r="AI152" i="22"/>
  <c r="T151" i="22"/>
  <c r="BG155" i="22"/>
  <c r="BB155" i="22"/>
  <c r="S150" i="22"/>
  <c r="P149" i="22"/>
  <c r="S149" i="22" s="1"/>
  <c r="AA151" i="22"/>
  <c r="X150" i="22"/>
  <c r="Q150" i="22"/>
  <c r="R150" i="22" s="1"/>
  <c r="AR153" i="22"/>
  <c r="AO152" i="22"/>
  <c r="K186" i="22"/>
  <c r="L187" i="22"/>
  <c r="AJ187" i="22" s="1"/>
  <c r="AI187" i="22"/>
  <c r="Z151" i="22"/>
  <c r="AB152" i="22"/>
  <c r="L149" i="22"/>
  <c r="AD186" i="22"/>
  <c r="AC185" i="22"/>
  <c r="Q149" i="22" l="1"/>
  <c r="R149" i="22" s="1"/>
  <c r="T149" i="22" s="1"/>
  <c r="T150" i="22"/>
  <c r="AC184" i="22"/>
  <c r="AD185" i="22"/>
  <c r="L186" i="22"/>
  <c r="AJ186" i="22" s="1"/>
  <c r="K185" i="22"/>
  <c r="AI186" i="22"/>
  <c r="AJ152" i="22"/>
  <c r="AH151" i="22"/>
  <c r="AS153" i="22"/>
  <c r="AO151" i="22"/>
  <c r="AP151" i="22" s="1"/>
  <c r="AR152" i="22"/>
  <c r="BG154" i="22"/>
  <c r="BB154" i="22"/>
  <c r="BA153" i="22"/>
  <c r="AX152" i="22"/>
  <c r="AY152" i="22" s="1"/>
  <c r="BF153" i="22"/>
  <c r="AF150" i="22"/>
  <c r="AI151" i="22"/>
  <c r="AB151" i="22"/>
  <c r="AA150" i="22"/>
  <c r="X149" i="22"/>
  <c r="AA149" i="22" s="1"/>
  <c r="AA183" i="22"/>
  <c r="Z182" i="22"/>
  <c r="W183" i="22"/>
  <c r="X184" i="22"/>
  <c r="AP152" i="22"/>
  <c r="AQ152" i="22" s="1"/>
  <c r="Y150" i="22"/>
  <c r="Z150" i="22" s="1"/>
  <c r="AY153" i="22"/>
  <c r="AZ153" i="22" s="1"/>
  <c r="AA182" i="22" l="1"/>
  <c r="AB150" i="22"/>
  <c r="AQ151" i="22"/>
  <c r="AS152" i="22"/>
  <c r="W182" i="22"/>
  <c r="X183" i="22"/>
  <c r="L185" i="22"/>
  <c r="AJ185" i="22" s="1"/>
  <c r="K184" i="22"/>
  <c r="AI185" i="22"/>
  <c r="BG153" i="22"/>
  <c r="AZ152" i="22"/>
  <c r="BB153" i="22"/>
  <c r="AO150" i="22"/>
  <c r="AR151" i="22"/>
  <c r="BF152" i="22"/>
  <c r="AX151" i="22"/>
  <c r="AY151" i="22" s="1"/>
  <c r="BA152" i="22"/>
  <c r="AD184" i="22"/>
  <c r="AC183" i="22"/>
  <c r="AI150" i="22"/>
  <c r="AF149" i="22"/>
  <c r="AI149" i="22" s="1"/>
  <c r="AG150" i="22"/>
  <c r="AH150" i="22" s="1"/>
  <c r="Y149" i="22"/>
  <c r="Z149" i="22" s="1"/>
  <c r="AB149" i="22" s="1"/>
  <c r="AJ151" i="22"/>
  <c r="AG149" i="22" l="1"/>
  <c r="AH149" i="22" s="1"/>
  <c r="AJ149" i="22" s="1"/>
  <c r="AO149" i="22"/>
  <c r="AR149" i="22" s="1"/>
  <c r="AR150" i="22"/>
  <c r="X182" i="22"/>
  <c r="AS151" i="22"/>
  <c r="K183" i="22"/>
  <c r="L184" i="22"/>
  <c r="AJ184" i="22" s="1"/>
  <c r="AI184" i="22"/>
  <c r="AP150" i="22"/>
  <c r="AQ150" i="22" s="1"/>
  <c r="AC182" i="22"/>
  <c r="AD183" i="22"/>
  <c r="AJ150" i="22"/>
  <c r="AZ151" i="22"/>
  <c r="BB152" i="22"/>
  <c r="BG152" i="22"/>
  <c r="AX150" i="22"/>
  <c r="AY150" i="22" s="1"/>
  <c r="BF151" i="22"/>
  <c r="BA151" i="22"/>
  <c r="AS150" i="22" l="1"/>
  <c r="AD182" i="22"/>
  <c r="BG151" i="22"/>
  <c r="BB151" i="22"/>
  <c r="AZ150" i="22"/>
  <c r="K182" i="22"/>
  <c r="L183" i="22"/>
  <c r="AJ183" i="22" s="1"/>
  <c r="AI183" i="22"/>
  <c r="BF150" i="22"/>
  <c r="AX149" i="22"/>
  <c r="AY149" i="22" s="1"/>
  <c r="BA150" i="22"/>
  <c r="AP149" i="22"/>
  <c r="AQ149" i="22" s="1"/>
  <c r="AS149" i="22" s="1"/>
  <c r="L182" i="22" l="1"/>
  <c r="AJ182" i="22" s="1"/>
  <c r="AI182" i="22"/>
  <c r="BB150" i="22"/>
  <c r="AZ149" i="22"/>
  <c r="BG150" i="22"/>
  <c r="BF149" i="22"/>
  <c r="BA149" i="22"/>
  <c r="Q31" i="22"/>
  <c r="Q32" i="22" s="1"/>
  <c r="Q33" i="22" l="1"/>
  <c r="BB149" i="22"/>
  <c r="BG149" i="22"/>
  <c r="AH43" i="22"/>
  <c r="AH44" i="22"/>
  <c r="AH47" i="22"/>
  <c r="AH46" i="22"/>
  <c r="AH45" i="22" l="1"/>
  <c r="AH48" i="22"/>
  <c r="BC17" i="22" s="1"/>
  <c r="BK99" i="22" s="1"/>
  <c r="BL99" i="22" s="1"/>
  <c r="Q34" i="22"/>
  <c r="BB17" i="22"/>
  <c r="BT83" i="22" l="1"/>
  <c r="BX108" i="22"/>
  <c r="BY92" i="22"/>
  <c r="BS84" i="22"/>
  <c r="BW98" i="22"/>
  <c r="BV99" i="22"/>
  <c r="BT95" i="22"/>
  <c r="BV114" i="22"/>
  <c r="BR86" i="22"/>
  <c r="BS109" i="22"/>
  <c r="BX98" i="22"/>
  <c r="BU107" i="22"/>
  <c r="BU91" i="22"/>
  <c r="BX110" i="22"/>
  <c r="BS93" i="22"/>
  <c r="BU87" i="22"/>
  <c r="BS108" i="22"/>
  <c r="BQ106" i="22"/>
  <c r="BW102" i="22"/>
  <c r="BW104" i="22"/>
  <c r="BS82" i="22"/>
  <c r="BW107" i="22"/>
  <c r="BV113" i="22"/>
  <c r="BQ83" i="22"/>
  <c r="BR111" i="22"/>
  <c r="BW91" i="22"/>
  <c r="BX83" i="22"/>
  <c r="BX91" i="22"/>
  <c r="BV88" i="22"/>
  <c r="BX97" i="22"/>
  <c r="BX85" i="22"/>
  <c r="BT103" i="22"/>
  <c r="BT112" i="22"/>
  <c r="BS106" i="22"/>
  <c r="BR114" i="22"/>
  <c r="BU98" i="22"/>
  <c r="BW86" i="22"/>
  <c r="BT82" i="22"/>
  <c r="BX111" i="22"/>
  <c r="BR82" i="22"/>
  <c r="BY98" i="22"/>
  <c r="BS98" i="22"/>
  <c r="BT87" i="22"/>
  <c r="BW95" i="22"/>
  <c r="BX102" i="22"/>
  <c r="BQ88" i="22"/>
  <c r="BR99" i="22"/>
  <c r="BY82" i="22"/>
  <c r="BQ91" i="22"/>
  <c r="BY95" i="22"/>
  <c r="BU111" i="22"/>
  <c r="BW88" i="22"/>
  <c r="BQ96" i="22"/>
  <c r="BX100" i="22"/>
  <c r="BY91" i="22"/>
  <c r="BR91" i="22"/>
  <c r="BT111" i="22"/>
  <c r="BW108" i="22"/>
  <c r="BT104" i="22"/>
  <c r="BQ105" i="22"/>
  <c r="BR84" i="22"/>
  <c r="BT88" i="22"/>
  <c r="BW85" i="22"/>
  <c r="BW89" i="22"/>
  <c r="BY100" i="22"/>
  <c r="BQ93" i="22"/>
  <c r="BY96" i="22"/>
  <c r="BX92" i="22"/>
  <c r="BQ109" i="22"/>
  <c r="BV98" i="22"/>
  <c r="BS101" i="22"/>
  <c r="BT90" i="22"/>
  <c r="BX95" i="22"/>
  <c r="BT109" i="22"/>
  <c r="BU103" i="22"/>
  <c r="BY86" i="22"/>
  <c r="BU114" i="22"/>
  <c r="BU93" i="22"/>
  <c r="BW90" i="22"/>
  <c r="BW105" i="22"/>
  <c r="BS88" i="22"/>
  <c r="BV83" i="22"/>
  <c r="BQ98" i="22"/>
  <c r="BX88" i="22"/>
  <c r="BX99" i="22"/>
  <c r="BW94" i="22"/>
  <c r="BW101" i="22"/>
  <c r="BX86" i="22"/>
  <c r="BU85" i="22"/>
  <c r="BQ99" i="22"/>
  <c r="BV81" i="22"/>
  <c r="BU108" i="22"/>
  <c r="BQ81" i="22"/>
  <c r="BV108" i="22"/>
  <c r="BW100" i="22"/>
  <c r="BU88" i="22"/>
  <c r="BW109" i="22"/>
  <c r="BS95" i="22"/>
  <c r="BR95" i="22"/>
  <c r="BS91" i="22"/>
  <c r="BY87" i="22"/>
  <c r="BY94" i="22"/>
  <c r="BT96" i="22"/>
  <c r="BW106" i="22"/>
  <c r="BU101" i="22"/>
  <c r="BW96" i="22"/>
  <c r="BR97" i="22"/>
  <c r="BY111" i="22"/>
  <c r="BV95" i="22"/>
  <c r="BW83" i="22"/>
  <c r="BW93" i="22"/>
  <c r="BY107" i="22"/>
  <c r="BQ85" i="22"/>
  <c r="BX105" i="22"/>
  <c r="BY108" i="22"/>
  <c r="BS81" i="22"/>
  <c r="BX81" i="22"/>
  <c r="BS105" i="22"/>
  <c r="BY99" i="22"/>
  <c r="BS86" i="22"/>
  <c r="BR96" i="22"/>
  <c r="BY97" i="22"/>
  <c r="BU94" i="22"/>
  <c r="BY103" i="22"/>
  <c r="BR109" i="22"/>
  <c r="BY109" i="22"/>
  <c r="BR89" i="22"/>
  <c r="BT94" i="22"/>
  <c r="BS112" i="22"/>
  <c r="BY112" i="22"/>
  <c r="BV97" i="22"/>
  <c r="BS113" i="22"/>
  <c r="BQ108" i="22"/>
  <c r="BT110" i="22"/>
  <c r="BR107" i="22"/>
  <c r="BR104" i="22"/>
  <c r="BQ84" i="22"/>
  <c r="BU102" i="22"/>
  <c r="BW111" i="22"/>
  <c r="BV111" i="22"/>
  <c r="BQ114" i="22"/>
  <c r="BX114" i="22"/>
  <c r="BR101" i="22"/>
  <c r="BR85" i="22"/>
  <c r="BU104" i="22"/>
  <c r="BQ97" i="22"/>
  <c r="BS97" i="22"/>
  <c r="BS114" i="22"/>
  <c r="BU81" i="22"/>
  <c r="BT91" i="22"/>
  <c r="BX104" i="22"/>
  <c r="BW81" i="22"/>
  <c r="BU109" i="22"/>
  <c r="BR112" i="22"/>
  <c r="BX90" i="22"/>
  <c r="BU110" i="22"/>
  <c r="BU89" i="22"/>
  <c r="BU97" i="22"/>
  <c r="BT89" i="22"/>
  <c r="BT99" i="22"/>
  <c r="BX109" i="22"/>
  <c r="BT114" i="22"/>
  <c r="BT81" i="22"/>
  <c r="BT108" i="22"/>
  <c r="BS102" i="22"/>
  <c r="BV82" i="22"/>
  <c r="BU84" i="22"/>
  <c r="BW114" i="22"/>
  <c r="BW97" i="22"/>
  <c r="BS92" i="22"/>
  <c r="BR90" i="22"/>
  <c r="BQ87" i="22"/>
  <c r="BY85" i="22"/>
  <c r="BV109" i="22"/>
  <c r="BV92" i="22"/>
  <c r="BU105" i="22"/>
  <c r="BY93" i="22"/>
  <c r="BV107" i="22"/>
  <c r="BQ86" i="22"/>
  <c r="BV86" i="22"/>
  <c r="BW113" i="22"/>
  <c r="BV110" i="22"/>
  <c r="BR106" i="22"/>
  <c r="BX84" i="22"/>
  <c r="BT86" i="22"/>
  <c r="BU96" i="22"/>
  <c r="BV106" i="22"/>
  <c r="BR108" i="22"/>
  <c r="BV90" i="22"/>
  <c r="BX101" i="22"/>
  <c r="BT101" i="22"/>
  <c r="BQ101" i="22"/>
  <c r="BX96" i="22"/>
  <c r="BR92" i="22"/>
  <c r="BQ100" i="22"/>
  <c r="BR81" i="22"/>
  <c r="BU112" i="22"/>
  <c r="BX103" i="22"/>
  <c r="BW84" i="22"/>
  <c r="BU95" i="22"/>
  <c r="BX94" i="22"/>
  <c r="BU90" i="22"/>
  <c r="BR87" i="22"/>
  <c r="BY114" i="22"/>
  <c r="BV96" i="22"/>
  <c r="BU106" i="22"/>
  <c r="BV85" i="22"/>
  <c r="BY83" i="22"/>
  <c r="BT84" i="22"/>
  <c r="BU83" i="22"/>
  <c r="BR110" i="22"/>
  <c r="BR93" i="22"/>
  <c r="BV84" i="22"/>
  <c r="BQ110" i="22"/>
  <c r="BS111" i="22"/>
  <c r="BR103" i="22"/>
  <c r="BS94" i="22"/>
  <c r="BY89" i="22"/>
  <c r="BQ111" i="22"/>
  <c r="BX112" i="22"/>
  <c r="BS103" i="22"/>
  <c r="BT92" i="22"/>
  <c r="BY110" i="22"/>
  <c r="BY90" i="22"/>
  <c r="BW87" i="22"/>
  <c r="BS96" i="22"/>
  <c r="BV104" i="22"/>
  <c r="BS110" i="22"/>
  <c r="BS87" i="22"/>
  <c r="BY104" i="22"/>
  <c r="BY102" i="22"/>
  <c r="BR102" i="22"/>
  <c r="BT85" i="22"/>
  <c r="BT100" i="22"/>
  <c r="BV100" i="22"/>
  <c r="BW99" i="22"/>
  <c r="BQ103" i="22"/>
  <c r="BQ82" i="22"/>
  <c r="BV105" i="22"/>
  <c r="BS99" i="22"/>
  <c r="BQ89" i="22"/>
  <c r="BY88" i="22"/>
  <c r="BU100" i="22"/>
  <c r="BT105" i="22"/>
  <c r="BX82" i="22"/>
  <c r="BQ90" i="22"/>
  <c r="BQ94" i="22"/>
  <c r="BV94" i="22"/>
  <c r="BR98" i="22"/>
  <c r="BT102" i="22"/>
  <c r="BY105" i="22"/>
  <c r="BR94" i="22"/>
  <c r="BS83" i="22"/>
  <c r="BS89" i="22"/>
  <c r="BU86" i="22"/>
  <c r="BY81" i="22"/>
  <c r="BV93" i="22"/>
  <c r="BU99" i="22"/>
  <c r="BQ102" i="22"/>
  <c r="BS100" i="22"/>
  <c r="BU82" i="22"/>
  <c r="BR88" i="22"/>
  <c r="BQ113" i="22"/>
  <c r="BR83" i="22"/>
  <c r="BX87" i="22"/>
  <c r="BV102" i="22"/>
  <c r="BV89" i="22"/>
  <c r="BX113" i="22"/>
  <c r="BV87" i="22"/>
  <c r="BT93" i="22"/>
  <c r="BW82" i="22"/>
  <c r="BT106" i="22"/>
  <c r="BV103" i="22"/>
  <c r="BT113" i="22"/>
  <c r="BT98" i="22"/>
  <c r="BX93" i="22"/>
  <c r="BY113" i="22"/>
  <c r="BW110" i="22"/>
  <c r="BV91" i="22"/>
  <c r="BT107" i="22"/>
  <c r="BW103" i="22"/>
  <c r="BY106" i="22"/>
  <c r="BS85" i="22"/>
  <c r="BQ107" i="22"/>
  <c r="BW92" i="22"/>
  <c r="BV101" i="22"/>
  <c r="BQ95" i="22"/>
  <c r="BS104" i="22"/>
  <c r="BW112" i="22"/>
  <c r="BX89" i="22"/>
  <c r="BY101" i="22"/>
  <c r="BR105" i="22"/>
  <c r="BU92" i="22"/>
  <c r="BQ104" i="22"/>
  <c r="BX106" i="22"/>
  <c r="BR113" i="22"/>
  <c r="BS107" i="22"/>
  <c r="BQ92" i="22"/>
  <c r="BS90" i="22"/>
  <c r="BQ112" i="22"/>
  <c r="BT97" i="22"/>
  <c r="BU113" i="22"/>
  <c r="BY84" i="22"/>
  <c r="BX107" i="22"/>
  <c r="BR100" i="22"/>
  <c r="BC62" i="22"/>
  <c r="BC63" i="22" s="1"/>
  <c r="BK111" i="22"/>
  <c r="BL111" i="22" s="1"/>
  <c r="BK98" i="22"/>
  <c r="BL98" i="22" s="1"/>
  <c r="BK109" i="22"/>
  <c r="BL109" i="22" s="1"/>
  <c r="BV112" i="22"/>
  <c r="BK104" i="22"/>
  <c r="BL104" i="22" s="1"/>
  <c r="BK82" i="22"/>
  <c r="BL82" i="22" s="1"/>
  <c r="BC28" i="22"/>
  <c r="BC29" i="22" s="1"/>
  <c r="BK94" i="22"/>
  <c r="BL94" i="22" s="1"/>
  <c r="BK101" i="22"/>
  <c r="BL101" i="22" s="1"/>
  <c r="BK81" i="22"/>
  <c r="BL81" i="22" s="1"/>
  <c r="BK90" i="22"/>
  <c r="BL90" i="22" s="1"/>
  <c r="BK87" i="22"/>
  <c r="BL87" i="22" s="1"/>
  <c r="BK91" i="22"/>
  <c r="BL91" i="22" s="1"/>
  <c r="BK88" i="22"/>
  <c r="BL88" i="22" s="1"/>
  <c r="BK93" i="22"/>
  <c r="BL93" i="22" s="1"/>
  <c r="BK105" i="22"/>
  <c r="BL105" i="22" s="1"/>
  <c r="BK108" i="22"/>
  <c r="BL108" i="22" s="1"/>
  <c r="BK100" i="22"/>
  <c r="BL100" i="22" s="1"/>
  <c r="BK106" i="22"/>
  <c r="BL106" i="22" s="1"/>
  <c r="BK97" i="22"/>
  <c r="BL97" i="22" s="1"/>
  <c r="BK95" i="22"/>
  <c r="BL95" i="22" s="1"/>
  <c r="BK112" i="22"/>
  <c r="BL112" i="22" s="1"/>
  <c r="BK103" i="22"/>
  <c r="BL103" i="22" s="1"/>
  <c r="BK110" i="22"/>
  <c r="BL110" i="22" s="1"/>
  <c r="BK86" i="22"/>
  <c r="BL86" i="22" s="1"/>
  <c r="BK113" i="22"/>
  <c r="BL113" i="22" s="1"/>
  <c r="BK114" i="22"/>
  <c r="BL114" i="22" s="1"/>
  <c r="BK102" i="22"/>
  <c r="BL102" i="22" s="1"/>
  <c r="BK92" i="22"/>
  <c r="BL92" i="22" s="1"/>
  <c r="BK85" i="22"/>
  <c r="BL85" i="22" s="1"/>
  <c r="BK84" i="22"/>
  <c r="BL84" i="22" s="1"/>
  <c r="BK89" i="22"/>
  <c r="BL89" i="22" s="1"/>
  <c r="BK83" i="22"/>
  <c r="BL83" i="22" s="1"/>
  <c r="BK107" i="22"/>
  <c r="BL107" i="22" s="1"/>
  <c r="BK96" i="22"/>
  <c r="BL96" i="22" s="1"/>
  <c r="BM81" i="22"/>
  <c r="BN81" i="22" s="1"/>
  <c r="BM97" i="22"/>
  <c r="BN97" i="22" s="1"/>
  <c r="BM107" i="22"/>
  <c r="BN107" i="22" s="1"/>
  <c r="BM102" i="22"/>
  <c r="BN102" i="22" s="1"/>
  <c r="BM111" i="22"/>
  <c r="BN111" i="22" s="1"/>
  <c r="BM105" i="22"/>
  <c r="BN105" i="22" s="1"/>
  <c r="BM87" i="22"/>
  <c r="BN87" i="22" s="1"/>
  <c r="BB28" i="22"/>
  <c r="BB29" i="22" s="1"/>
  <c r="BM110" i="22"/>
  <c r="BN110" i="22" s="1"/>
  <c r="BM96" i="22"/>
  <c r="BN96" i="22" s="1"/>
  <c r="BM94" i="22"/>
  <c r="BN94" i="22" s="1"/>
  <c r="BM103" i="22"/>
  <c r="BN103" i="22" s="1"/>
  <c r="BM104" i="22"/>
  <c r="BN104" i="22" s="1"/>
  <c r="BM101" i="22"/>
  <c r="BN101" i="22" s="1"/>
  <c r="BM89" i="22"/>
  <c r="BN89" i="22" s="1"/>
  <c r="BM86" i="22"/>
  <c r="BN86" i="22" s="1"/>
  <c r="BM99" i="22"/>
  <c r="BN99" i="22" s="1"/>
  <c r="BM114" i="22"/>
  <c r="BN114" i="22" s="1"/>
  <c r="BM113" i="22"/>
  <c r="BN113" i="22" s="1"/>
  <c r="BM106" i="22"/>
  <c r="BN106" i="22" s="1"/>
  <c r="BM91" i="22"/>
  <c r="BN91" i="22" s="1"/>
  <c r="BM88" i="22"/>
  <c r="BN88" i="22" s="1"/>
  <c r="BM95" i="22"/>
  <c r="BN95" i="22" s="1"/>
  <c r="BM84" i="22"/>
  <c r="BN84" i="22" s="1"/>
  <c r="BM82" i="22"/>
  <c r="BN82" i="22" s="1"/>
  <c r="BM108" i="22"/>
  <c r="BN108" i="22" s="1"/>
  <c r="BM83" i="22"/>
  <c r="BN83" i="22" s="1"/>
  <c r="BM85" i="22"/>
  <c r="BN85" i="22" s="1"/>
  <c r="BM92" i="22"/>
  <c r="BN92" i="22" s="1"/>
  <c r="BB62" i="22"/>
  <c r="BB63" i="22" s="1"/>
  <c r="BM112" i="22"/>
  <c r="BN112" i="22" s="1"/>
  <c r="BM98" i="22"/>
  <c r="BN98" i="22" s="1"/>
  <c r="BM109" i="22"/>
  <c r="BN109" i="22" s="1"/>
  <c r="BM90" i="22"/>
  <c r="BN90" i="22" s="1"/>
  <c r="BM100" i="22"/>
  <c r="BN100" i="22" s="1"/>
  <c r="BM93" i="22"/>
  <c r="BN93" i="22" s="1"/>
  <c r="BH13"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Juliana Geiger</author>
    <author>Borgiani Geiger Borgiani Geiger</author>
    <author>GE User</author>
    <author>james geiger</author>
  </authors>
  <commentList>
    <comment ref="F9" authorId="0" shapeId="0" xr:uid="{02BCBF7B-95E5-4FFB-92CB-15B8D174DA9B}">
      <text>
        <r>
          <rPr>
            <b/>
            <sz val="11"/>
            <color rgb="FF000000"/>
            <rFont val="Tahoma"/>
            <family val="2"/>
          </rPr>
          <t>Options</t>
        </r>
        <r>
          <rPr>
            <sz val="11"/>
            <color rgb="FF000000"/>
            <rFont val="Tahoma"/>
            <family val="2"/>
          </rPr>
          <t xml:space="preserve">
</t>
        </r>
        <r>
          <rPr>
            <sz val="11"/>
            <color rgb="FF000000"/>
            <rFont val="Tahoma"/>
            <family val="2"/>
          </rPr>
          <t xml:space="preserve">1) Use Corke Table 1.1, page 6, for guidance
</t>
        </r>
        <r>
          <rPr>
            <sz val="11"/>
            <color rgb="FF000000"/>
            <rFont val="Tahoma"/>
            <family val="2"/>
          </rPr>
          <t xml:space="preserve">2) Treat A as a parameter.  Vary A and create plot of Wo vs. A
</t>
        </r>
        <r>
          <rPr>
            <sz val="11"/>
            <color rgb="FF000000"/>
            <rFont val="Tahoma"/>
            <family val="2"/>
          </rPr>
          <t>3) Use design A per Chapter 4 analysis</t>
        </r>
        <r>
          <rPr>
            <sz val="9"/>
            <color rgb="FF000000"/>
            <rFont val="Tahoma"/>
            <family val="2"/>
          </rPr>
          <t xml:space="preserve">
</t>
        </r>
      </text>
    </comment>
    <comment ref="F10" authorId="1" shapeId="0" xr:uid="{2EE4155A-2CE3-4C67-B825-BCB5D8557756}">
      <text>
        <r>
          <rPr>
            <b/>
            <sz val="14"/>
            <color rgb="FF000000"/>
            <rFont val="Tahoma"/>
            <family val="2"/>
          </rPr>
          <t>Range or Radius</t>
        </r>
        <r>
          <rPr>
            <b/>
            <sz val="9"/>
            <color rgb="FF000000"/>
            <rFont val="Tahoma"/>
            <family val="2"/>
          </rPr>
          <t xml:space="preserve">
</t>
        </r>
        <r>
          <rPr>
            <sz val="12"/>
            <color rgb="FF000000"/>
            <rFont val="Tahoma"/>
            <family val="2"/>
          </rPr>
          <t xml:space="preserve">
</t>
        </r>
        <r>
          <rPr>
            <sz val="12"/>
            <color rgb="FF000000"/>
            <rFont val="Tahoma"/>
            <family val="2"/>
          </rPr>
          <t xml:space="preserve">This input is the distance requirement for the design mission.
</t>
        </r>
        <r>
          <rPr>
            <sz val="12"/>
            <color rgb="FF000000"/>
            <rFont val="Tahoma"/>
            <family val="2"/>
          </rPr>
          <t xml:space="preserve">
</t>
        </r>
        <r>
          <rPr>
            <sz val="12"/>
            <color rgb="FF000000"/>
            <rFont val="Tahoma"/>
            <family val="2"/>
          </rPr>
          <t xml:space="preserve">If the design mission is an out-and-back mission, then the input will be used as RADIUS, i.e. the distance flown from mission start to the half-way point (or "on station" point, which is where loiter flight segments begin).
</t>
        </r>
        <r>
          <rPr>
            <sz val="12"/>
            <color rgb="FF000000"/>
            <rFont val="Tahoma"/>
            <family val="2"/>
          </rPr>
          <t xml:space="preserve">
</t>
        </r>
        <r>
          <rPr>
            <sz val="12"/>
            <color rgb="FF000000"/>
            <rFont val="Tahoma"/>
            <family val="2"/>
          </rPr>
          <t xml:space="preserve">If the design mission is a one-way mission, then the input will be used as RANGE/2, i.e. the user will input a number that is half of the actual design range.
</t>
        </r>
      </text>
    </comment>
    <comment ref="F11" authorId="1" shapeId="0" xr:uid="{C057F3E8-3F54-4338-A600-DA9B737524FE}">
      <text>
        <r>
          <rPr>
            <b/>
            <sz val="14"/>
            <color rgb="FF000000"/>
            <rFont val="Tahoma"/>
            <family val="2"/>
          </rPr>
          <t>Endurance1</t>
        </r>
        <r>
          <rPr>
            <b/>
            <sz val="9"/>
            <color rgb="FF000000"/>
            <rFont val="Tahoma"/>
            <family val="2"/>
          </rPr>
          <t xml:space="preserve">
</t>
        </r>
        <r>
          <rPr>
            <sz val="12"/>
            <color rgb="FF000000"/>
            <rFont val="Tahoma"/>
            <family val="2"/>
          </rPr>
          <t xml:space="preserve">
</t>
        </r>
        <r>
          <rPr>
            <sz val="12"/>
            <color rgb="FF000000"/>
            <rFont val="Tahoma"/>
            <family val="2"/>
          </rPr>
          <t xml:space="preserve">This input is the time (min) for the Loiter1 flight segment in the design mission.  Loiter1 represents one-half of the design endurance requirement.
</t>
        </r>
        <r>
          <rPr>
            <sz val="12"/>
            <color rgb="FF000000"/>
            <rFont val="Tahoma"/>
            <family val="2"/>
          </rPr>
          <t xml:space="preserve">
</t>
        </r>
        <r>
          <rPr>
            <sz val="12"/>
            <color rgb="FF000000"/>
            <rFont val="Tahoma"/>
            <family val="2"/>
          </rPr>
          <t xml:space="preserve">If the design mission is an out-and-back mission, then the input will be used as one half of the design endurance requirement, i.e. the time (minutes) for one half of the requirement.  For example, if your design endurance requirement is 2 hours, then Endurance1 should be 60 min.
</t>
        </r>
        <r>
          <rPr>
            <sz val="12"/>
            <color rgb="FF000000"/>
            <rFont val="Tahoma"/>
            <family val="2"/>
          </rPr>
          <t xml:space="preserve">
</t>
        </r>
        <r>
          <rPr>
            <sz val="12"/>
            <color rgb="FF000000"/>
            <rFont val="Tahoma"/>
            <family val="2"/>
          </rPr>
          <t>If the design mission is a one-way mission, then there will not be an endurance requirement and Endurance1 = 0.0</t>
        </r>
      </text>
    </comment>
    <comment ref="F12" authorId="1" shapeId="0" xr:uid="{D3B4C91B-448F-49BB-A15E-646DCD3F7410}">
      <text>
        <r>
          <rPr>
            <b/>
            <sz val="14"/>
            <color rgb="FF000000"/>
            <rFont val="Tahoma"/>
            <family val="2"/>
          </rPr>
          <t>Endurance2</t>
        </r>
        <r>
          <rPr>
            <b/>
            <sz val="9"/>
            <color rgb="FF000000"/>
            <rFont val="Tahoma"/>
            <family val="2"/>
          </rPr>
          <t xml:space="preserve">
</t>
        </r>
        <r>
          <rPr>
            <sz val="12"/>
            <color rgb="FF000000"/>
            <rFont val="Tahoma"/>
            <family val="2"/>
          </rPr>
          <t xml:space="preserve">
</t>
        </r>
        <r>
          <rPr>
            <sz val="12"/>
            <color rgb="FF000000"/>
            <rFont val="Tahoma"/>
            <family val="2"/>
          </rPr>
          <t xml:space="preserve">This input is the time (min) for the Loiter2 flight segment in the design mission.  Loiter2 represents one-half of the design endurance requirement.
</t>
        </r>
        <r>
          <rPr>
            <sz val="12"/>
            <color rgb="FF000000"/>
            <rFont val="Tahoma"/>
            <family val="2"/>
          </rPr>
          <t xml:space="preserve">
</t>
        </r>
        <r>
          <rPr>
            <sz val="12"/>
            <color rgb="FF000000"/>
            <rFont val="Tahoma"/>
            <family val="2"/>
          </rPr>
          <t xml:space="preserve">If the design mission is an out-and-back mission, then the input will be used as one half of the design endurance requirement, i.e. the time (minutes) for one half of the requirement.  For example, if your design endurance requirement is 2 hours, then Endurance2 should be 60 min.
</t>
        </r>
        <r>
          <rPr>
            <sz val="12"/>
            <color rgb="FF000000"/>
            <rFont val="Tahoma"/>
            <family val="2"/>
          </rPr>
          <t xml:space="preserve">
</t>
        </r>
        <r>
          <rPr>
            <sz val="12"/>
            <color rgb="FF000000"/>
            <rFont val="Tahoma"/>
            <family val="2"/>
          </rPr>
          <t>If the design mission is a one-way mission, then there will not be an endurance requirement and Endurance2 = 0.0</t>
        </r>
      </text>
    </comment>
    <comment ref="F13" authorId="1" shapeId="0" xr:uid="{E4D14325-467A-4821-AA2E-99D0CC74B40D}">
      <text>
        <r>
          <rPr>
            <b/>
            <sz val="14"/>
            <color rgb="FF000000"/>
            <rFont val="Tahoma"/>
            <family val="2"/>
          </rPr>
          <t>Endurance3</t>
        </r>
        <r>
          <rPr>
            <b/>
            <sz val="9"/>
            <color rgb="FF000000"/>
            <rFont val="Tahoma"/>
            <family val="2"/>
          </rPr>
          <t xml:space="preserve">
</t>
        </r>
        <r>
          <rPr>
            <sz val="12"/>
            <color rgb="FF000000"/>
            <rFont val="Tahoma"/>
            <family val="2"/>
          </rPr>
          <t xml:space="preserve">
</t>
        </r>
        <r>
          <rPr>
            <sz val="12"/>
            <color rgb="FF000000"/>
            <rFont val="Tahoma"/>
            <family val="2"/>
          </rPr>
          <t xml:space="preserve">This input is the time (min) for the Loiter3 flight segment in the design mission.  Loiter3 represents an allowance for "hold" time before an aircraft lands in case there is congestion at the landing site and the aircraft is instructed by flight traffic control to circle until it is safe to land.
</t>
        </r>
        <r>
          <rPr>
            <sz val="12"/>
            <color rgb="FF000000"/>
            <rFont val="Tahoma"/>
            <family val="2"/>
          </rPr>
          <t xml:space="preserve">
</t>
        </r>
        <r>
          <rPr>
            <sz val="12"/>
            <color rgb="FF000000"/>
            <rFont val="Tahoma"/>
            <family val="2"/>
          </rPr>
          <t>Both one-way and out-and-back missions should have a Loiter3 flight segment, i.e. non-zero inout for Endurance3.</t>
        </r>
      </text>
    </comment>
    <comment ref="F14" authorId="2" shapeId="0" xr:uid="{3AA8705E-3206-442F-92E1-D342D48AC56F}">
      <text>
        <r>
          <rPr>
            <b/>
            <sz val="11"/>
            <color rgb="FF000000"/>
            <rFont val="Tahoma"/>
            <family val="2"/>
          </rPr>
          <t>Corke Table 7.1, page 140</t>
        </r>
        <r>
          <rPr>
            <sz val="11"/>
            <color rgb="FF000000"/>
            <rFont val="Tahoma"/>
            <family val="2"/>
          </rPr>
          <t xml:space="preserve">
</t>
        </r>
        <r>
          <rPr>
            <sz val="11"/>
            <color rgb="FF000000"/>
            <rFont val="Tahoma"/>
            <family val="2"/>
          </rPr>
          <t xml:space="preserve">
</t>
        </r>
        <r>
          <rPr>
            <sz val="11"/>
            <color rgb="FF000000"/>
            <rFont val="Tahoma"/>
            <family val="2"/>
          </rPr>
          <t xml:space="preserve">Table 7.1 gives a range of typical T/W based on a/c type.
</t>
        </r>
        <r>
          <rPr>
            <sz val="11"/>
            <color rgb="FF000000"/>
            <rFont val="Tahoma"/>
            <family val="2"/>
          </rPr>
          <t xml:space="preserve">
</t>
        </r>
        <r>
          <rPr>
            <sz val="11"/>
            <color rgb="FF000000"/>
            <rFont val="Tahoma"/>
            <family val="2"/>
          </rPr>
          <t>Note:  This input is only used if the aircraft mission includes a combat leg.</t>
        </r>
        <r>
          <rPr>
            <sz val="9"/>
            <color rgb="FF000000"/>
            <rFont val="Tahoma"/>
            <family val="2"/>
          </rPr>
          <t xml:space="preserve">
</t>
        </r>
        <r>
          <rPr>
            <sz val="9"/>
            <color rgb="FF000000"/>
            <rFont val="Tahoma"/>
            <family val="2"/>
          </rPr>
          <t xml:space="preserve">
</t>
        </r>
      </text>
    </comment>
    <comment ref="F21" authorId="0" shapeId="0" xr:uid="{4C332DDC-EF6E-4788-874C-9C19130A0EB3}">
      <text>
        <r>
          <rPr>
            <b/>
            <sz val="14"/>
            <color rgb="FF000000"/>
            <rFont val="Tahoma"/>
            <family val="2"/>
          </rPr>
          <t>Propulsion System Flag</t>
        </r>
        <r>
          <rPr>
            <b/>
            <sz val="9"/>
            <color rgb="FF000000"/>
            <rFont val="Tahoma"/>
            <family val="2"/>
          </rPr>
          <t xml:space="preserve">
</t>
        </r>
        <r>
          <rPr>
            <sz val="12"/>
            <color rgb="FF000000"/>
            <rFont val="Tahoma"/>
            <family val="2"/>
          </rPr>
          <t xml:space="preserve">1 = Conventional - internal combustion engine ONLY driving a ducted propulsor (TurboFan or TurboJet)
</t>
        </r>
        <r>
          <rPr>
            <sz val="12"/>
            <color rgb="FF000000"/>
            <rFont val="Tahoma"/>
            <family val="2"/>
          </rPr>
          <t xml:space="preserve">2 = Conventional - internal combustion engine ONLY driving an unducted propulsor (TurboProp or Reciprocating Piston)
</t>
        </r>
        <r>
          <rPr>
            <sz val="12"/>
            <color rgb="FF000000"/>
            <rFont val="Tahoma"/>
            <family val="2"/>
          </rPr>
          <t xml:space="preserve">3 = Hybrid Electric - internal combustion engine and supplemetal power unit (spu) BOTH driving a ducted propulsor (TurboFan or TurboJet)
</t>
        </r>
        <r>
          <rPr>
            <sz val="12"/>
            <color rgb="FF000000"/>
            <rFont val="Tahoma"/>
            <family val="2"/>
          </rPr>
          <t>4 = Hybrid Electric - internal combustion engine and supplemetal power unit (spu) BOTH driving an unducted propulsor (TurboProp or Reciprocating Piston)</t>
        </r>
        <r>
          <rPr>
            <sz val="9"/>
            <color rgb="FF000000"/>
            <rFont val="Tahoma"/>
            <family val="2"/>
          </rPr>
          <t xml:space="preserve">
</t>
        </r>
        <r>
          <rPr>
            <sz val="12"/>
            <color rgb="FF000000"/>
            <rFont val="Tahoma"/>
            <family val="2"/>
          </rPr>
          <t xml:space="preserve">5 = All Electric - supplemental power unit (spu) ONLY driving a ducted propulsor (TurboFan or TurboJet)
</t>
        </r>
        <r>
          <rPr>
            <sz val="12"/>
            <color rgb="FF000000"/>
            <rFont val="Tahoma"/>
            <family val="2"/>
          </rPr>
          <t>6 = All Electric - supplemental power unit (spu) ONLY driving an unducted propulsor (TurboProp or Reciprocating Piston)</t>
        </r>
      </text>
    </comment>
    <comment ref="F22" authorId="2" shapeId="0" xr:uid="{E5F5A4A5-428A-4E3F-A7CE-37A75351245A}">
      <text>
        <r>
          <rPr>
            <b/>
            <sz val="11"/>
            <color rgb="FF000000"/>
            <rFont val="Tahoma"/>
            <family val="2"/>
          </rPr>
          <t xml:space="preserve">L/D Calculation FLAG
</t>
        </r>
        <r>
          <rPr>
            <b/>
            <sz val="11"/>
            <color rgb="FF000000"/>
            <rFont val="Tahoma"/>
            <family val="2"/>
          </rPr>
          <t xml:space="preserve">
</t>
        </r>
        <r>
          <rPr>
            <sz val="12"/>
            <color rgb="FF000000"/>
            <rFont val="Tahoma"/>
            <family val="2"/>
          </rPr>
          <t xml:space="preserve">1 = Use a fixed L/D for the entire mission as input (2 cells down).  Nicolai's Empirical L/D calculation (Corke's Figure 2.4, page 26) is calculated in the cell directly below and can be used if so desired by entering the value by hand in the cell below.   Chapter 2 method.
</t>
        </r>
        <r>
          <rPr>
            <sz val="12"/>
            <color rgb="FF000000"/>
            <rFont val="Tahoma"/>
            <family val="2"/>
          </rPr>
          <t xml:space="preserve">
</t>
        </r>
        <r>
          <rPr>
            <sz val="12"/>
            <color rgb="FF000000"/>
            <rFont val="Tahoma"/>
            <family val="2"/>
          </rPr>
          <t>2 = Calculated as function of W/S, Cdo and e.  Post Chapter 6 method.  Cdo is calculated for the geometry specified in Chapters 4, 5 and 6 AND for the altitudes, mach numbers and delta T ambients form chapter 2.</t>
        </r>
      </text>
    </comment>
    <comment ref="S22" authorId="0" shapeId="0" xr:uid="{00000000-0006-0000-0400-000005000000}">
      <text>
        <r>
          <rPr>
            <b/>
            <sz val="9"/>
            <color rgb="FF000000"/>
            <rFont val="Tahoma"/>
            <family val="2"/>
          </rPr>
          <t xml:space="preserve">IMPORTANT!!
</t>
        </r>
        <r>
          <rPr>
            <sz val="9"/>
            <color rgb="FF000000"/>
            <rFont val="Tahoma"/>
            <family val="2"/>
          </rPr>
          <t xml:space="preserve">This Cell should be zero for a converged solution.
</t>
        </r>
        <r>
          <rPr>
            <sz val="9"/>
            <color rgb="FF000000"/>
            <rFont val="Tahoma"/>
            <family val="2"/>
          </rPr>
          <t xml:space="preserve">
</t>
        </r>
        <r>
          <rPr>
            <sz val="9"/>
            <color rgb="FF000000"/>
            <rFont val="Tahoma"/>
            <family val="2"/>
          </rPr>
          <t xml:space="preserve">Use "Data - What-If Analysis - Goal Seek..."
</t>
        </r>
        <r>
          <rPr>
            <sz val="9"/>
            <color rgb="FF000000"/>
            <rFont val="Tahoma"/>
            <family val="2"/>
          </rPr>
          <t xml:space="preserve">
</t>
        </r>
        <r>
          <rPr>
            <sz val="9"/>
            <color rgb="FF000000"/>
            <rFont val="Tahoma"/>
            <family val="2"/>
          </rPr>
          <t xml:space="preserve">Set Cell:                  (Wo,calc-Wo,guess)
</t>
        </r>
        <r>
          <rPr>
            <sz val="9"/>
            <color rgb="FF000000"/>
            <rFont val="Tahoma"/>
            <family val="2"/>
          </rPr>
          <t xml:space="preserve">To Value:                0.0
</t>
        </r>
        <r>
          <rPr>
            <sz val="9"/>
            <color rgb="FF000000"/>
            <rFont val="Tahoma"/>
            <family val="2"/>
          </rPr>
          <t xml:space="preserve">By changing cell:   W,guess </t>
        </r>
      </text>
    </comment>
    <comment ref="F25" authorId="3" shapeId="0" xr:uid="{8909614E-DB0B-4EB2-8903-E7B610B4D7E0}">
      <text>
        <r>
          <rPr>
            <b/>
            <sz val="11"/>
            <color rgb="FF000000"/>
            <rFont val="Tahoma"/>
            <family val="2"/>
          </rPr>
          <t xml:space="preserve">Specific Fuel Consumption Flag
</t>
        </r>
        <r>
          <rPr>
            <b/>
            <sz val="11"/>
            <color rgb="FF000000"/>
            <rFont val="Tahoma"/>
            <family val="2"/>
          </rPr>
          <t xml:space="preserve">
</t>
        </r>
        <r>
          <rPr>
            <sz val="11"/>
            <color rgb="FF000000"/>
            <rFont val="Tahoma"/>
            <family val="2"/>
          </rPr>
          <t>1 = Use a constant value for the entire mission, all altitudes and speeds, all cruise and loiter legs.  Note:  For this option user must input the numeric value directly below this cell.  Corke lists some ballpark values (Equ. 2.12) and Table 2.2), but better choices can be obtained from Janes and or internet seaching on typical engines for the class of aircraft being designed.</t>
        </r>
        <r>
          <rPr>
            <b/>
            <sz val="11"/>
            <color rgb="FF000000"/>
            <rFont val="Tahoma"/>
            <family val="2"/>
          </rPr>
          <t xml:space="preserve">
</t>
        </r>
        <r>
          <rPr>
            <sz val="11"/>
            <color rgb="FF000000"/>
            <rFont val="Tahoma"/>
            <family val="2"/>
          </rPr>
          <t xml:space="preserve">
</t>
        </r>
        <r>
          <rPr>
            <sz val="11"/>
            <color rgb="FF000000"/>
            <rFont val="Tahoma"/>
            <family val="2"/>
          </rPr>
          <t>2 = Use the values per chapter 7</t>
        </r>
      </text>
    </comment>
    <comment ref="F27" authorId="2" shapeId="0" xr:uid="{220D949D-9C4F-4547-96F0-77A3D2C63966}">
      <text>
        <r>
          <rPr>
            <b/>
            <sz val="12"/>
            <color rgb="FF000000"/>
            <rFont val="Tahoma"/>
            <family val="2"/>
          </rPr>
          <t xml:space="preserve">Propeller Efficiency Flag
</t>
        </r>
        <r>
          <rPr>
            <b/>
            <sz val="12"/>
            <color rgb="FF000000"/>
            <rFont val="Tahoma"/>
            <family val="2"/>
          </rPr>
          <t xml:space="preserve">
</t>
        </r>
        <r>
          <rPr>
            <sz val="12"/>
            <color rgb="FF000000"/>
            <rFont val="Tahoma"/>
            <family val="2"/>
          </rPr>
          <t xml:space="preserve">1 = User input (Cell directly below).  This option assumes a constant propeller efficiency for the entire mission, i.e. all criose and loiter flight segments.
</t>
        </r>
        <r>
          <rPr>
            <sz val="12"/>
            <color rgb="FF000000"/>
            <rFont val="Tahoma"/>
            <family val="2"/>
          </rPr>
          <t xml:space="preserve">
</t>
        </r>
        <r>
          <rPr>
            <sz val="12"/>
            <color rgb="FF000000"/>
            <rFont val="Tahoma"/>
            <family val="2"/>
          </rPr>
          <t xml:space="preserve">2 = Propeller efficiencies from chapter 7b are used . </t>
        </r>
        <r>
          <rPr>
            <sz val="9"/>
            <color rgb="FF000000"/>
            <rFont val="Tahoma"/>
            <family val="2"/>
          </rPr>
          <t xml:space="preserve">
</t>
        </r>
      </text>
    </comment>
    <comment ref="F29" authorId="0" shapeId="0" xr:uid="{88DA8BC9-38D7-468E-A0FF-27667C1A26B4}">
      <text>
        <r>
          <rPr>
            <b/>
            <sz val="11"/>
            <color rgb="FF000000"/>
            <rFont val="Tahoma"/>
            <family val="2"/>
          </rPr>
          <t>Empty Weight Fraction Flag</t>
        </r>
        <r>
          <rPr>
            <sz val="11"/>
            <color rgb="FF000000"/>
            <rFont val="Tahoma"/>
            <family val="2"/>
          </rPr>
          <t xml:space="preserve">
</t>
        </r>
        <r>
          <rPr>
            <sz val="11"/>
            <color rgb="FF000000"/>
            <rFont val="Tahoma"/>
            <family val="2"/>
          </rPr>
          <t xml:space="preserve">
</t>
        </r>
        <r>
          <rPr>
            <sz val="11"/>
            <color rgb="FF000000"/>
            <rFont val="Tahoma"/>
            <family val="2"/>
          </rPr>
          <t xml:space="preserve">Review Corke Table 2.3, page 31
</t>
        </r>
        <r>
          <rPr>
            <sz val="11"/>
            <color rgb="FF000000"/>
            <rFont val="Tahoma"/>
            <family val="2"/>
          </rPr>
          <t xml:space="preserve">
</t>
        </r>
        <r>
          <rPr>
            <sz val="11"/>
            <color rgb="FF000000"/>
            <rFont val="Tahoma"/>
            <family val="2"/>
          </rPr>
          <t xml:space="preserve">1=Sailplane (unpowered)
</t>
        </r>
        <r>
          <rPr>
            <sz val="11"/>
            <color rgb="FF000000"/>
            <rFont val="Tahoma"/>
            <family val="2"/>
          </rPr>
          <t xml:space="preserve">2=Sailplane (powered)
</t>
        </r>
        <r>
          <rPr>
            <sz val="11"/>
            <color rgb="FF000000"/>
            <rFont val="Tahoma"/>
            <family val="2"/>
          </rPr>
          <t xml:space="preserve">3=Homebuilt (metal/wood)
</t>
        </r>
        <r>
          <rPr>
            <sz val="11"/>
            <color rgb="FF000000"/>
            <rFont val="Tahoma"/>
            <family val="2"/>
          </rPr>
          <t xml:space="preserve">4=Homebuilt (composite)
</t>
        </r>
        <r>
          <rPr>
            <sz val="11"/>
            <color rgb="FF000000"/>
            <rFont val="Tahoma"/>
            <family val="2"/>
          </rPr>
          <t xml:space="preserve">5=General Aviation (single engine)
</t>
        </r>
        <r>
          <rPr>
            <sz val="11"/>
            <color rgb="FF000000"/>
            <rFont val="Tahoma"/>
            <family val="2"/>
          </rPr>
          <t xml:space="preserve">6=General Aviation (twin engine)
</t>
        </r>
        <r>
          <rPr>
            <sz val="11"/>
            <color rgb="FF000000"/>
            <rFont val="Tahoma"/>
            <family val="2"/>
          </rPr>
          <t xml:space="preserve">7=Twin Turboprop
</t>
        </r>
        <r>
          <rPr>
            <sz val="11"/>
            <color rgb="FF000000"/>
            <rFont val="Tahoma"/>
            <family val="2"/>
          </rPr>
          <t xml:space="preserve">8=Jet Trainer
</t>
        </r>
        <r>
          <rPr>
            <sz val="11"/>
            <color rgb="FF000000"/>
            <rFont val="Tahoma"/>
            <family val="2"/>
          </rPr>
          <t xml:space="preserve">9=Jet Fighter
</t>
        </r>
        <r>
          <rPr>
            <sz val="11"/>
            <color rgb="FF000000"/>
            <rFont val="Tahoma"/>
            <family val="2"/>
          </rPr>
          <t xml:space="preserve">10=Military Cargo/Bomber
</t>
        </r>
        <r>
          <rPr>
            <sz val="11"/>
            <color rgb="FF000000"/>
            <rFont val="Tahoma"/>
            <family val="2"/>
          </rPr>
          <t xml:space="preserve">11=Jet Transport
</t>
        </r>
        <r>
          <rPr>
            <sz val="11"/>
            <color rgb="FF000000"/>
            <rFont val="Tahoma"/>
            <family val="2"/>
          </rPr>
          <t>12=USER INPUT</t>
        </r>
      </text>
    </comment>
    <comment ref="F31" authorId="2" shapeId="0" xr:uid="{23E1AD84-E761-4479-83C2-BDBEF2115E5C}">
      <text>
        <r>
          <rPr>
            <b/>
            <sz val="9"/>
            <color rgb="FF000000"/>
            <rFont val="Tahoma"/>
            <family val="2"/>
          </rPr>
          <t xml:space="preserve">This factor is a scale factor on empty weight due to technology improvements.
</t>
        </r>
        <r>
          <rPr>
            <b/>
            <sz val="9"/>
            <color rgb="FF000000"/>
            <rFont val="Tahoma"/>
            <family val="2"/>
          </rPr>
          <t xml:space="preserve">
</t>
        </r>
        <r>
          <rPr>
            <b/>
            <sz val="9"/>
            <color rgb="FF000000"/>
            <rFont val="Tahoma"/>
            <family val="2"/>
          </rPr>
          <t xml:space="preserve">Options
</t>
        </r>
        <r>
          <rPr>
            <sz val="9"/>
            <color rgb="FF000000"/>
            <rFont val="Tahoma"/>
            <family val="2"/>
          </rPr>
          <t xml:space="preserve">-Research on internet for a particular material / component/ propulsive improvement relative to the baseline, i.e. 1980's Technology
</t>
        </r>
        <r>
          <rPr>
            <sz val="9"/>
            <color rgb="FF000000"/>
            <rFont val="Tahoma"/>
            <family val="2"/>
          </rPr>
          <t xml:space="preserve">-Use chapter 10 results to defend choice.
</t>
        </r>
        <r>
          <rPr>
            <sz val="9"/>
            <color rgb="FF000000"/>
            <rFont val="Tahoma"/>
            <family val="2"/>
          </rPr>
          <t xml:space="preserve">-Guidance
</t>
        </r>
        <r>
          <rPr>
            <sz val="9"/>
            <color rgb="FF000000"/>
            <rFont val="Tahoma"/>
            <family val="2"/>
          </rPr>
          <t xml:space="preserve">     Modest improvements ... 0.950&lt;Ftech&lt;0.975
</t>
        </r>
        <r>
          <rPr>
            <sz val="9"/>
            <color rgb="FF000000"/>
            <rFont val="Tahoma"/>
            <family val="2"/>
          </rPr>
          <t xml:space="preserve">     Substantial improvements ... 0.90&lt;Ftech&lt;0.95
</t>
        </r>
        <r>
          <rPr>
            <sz val="9"/>
            <color rgb="FF000000"/>
            <rFont val="Tahoma"/>
            <family val="2"/>
          </rPr>
          <t xml:space="preserve">     Game-changing breakthrough ...  0.75&lt;Ftech&lt;0.90  (Very expensive)</t>
        </r>
        <r>
          <rPr>
            <b/>
            <sz val="9"/>
            <color rgb="FF000000"/>
            <rFont val="Tahoma"/>
            <family val="2"/>
          </rPr>
          <t xml:space="preserve">
</t>
        </r>
        <r>
          <rPr>
            <b/>
            <sz val="9"/>
            <color rgb="FF000000"/>
            <rFont val="Tahoma"/>
            <family val="2"/>
          </rPr>
          <t xml:space="preserve">
</t>
        </r>
        <r>
          <rPr>
            <b/>
            <sz val="9"/>
            <color rgb="FF000000"/>
            <rFont val="Tahoma"/>
            <family val="2"/>
          </rPr>
          <t>Tip:  Add the technolgy factor, Ftech, to the solver parameters to vary.  Also, add a constraint that cell F35 = cell F32, F33 or F34 depending on which design class is appropriate.  Solver will find the required Ftech (if a solution is possible) to close on We/Wo.</t>
        </r>
        <r>
          <rPr>
            <sz val="9"/>
            <color rgb="FF000000"/>
            <rFont val="Tahoma"/>
            <family val="2"/>
          </rPr>
          <t xml:space="preserve">
</t>
        </r>
      </text>
    </comment>
    <comment ref="P44" authorId="2" shapeId="0" xr:uid="{00000000-0006-0000-0400-00000B000000}">
      <text>
        <r>
          <rPr>
            <b/>
            <sz val="9"/>
            <color rgb="FF000000"/>
            <rFont val="Tahoma"/>
            <family val="2"/>
          </rPr>
          <t>Wo,guess = Estimated value of the gross weight</t>
        </r>
        <r>
          <rPr>
            <sz val="9"/>
            <color rgb="FF000000"/>
            <rFont val="Tahoma"/>
            <family val="2"/>
          </rPr>
          <t xml:space="preserve">
</t>
        </r>
        <r>
          <rPr>
            <sz val="9"/>
            <color rgb="FF000000"/>
            <rFont val="Tahoma"/>
            <family val="2"/>
          </rPr>
          <t>This value should be varied using Goal Seek to ensure convergence, i.e. ERROR=Wo,calc-W,guess = 0.0</t>
        </r>
      </text>
    </comment>
    <comment ref="R44" authorId="2" shapeId="0" xr:uid="{1312970F-6798-4FA4-92AF-8013E8379F42}">
      <text>
        <r>
          <rPr>
            <b/>
            <sz val="14"/>
            <color rgb="FF000000"/>
            <rFont val="Tahoma"/>
            <family val="2"/>
          </rPr>
          <t xml:space="preserve">Takeoff Fuel Fraction, Wf/Wi
</t>
        </r>
        <r>
          <rPr>
            <b/>
            <sz val="12"/>
            <color rgb="FF000000"/>
            <rFont val="Tahoma"/>
            <family val="2"/>
          </rPr>
          <t>Reference: Corke Equ. 2.5, page 24</t>
        </r>
        <r>
          <rPr>
            <sz val="9"/>
            <color rgb="FF000000"/>
            <rFont val="Tahoma"/>
            <family val="2"/>
          </rPr>
          <t xml:space="preserve">
</t>
        </r>
        <r>
          <rPr>
            <sz val="9"/>
            <color rgb="FF000000"/>
            <rFont val="Tahoma"/>
            <family val="2"/>
          </rPr>
          <t xml:space="preserve">
</t>
        </r>
        <r>
          <rPr>
            <sz val="12"/>
            <color rgb="FF000000"/>
            <rFont val="Tahoma"/>
            <family val="2"/>
          </rPr>
          <t xml:space="preserve">0.97&lt;Wf/Wi&lt;0.975
</t>
        </r>
        <r>
          <rPr>
            <sz val="12"/>
            <color rgb="FF000000"/>
            <rFont val="Tahoma"/>
            <family val="2"/>
          </rPr>
          <t xml:space="preserve">
</t>
        </r>
        <r>
          <rPr>
            <sz val="12"/>
            <color rgb="FF000000"/>
            <rFont val="Tahoma"/>
            <family val="2"/>
          </rPr>
          <t>For Hybrid Electric and All Electric propulsion systems, the takeoff and landing fuel fraction, when the batteries are turned ON, should be less than when the battery is turned OFF.  How much less depends on the engine power fraction factor assumed (Chapter 3).</t>
        </r>
        <r>
          <rPr>
            <sz val="9"/>
            <color rgb="FF000000"/>
            <rFont val="Tahoma"/>
            <family val="2"/>
          </rPr>
          <t xml:space="preserve">
</t>
        </r>
        <r>
          <rPr>
            <sz val="9"/>
            <color rgb="FF000000"/>
            <rFont val="Tahoma"/>
            <family val="2"/>
          </rPr>
          <t xml:space="preserve">
</t>
        </r>
      </text>
    </comment>
    <comment ref="M57" authorId="2" shapeId="0" xr:uid="{00000000-0006-0000-0400-00000D000000}">
      <text>
        <r>
          <rPr>
            <b/>
            <sz val="11"/>
            <color rgb="FF000000"/>
            <rFont val="Tahoma"/>
            <family val="2"/>
          </rPr>
          <t>Engine ct=TSFC (lbm/hr/lbf) for combat or maneuvers</t>
        </r>
        <r>
          <rPr>
            <sz val="11"/>
            <color rgb="FF000000"/>
            <rFont val="Tahoma"/>
            <family val="2"/>
          </rPr>
          <t xml:space="preserve">
</t>
        </r>
        <r>
          <rPr>
            <sz val="11"/>
            <color rgb="FF000000"/>
            <rFont val="Tahoma"/>
            <family val="2"/>
          </rPr>
          <t xml:space="preserve">
</t>
        </r>
        <r>
          <rPr>
            <sz val="11"/>
            <color rgb="FF000000"/>
            <rFont val="Tahoma"/>
            <family val="2"/>
          </rPr>
          <t xml:space="preserve">Imitally you can assume the ct value associated with SFC Flag=1, i.e. constant ct or cp at all flight conditions.  For unducted propulsors the cp value will need to be converted to ct.  The ratio of ct/cp at zero flight speed is referred to as the "static thrust conversion" factor.  A representative value in the conceptual design phase is ct/cp=2.5.  Later, use chapter 7 methods to get a better estimate.
</t>
        </r>
        <r>
          <rPr>
            <sz val="11"/>
            <color rgb="FF000000"/>
            <rFont val="Tahoma"/>
            <family val="2"/>
          </rPr>
          <t xml:space="preserve">
</t>
        </r>
        <r>
          <rPr>
            <sz val="11"/>
            <color rgb="FF000000"/>
            <rFont val="Tahoma"/>
            <family val="2"/>
          </rPr>
          <t xml:space="preserve">
</t>
        </r>
        <r>
          <rPr>
            <b/>
            <sz val="11"/>
            <color rgb="FF000000"/>
            <rFont val="Tahoma"/>
            <family val="2"/>
          </rPr>
          <t>For Ducted Propulsors with Afterburbers (or Reheat);</t>
        </r>
        <r>
          <rPr>
            <sz val="11"/>
            <color rgb="FF000000"/>
            <rFont val="Tahoma"/>
            <family val="2"/>
          </rPr>
          <t xml:space="preserve">
</t>
        </r>
        <r>
          <rPr>
            <sz val="11"/>
            <color rgb="FF000000"/>
            <rFont val="Tahoma"/>
            <family val="2"/>
          </rPr>
          <t>Engines with Afterburners will definitely be making use of the extra thrust during combat.  The combat TSFC can be 2 to 3 times higher than the "dry" value (a/b or reheat turned off) under the same consitions</t>
        </r>
        <r>
          <rPr>
            <sz val="9"/>
            <color rgb="FF000000"/>
            <rFont val="Tahoma"/>
            <family val="2"/>
          </rPr>
          <t xml:space="preserve">.
</t>
        </r>
      </text>
    </comment>
    <comment ref="S57" authorId="2" shapeId="0" xr:uid="{00000000-0006-0000-0400-00000E000000}">
      <text>
        <r>
          <rPr>
            <b/>
            <sz val="9"/>
            <color rgb="FF000000"/>
            <rFont val="Tahoma"/>
            <family val="2"/>
          </rPr>
          <t xml:space="preserve">Time at Combat
</t>
        </r>
        <r>
          <rPr>
            <sz val="9"/>
            <color rgb="FF000000"/>
            <rFont val="Tahoma"/>
            <family val="2"/>
          </rPr>
          <t xml:space="preserve">2 min &lt; t,combat &lt; 10 min is typical.  This time represents the "dog fight" time and it is assumed that the engines are at max power/thrust for the entire time.
</t>
        </r>
      </text>
    </comment>
    <comment ref="R75" authorId="2" shapeId="0" xr:uid="{E18704E4-0C12-4BAE-ACF4-ECD65EAC1417}">
      <text>
        <r>
          <rPr>
            <b/>
            <sz val="14"/>
            <color rgb="FF000000"/>
            <rFont val="Tahoma"/>
            <family val="2"/>
          </rPr>
          <t xml:space="preserve">LandingFuel Fraction, Wf/Wi
</t>
        </r>
        <r>
          <rPr>
            <b/>
            <sz val="12"/>
            <color rgb="FF000000"/>
            <rFont val="Tahoma"/>
            <family val="2"/>
          </rPr>
          <t>Reference: Corke Equ. 2.22, page 30</t>
        </r>
        <r>
          <rPr>
            <sz val="9"/>
            <color rgb="FF000000"/>
            <rFont val="Tahoma"/>
            <family val="2"/>
          </rPr>
          <t xml:space="preserve">
</t>
        </r>
        <r>
          <rPr>
            <sz val="9"/>
            <color rgb="FF000000"/>
            <rFont val="Tahoma"/>
            <family val="2"/>
          </rPr>
          <t xml:space="preserve">
</t>
        </r>
        <r>
          <rPr>
            <sz val="12"/>
            <color rgb="FF000000"/>
            <rFont val="Tahoma"/>
            <family val="2"/>
          </rPr>
          <t xml:space="preserve">0.97&lt;Wf/Wi&lt;0.975  (Note:  This is high for landing compared to most other texts, 0.99&lt;Wf/Wi&lt;0.995 is more typical)
</t>
        </r>
        <r>
          <rPr>
            <sz val="12"/>
            <color rgb="FF000000"/>
            <rFont val="Tahoma"/>
            <family val="2"/>
          </rPr>
          <t xml:space="preserve">
</t>
        </r>
        <r>
          <rPr>
            <sz val="12"/>
            <color rgb="FF000000"/>
            <rFont val="Tahoma"/>
            <family val="2"/>
          </rPr>
          <t>For Hybrid Electric and All Electric propulsion systems, the takeoff and landing fuel fraction, when the batteries are turned ON, should be less than when the battery is turned OFF.  How much less depends on the engine power fraction factor assumed (Chapter 3).</t>
        </r>
        <r>
          <rPr>
            <sz val="9"/>
            <color rgb="FF000000"/>
            <rFont val="Tahoma"/>
            <family val="2"/>
          </rPr>
          <t xml:space="preserve">
</t>
        </r>
        <r>
          <rPr>
            <sz val="9"/>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Borgiani Geiger Borgiani Geiger</author>
    <author>GE User</author>
    <author>Juliana Geiger</author>
  </authors>
  <commentList>
    <comment ref="E5" authorId="0" shapeId="0" xr:uid="{07FE7FD7-0403-40C1-A1AF-34F55BE2EE59}">
      <text>
        <r>
          <rPr>
            <b/>
            <sz val="14"/>
            <color rgb="FF000000"/>
            <rFont val="Tahoma"/>
            <family val="2"/>
          </rPr>
          <t xml:space="preserve">Design Requirement Values
</t>
        </r>
        <r>
          <rPr>
            <b/>
            <sz val="14"/>
            <color rgb="FF000000"/>
            <rFont val="Tahoma"/>
            <family val="2"/>
          </rPr>
          <t xml:space="preserve">
</t>
        </r>
        <r>
          <rPr>
            <b/>
            <sz val="14"/>
            <color rgb="FF000000"/>
            <rFont val="Tahoma"/>
            <family val="2"/>
          </rPr>
          <t xml:space="preserve">Values for the design requirements are either;
</t>
        </r>
        <r>
          <rPr>
            <b/>
            <sz val="14"/>
            <color rgb="FF000000"/>
            <rFont val="Tahoma"/>
            <family val="2"/>
          </rPr>
          <t xml:space="preserve">
</t>
        </r>
        <r>
          <rPr>
            <b/>
            <sz val="14"/>
            <color rgb="FF000000"/>
            <rFont val="Tahoma"/>
            <family val="2"/>
          </rPr>
          <t xml:space="preserve">... pulled from another worksheet (light green shaded cell) or;
</t>
        </r>
        <r>
          <rPr>
            <b/>
            <sz val="14"/>
            <color rgb="FF000000"/>
            <rFont val="Tahoma"/>
            <family val="2"/>
          </rPr>
          <t xml:space="preserve">
</t>
        </r>
        <r>
          <rPr>
            <b/>
            <sz val="14"/>
            <color rgb="FF000000"/>
            <rFont val="Tahoma"/>
            <family val="2"/>
          </rPr>
          <t xml:space="preserve">… gleaned from the threshold / objective values described on the aircraft-specific project description (blue shaded cells)
</t>
        </r>
        <r>
          <rPr>
            <b/>
            <sz val="14"/>
            <color rgb="FF000000"/>
            <rFont val="Tahoma"/>
            <family val="2"/>
          </rPr>
          <t xml:space="preserve">
</t>
        </r>
        <r>
          <rPr>
            <sz val="14"/>
            <color rgb="FF000000"/>
            <rFont val="Tahoma"/>
            <family val="2"/>
          </rPr>
          <t xml:space="preserve">
</t>
        </r>
        <r>
          <rPr>
            <sz val="14"/>
            <color rgb="FF000000"/>
            <rFont val="Tahoma"/>
            <family val="2"/>
          </rPr>
          <t>Note that the design requirements are designer's choice within the threshold-objective range given for each requirement.  Although it is theoretically possible to meet ALL objective design requirements, it is more likely that most designs will have a combination of some design requirements that meet objective level, some at threshold level and some in between.  The challenge is to find the right balance AND produce a competitve design relative to your competitor aircraft.</t>
        </r>
      </text>
    </comment>
    <comment ref="E6" authorId="1" shapeId="0" xr:uid="{00000000-0006-0000-0500-000002000000}">
      <text>
        <r>
          <rPr>
            <b/>
            <sz val="14"/>
            <color rgb="FF000000"/>
            <rFont val="Tahoma"/>
            <family val="2"/>
          </rPr>
          <t>Review Corke Table 3.3, page 44.</t>
        </r>
        <r>
          <rPr>
            <sz val="14"/>
            <color rgb="FF000000"/>
            <rFont val="Tahoma"/>
            <family val="2"/>
          </rPr>
          <t xml:space="preserve">
</t>
        </r>
        <r>
          <rPr>
            <sz val="14"/>
            <color rgb="FF000000"/>
            <rFont val="Tahoma"/>
            <family val="2"/>
          </rPr>
          <t xml:space="preserve">
</t>
        </r>
        <r>
          <rPr>
            <sz val="14"/>
            <color rgb="FF000000"/>
            <rFont val="Tahoma"/>
            <family val="2"/>
          </rPr>
          <t xml:space="preserve">Select the appropriate regulations for the design:
</t>
        </r>
        <r>
          <rPr>
            <sz val="14"/>
            <color rgb="FF000000"/>
            <rFont val="Tahoma"/>
            <family val="2"/>
          </rPr>
          <t xml:space="preserve">
</t>
        </r>
        <r>
          <rPr>
            <sz val="14"/>
            <color rgb="FF000000"/>
            <rFont val="Tahoma"/>
            <family val="2"/>
          </rPr>
          <t xml:space="preserve">1=MIL-C5011A (Military)
</t>
        </r>
        <r>
          <rPr>
            <sz val="14"/>
            <color rgb="FF000000"/>
            <rFont val="Tahoma"/>
            <family val="2"/>
          </rPr>
          <t xml:space="preserve">2=FAR Part 23 (Civil)
</t>
        </r>
        <r>
          <rPr>
            <sz val="14"/>
            <color rgb="FF000000"/>
            <rFont val="Tahoma"/>
            <family val="2"/>
          </rPr>
          <t>3=FAR Part 25 (Commercial)</t>
        </r>
      </text>
    </comment>
    <comment ref="O8" authorId="0" shapeId="0" xr:uid="{A8E5D4E0-C4FA-42E9-82EF-10B3DFF48406}">
      <text>
        <r>
          <rPr>
            <b/>
            <sz val="14"/>
            <color rgb="FF000000"/>
            <rFont val="Tahoma"/>
            <family val="2"/>
          </rPr>
          <t xml:space="preserve">AEO Service Ceiling
</t>
        </r>
        <r>
          <rPr>
            <b/>
            <sz val="14"/>
            <color rgb="FF000000"/>
            <rFont val="Tahoma"/>
            <family val="2"/>
          </rPr>
          <t xml:space="preserve">
</t>
        </r>
        <r>
          <rPr>
            <sz val="14"/>
            <color rgb="FF000000"/>
            <rFont val="Tahoma"/>
            <family val="2"/>
          </rPr>
          <t>This value is a design requirement with a threshold / objective value (see your aircraft specific project description document).  For most designs the AEO service ceiling is higher than the design cruise altitude.</t>
        </r>
        <r>
          <rPr>
            <sz val="9"/>
            <color rgb="FF000000"/>
            <rFont val="Tahoma"/>
            <family val="2"/>
          </rPr>
          <t xml:space="preserve">
</t>
        </r>
      </text>
    </comment>
    <comment ref="P8" authorId="0" shapeId="0" xr:uid="{6E2F1BED-326C-444A-B268-3D36D9ED3E46}">
      <text>
        <r>
          <rPr>
            <b/>
            <sz val="14"/>
            <color rgb="FF000000"/>
            <rFont val="Tahoma"/>
            <family val="2"/>
          </rPr>
          <t xml:space="preserve">OEI Service Ceiling
</t>
        </r>
        <r>
          <rPr>
            <b/>
            <sz val="14"/>
            <color rgb="FF000000"/>
            <rFont val="Tahoma"/>
            <family val="2"/>
          </rPr>
          <t xml:space="preserve">
</t>
        </r>
        <r>
          <rPr>
            <sz val="14"/>
            <color rgb="FF000000"/>
            <rFont val="Tahoma"/>
            <family val="2"/>
          </rPr>
          <t>This value is a design requirement with a threshold / objective value (see your aircraft specific project description document).  For most designs the OEI service ceiling is ~1/2 of the AEO service ceiling.</t>
        </r>
        <r>
          <rPr>
            <sz val="9"/>
            <color rgb="FF000000"/>
            <rFont val="Tahoma"/>
            <family val="2"/>
          </rPr>
          <t xml:space="preserve">
</t>
        </r>
        <r>
          <rPr>
            <sz val="9"/>
            <color rgb="FF000000"/>
            <rFont val="Tahoma"/>
            <family val="2"/>
          </rPr>
          <t xml:space="preserve">
</t>
        </r>
        <r>
          <rPr>
            <sz val="14"/>
            <color rgb="FF000000"/>
            <rFont val="Tahoma"/>
            <family val="2"/>
          </rPr>
          <t>Note:  This particular design requirement only applies for multi-engine designs, i.e. single engine designs do not have an OEI Service ceiling design requirement.</t>
        </r>
      </text>
    </comment>
    <comment ref="O9" authorId="0" shapeId="0" xr:uid="{CE9BE6CB-7520-407C-B9A3-01D71D395AF1}">
      <text>
        <r>
          <rPr>
            <b/>
            <sz val="14"/>
            <color rgb="FF000000"/>
            <rFont val="Tahoma"/>
            <family val="2"/>
          </rPr>
          <t>Mach Number for AEO Service Ceiling</t>
        </r>
        <r>
          <rPr>
            <sz val="9"/>
            <color rgb="FF000000"/>
            <rFont val="Tahoma"/>
            <family val="2"/>
          </rPr>
          <t xml:space="preserve">
</t>
        </r>
        <r>
          <rPr>
            <sz val="9"/>
            <color rgb="FF000000"/>
            <rFont val="Tahoma"/>
            <family val="2"/>
          </rPr>
          <t xml:space="preserve">
</t>
        </r>
        <r>
          <rPr>
            <sz val="14"/>
            <color rgb="FF000000"/>
            <rFont val="Tahoma"/>
            <family val="2"/>
          </rPr>
          <t>Check your aircraft specific project description.  This Mach number has some constraints that require the designer to vary the Mach number to find the best solution.</t>
        </r>
      </text>
    </comment>
    <comment ref="P9" authorId="0" shapeId="0" xr:uid="{AF9CDEE1-540E-4C5A-A4BF-41471BD2722F}">
      <text>
        <r>
          <rPr>
            <b/>
            <sz val="14"/>
            <color rgb="FF000000"/>
            <rFont val="Tahoma"/>
            <family val="2"/>
          </rPr>
          <t xml:space="preserve">Mach Number for OEI Service Ceiling
</t>
        </r>
        <r>
          <rPr>
            <b/>
            <sz val="14"/>
            <color rgb="FF000000"/>
            <rFont val="Tahoma"/>
            <family val="2"/>
          </rPr>
          <t xml:space="preserve">
</t>
        </r>
        <r>
          <rPr>
            <sz val="14"/>
            <color rgb="FF000000"/>
            <rFont val="Tahoma"/>
            <family val="2"/>
          </rPr>
          <t>Check your aircraft specific project description.  This Mach number has some constraints that require the designer to vary the Mach number to find the best solution.</t>
        </r>
        <r>
          <rPr>
            <sz val="9"/>
            <color rgb="FF000000"/>
            <rFont val="Tahoma"/>
            <family val="2"/>
          </rPr>
          <t xml:space="preserve">
</t>
        </r>
      </text>
    </comment>
    <comment ref="G10" authorId="0" shapeId="0" xr:uid="{65C211F3-1D4E-4E09-99DA-DFC81F47F19F}">
      <text>
        <r>
          <rPr>
            <b/>
            <sz val="14"/>
            <color rgb="FF000000"/>
            <rFont val="Tahoma"/>
            <family val="2"/>
          </rPr>
          <t xml:space="preserve">Delta Ambient Temperature
</t>
        </r>
        <r>
          <rPr>
            <b/>
            <sz val="14"/>
            <color rgb="FF000000"/>
            <rFont val="Tahoma"/>
            <family val="2"/>
          </rPr>
          <t xml:space="preserve">
</t>
        </r>
        <r>
          <rPr>
            <sz val="14"/>
            <color rgb="FF000000"/>
            <rFont val="Tahoma"/>
            <family val="2"/>
          </rPr>
          <t>Check your aircraft specific project description.  The delta ambient temperature values are specified for each individual design requirement.</t>
        </r>
      </text>
    </comment>
    <comment ref="G11" authorId="1" shapeId="0" xr:uid="{00000000-0006-0000-0500-000007000000}">
      <text>
        <r>
          <rPr>
            <b/>
            <sz val="14"/>
            <color rgb="FF000000"/>
            <rFont val="Tahoma"/>
            <family val="2"/>
          </rPr>
          <t xml:space="preserve">Options
</t>
        </r>
        <r>
          <rPr>
            <sz val="14"/>
            <color rgb="FF000000"/>
            <rFont val="Tahoma"/>
            <family val="2"/>
          </rPr>
          <t xml:space="preserve">1) Use Corke Table 3.2, page 41, for guidance
</t>
        </r>
        <r>
          <rPr>
            <sz val="14"/>
            <color rgb="FF000000"/>
            <rFont val="Tahoma"/>
            <family val="2"/>
          </rPr>
          <t xml:space="preserve">2) Treat CL,max as a parameter, i.e. vary and see effect on Wo/S and To/Wo selection
</t>
        </r>
        <r>
          <rPr>
            <sz val="14"/>
            <color rgb="FF000000"/>
            <rFont val="Tahoma"/>
            <family val="2"/>
          </rPr>
          <t>3) Use CL,max per Chapter 9 analysis</t>
        </r>
        <r>
          <rPr>
            <sz val="9"/>
            <color rgb="FF000000"/>
            <rFont val="Tahoma"/>
            <family val="2"/>
          </rPr>
          <t xml:space="preserve">
</t>
        </r>
      </text>
    </comment>
    <comment ref="R11" authorId="0" shapeId="0" xr:uid="{0313C70F-7708-4A00-82A3-A118972E0FBA}">
      <text>
        <r>
          <rPr>
            <b/>
            <sz val="14"/>
            <color rgb="FF000000"/>
            <rFont val="Tahoma"/>
            <family val="2"/>
          </rPr>
          <t xml:space="preserve">CL,max for Turning Flight
</t>
        </r>
        <r>
          <rPr>
            <b/>
            <sz val="14"/>
            <color rgb="FF000000"/>
            <rFont val="Tahoma"/>
            <family val="2"/>
          </rPr>
          <t xml:space="preserve">
</t>
        </r>
        <r>
          <rPr>
            <sz val="12"/>
            <color rgb="FF000000"/>
            <rFont val="Tahoma"/>
            <family val="2"/>
          </rPr>
          <t xml:space="preserve">This input should be the Cl,max value AT ZERO FLAP DEFLECTION!
</t>
        </r>
        <r>
          <rPr>
            <sz val="12"/>
            <color rgb="FF000000"/>
            <rFont val="Tahoma"/>
            <family val="2"/>
          </rPr>
          <t xml:space="preserve">
</t>
        </r>
        <r>
          <rPr>
            <sz val="12"/>
            <color rgb="FF000000"/>
            <rFont val="Tahoma"/>
            <family val="2"/>
          </rPr>
          <t>Use CL,max=1.0 to start.  After Chapter 9 is completed, then a better estimate can be calculated, but remember to calculate CL.max with chapter 9 worksheet AT ZERO FLAP DFELCTION.</t>
        </r>
        <r>
          <rPr>
            <sz val="9"/>
            <color rgb="FF000000"/>
            <rFont val="Tahoma"/>
            <family val="2"/>
          </rPr>
          <t xml:space="preserve">
</t>
        </r>
      </text>
    </comment>
    <comment ref="G12" authorId="1" shapeId="0" xr:uid="{00000000-0006-0000-0500-000008000000}">
      <text>
        <r>
          <rPr>
            <b/>
            <sz val="9"/>
            <color rgb="FF000000"/>
            <rFont val="Tahoma"/>
            <family val="2"/>
          </rPr>
          <t xml:space="preserve">Options
</t>
        </r>
        <r>
          <rPr>
            <sz val="9"/>
            <color rgb="FF000000"/>
            <rFont val="Tahoma"/>
            <family val="2"/>
          </rPr>
          <t xml:space="preserve">1) Use Corke Table 1.1, page 6, for guidance
</t>
        </r>
        <r>
          <rPr>
            <sz val="9"/>
            <color rgb="FF000000"/>
            <rFont val="Tahoma"/>
            <family val="2"/>
          </rPr>
          <t xml:space="preserve">2) Treat A as a parameter.  Vary A and create plot of Wo vs. A
</t>
        </r>
        <r>
          <rPr>
            <sz val="9"/>
            <color rgb="FF000000"/>
            <rFont val="Tahoma"/>
            <family val="2"/>
          </rPr>
          <t xml:space="preserve">3) Use design A per Chapter 4 analysis
</t>
        </r>
      </text>
    </comment>
    <comment ref="G13" authorId="1" shapeId="0" xr:uid="{00000000-0006-0000-0500-000009000000}">
      <text>
        <r>
          <rPr>
            <b/>
            <sz val="9"/>
            <color rgb="FF000000"/>
            <rFont val="Tahoma"/>
            <family val="2"/>
          </rPr>
          <t xml:space="preserve">Options
</t>
        </r>
        <r>
          <rPr>
            <sz val="9"/>
            <color rgb="FF000000"/>
            <rFont val="Tahoma"/>
            <family val="2"/>
          </rPr>
          <t xml:space="preserve">1) Use Corke Equation 2.10, page 26, for guidance
</t>
        </r>
        <r>
          <rPr>
            <sz val="9"/>
            <color rgb="FF000000"/>
            <rFont val="Tahoma"/>
            <family val="2"/>
          </rPr>
          <t xml:space="preserve">2) Treat e as a parameter.  Vary e and see the effect on Wo/S and To/Wo selection.
</t>
        </r>
        <r>
          <rPr>
            <sz val="9"/>
            <color rgb="FF000000"/>
            <rFont val="Tahoma"/>
            <family val="2"/>
          </rPr>
          <t xml:space="preserve">3) Use Corke Equations 4.17 and 4.18 (page 74) AFTER fuselage diamter is determined. 
</t>
        </r>
      </text>
    </comment>
    <comment ref="Q13" authorId="1" shapeId="0" xr:uid="{00000000-0006-0000-0500-00000A000000}">
      <text>
        <r>
          <rPr>
            <b/>
            <sz val="9"/>
            <color rgb="FF000000"/>
            <rFont val="Tahoma"/>
            <family val="2"/>
          </rPr>
          <t xml:space="preserve">Options
</t>
        </r>
        <r>
          <rPr>
            <sz val="9"/>
            <color rgb="FF000000"/>
            <rFont val="Tahoma"/>
            <family val="2"/>
          </rPr>
          <t xml:space="preserve">-Corke Equ. 2.10, page 26
</t>
        </r>
        <r>
          <rPr>
            <sz val="9"/>
            <color rgb="FF000000"/>
            <rFont val="Tahoma"/>
            <family val="2"/>
          </rPr>
          <t xml:space="preserve">-Corke Equ's. 4.17 and 4.18, page 74
</t>
        </r>
        <r>
          <rPr>
            <sz val="9"/>
            <color rgb="FF000000"/>
            <rFont val="Tahoma"/>
            <family val="2"/>
          </rPr>
          <t xml:space="preserve">-More advanced methods
</t>
        </r>
        <r>
          <rPr>
            <sz val="9"/>
            <color rgb="FF000000"/>
            <rFont val="Tahoma"/>
            <family val="2"/>
          </rPr>
          <t xml:space="preserve">   -Straight wings:  Prantl Lifting Line Theory
</t>
        </r>
        <r>
          <rPr>
            <sz val="9"/>
            <color rgb="FF000000"/>
            <rFont val="Tahoma"/>
            <family val="2"/>
          </rPr>
          <t xml:space="preserve">   -Swept wings:  Vortex Latticr Methods (VLM)
</t>
        </r>
      </text>
    </comment>
    <comment ref="G14" authorId="1" shapeId="0" xr:uid="{00000000-0006-0000-0500-00000B000000}">
      <text>
        <r>
          <rPr>
            <b/>
            <sz val="9"/>
            <color rgb="FF000000"/>
            <rFont val="Tahoma"/>
            <family val="2"/>
          </rPr>
          <t xml:space="preserve">Options
</t>
        </r>
        <r>
          <rPr>
            <sz val="9"/>
            <color rgb="FF000000"/>
            <rFont val="Tahoma"/>
            <family val="2"/>
          </rPr>
          <t xml:space="preserve">1) Use Corke Equation 2.11, page 26, for guidance
</t>
        </r>
        <r>
          <rPr>
            <sz val="9"/>
            <color rgb="FF000000"/>
            <rFont val="Tahoma"/>
            <family val="2"/>
          </rPr>
          <t xml:space="preserve">2) Treat Cdo as a parameter.  Vary Cdo and see the effect on Wo/S and To/Wo selection.
</t>
        </r>
        <r>
          <rPr>
            <sz val="9"/>
            <color rgb="FF000000"/>
            <rFont val="Tahoma"/>
            <family val="2"/>
          </rPr>
          <t xml:space="preserve">3) Use Cdo AFTER Chapters 4-6 have been completed.
</t>
        </r>
      </text>
    </comment>
    <comment ref="Q14" authorId="2" shapeId="0" xr:uid="{00000000-0006-0000-0500-00000C000000}">
      <text>
        <r>
          <rPr>
            <b/>
            <sz val="11"/>
            <color rgb="FF000000"/>
            <rFont val="Tahoma"/>
            <family val="2"/>
          </rPr>
          <t xml:space="preserve">Options
</t>
        </r>
        <r>
          <rPr>
            <sz val="11"/>
            <color rgb="FF000000"/>
            <rFont val="Tahoma"/>
            <family val="2"/>
          </rPr>
          <t>-Corke Equ. 2.11, page 26
-Corke Chapter's 4-6 yields a Cdo=f(h, M, DTamb)</t>
        </r>
        <r>
          <rPr>
            <sz val="9"/>
            <color rgb="FF000000"/>
            <rFont val="Tahoma"/>
            <family val="2"/>
          </rPr>
          <t xml:space="preserve">
</t>
        </r>
      </text>
    </comment>
    <comment ref="E15" authorId="1" shapeId="0" xr:uid="{00000000-0006-0000-0500-000005000000}">
      <text>
        <r>
          <rPr>
            <b/>
            <sz val="14"/>
            <color rgb="FF000000"/>
            <rFont val="Tahoma"/>
            <family val="2"/>
          </rPr>
          <t xml:space="preserve">Design Gross Weight, Wo
</t>
        </r>
        <r>
          <rPr>
            <b/>
            <sz val="14"/>
            <color rgb="FF000000"/>
            <rFont val="Tahoma"/>
            <family val="2"/>
          </rPr>
          <t xml:space="preserve">
</t>
        </r>
        <r>
          <rPr>
            <b/>
            <sz val="14"/>
            <color rgb="FF000000"/>
            <rFont val="Tahoma"/>
            <family val="2"/>
          </rPr>
          <t xml:space="preserve">This input only used to calculate Design values for;
</t>
        </r>
        <r>
          <rPr>
            <b/>
            <sz val="14"/>
            <color rgb="FF000000"/>
            <rFont val="Tahoma"/>
            <family val="2"/>
          </rPr>
          <t xml:space="preserve"> -Reference Wing Area, S
</t>
        </r>
        <r>
          <rPr>
            <b/>
            <sz val="14"/>
            <color rgb="FF000000"/>
            <rFont val="Tahoma"/>
            <family val="2"/>
          </rPr>
          <t xml:space="preserve"> -Engine SLS Max Thrust, To  OR  SLS Max Power, Po
</t>
        </r>
        <r>
          <rPr>
            <b/>
            <sz val="14"/>
            <color rgb="FF000000"/>
            <rFont val="Tahoma"/>
            <family val="2"/>
          </rPr>
          <t xml:space="preserve">
</t>
        </r>
        <r>
          <rPr>
            <b/>
            <sz val="14"/>
            <color rgb="FF000000"/>
            <rFont val="Tahoma"/>
            <family val="2"/>
          </rPr>
          <t>Make sure this input agrees with Chapter 2 final result.</t>
        </r>
        <r>
          <rPr>
            <sz val="9"/>
            <color rgb="FF000000"/>
            <rFont val="Tahoma"/>
            <family val="2"/>
          </rPr>
          <t xml:space="preserve">
</t>
        </r>
      </text>
    </comment>
    <comment ref="G15" authorId="1" shapeId="0" xr:uid="{00000000-0006-0000-0500-00000D000000}">
      <text>
        <r>
          <rPr>
            <b/>
            <sz val="9"/>
            <color rgb="FF000000"/>
            <rFont val="Tahoma"/>
            <family val="2"/>
          </rPr>
          <t xml:space="preserve">Options
</t>
        </r>
        <r>
          <rPr>
            <sz val="9"/>
            <color rgb="FF000000"/>
            <rFont val="Tahoma"/>
            <family val="2"/>
          </rPr>
          <t xml:space="preserve">1) Use </t>
        </r>
        <r>
          <rPr>
            <sz val="9"/>
            <color rgb="FF000000"/>
            <rFont val="Symbol"/>
            <family val="1"/>
            <charset val="2"/>
          </rPr>
          <t>D</t>
        </r>
        <r>
          <rPr>
            <sz val="9"/>
            <color rgb="FF000000"/>
            <rFont val="Tahoma"/>
            <family val="2"/>
          </rPr>
          <t xml:space="preserve">Cdo,gear=0.02 as a representative value.
</t>
        </r>
        <r>
          <rPr>
            <sz val="9"/>
            <color rgb="FF000000"/>
            <rFont val="Tahoma"/>
            <family val="2"/>
          </rPr>
          <t xml:space="preserve">2) Treat </t>
        </r>
        <r>
          <rPr>
            <sz val="9"/>
            <color rgb="FF000000"/>
            <rFont val="Symbol"/>
            <family val="1"/>
            <charset val="2"/>
          </rPr>
          <t>D</t>
        </r>
        <r>
          <rPr>
            <sz val="9"/>
            <color rgb="FF000000"/>
            <rFont val="Tahoma"/>
            <family val="2"/>
          </rPr>
          <t xml:space="preserve">Cdo,gear as a parameter.  Vary </t>
        </r>
        <r>
          <rPr>
            <sz val="9"/>
            <color rgb="FF000000"/>
            <rFont val="Symbol"/>
            <family val="1"/>
            <charset val="2"/>
          </rPr>
          <t>D</t>
        </r>
        <r>
          <rPr>
            <sz val="9"/>
            <color rgb="FF000000"/>
            <rFont val="Tahoma"/>
            <family val="2"/>
          </rPr>
          <t xml:space="preserve">Cdo,gear and see the effect on Wo/S and To/Wo selection.
</t>
        </r>
        <r>
          <rPr>
            <sz val="9"/>
            <color rgb="FF000000"/>
            <rFont val="Tahoma"/>
            <family val="2"/>
          </rPr>
          <t xml:space="preserve">3) Use Corke Equations 8.8 and 8.9, page 164
</t>
        </r>
      </text>
    </comment>
    <comment ref="AT15" authorId="2" shapeId="0" xr:uid="{00000000-0006-0000-0500-000004000000}">
      <text>
        <r>
          <rPr>
            <b/>
            <sz val="9"/>
            <color rgb="FF000000"/>
            <rFont val="Tahoma"/>
            <family val="2"/>
          </rPr>
          <t>Options</t>
        </r>
        <r>
          <rPr>
            <sz val="9"/>
            <color rgb="FF000000"/>
            <rFont val="Tahoma"/>
            <family val="2"/>
          </rPr>
          <t xml:space="preserve">
</t>
        </r>
        <r>
          <rPr>
            <sz val="9"/>
            <color rgb="FF000000"/>
            <rFont val="Tahoma"/>
            <family val="2"/>
          </rPr>
          <t xml:space="preserve">1) Use Corke Table 3.1, page 39, for guidance
</t>
        </r>
        <r>
          <rPr>
            <sz val="9"/>
            <color rgb="FF000000"/>
            <rFont val="Tahoma"/>
            <family val="2"/>
          </rPr>
          <t xml:space="preserve">2) Treat Wo/S as a parameter.  Vary Wo/S and create plot of Wo vs. Wo/S
</t>
        </r>
        <r>
          <rPr>
            <sz val="9"/>
            <color rgb="FF000000"/>
            <rFont val="Tahoma"/>
            <family val="2"/>
          </rPr>
          <t>3) Use design Wo/S per Chapter 3 analysis</t>
        </r>
      </text>
    </comment>
    <comment ref="E16" authorId="1" shapeId="0" xr:uid="{00000000-0006-0000-0500-000006000000}">
      <text>
        <r>
          <rPr>
            <b/>
            <sz val="14"/>
            <color rgb="FF000000"/>
            <rFont val="Tahoma"/>
            <family val="2"/>
          </rPr>
          <t>This value controls the height of the vertical limit lines on the matching chart (constrsaint diagram) in terms of the max Y-Value.  Applied to all plots.</t>
        </r>
        <r>
          <rPr>
            <sz val="9"/>
            <color rgb="FF000000"/>
            <rFont val="Tahoma"/>
            <family val="2"/>
          </rPr>
          <t xml:space="preserve">
</t>
        </r>
      </text>
    </comment>
    <comment ref="G16" authorId="1" shapeId="0" xr:uid="{00000000-0006-0000-0500-00000E000000}">
      <text>
        <r>
          <rPr>
            <b/>
            <sz val="9"/>
            <color rgb="FF000000"/>
            <rFont val="Tahoma"/>
            <family val="2"/>
          </rPr>
          <t xml:space="preserve">Options
</t>
        </r>
        <r>
          <rPr>
            <sz val="9"/>
            <color rgb="FF000000"/>
            <rFont val="Tahoma"/>
            <family val="2"/>
          </rPr>
          <t xml:space="preserve">1) Use </t>
        </r>
        <r>
          <rPr>
            <sz val="9"/>
            <color rgb="FF000000"/>
            <rFont val="Symbol"/>
            <family val="1"/>
            <charset val="2"/>
          </rPr>
          <t>D</t>
        </r>
        <r>
          <rPr>
            <sz val="9"/>
            <color rgb="FF000000"/>
            <rFont val="Tahoma"/>
            <family val="2"/>
          </rPr>
          <t xml:space="preserve">Cdo,flaps=0.02 as a representative value.
</t>
        </r>
        <r>
          <rPr>
            <sz val="9"/>
            <color rgb="FF000000"/>
            <rFont val="Tahoma"/>
            <family val="2"/>
          </rPr>
          <t xml:space="preserve">2) Treat </t>
        </r>
        <r>
          <rPr>
            <sz val="9"/>
            <color rgb="FF000000"/>
            <rFont val="Symbol"/>
            <family val="1"/>
            <charset val="2"/>
          </rPr>
          <t>D</t>
        </r>
        <r>
          <rPr>
            <sz val="9"/>
            <color rgb="FF000000"/>
            <rFont val="Tahoma"/>
            <family val="2"/>
          </rPr>
          <t xml:space="preserve">Cdo,flaps as a parameter.  Vary </t>
        </r>
        <r>
          <rPr>
            <sz val="9"/>
            <color rgb="FF000000"/>
            <rFont val="Symbol"/>
            <family val="1"/>
            <charset val="2"/>
          </rPr>
          <t>D</t>
        </r>
        <r>
          <rPr>
            <sz val="9"/>
            <color rgb="FF000000"/>
            <rFont val="Tahoma"/>
            <family val="2"/>
          </rPr>
          <t xml:space="preserve">Cdo,flaps and see the effect on Wo/S and To/Wo selection.
</t>
        </r>
        <r>
          <rPr>
            <sz val="9"/>
            <color rgb="FF000000"/>
            <rFont val="Tahoma"/>
            <family val="2"/>
          </rPr>
          <t xml:space="preserve">3) Use Corke Table 8.3 , page 164
</t>
        </r>
        <r>
          <rPr>
            <sz val="9"/>
            <color rgb="FF000000"/>
            <rFont val="Tahoma"/>
            <family val="2"/>
          </rPr>
          <t>4) Use Corke Equation 9.15, page 193</t>
        </r>
      </text>
    </comment>
    <comment ref="G17" authorId="1" shapeId="0" xr:uid="{00000000-0006-0000-0500-00000F000000}">
      <text>
        <r>
          <rPr>
            <b/>
            <sz val="9"/>
            <color indexed="81"/>
            <rFont val="Tahoma"/>
            <family val="2"/>
          </rPr>
          <t xml:space="preserve">Options
</t>
        </r>
        <r>
          <rPr>
            <sz val="9"/>
            <color indexed="81"/>
            <rFont val="Tahoma"/>
            <family val="2"/>
          </rPr>
          <t xml:space="preserve">1) Use </t>
        </r>
        <r>
          <rPr>
            <sz val="9"/>
            <color indexed="81"/>
            <rFont val="Symbol"/>
            <family val="1"/>
            <charset val="2"/>
          </rPr>
          <t>h</t>
        </r>
        <r>
          <rPr>
            <sz val="9"/>
            <color indexed="81"/>
            <rFont val="Tahoma"/>
            <family val="2"/>
          </rPr>
          <t xml:space="preserve">prop=0.80 as a representative value.
2) Treat </t>
        </r>
        <r>
          <rPr>
            <sz val="9"/>
            <color indexed="81"/>
            <rFont val="Symbol"/>
            <family val="1"/>
            <charset val="2"/>
          </rPr>
          <t>h</t>
        </r>
        <r>
          <rPr>
            <sz val="9"/>
            <color indexed="81"/>
            <rFont val="Tahoma"/>
            <family val="2"/>
          </rPr>
          <t xml:space="preserve">prop as a parameter.  Vary </t>
        </r>
        <r>
          <rPr>
            <sz val="9"/>
            <color indexed="81"/>
            <rFont val="Symbol"/>
            <family val="1"/>
            <charset val="2"/>
          </rPr>
          <t>h</t>
        </r>
        <r>
          <rPr>
            <sz val="9"/>
            <color indexed="81"/>
            <rFont val="Tahoma"/>
            <family val="2"/>
          </rPr>
          <t>prop and see the effect on Wo/S and To/Wo selection.
3) Use Corke Chapter 7 analysis</t>
        </r>
      </text>
    </comment>
    <comment ref="G18" authorId="1" shapeId="0" xr:uid="{00000000-0006-0000-0500-000010000000}">
      <text>
        <r>
          <rPr>
            <b/>
            <sz val="9"/>
            <color rgb="FF000000"/>
            <rFont val="Tahoma"/>
            <family val="2"/>
          </rPr>
          <t>Options</t>
        </r>
        <r>
          <rPr>
            <sz val="9"/>
            <color rgb="FF000000"/>
            <rFont val="Tahoma"/>
            <family val="2"/>
          </rPr>
          <t xml:space="preserve">
</t>
        </r>
        <r>
          <rPr>
            <sz val="9"/>
            <color rgb="FF000000"/>
            <rFont val="Tahoma"/>
            <family val="2"/>
          </rPr>
          <t xml:space="preserve">1) Use 1.0 for all requirements.  This is the most conservative assumption.
</t>
        </r>
        <r>
          <rPr>
            <sz val="9"/>
            <color rgb="FF000000"/>
            <rFont val="Tahoma"/>
            <family val="2"/>
          </rPr>
          <t xml:space="preserve">2) Use Chapter 2 results to calculate weight lapse
</t>
        </r>
        <r>
          <rPr>
            <sz val="9"/>
            <color rgb="FF000000"/>
            <rFont val="Tahoma"/>
            <family val="2"/>
          </rPr>
          <t xml:space="preserve">
</t>
        </r>
      </text>
    </comment>
    <comment ref="J21" authorId="2" shapeId="0" xr:uid="{00000000-0006-0000-0500-000001000000}">
      <text>
        <r>
          <rPr>
            <b/>
            <sz val="11"/>
            <color indexed="81"/>
            <rFont val="Tahoma"/>
            <family val="2"/>
          </rPr>
          <t>Engine Type Flag</t>
        </r>
        <r>
          <rPr>
            <b/>
            <sz val="9"/>
            <color indexed="81"/>
            <rFont val="Tahoma"/>
            <family val="2"/>
          </rPr>
          <t xml:space="preserve">
</t>
        </r>
        <r>
          <rPr>
            <sz val="10"/>
            <color indexed="81"/>
            <rFont val="Tahoma"/>
            <family val="2"/>
          </rPr>
          <t>1=Internal Combustion (Continuous) - TurboJet or low bypass ratio (BPR) TurboFan … Subsonic (M&lt;1)
2=Internal Combustion (Continuous) - TurboJet or low bypass ratio (BPR) TurboFan … Supersonic (M&gt;1)
3=Internal Combustion (Continuous) - High bypass ratio (BPR) TurboFan … Subsonic (M&lt;1)
4=Internal Combustion (Continuous) - Turboprop (Gas Turbine Core + Propeller)
5=Internal Combustion (Intermittent) - Reciprocating (Piston + Propeller)
6=Internal Combustion (Intermittent) - Reciprocating (Piston + Propeller) w/Supercharger or Turbocharger
Per Wikipedia: "... The term internal combustion engine usually refers to an engine in which combustion is intermittent, such as the more familiar four-stroke and two-stroke piston engines, along with variants, such as the six-stroke piston engine and the Wankel rotary engine. A second class of internal combustion engines use continuous combustion: gas turbines, jet engines and most rocket engines, each of which are internal combustion engines on the same principle as previously described."</t>
        </r>
        <r>
          <rPr>
            <sz val="9"/>
            <color indexed="81"/>
            <rFont val="Tahoma"/>
            <family val="2"/>
          </rPr>
          <t xml:space="preserve">
</t>
        </r>
      </text>
    </comment>
    <comment ref="G24" authorId="1" shapeId="0" xr:uid="{00000000-0006-0000-0500-000011000000}">
      <text>
        <r>
          <rPr>
            <b/>
            <sz val="14"/>
            <color rgb="FF000000"/>
            <rFont val="Tahoma"/>
            <family val="2"/>
          </rPr>
          <t>Engine Throttle Setting (Rating)</t>
        </r>
        <r>
          <rPr>
            <sz val="14"/>
            <color rgb="FF000000"/>
            <rFont val="Tahoma"/>
            <family val="2"/>
          </rPr>
          <t xml:space="preserve">
</t>
        </r>
        <r>
          <rPr>
            <sz val="14"/>
            <color rgb="FF000000"/>
            <rFont val="Tahoma"/>
            <family val="2"/>
          </rPr>
          <t xml:space="preserve">
</t>
        </r>
        <r>
          <rPr>
            <sz val="14"/>
            <color rgb="FF000000"/>
            <rFont val="Tahoma"/>
            <family val="2"/>
          </rPr>
          <t xml:space="preserve">The engine throttle setting or rating is expressed as a ratio of the thrust or power available for a given flight condition to that of the MAXIMUM thrust or power available at that same flight condition.  For example, for climbing flight the typical throttle setting (or rating) is about 10% less than that of takeoff, so the numercial value would be 0.9 for climb.  A table of ALL of the throttle settings is known as the Engine Rating Structure.  The ratings are determined by Life or TBO (time between overhaul) considerations, which is beyond the scope of this course.  So some assumptions need to be made regarding typical throttle settings for the various flight conditions. 
</t>
        </r>
        <r>
          <rPr>
            <b/>
            <sz val="14"/>
            <color rgb="FF000000"/>
            <rFont val="Tahoma"/>
            <family val="2"/>
          </rPr>
          <t xml:space="preserve">
</t>
        </r>
        <r>
          <rPr>
            <b/>
            <sz val="14"/>
            <color rgb="FF000000"/>
            <rFont val="Tahoma"/>
            <family val="2"/>
          </rPr>
          <t>Options:</t>
        </r>
        <r>
          <rPr>
            <sz val="14"/>
            <color rgb="FF000000"/>
            <rFont val="Tahoma"/>
            <family val="2"/>
          </rPr>
          <t xml:space="preserve">
</t>
        </r>
        <r>
          <rPr>
            <sz val="14"/>
            <color rgb="FF000000"/>
            <rFont val="Tahoma"/>
            <family val="2"/>
          </rPr>
          <t xml:space="preserve">-Use Corke Section 7.3 (pages 143-144)
</t>
        </r>
        <r>
          <rPr>
            <sz val="14"/>
            <color rgb="FF000000"/>
            <rFont val="Tahoma"/>
            <family val="2"/>
          </rPr>
          <t>-Use JWG Standard Engine Rating Structure</t>
        </r>
        <r>
          <rPr>
            <sz val="9"/>
            <color rgb="FF000000"/>
            <rFont val="Tahoma"/>
            <family val="2"/>
          </rPr>
          <t xml:space="preserve">
</t>
        </r>
      </text>
    </comment>
    <comment ref="G25" authorId="1" shapeId="0" xr:uid="{00000000-0006-0000-0500-000012000000}">
      <text>
        <r>
          <rPr>
            <b/>
            <sz val="14"/>
            <color rgb="FF000000"/>
            <rFont val="Tahoma"/>
            <family val="2"/>
          </rPr>
          <t>Installation Loss (Thrust or Power)</t>
        </r>
        <r>
          <rPr>
            <sz val="14"/>
            <color rgb="FF000000"/>
            <rFont val="Tahoma"/>
            <family val="2"/>
          </rPr>
          <t xml:space="preserve">
</t>
        </r>
        <r>
          <rPr>
            <sz val="14"/>
            <color rgb="FF000000"/>
            <rFont val="Tahoma"/>
            <family val="2"/>
          </rPr>
          <t xml:space="preserve">
</t>
        </r>
        <r>
          <rPr>
            <sz val="14"/>
            <color rgb="FF000000"/>
            <rFont val="Tahoma"/>
            <family val="2"/>
          </rPr>
          <t xml:space="preserve">Installation Losses are thrust and power decrements that account for inlet and exhaust losses, off-takes from the engines to power other aircraft systems (like air-conditioning, electronics, etc.) and other items like deterioration, IR suppression, and margins for manufacturing variation.
</t>
        </r>
        <r>
          <rPr>
            <sz val="14"/>
            <color rgb="FF000000"/>
            <rFont val="Tahoma"/>
            <family val="2"/>
          </rPr>
          <t xml:space="preserve">
</t>
        </r>
        <r>
          <rPr>
            <b/>
            <sz val="14"/>
            <color rgb="FF000000"/>
            <rFont val="Tahoma"/>
            <family val="2"/>
          </rPr>
          <t>Options:</t>
        </r>
        <r>
          <rPr>
            <sz val="14"/>
            <color rgb="FF000000"/>
            <rFont val="Tahoma"/>
            <family val="2"/>
          </rPr>
          <t xml:space="preserve">
</t>
        </r>
        <r>
          <rPr>
            <sz val="14"/>
            <color rgb="FF000000"/>
            <rFont val="Tahoma"/>
            <family val="2"/>
          </rPr>
          <t xml:space="preserve">-To start, assuming 5% (or 0.95) is a good assumption.
</t>
        </r>
        <r>
          <rPr>
            <sz val="14"/>
            <color rgb="FF000000"/>
            <rFont val="Tahoma"/>
            <family val="2"/>
          </rPr>
          <t xml:space="preserve">- Use chapter 7 methods.
</t>
        </r>
        <r>
          <rPr>
            <sz val="14"/>
            <color rgb="FF000000"/>
            <rFont val="Tahoma"/>
            <family val="2"/>
          </rPr>
          <t xml:space="preserve">
</t>
        </r>
        <r>
          <rPr>
            <sz val="14"/>
            <color rgb="FF000000"/>
            <rFont val="Tahoma"/>
            <family val="2"/>
          </rPr>
          <t>See Corke Section 7.4.2, pages 147-148, for more details.  The chapter 7 spreadsheet has a more refined treatment to estimate installation losses more accurately.</t>
        </r>
        <r>
          <rPr>
            <b/>
            <sz val="9"/>
            <color rgb="FF000000"/>
            <rFont val="Tahoma"/>
            <family val="2"/>
          </rPr>
          <t xml:space="preserve">
</t>
        </r>
        <r>
          <rPr>
            <sz val="9"/>
            <color rgb="FF000000"/>
            <rFont val="Tahoma"/>
            <family val="2"/>
          </rPr>
          <t xml:space="preserve">
</t>
        </r>
      </text>
    </comment>
    <comment ref="G26" authorId="0" shapeId="0" xr:uid="{35F75B98-F9D9-4CE8-8E57-271B98D395F8}">
      <text>
        <r>
          <rPr>
            <b/>
            <sz val="14"/>
            <color indexed="81"/>
            <rFont val="Tahoma"/>
            <family val="2"/>
          </rPr>
          <t xml:space="preserve">Power Train Losses (for Energy Transformation Devices, or E.T.D.)
</t>
        </r>
        <r>
          <rPr>
            <sz val="14"/>
            <color indexed="81"/>
            <rFont val="Tahoma"/>
            <family val="2"/>
          </rPr>
          <t xml:space="preserve">
-For conventional propulsion systems, 0.95 to 1.0
-For hybrid-electric propulsion systems, 0.80 to 0.90
-For all electric propulsion systems, 0.75 to 0.85
Chapter 7 will discuss the power train design in more detail.</t>
        </r>
      </text>
    </comment>
    <comment ref="G27" authorId="0" shapeId="0" xr:uid="{194EB16F-6D20-485F-A061-098EC20EE6C3}">
      <text>
        <r>
          <rPr>
            <b/>
            <sz val="14"/>
            <color rgb="FF000000"/>
            <rFont val="Tahoma"/>
            <family val="2"/>
          </rPr>
          <t xml:space="preserve">Power Fraction Factor, </t>
        </r>
        <r>
          <rPr>
            <b/>
            <sz val="14"/>
            <color rgb="FF000000"/>
            <rFont val="Symbol"/>
            <family val="1"/>
            <charset val="2"/>
          </rPr>
          <t xml:space="preserve">t </t>
        </r>
        <r>
          <rPr>
            <b/>
            <sz val="14"/>
            <color rgb="FF000000"/>
            <rFont val="Tahoma"/>
            <family val="2"/>
          </rPr>
          <t>engine</t>
        </r>
        <r>
          <rPr>
            <sz val="14"/>
            <color rgb="FF000000"/>
            <rFont val="Tahoma"/>
            <family val="2"/>
          </rPr>
          <t xml:space="preserve">
</t>
        </r>
        <r>
          <rPr>
            <sz val="14"/>
            <color rgb="FF000000"/>
            <rFont val="Tahoma"/>
            <family val="2"/>
          </rPr>
          <t xml:space="preserve">
</t>
        </r>
        <r>
          <rPr>
            <sz val="14"/>
            <color rgb="FF000000"/>
            <rFont val="Tahoma"/>
            <family val="2"/>
          </rPr>
          <t xml:space="preserve">This factor is the percentage of propulsion system power available from the engine power path.  </t>
        </r>
        <r>
          <rPr>
            <sz val="14"/>
            <color rgb="FF000000"/>
            <rFont val="Symbol"/>
            <family val="1"/>
            <charset val="2"/>
          </rPr>
          <t>t</t>
        </r>
        <r>
          <rPr>
            <sz val="14"/>
            <color rgb="FF000000"/>
            <rFont val="Tahoma"/>
            <family val="2"/>
          </rPr>
          <t xml:space="preserve"> engine must be less than 1.0.
</t>
        </r>
        <r>
          <rPr>
            <sz val="14"/>
            <color rgb="FF000000"/>
            <rFont val="Tahoma"/>
            <family val="2"/>
          </rPr>
          <t xml:space="preserve">
</t>
        </r>
        <r>
          <rPr>
            <sz val="14"/>
            <color rgb="FF000000"/>
            <rFont val="Tahoma"/>
            <family val="2"/>
          </rPr>
          <t xml:space="preserve">The companion input, </t>
        </r>
        <r>
          <rPr>
            <sz val="14"/>
            <color rgb="FF000000"/>
            <rFont val="Symbol"/>
            <family val="1"/>
            <charset val="2"/>
          </rPr>
          <t>t</t>
        </r>
        <r>
          <rPr>
            <sz val="14"/>
            <color rgb="FF000000"/>
            <rFont val="Tahoma"/>
            <family val="2"/>
          </rPr>
          <t xml:space="preserve"> supp = 1.0 - </t>
        </r>
        <r>
          <rPr>
            <sz val="14"/>
            <color rgb="FF000000"/>
            <rFont val="Symbol"/>
            <family val="1"/>
            <charset val="2"/>
          </rPr>
          <t>t</t>
        </r>
        <r>
          <rPr>
            <sz val="14"/>
            <color rgb="FF000000"/>
            <rFont val="Tahoma"/>
            <family val="2"/>
          </rPr>
          <t xml:space="preserve"> engine, is the percentage of propulsion system power available from the supplemental power path.</t>
        </r>
        <r>
          <rPr>
            <b/>
            <sz val="9"/>
            <color rgb="FF000000"/>
            <rFont val="Tahoma"/>
            <family val="2"/>
          </rPr>
          <t xml:space="preserve">
</t>
        </r>
        <r>
          <rPr>
            <sz val="9"/>
            <color rgb="FF000000"/>
            <rFont val="Tahoma"/>
            <family val="2"/>
          </rPr>
          <t xml:space="preserve">
</t>
        </r>
      </text>
    </comment>
    <comment ref="G33" authorId="1" shapeId="0" xr:uid="{FB12446A-0346-48C3-AB36-FA76B3582B78}">
      <text>
        <r>
          <rPr>
            <b/>
            <sz val="14"/>
            <color indexed="81"/>
            <rFont val="Tahoma"/>
            <family val="2"/>
          </rPr>
          <t>Engine Throttle Setting (Rating)</t>
        </r>
        <r>
          <rPr>
            <sz val="14"/>
            <color indexed="81"/>
            <rFont val="Tahoma"/>
            <family val="2"/>
          </rPr>
          <t xml:space="preserve">
The engine throttle setting or rating is expressed as a ratio of the thrust or power available for a given flight condition to that of the MAXIMUM thrust or power available at that same flight condition.  For example, for climbing flight the typical throttle setting (or rating) is about 10% less than that of takeoff, so the numercial value would be 0.9 for climb.  A table of ALL of the throttle settings is known as the Engine Rating Structure.  The ratings are determined by Life or TBO (time between overhaul) considerations, which is beyond the scope of this course.  So some assumptions need to be made regarding typical throttle settings for the various flight conditions. 
</t>
        </r>
        <r>
          <rPr>
            <b/>
            <sz val="14"/>
            <color indexed="81"/>
            <rFont val="Tahoma"/>
            <family val="2"/>
          </rPr>
          <t xml:space="preserve">
Options:</t>
        </r>
        <r>
          <rPr>
            <sz val="14"/>
            <color indexed="81"/>
            <rFont val="Tahoma"/>
            <family val="2"/>
          </rPr>
          <t xml:space="preserve">
-Use Corke Section 7.3 (pages 143-144)
-Use JWG Standard Engine Rating Structure</t>
        </r>
        <r>
          <rPr>
            <sz val="9"/>
            <color indexed="81"/>
            <rFont val="Tahoma"/>
            <family val="2"/>
          </rPr>
          <t xml:space="preserve">
</t>
        </r>
      </text>
    </comment>
    <comment ref="G34" authorId="1" shapeId="0" xr:uid="{4B45E9E5-4418-4A68-B8B3-1969462AF201}">
      <text>
        <r>
          <rPr>
            <b/>
            <sz val="14"/>
            <color rgb="FF000000"/>
            <rFont val="Tahoma"/>
            <family val="2"/>
          </rPr>
          <t>Installation Loss (Thrust or Power)</t>
        </r>
        <r>
          <rPr>
            <sz val="14"/>
            <color rgb="FF000000"/>
            <rFont val="Tahoma"/>
            <family val="2"/>
          </rPr>
          <t xml:space="preserve">
</t>
        </r>
        <r>
          <rPr>
            <sz val="14"/>
            <color rgb="FF000000"/>
            <rFont val="Tahoma"/>
            <family val="2"/>
          </rPr>
          <t xml:space="preserve">
</t>
        </r>
        <r>
          <rPr>
            <sz val="14"/>
            <color rgb="FF000000"/>
            <rFont val="Tahoma"/>
            <family val="2"/>
          </rPr>
          <t xml:space="preserve">Installation Losses are thrust and power decrements that account for inlet and exhaust losses, off-takes from the engines to power other aircraft systems (like air-conditioning, electronics, etc.) and other items like deterioration, IR suppression, and margins for manufacturing variation.
</t>
        </r>
        <r>
          <rPr>
            <sz val="14"/>
            <color rgb="FF000000"/>
            <rFont val="Tahoma"/>
            <family val="2"/>
          </rPr>
          <t xml:space="preserve">
</t>
        </r>
        <r>
          <rPr>
            <b/>
            <sz val="14"/>
            <color rgb="FF000000"/>
            <rFont val="Tahoma"/>
            <family val="2"/>
          </rPr>
          <t>Options:</t>
        </r>
        <r>
          <rPr>
            <sz val="14"/>
            <color rgb="FF000000"/>
            <rFont val="Tahoma"/>
            <family val="2"/>
          </rPr>
          <t xml:space="preserve">
</t>
        </r>
        <r>
          <rPr>
            <sz val="14"/>
            <color rgb="FF000000"/>
            <rFont val="Tahoma"/>
            <family val="2"/>
          </rPr>
          <t xml:space="preserve">-To start, assuming 5% (or 0.95) is a good assumption.
</t>
        </r>
        <r>
          <rPr>
            <sz val="14"/>
            <color rgb="FF000000"/>
            <rFont val="Tahoma"/>
            <family val="2"/>
          </rPr>
          <t xml:space="preserve">- Use chapter 7 methods.
</t>
        </r>
        <r>
          <rPr>
            <sz val="14"/>
            <color rgb="FF000000"/>
            <rFont val="Tahoma"/>
            <family val="2"/>
          </rPr>
          <t xml:space="preserve">
</t>
        </r>
        <r>
          <rPr>
            <sz val="14"/>
            <color rgb="FF000000"/>
            <rFont val="Tahoma"/>
            <family val="2"/>
          </rPr>
          <t>See Corke Section 7.4.2, pages 147-148, for more details.  The chapter 7 spreadsheet has a more refined treatment to estimate installation losses more accurately.</t>
        </r>
        <r>
          <rPr>
            <b/>
            <sz val="9"/>
            <color rgb="FF000000"/>
            <rFont val="Tahoma"/>
            <family val="2"/>
          </rPr>
          <t xml:space="preserve">
</t>
        </r>
        <r>
          <rPr>
            <sz val="9"/>
            <color rgb="FF000000"/>
            <rFont val="Tahoma"/>
            <family val="2"/>
          </rPr>
          <t xml:space="preserve">
</t>
        </r>
      </text>
    </comment>
    <comment ref="G35" authorId="0" shapeId="0" xr:uid="{09D6D6F0-1898-437A-941C-B5A5A4DE5D01}">
      <text>
        <r>
          <rPr>
            <b/>
            <sz val="14"/>
            <color rgb="FF000000"/>
            <rFont val="Tahoma"/>
            <family val="2"/>
          </rPr>
          <t xml:space="preserve">Power Train Losses (for Energy Transformation Devices, or E.T.D.)
</t>
        </r>
        <r>
          <rPr>
            <sz val="14"/>
            <color rgb="FF000000"/>
            <rFont val="Tahoma"/>
            <family val="2"/>
          </rPr>
          <t xml:space="preserve">
</t>
        </r>
        <r>
          <rPr>
            <sz val="14"/>
            <color rgb="FF000000"/>
            <rFont val="Tahoma"/>
            <family val="2"/>
          </rPr>
          <t xml:space="preserve">-For conventional propulsion systems, 0.95 to 1.0
</t>
        </r>
        <r>
          <rPr>
            <sz val="14"/>
            <color rgb="FF000000"/>
            <rFont val="Tahoma"/>
            <family val="2"/>
          </rPr>
          <t xml:space="preserve">-For hybrid-electric propulsion systems, 0.80 to 0.90
</t>
        </r>
        <r>
          <rPr>
            <sz val="14"/>
            <color rgb="FF000000"/>
            <rFont val="Tahoma"/>
            <family val="2"/>
          </rPr>
          <t xml:space="preserve">-For all electric propulsion systems, 0.75 to 0.85
</t>
        </r>
        <r>
          <rPr>
            <sz val="14"/>
            <color rgb="FF000000"/>
            <rFont val="Tahoma"/>
            <family val="2"/>
          </rPr>
          <t xml:space="preserve">
</t>
        </r>
        <r>
          <rPr>
            <sz val="14"/>
            <color rgb="FF000000"/>
            <rFont val="Tahoma"/>
            <family val="2"/>
          </rPr>
          <t>Chapter 7 will discuss the power train design in more detail.</t>
        </r>
      </text>
    </comment>
    <comment ref="E41" authorId="1" shapeId="0" xr:uid="{00000000-0006-0000-0500-000013000000}">
      <text>
        <r>
          <rPr>
            <b/>
            <sz val="9"/>
            <color rgb="FF000000"/>
            <rFont val="Tahoma"/>
            <family val="2"/>
          </rPr>
          <t xml:space="preserve">Design Point Selection
</t>
        </r>
        <r>
          <rPr>
            <sz val="9"/>
            <color rgb="FF000000"/>
            <rFont val="Tahoma"/>
            <family val="2"/>
          </rPr>
          <t xml:space="preserve">
</t>
        </r>
        <r>
          <rPr>
            <sz val="9"/>
            <color rgb="FF000000"/>
            <rFont val="Tahoma"/>
            <family val="2"/>
          </rPr>
          <t xml:space="preserve">Select correct plot for your design, i.e.
</t>
        </r>
        <r>
          <rPr>
            <sz val="9"/>
            <color rgb="FF000000"/>
            <rFont val="Tahoma"/>
            <family val="2"/>
          </rPr>
          <t xml:space="preserve">          Use To/Wo vs. Wo/S for Thrust based engines
</t>
        </r>
        <r>
          <rPr>
            <sz val="9"/>
            <color rgb="FF000000"/>
            <rFont val="Tahoma"/>
            <family val="2"/>
          </rPr>
          <t xml:space="preserve">          Use Pao/Wo vs. Wo/S for Power based engines
</t>
        </r>
        <r>
          <rPr>
            <sz val="9"/>
            <color rgb="FF000000"/>
            <rFont val="Tahoma"/>
            <family val="2"/>
          </rPr>
          <t xml:space="preserve">
</t>
        </r>
        <r>
          <rPr>
            <sz val="9"/>
            <color rgb="FF000000"/>
            <rFont val="Tahoma"/>
            <family val="2"/>
          </rPr>
          <t xml:space="preserve">-Select largest possible W/S, which will result in the smallest wing (desirable)
</t>
        </r>
        <r>
          <rPr>
            <sz val="9"/>
            <color rgb="FF000000"/>
            <rFont val="Tahoma"/>
            <family val="2"/>
          </rPr>
          <t xml:space="preserve">-Select the smallest To/Wo or Po/Wo possible, which will result in the smallest engine (desirable)
</t>
        </r>
        <r>
          <rPr>
            <sz val="9"/>
            <color rgb="FF000000"/>
            <rFont val="Tahoma"/>
            <family val="2"/>
          </rPr>
          <t xml:space="preserve">-Design Point should be above all points and to the left of all vertical lines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GE User</author>
  </authors>
  <commentList>
    <comment ref="E6" authorId="0" shapeId="0" xr:uid="{00000000-0006-0000-0600-000001000000}">
      <text>
        <r>
          <rPr>
            <b/>
            <sz val="9"/>
            <color rgb="FF000000"/>
            <rFont val="Tahoma"/>
            <family val="2"/>
          </rPr>
          <t>Cl</t>
        </r>
        <r>
          <rPr>
            <b/>
            <vertAlign val="subscript"/>
            <sz val="9"/>
            <color rgb="FF000000"/>
            <rFont val="Tahoma"/>
            <family val="2"/>
          </rPr>
          <t>max</t>
        </r>
        <r>
          <rPr>
            <b/>
            <sz val="9"/>
            <color rgb="FF000000"/>
            <rFont val="Tahoma"/>
            <family val="2"/>
          </rPr>
          <t xml:space="preserve"> = 2D maximum lift coefficient, unflapped, (-)</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-Review Corke Section 4.1 (pages 62 - 69).
</t>
        </r>
        <r>
          <rPr>
            <sz val="9"/>
            <color rgb="FF000000"/>
            <rFont val="Tahoma"/>
            <family val="2"/>
          </rPr>
          <t xml:space="preserve">-Use "Theory of Wing Sections" by Abbott and von Doenhoff to select an airfoil and a Cl,max.
</t>
        </r>
        <r>
          <rPr>
            <sz val="9"/>
            <color rgb="FF000000"/>
            <rFont val="Tahoma"/>
            <family val="2"/>
          </rPr>
          <t xml:space="preserve">-Use another 2D airfoil (indicate the source if you  choose this option).
</t>
        </r>
      </text>
    </comment>
    <comment ref="E7" authorId="0" shapeId="0" xr:uid="{00000000-0006-0000-0600-000002000000}">
      <text>
        <r>
          <rPr>
            <b/>
            <sz val="9"/>
            <color rgb="FF000000"/>
            <rFont val="Tahoma"/>
            <family val="2"/>
          </rPr>
          <t>Cl</t>
        </r>
        <r>
          <rPr>
            <b/>
            <vertAlign val="subscript"/>
            <sz val="9"/>
            <color rgb="FF000000"/>
            <rFont val="Symbol"/>
            <family val="1"/>
            <charset val="2"/>
          </rPr>
          <t>a</t>
        </r>
        <r>
          <rPr>
            <b/>
            <sz val="9"/>
            <color rgb="FF000000"/>
            <rFont val="Tahoma"/>
            <family val="2"/>
          </rPr>
          <t xml:space="preserve"> = 2D lift curve slope, unflapped, (1/deg)</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-Review Corke Section 4.1 (pages 62 - 69).
</t>
        </r>
        <r>
          <rPr>
            <sz val="9"/>
            <color rgb="FF000000"/>
            <rFont val="Tahoma"/>
            <family val="2"/>
          </rPr>
          <t xml:space="preserve">-Use "Theory of Wing Sections" by Abbott and von Doenhoff to select an airfoil and a Cl,max.
</t>
        </r>
        <r>
          <rPr>
            <sz val="9"/>
            <color rgb="FF000000"/>
            <rFont val="Tahoma"/>
            <family val="2"/>
          </rPr>
          <t xml:space="preserve">-Use another 2D airfoil (indicate the source if you  choose this option).
</t>
        </r>
      </text>
    </comment>
    <comment ref="E8" authorId="0" shapeId="0" xr:uid="{00000000-0006-0000-0600-000003000000}">
      <text>
        <r>
          <rPr>
            <b/>
            <sz val="9"/>
            <color rgb="FF000000"/>
            <rFont val="Tahoma"/>
            <family val="2"/>
          </rPr>
          <t>a.c. = 2D aerodynamic center of airfoil, unflapped, (c)</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-Review Corke Section 4.1 (pages 62 - 69).
</t>
        </r>
        <r>
          <rPr>
            <sz val="9"/>
            <color rgb="FF000000"/>
            <rFont val="Tahoma"/>
            <family val="2"/>
          </rPr>
          <t xml:space="preserve">-Use "Theory of Wing Sections" by Abbott and von Doenhoff to select an airfoil and a Cl,max.
</t>
        </r>
        <r>
          <rPr>
            <sz val="9"/>
            <color rgb="FF000000"/>
            <rFont val="Tahoma"/>
            <family val="2"/>
          </rPr>
          <t xml:space="preserve">-Use another 2D airfoil (indicate the source if you  choose this option).
</t>
        </r>
      </text>
    </comment>
    <comment ref="L8" authorId="0" shapeId="0" xr:uid="{00000000-0006-0000-0600-000004000000}">
      <text>
        <r>
          <rPr>
            <b/>
            <sz val="9"/>
            <color rgb="FF000000"/>
            <rFont val="Tahoma"/>
            <family val="2"/>
          </rPr>
          <t xml:space="preserve">Review Corke Section 4.2
</t>
        </r>
        <r>
          <rPr>
            <b/>
            <sz val="9"/>
            <color rgb="FF000000"/>
            <rFont val="Tahoma"/>
            <family val="2"/>
          </rPr>
          <t xml:space="preserve">
</t>
        </r>
        <r>
          <rPr>
            <sz val="9"/>
            <color rgb="FF000000"/>
            <rFont val="Tahoma"/>
            <family val="2"/>
          </rPr>
          <t>-</t>
        </r>
        <r>
          <rPr>
            <sz val="9"/>
            <color rgb="FF000000"/>
            <rFont val="Symbol"/>
            <family val="1"/>
            <charset val="2"/>
          </rPr>
          <t>l</t>
        </r>
        <r>
          <rPr>
            <sz val="9"/>
            <color rgb="FF000000"/>
            <rFont val="Tahoma"/>
            <family val="2"/>
          </rPr>
          <t xml:space="preserve">=0.4 is best for min drag for subsonic, straight wings.
</t>
        </r>
        <r>
          <rPr>
            <sz val="9"/>
            <color rgb="FF000000"/>
            <rFont val="Tahoma"/>
            <family val="2"/>
          </rPr>
          <t>-</t>
        </r>
        <r>
          <rPr>
            <sz val="9"/>
            <color rgb="FF000000"/>
            <rFont val="Symbol"/>
            <family val="1"/>
            <charset val="2"/>
          </rPr>
          <t>l</t>
        </r>
        <r>
          <rPr>
            <sz val="9"/>
            <color rgb="FF000000"/>
            <rFont val="Tahoma"/>
            <family val="2"/>
          </rPr>
          <t xml:space="preserve">=1.0 is best for lowest cost for subsonic, straight wings.
</t>
        </r>
        <r>
          <rPr>
            <sz val="9"/>
            <color rgb="FF000000"/>
            <rFont val="Tahoma"/>
            <family val="2"/>
          </rPr>
          <t xml:space="preserve">-Update </t>
        </r>
        <r>
          <rPr>
            <sz val="9"/>
            <color rgb="FF000000"/>
            <rFont val="Symbol"/>
            <family val="1"/>
            <charset val="2"/>
          </rPr>
          <t>l</t>
        </r>
        <r>
          <rPr>
            <sz val="9"/>
            <color rgb="FF000000"/>
            <rFont val="Tahoma"/>
            <family val="2"/>
          </rPr>
          <t xml:space="preserve"> using Fig. 4.10 for wing sweepback 
</t>
        </r>
      </text>
    </comment>
    <comment ref="E9" authorId="0" shapeId="0" xr:uid="{00000000-0006-0000-0600-000005000000}">
      <text>
        <r>
          <rPr>
            <b/>
            <sz val="9"/>
            <color rgb="FF000000"/>
            <rFont val="Symbol"/>
            <family val="1"/>
            <charset val="2"/>
          </rPr>
          <t>a</t>
        </r>
        <r>
          <rPr>
            <b/>
            <vertAlign val="subscript"/>
            <sz val="9"/>
            <color rgb="FF000000"/>
            <rFont val="Tahoma"/>
            <family val="2"/>
          </rPr>
          <t>0L</t>
        </r>
        <r>
          <rPr>
            <b/>
            <sz val="9"/>
            <color rgb="FF000000"/>
            <rFont val="Tahoma"/>
            <family val="2"/>
          </rPr>
          <t xml:space="preserve"> = 2D zero lift angle-of-attack, unflapped, (deg)</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-Review Corke Section 4.1 (pages 62 - 69).
</t>
        </r>
        <r>
          <rPr>
            <sz val="9"/>
            <color rgb="FF000000"/>
            <rFont val="Tahoma"/>
            <family val="2"/>
          </rPr>
          <t xml:space="preserve">-Use "Theory of Wing Sections" by Abbott and von Doenhoff to select an airfoil and a Cl,max.
</t>
        </r>
        <r>
          <rPr>
            <sz val="9"/>
            <color rgb="FF000000"/>
            <rFont val="Tahoma"/>
            <family val="2"/>
          </rPr>
          <t xml:space="preserve">-Use another 2D airfoil (indicate the source if you  choose this option).
</t>
        </r>
      </text>
    </comment>
    <comment ref="L9" authorId="0" shapeId="0" xr:uid="{00000000-0006-0000-0600-000006000000}">
      <text>
        <r>
          <rPr>
            <b/>
            <sz val="9"/>
            <color rgb="FF000000"/>
            <rFont val="Tahoma"/>
            <family val="2"/>
          </rPr>
          <t>Review Corke Section 4.3</t>
        </r>
        <r>
          <rPr>
            <sz val="9"/>
            <color rgb="FF000000"/>
            <rFont val="Tahoma"/>
            <family val="2"/>
          </rPr>
          <t xml:space="preserve">
</t>
        </r>
        <r>
          <rPr>
            <sz val="9"/>
            <color rgb="FF000000"/>
            <rFont val="Tahoma"/>
            <family val="2"/>
          </rPr>
          <t xml:space="preserve">
</t>
        </r>
        <r>
          <rPr>
            <sz val="9"/>
            <color rgb="FF000000"/>
            <rFont val="Tahoma"/>
            <family val="2"/>
          </rPr>
          <t>For transonic and supersonic designs, use Figure 4.12 ans coimpetitor designs as a guide.</t>
        </r>
      </text>
    </comment>
    <comment ref="E10" authorId="0" shapeId="0" xr:uid="{00000000-0006-0000-0600-000007000000}">
      <text>
        <r>
          <rPr>
            <b/>
            <sz val="9"/>
            <color rgb="FF000000"/>
            <rFont val="Tahoma"/>
            <family val="2"/>
          </rPr>
          <t>Cd0 = 2D minimum (or bucket) drag coefficient, unflapped, (-)</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-Review Corke Section 4.1 (pages 62 - 69).
</t>
        </r>
        <r>
          <rPr>
            <sz val="9"/>
            <color rgb="FF000000"/>
            <rFont val="Tahoma"/>
            <family val="2"/>
          </rPr>
          <t xml:space="preserve">-Use "Theory of Wing Sections" by Abbott and von Doenhoff to select an airfoil and a Cl,max.
</t>
        </r>
        <r>
          <rPr>
            <sz val="9"/>
            <color rgb="FF000000"/>
            <rFont val="Tahoma"/>
            <family val="2"/>
          </rPr>
          <t xml:space="preserve">-Use another 2D airfoil (indicate the source if you  choose this option).
</t>
        </r>
      </text>
    </comment>
    <comment ref="L10" authorId="0" shapeId="0" xr:uid="{00000000-0006-0000-0600-000008000000}">
      <text>
        <r>
          <rPr>
            <b/>
            <sz val="9"/>
            <color rgb="FF000000"/>
            <rFont val="Tahoma"/>
            <family val="2"/>
          </rPr>
          <t xml:space="preserve">Review Corke Figures 4.3, 4.4 and 4.5
</t>
        </r>
        <r>
          <rPr>
            <b/>
            <sz val="9"/>
            <color rgb="FF000000"/>
            <rFont val="Tahoma"/>
            <family val="2"/>
          </rPr>
          <t xml:space="preserve">
</t>
        </r>
        <r>
          <rPr>
            <sz val="9"/>
            <color rgb="FF000000"/>
            <rFont val="Tahoma"/>
            <family val="2"/>
          </rPr>
          <t xml:space="preserve">-(t/c)max=14% is  best for high 2D cl,max for subsonic, straight wings.
</t>
        </r>
        <r>
          <rPr>
            <sz val="9"/>
            <color rgb="FF000000"/>
            <rFont val="Tahoma"/>
            <family val="2"/>
          </rPr>
          <t xml:space="preserve">-Lowering (t/c)max (Figure 4.4) will delay the drag rise due to shock waves.
</t>
        </r>
        <r>
          <rPr>
            <sz val="9"/>
            <color rgb="FF000000"/>
            <rFont val="Tahoma"/>
            <family val="2"/>
          </rPr>
          <t>-Update</t>
        </r>
        <r>
          <rPr>
            <sz val="9"/>
            <color rgb="FF000000"/>
            <rFont val="Symbol"/>
            <family val="1"/>
            <charset val="2"/>
          </rPr>
          <t xml:space="preserve"> l</t>
        </r>
        <r>
          <rPr>
            <sz val="9"/>
            <color rgb="FF000000"/>
            <rFont val="Tahoma"/>
            <family val="2"/>
          </rPr>
          <t xml:space="preserve"> using Fig. 4.10 for wing sweepback.
</t>
        </r>
        <r>
          <rPr>
            <sz val="9"/>
            <color rgb="FF000000"/>
            <rFont val="Tahoma"/>
            <family val="2"/>
          </rPr>
          <t>-Supersonic (t/c)max should be ~4% (Figure 4.5)</t>
        </r>
      </text>
    </comment>
    <comment ref="E11" authorId="0" shapeId="0" xr:uid="{00000000-0006-0000-0600-000009000000}">
      <text>
        <r>
          <rPr>
            <b/>
            <sz val="9"/>
            <color rgb="FF000000"/>
            <rFont val="Tahoma"/>
            <family val="2"/>
          </rPr>
          <t>NOTE:  This input is not used for any calculations.  Just for reference only.
rle = 2D airfoil leading edge radius, unflapped, (-)</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L11" authorId="0" shapeId="0" xr:uid="{00000000-0006-0000-0600-00000A000000}">
      <text>
        <r>
          <rPr>
            <b/>
            <sz val="9"/>
            <color rgb="FF000000"/>
            <rFont val="Tahoma"/>
            <family val="2"/>
          </rPr>
          <t xml:space="preserve">Options
</t>
        </r>
        <r>
          <rPr>
            <sz val="9"/>
            <color rgb="FF000000"/>
            <rFont val="Tahoma"/>
            <family val="2"/>
          </rPr>
          <t>-Use Table 4.2 or similar</t>
        </r>
      </text>
    </comment>
    <comment ref="E12" authorId="0" shapeId="0" xr:uid="{00000000-0006-0000-0600-00000B000000}">
      <text>
        <r>
          <rPr>
            <b/>
            <sz val="9"/>
            <color rgb="FF000000"/>
            <rFont val="Tahoma"/>
            <family val="2"/>
          </rPr>
          <t>NOTE:  This input is not used for any calculations.  Just for reference only.
Cl</t>
        </r>
        <r>
          <rPr>
            <b/>
            <vertAlign val="subscript"/>
            <sz val="9"/>
            <color rgb="FF000000"/>
            <rFont val="Tahoma"/>
            <family val="2"/>
          </rPr>
          <t>minD</t>
        </r>
        <r>
          <rPr>
            <b/>
            <sz val="9"/>
            <color rgb="FF000000"/>
            <rFont val="Tahoma"/>
            <family val="2"/>
          </rPr>
          <t xml:space="preserve"> = 2D lift coefficient range of the "drag bucket", unflapped, (-)</t>
        </r>
        <r>
          <rPr>
            <sz val="9"/>
            <color rgb="FF000000"/>
            <rFont val="Tahoma"/>
            <family val="2"/>
          </rPr>
          <t xml:space="preserve">
Options:
-Review Corke Section 4.1 (pages 62 - 69).
-Use "Theory of Wing Sections" by Abbott and von Doenhoff to select an airfoil and a Cl,max.
-Use another 2D airfoil (indicate the source if you  choose this option).
</t>
        </r>
      </text>
    </comment>
    <comment ref="E13" authorId="0" shapeId="0" xr:uid="{00000000-0006-0000-0600-00000C000000}">
      <text>
        <r>
          <rPr>
            <b/>
            <sz val="9"/>
            <color rgb="FF000000"/>
            <rFont val="Tahoma"/>
            <family val="2"/>
          </rPr>
          <t>(x/c) of (t/c)max = axial location of the airfoil that coincides with the maximum thickness, (-)</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-Review Corke Section 4.1 (pages 62 - 69).
</t>
        </r>
        <r>
          <rPr>
            <sz val="9"/>
            <color rgb="FF000000"/>
            <rFont val="Tahoma"/>
            <family val="2"/>
          </rPr>
          <t xml:space="preserve">-Use "Theory of Wing Sections" by Abbott and von Doenhoff to select an airfoil and a Cl,max.
</t>
        </r>
        <r>
          <rPr>
            <sz val="9"/>
            <color rgb="FF000000"/>
            <rFont val="Tahoma"/>
            <family val="2"/>
          </rPr>
          <t xml:space="preserve">-Use another 2D airfoil (indicate the source if you  choose this option).
</t>
        </r>
      </text>
    </comment>
    <comment ref="E34" authorId="0" shapeId="0" xr:uid="{00000000-0006-0000-0600-00000D000000}">
      <text>
        <r>
          <rPr>
            <b/>
            <sz val="9"/>
            <color indexed="81"/>
            <rFont val="Tahoma"/>
            <family val="2"/>
          </rPr>
          <t>Make sure Meff&lt;1.0, else Beta will be undefined and the expression for dCL/d</t>
        </r>
        <r>
          <rPr>
            <b/>
            <sz val="9"/>
            <color indexed="81"/>
            <rFont val="Symbol"/>
            <family val="1"/>
            <charset val="2"/>
          </rPr>
          <t>a</t>
        </r>
        <r>
          <rPr>
            <b/>
            <sz val="9"/>
            <color indexed="81"/>
            <rFont val="Tahoma"/>
            <family val="2"/>
          </rPr>
          <t xml:space="preserve"> will not have a solution.</t>
        </r>
        <r>
          <rPr>
            <sz val="9"/>
            <color indexed="81"/>
            <rFont val="Tahoma"/>
            <family val="2"/>
          </rPr>
          <t xml:space="preserve">
Options
-Increase the leading edge sweep angle, </t>
        </r>
        <r>
          <rPr>
            <sz val="9"/>
            <color indexed="81"/>
            <rFont val="Symbol"/>
            <family val="1"/>
            <charset val="2"/>
          </rPr>
          <t>L</t>
        </r>
        <r>
          <rPr>
            <sz val="9"/>
            <color indexed="81"/>
            <rFont val="Tahoma"/>
            <family val="2"/>
          </rPr>
          <t>LE
-Decrease the design cruise Mach number</t>
        </r>
      </text>
    </comment>
    <comment ref="L34" authorId="0" shapeId="0" xr:uid="{00000000-0006-0000-0600-00000E000000}">
      <text>
        <r>
          <rPr>
            <b/>
            <sz val="9"/>
            <color indexed="81"/>
            <rFont val="Tahoma"/>
            <family val="2"/>
          </rPr>
          <t xml:space="preserve">Ref.: Corke Equ. 4.11, page 73
</t>
        </r>
        <r>
          <rPr>
            <sz val="9"/>
            <color indexed="81"/>
            <rFont val="Tahoma"/>
            <family val="2"/>
          </rPr>
          <t xml:space="preserve">Beta is a compressibility correction factor used in the formulae for dCL/da, the 3D lift curve slope.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az1249t</author>
  </authors>
  <commentList>
    <comment ref="Q5" authorId="0" shapeId="0" xr:uid="{00000000-0006-0000-0700-000001000000}">
      <text>
        <r>
          <rPr>
            <b/>
            <sz val="9"/>
            <color indexed="81"/>
            <rFont val="Tahoma"/>
            <family val="2"/>
          </rPr>
          <t>Fuselage Type Flag = 1,2,3,4 or 5</t>
        </r>
        <r>
          <rPr>
            <sz val="9"/>
            <color indexed="81"/>
            <rFont val="Tahoma"/>
            <family val="2"/>
          </rPr>
          <t xml:space="preserve">
1 = Free Form (For this option user inputs height and widths of fuselage at each of ten (10) axial locations)
2 = Cone-cylinder
3=Power-series cylinder
4=Von Karman Ogive
5=Sears-Haack</t>
        </r>
      </text>
    </comment>
    <comment ref="Q6" authorId="0" shapeId="0" xr:uid="{00000000-0006-0000-0700-000002000000}">
      <text>
        <r>
          <rPr>
            <b/>
            <sz val="9"/>
            <color rgb="FF000000"/>
            <rFont val="Tahoma"/>
            <family val="2"/>
          </rPr>
          <t>The maximum diameter of the fuselage</t>
        </r>
        <r>
          <rPr>
            <sz val="9"/>
            <color rgb="FF000000"/>
            <rFont val="Tahoma"/>
            <family val="2"/>
          </rPr>
          <t xml:space="preserve">
</t>
        </r>
      </text>
    </comment>
    <comment ref="C7" authorId="0" shapeId="0" xr:uid="{00000000-0006-0000-0700-000003000000}">
      <text>
        <r>
          <rPr>
            <b/>
            <sz val="12"/>
            <color rgb="FF000000"/>
            <rFont val="Tahoma"/>
            <family val="2"/>
          </rPr>
          <t>These lengths are not additive, but rather represent the axial length they require in the fuselage, i.e. there can be overlap amongst the various components.</t>
        </r>
        <r>
          <rPr>
            <sz val="9"/>
            <color rgb="FF000000"/>
            <rFont val="Tahoma"/>
            <family val="2"/>
          </rPr>
          <t xml:space="preserve">
</t>
        </r>
      </text>
    </comment>
    <comment ref="Q7" authorId="0" shapeId="0" xr:uid="{00000000-0006-0000-0700-000004000000}">
      <text>
        <r>
          <rPr>
            <b/>
            <sz val="9"/>
            <color rgb="FF000000"/>
            <rFont val="Tahoma"/>
            <family val="2"/>
          </rPr>
          <t>The inverse fineness ratio is the total length of the fuselage divided by the max diameter.</t>
        </r>
        <r>
          <rPr>
            <sz val="9"/>
            <color rgb="FF000000"/>
            <rFont val="Tahoma"/>
            <family val="2"/>
          </rPr>
          <t xml:space="preserve">
</t>
        </r>
      </text>
    </comment>
    <comment ref="Q9" authorId="0" shapeId="0" xr:uid="{00000000-0006-0000-0700-000005000000}">
      <text>
        <r>
          <rPr>
            <b/>
            <sz val="9"/>
            <color rgb="FF000000"/>
            <rFont val="Tahoma"/>
            <family val="2"/>
          </rPr>
          <t xml:space="preserve">The (x/L) axial location of the fuselage where the nose and constant diameter cabin join.  </t>
        </r>
        <r>
          <rPr>
            <sz val="9"/>
            <color rgb="FF000000"/>
            <rFont val="Tahoma"/>
            <family val="2"/>
          </rPr>
          <t xml:space="preserve">
</t>
        </r>
        <r>
          <rPr>
            <b/>
            <sz val="9"/>
            <color rgb="FF000000"/>
            <rFont val="Tahoma"/>
            <family val="2"/>
          </rPr>
          <t>Note: 0&lt;(x/L)nose&lt;1</t>
        </r>
      </text>
    </comment>
    <comment ref="Q10" authorId="0" shapeId="0" xr:uid="{00000000-0006-0000-0700-000006000000}">
      <text>
        <r>
          <rPr>
            <b/>
            <sz val="9"/>
            <color rgb="FF000000"/>
            <rFont val="Tahoma"/>
            <family val="2"/>
          </rPr>
          <t>The (x/L) axial location of the fuselage where the tail starts to contour inward.</t>
        </r>
        <r>
          <rPr>
            <sz val="9"/>
            <color rgb="FF000000"/>
            <rFont val="Tahoma"/>
            <family val="2"/>
          </rPr>
          <t xml:space="preserve">
</t>
        </r>
        <r>
          <rPr>
            <b/>
            <sz val="9"/>
            <color rgb="FF000000"/>
            <rFont val="Tahoma"/>
            <family val="2"/>
          </rPr>
          <t>Note: 0&lt;(x/L)tail&lt;1</t>
        </r>
      </text>
    </comment>
    <comment ref="Q11" authorId="0" shapeId="0" xr:uid="{00000000-0006-0000-0700-000007000000}">
      <text>
        <r>
          <rPr>
            <b/>
            <sz val="9"/>
            <color rgb="FF000000"/>
            <rFont val="Tahoma"/>
            <family val="2"/>
          </rPr>
          <t>See Corke page 107.  This is the power series exponent in Equation 5.22</t>
        </r>
        <r>
          <rPr>
            <sz val="9"/>
            <color rgb="FF000000"/>
            <rFont val="Tahoma"/>
            <family val="2"/>
          </rPr>
          <t xml:space="preserve">
</t>
        </r>
      </text>
    </comment>
    <comment ref="Q12" authorId="0" shapeId="0" xr:uid="{00000000-0006-0000-0700-000008000000}">
      <text>
        <r>
          <rPr>
            <b/>
            <sz val="9"/>
            <color rgb="FF000000"/>
            <rFont val="Tahoma"/>
            <family val="2"/>
          </rPr>
          <t xml:space="preserve">Q is the Interference factor between the fuselage and the other components.
</t>
        </r>
        <r>
          <rPr>
            <sz val="9"/>
            <color rgb="FF000000"/>
            <rFont val="Tahoma"/>
            <family val="2"/>
          </rPr>
          <t xml:space="preserve">See Corke page 107, which states the fuselage has a negligible interference factor, so that Q=1 is appropriate.
JWG Note:  If you use Q=1 for the fuselage, then all of the other component interference factors should be &gt;1
</t>
        </r>
      </text>
    </comment>
    <comment ref="Q13" authorId="0" shapeId="0" xr:uid="{00000000-0006-0000-0700-000009000000}">
      <text>
        <r>
          <rPr>
            <b/>
            <sz val="12"/>
            <color rgb="FF000000"/>
            <rFont val="Tahoma"/>
            <family val="2"/>
          </rPr>
          <t xml:space="preserve">k is the average roughness of the fuselage skin.
</t>
        </r>
        <r>
          <rPr>
            <b/>
            <sz val="12"/>
            <color rgb="FF000000"/>
            <rFont val="Tahoma"/>
            <family val="2"/>
          </rPr>
          <t xml:space="preserve">
</t>
        </r>
        <r>
          <rPr>
            <sz val="12"/>
            <color rgb="FF000000"/>
            <rFont val="Tahoma"/>
            <family val="2"/>
          </rPr>
          <t>Review  Corke Section 5.3, including Table 5.12</t>
        </r>
        <r>
          <rPr>
            <sz val="9"/>
            <color rgb="FF000000"/>
            <rFont val="Tahoma"/>
            <family val="2"/>
          </rPr>
          <t xml:space="preserve">
</t>
        </r>
        <r>
          <rPr>
            <sz val="9"/>
            <color rgb="FF000000"/>
            <rFont val="Tahoma"/>
            <family val="2"/>
          </rPr>
          <t xml:space="preserve">
</t>
        </r>
      </text>
    </comment>
    <comment ref="T14" authorId="1" shapeId="0" xr:uid="{55D200D1-C07E-4285-89BE-9E8F642D1477}">
      <text>
        <r>
          <rPr>
            <b/>
            <sz val="9"/>
            <color rgb="FF000000"/>
            <rFont val="Tahoma"/>
            <family val="2"/>
          </rPr>
          <t xml:space="preserve">Only used for Wave drag calculation for;
</t>
        </r>
        <r>
          <rPr>
            <sz val="9"/>
            <color rgb="FF000000"/>
            <rFont val="Tahoma"/>
            <family val="2"/>
          </rPr>
          <t xml:space="preserve">-User Input Fuselage shape
-Cone-Cylinder Fuselage shape
-Power-Series Fuselage shape
See Raymer, pgs. 351-355
Perfect Sears-Haack body, Ewd=1.0
Very clean, smooth perimeter plot, 1.2&lt;Ewd&lt;1.5
Typical fighter, bomber or SST, 1.8&lt;Ewd&lt;2.2
Poor M&gt;1 design, bumpy perimeter plot, 2.0&lt;Ewd&lt;3.0
</t>
        </r>
      </text>
    </comment>
    <comment ref="B34" authorId="0" shapeId="0" xr:uid="{00000000-0006-0000-0700-00000B000000}">
      <text>
        <r>
          <rPr>
            <b/>
            <sz val="10"/>
            <color rgb="FF000000"/>
            <rFont val="Tahoma"/>
            <family val="2"/>
          </rPr>
          <t xml:space="preserve">See Corke text on pages 87 and 91 and Table 5.1
Baggage Volume Accommodation                                                                               (ft3)
                                                                                                                                             </t>
        </r>
        <r>
          <rPr>
            <b/>
            <u/>
            <sz val="10"/>
            <color rgb="FF000000"/>
            <rFont val="Tahoma"/>
            <family val="2"/>
          </rPr>
          <t>Volume</t>
        </r>
        <r>
          <rPr>
            <b/>
            <sz val="10"/>
            <color rgb="FF000000"/>
            <rFont val="Tahoma"/>
            <family val="2"/>
          </rPr>
          <t xml:space="preserve">
Subsonic Commercial Transport        Long Range w/Cargo Containers            15 to 25
Subsonic Commercial Transport        Short Range w/Cargo Containers            ~15
Subsonic Commercial Transport        Short Range wo/Cargo Containers          6 to 8</t>
        </r>
        <r>
          <rPr>
            <b/>
            <sz val="9"/>
            <color rgb="FF000000"/>
            <rFont val="Tahoma"/>
            <family val="2"/>
          </rPr>
          <t xml:space="preserve">
 </t>
        </r>
      </text>
    </comment>
    <comment ref="I34" authorId="0" shapeId="0" xr:uid="{00000000-0006-0000-0700-00000C000000}">
      <text>
        <r>
          <rPr>
            <b/>
            <sz val="10"/>
            <color rgb="FF000000"/>
            <rFont val="Tahoma"/>
            <family val="2"/>
          </rPr>
          <t xml:space="preserve">See Corke text on pages 87 and 91 and Table 5.1
Baggage Volume Accommodation                                                                               (ft3)
                                                                                                                                             </t>
        </r>
        <r>
          <rPr>
            <b/>
            <u/>
            <sz val="10"/>
            <color rgb="FF000000"/>
            <rFont val="Tahoma"/>
            <family val="2"/>
          </rPr>
          <t>Volume</t>
        </r>
        <r>
          <rPr>
            <b/>
            <sz val="10"/>
            <color rgb="FF000000"/>
            <rFont val="Tahoma"/>
            <family val="2"/>
          </rPr>
          <t xml:space="preserve">
Subsonic Commercial Transport        Long Range w/Cargo Containers            15 to 25
Subsonic Commercial Transport        Short Range w/Cargo Containers            ~15
Subsonic Commercial Transport        Short Range wo/Cargo Containers          6 to 8</t>
        </r>
        <r>
          <rPr>
            <b/>
            <sz val="9"/>
            <color rgb="FF000000"/>
            <rFont val="Tahoma"/>
            <family val="2"/>
          </rPr>
          <t xml:space="preserve">
 </t>
        </r>
      </text>
    </comment>
    <comment ref="D56" authorId="0" shapeId="0" xr:uid="{86FD0FEB-B842-4802-A7B9-1A176CBE72DB}">
      <text>
        <r>
          <rPr>
            <b/>
            <sz val="12"/>
            <color rgb="FF000000"/>
            <rFont val="Tahoma"/>
            <family val="2"/>
          </rPr>
          <t xml:space="preserve">Reference Corke, Section 5.1.2 Crew Requirements, pages 92-95.
</t>
        </r>
        <r>
          <rPr>
            <b/>
            <sz val="12"/>
            <color rgb="FF000000"/>
            <rFont val="Tahoma"/>
            <family val="2"/>
          </rPr>
          <t xml:space="preserve">
</t>
        </r>
        <r>
          <rPr>
            <b/>
            <sz val="12"/>
            <color rgb="FF000000"/>
            <rFont val="Tahoma"/>
            <family val="2"/>
          </rPr>
          <t># of Crew Members is 2, 3 or 4.</t>
        </r>
        <r>
          <rPr>
            <sz val="9"/>
            <color rgb="FF000000"/>
            <rFont val="Tahoma"/>
            <family val="2"/>
          </rPr>
          <t xml:space="preserve">
</t>
        </r>
        <r>
          <rPr>
            <sz val="9"/>
            <color rgb="FF000000"/>
            <rFont val="Tahoma"/>
            <family val="2"/>
          </rPr>
          <t xml:space="preserve"> </t>
        </r>
      </text>
    </comment>
    <comment ref="D57" authorId="0" shapeId="0" xr:uid="{53834092-A1A5-43C3-B909-DD38601C26DA}">
      <text>
        <r>
          <rPr>
            <b/>
            <sz val="12"/>
            <color rgb="FF000000"/>
            <rFont val="Tahoma"/>
            <family val="2"/>
          </rPr>
          <t xml:space="preserve">Note:  This input only effects the Over-nose angle calculation.  The volume of the crew compartment will not change based on this input.
Options
</t>
        </r>
        <r>
          <rPr>
            <sz val="12"/>
            <color rgb="FF000000"/>
            <rFont val="Tahoma"/>
            <family val="2"/>
          </rPr>
          <t>-FAR Part 25 requires a 3 deg glide slope during approach
-Chapter 8 analysis will calculate the glide slope for the design landing case
-Use Chapter 3 analysis to estimate glide slope at landing, but make sure to include drag for landing gear and flaps.</t>
        </r>
      </text>
    </comment>
    <comment ref="D69" authorId="2" shapeId="0" xr:uid="{00000000-0006-0000-0700-00000F000000}">
      <text>
        <r>
          <rPr>
            <b/>
            <sz val="11"/>
            <color rgb="FF000000"/>
            <rFont val="Tahoma"/>
            <family val="2"/>
          </rPr>
          <t>See Table 5.9 Corke, page 96</t>
        </r>
        <r>
          <rPr>
            <sz val="8"/>
            <color rgb="FF000000"/>
            <rFont val="Tahoma"/>
            <family val="2"/>
          </rPr>
          <t xml:space="preserve">
</t>
        </r>
      </text>
    </comment>
    <comment ref="D77" authorId="2" shapeId="0" xr:uid="{00000000-0006-0000-0700-000010000000}">
      <text>
        <r>
          <rPr>
            <b/>
            <sz val="12"/>
            <color rgb="FF000000"/>
            <rFont val="Tahoma"/>
            <family val="2"/>
          </rPr>
          <t>This input represents the % of the rectangular area=chord*(t/c)max
that is inside the airfoil.  Without any better information you can assume that;
0.3&lt;Xaf&lt;0.5</t>
        </r>
      </text>
    </comment>
    <comment ref="D78" authorId="2" shapeId="0" xr:uid="{00000000-0006-0000-0700-000011000000}">
      <text>
        <r>
          <rPr>
            <b/>
            <sz val="12"/>
            <color rgb="FF000000"/>
            <rFont val="Tahoma"/>
            <family val="2"/>
          </rPr>
          <t>This factor accounts for the % of wing span that is made up of fuel tanks.  The fuel tanks typically make up 30 to 50% of the span.</t>
        </r>
        <r>
          <rPr>
            <sz val="8"/>
            <color rgb="FF000000"/>
            <rFont val="Tahoma"/>
            <family val="2"/>
          </rPr>
          <t xml:space="preserve">
</t>
        </r>
      </text>
    </comment>
    <comment ref="D80" authorId="2" shapeId="0" xr:uid="{00000000-0006-0000-0700-000012000000}">
      <text>
        <r>
          <rPr>
            <b/>
            <sz val="12"/>
            <color rgb="FF000000"/>
            <rFont val="Tahoma"/>
            <family val="2"/>
          </rPr>
          <t xml:space="preserve">Reference:  Corke, pages 95 and 96
</t>
        </r>
        <r>
          <rPr>
            <b/>
            <u/>
            <sz val="12"/>
            <color rgb="FF000000"/>
            <rFont val="Tahoma"/>
            <family val="2"/>
          </rPr>
          <t xml:space="preserve">Type </t>
        </r>
        <r>
          <rPr>
            <b/>
            <sz val="12"/>
            <color rgb="FF000000"/>
            <rFont val="Tahoma"/>
            <family val="2"/>
          </rPr>
          <t xml:space="preserve">           </t>
        </r>
        <r>
          <rPr>
            <b/>
            <u/>
            <sz val="12"/>
            <color rgb="FF000000"/>
            <rFont val="Tahoma"/>
            <family val="2"/>
          </rPr>
          <t>Flag</t>
        </r>
        <r>
          <rPr>
            <b/>
            <sz val="12"/>
            <color rgb="FF000000"/>
            <rFont val="Tahoma"/>
            <family val="2"/>
          </rPr>
          <t xml:space="preserve">      </t>
        </r>
        <r>
          <rPr>
            <b/>
            <u/>
            <sz val="12"/>
            <color rgb="FF000000"/>
            <rFont val="Tahoma"/>
            <family val="2"/>
          </rPr>
          <t>Comment</t>
        </r>
        <r>
          <rPr>
            <b/>
            <sz val="12"/>
            <color rgb="FF000000"/>
            <rFont val="Tahoma"/>
            <family val="2"/>
          </rPr>
          <t xml:space="preserve">
Discrete       1             Typical for small, general aviation a/c
Bladder        2              Self-sealing, best for survivability
Integral        3              Most prone to leaks, don't locate near engines</t>
        </r>
        <r>
          <rPr>
            <sz val="8"/>
            <color rgb="FF000000"/>
            <rFont val="Tahoma"/>
            <family val="2"/>
          </rPr>
          <t xml:space="preserve">
</t>
        </r>
      </text>
    </comment>
    <comment ref="D81" authorId="2" shapeId="0" xr:uid="{00000000-0006-0000-0700-000013000000}">
      <text>
        <r>
          <rPr>
            <b/>
            <sz val="12"/>
            <color rgb="FF000000"/>
            <rFont val="Tahoma"/>
            <family val="2"/>
          </rPr>
          <t xml:space="preserve">Reference:  Corke, pages 95 and 96
Fuel Volume Capacity Factor = Vc,fuel
</t>
        </r>
        <r>
          <rPr>
            <b/>
            <u/>
            <sz val="12"/>
            <color rgb="FF000000"/>
            <rFont val="Tahoma"/>
            <family val="2"/>
          </rPr>
          <t xml:space="preserve">Type  </t>
        </r>
        <r>
          <rPr>
            <b/>
            <sz val="12"/>
            <color rgb="FF000000"/>
            <rFont val="Tahoma"/>
            <family val="2"/>
          </rPr>
          <t xml:space="preserve">                                    </t>
        </r>
        <r>
          <rPr>
            <b/>
            <u/>
            <sz val="12"/>
            <color rgb="FF000000"/>
            <rFont val="Tahoma"/>
            <family val="2"/>
          </rPr>
          <t>Wing</t>
        </r>
        <r>
          <rPr>
            <b/>
            <sz val="12"/>
            <color rgb="FF000000"/>
            <rFont val="Tahoma"/>
            <family val="2"/>
          </rPr>
          <t xml:space="preserve">        </t>
        </r>
        <r>
          <rPr>
            <b/>
            <u/>
            <sz val="12"/>
            <color rgb="FF000000"/>
            <rFont val="Tahoma"/>
            <family val="2"/>
          </rPr>
          <t>Fuselage</t>
        </r>
        <r>
          <rPr>
            <b/>
            <sz val="12"/>
            <color rgb="FF000000"/>
            <rFont val="Tahoma"/>
            <family val="2"/>
          </rPr>
          <t xml:space="preserve">
Discrete                                 0.95          0.95
Bladder                                  0.77          0.83
Integral, plain                        0.85          0.92
Integral, fire safety foam     0.8075      0.874  </t>
        </r>
        <r>
          <rPr>
            <sz val="8"/>
            <color rgb="FF000000"/>
            <rFont val="Tahoma"/>
            <family val="2"/>
          </rPr>
          <t xml:space="preserve">
</t>
        </r>
      </text>
    </comment>
    <comment ref="D83" authorId="2" shapeId="0" xr:uid="{00000000-0006-0000-0700-000014000000}">
      <text>
        <r>
          <rPr>
            <b/>
            <sz val="12"/>
            <color rgb="FF000000"/>
            <rFont val="Tahoma"/>
            <family val="2"/>
          </rPr>
          <t>Generally for general aviation and commercial aircraft, if it is possible to house all of the fuel in the wing, then this is preferred.  Military aircraft that are designed for combat would rather have fuel in the fuselage.  If it's not possible to house all the fuel in the wing, then some provisions must be made for fuel in the fuselage.  See Corke, page 95 and 96 for discussion on the placement of fuselage fuel tanks.</t>
        </r>
        <r>
          <rPr>
            <sz val="8"/>
            <color rgb="FF000000"/>
            <rFont val="Tahoma"/>
            <family val="2"/>
          </rPr>
          <t xml:space="preserve">
</t>
        </r>
      </text>
    </comment>
    <comment ref="D88" authorId="2" shapeId="0" xr:uid="{00000000-0006-0000-0700-000015000000}">
      <text>
        <r>
          <rPr>
            <b/>
            <sz val="11"/>
            <color rgb="FF000000"/>
            <rFont val="Tahoma"/>
            <family val="2"/>
          </rPr>
          <t xml:space="preserve">Reference:  Corke, pages 95 and 96
Fuel Volume Capacity Factor = Vc,fuel
</t>
        </r>
        <r>
          <rPr>
            <b/>
            <u/>
            <sz val="11"/>
            <color rgb="FF000000"/>
            <rFont val="Tahoma"/>
            <family val="2"/>
          </rPr>
          <t xml:space="preserve">Type </t>
        </r>
        <r>
          <rPr>
            <b/>
            <sz val="11"/>
            <color rgb="FF000000"/>
            <rFont val="Tahoma"/>
            <family val="2"/>
          </rPr>
          <t xml:space="preserve">                                      </t>
        </r>
        <r>
          <rPr>
            <b/>
            <u/>
            <sz val="11"/>
            <color rgb="FF000000"/>
            <rFont val="Tahoma"/>
            <family val="2"/>
          </rPr>
          <t xml:space="preserve">Wing </t>
        </r>
        <r>
          <rPr>
            <b/>
            <sz val="11"/>
            <color rgb="FF000000"/>
            <rFont val="Tahoma"/>
            <family val="2"/>
          </rPr>
          <t xml:space="preserve">       </t>
        </r>
        <r>
          <rPr>
            <b/>
            <u/>
            <sz val="11"/>
            <color rgb="FF000000"/>
            <rFont val="Tahoma"/>
            <family val="2"/>
          </rPr>
          <t>Fuselage</t>
        </r>
        <r>
          <rPr>
            <b/>
            <sz val="11"/>
            <color rgb="FF000000"/>
            <rFont val="Tahoma"/>
            <family val="2"/>
          </rPr>
          <t xml:space="preserve">
Discrete                                  0.95          0.95
Bladder                                   0.77          0.83
Integral, plain                         0.85          0.92
Integral, fire safety foam      0.8075      0.874  </t>
        </r>
        <r>
          <rPr>
            <sz val="8"/>
            <color rgb="FF000000"/>
            <rFont val="Tahoma"/>
            <family val="2"/>
          </rPr>
          <t xml:space="preserve">
</t>
        </r>
      </text>
    </comment>
    <comment ref="D90" authorId="0" shapeId="0" xr:uid="{00000000-0006-0000-0700-000016000000}">
      <text>
        <r>
          <rPr>
            <b/>
            <sz val="12"/>
            <color rgb="FF000000"/>
            <rFont val="Tahoma"/>
            <family val="2"/>
          </rPr>
          <t xml:space="preserve">Options
</t>
        </r>
        <r>
          <rPr>
            <sz val="12"/>
            <color rgb="FF000000"/>
            <rFont val="Tahoma"/>
            <family val="2"/>
          </rPr>
          <t>-For Fighters/Combat aircraft this can be a large number,</t>
        </r>
        <r>
          <rPr>
            <b/>
            <sz val="12"/>
            <color rgb="FF000000"/>
            <rFont val="Tahoma"/>
            <family val="2"/>
          </rPr>
          <t xml:space="preserve"> like 0.60 to 0.80</t>
        </r>
        <r>
          <rPr>
            <sz val="12"/>
            <color rgb="FF000000"/>
            <rFont val="Tahoma"/>
            <family val="2"/>
          </rPr>
          <t xml:space="preserve">
-Similarly, for small general aviation aircraft the fuel tank can be large relative to the cross-section, </t>
        </r>
        <r>
          <rPr>
            <b/>
            <sz val="12"/>
            <color rgb="FF000000"/>
            <rFont val="Tahoma"/>
            <family val="2"/>
          </rPr>
          <t>so use 0.40 to 0.50</t>
        </r>
        <r>
          <rPr>
            <sz val="12"/>
            <color rgb="FF000000"/>
            <rFont val="Tahoma"/>
            <family val="2"/>
          </rPr>
          <t xml:space="preserve">
-For commercial aircraft the fuel tanks are in the hold and are limited in the % of the cross section,</t>
        </r>
        <r>
          <rPr>
            <b/>
            <sz val="12"/>
            <color rgb="FF000000"/>
            <rFont val="Tahoma"/>
            <family val="2"/>
          </rPr>
          <t xml:space="preserve"> so use 0.10 to 0.20</t>
        </r>
        <r>
          <rPr>
            <sz val="9"/>
            <color rgb="FF000000"/>
            <rFont val="Tahoma"/>
            <family val="2"/>
          </rPr>
          <t xml:space="preserve">
</t>
        </r>
      </text>
    </comment>
    <comment ref="D96" authorId="0" shapeId="0" xr:uid="{00000000-0006-0000-0700-000017000000}">
      <text>
        <r>
          <rPr>
            <b/>
            <sz val="12"/>
            <color rgb="FF000000"/>
            <rFont val="Tahoma"/>
            <family val="2"/>
          </rPr>
          <t>Options</t>
        </r>
        <r>
          <rPr>
            <sz val="12"/>
            <color rgb="FF000000"/>
            <rFont val="Tahoma"/>
            <family val="2"/>
          </rPr>
          <t xml:space="preserve">
-Use Av Week database for like or competitors engine
-Table 7.2 for TurboFans / TurboJets
-Table 7.3 for Turboprops and Recips</t>
        </r>
      </text>
    </comment>
    <comment ref="D97" authorId="0" shapeId="0" xr:uid="{00000000-0006-0000-0700-000018000000}">
      <text>
        <r>
          <rPr>
            <b/>
            <sz val="12"/>
            <color rgb="FF000000"/>
            <rFont val="Tahoma"/>
            <family val="2"/>
          </rPr>
          <t>Options</t>
        </r>
        <r>
          <rPr>
            <sz val="12"/>
            <color rgb="FF000000"/>
            <rFont val="Tahoma"/>
            <family val="2"/>
          </rPr>
          <t xml:space="preserve">
-Assume 1.1 &lt; Feng vol &lt; 1.5
-Table 7.2 for TurboFans / TurboJets
-Table 7.3 for Turboprops and Recips</t>
        </r>
      </text>
    </comment>
    <comment ref="D98" authorId="0" shapeId="0" xr:uid="{00000000-0006-0000-0700-000019000000}">
      <text>
        <r>
          <rPr>
            <b/>
            <sz val="12"/>
            <color rgb="FF000000"/>
            <rFont val="Tahoma"/>
            <family val="2"/>
          </rPr>
          <t>Options</t>
        </r>
        <r>
          <rPr>
            <sz val="12"/>
            <color rgb="FF000000"/>
            <rFont val="Tahoma"/>
            <family val="2"/>
          </rPr>
          <t xml:space="preserve">
-Assume 1.1 &lt; Feng vol &lt; 1.5 for first pass
-Use 1.0 if table 7.2 or 7.3 value is used for Engine Length and Diameter</t>
        </r>
      </text>
    </comment>
    <comment ref="D99" authorId="0" shapeId="0" xr:uid="{00000000-0006-0000-0700-00001A000000}">
      <text>
        <r>
          <rPr>
            <b/>
            <sz val="12"/>
            <color rgb="FF000000"/>
            <rFont val="Tahoma"/>
            <family val="2"/>
          </rPr>
          <t xml:space="preserve">Options
</t>
        </r>
        <r>
          <rPr>
            <sz val="12"/>
            <color rgb="FF000000"/>
            <rFont val="Tahoma"/>
            <family val="2"/>
          </rPr>
          <t>-Review Corke Section 5.1.4, pages 96-97
-Use 0.6 for aft mount, 0.1 for front mount</t>
        </r>
        <r>
          <rPr>
            <sz val="9"/>
            <color rgb="FF000000"/>
            <rFont val="Tahoma"/>
            <family val="2"/>
          </rPr>
          <t xml:space="preserve">
</t>
        </r>
      </text>
    </comment>
    <comment ref="D111" authorId="2" shapeId="0" xr:uid="{00000000-0006-0000-0700-00001B000000}">
      <text>
        <r>
          <rPr>
            <b/>
            <sz val="14"/>
            <color rgb="FF000000"/>
            <rFont val="Tahoma"/>
            <family val="2"/>
          </rPr>
          <t xml:space="preserve">Reference Corke, Section 5.1.6, pages 97-99.  Choose the Type of Landing Gear for Your Design:
                                             </t>
        </r>
        <r>
          <rPr>
            <b/>
            <u/>
            <sz val="14"/>
            <color rgb="FF000000"/>
            <rFont val="Tahoma"/>
            <family val="2"/>
          </rPr>
          <t># of Wheels</t>
        </r>
        <r>
          <rPr>
            <b/>
            <sz val="14"/>
            <color rgb="FF000000"/>
            <rFont val="Tahoma"/>
            <family val="2"/>
          </rPr>
          <t xml:space="preserve">
Single                                         1
Tandom                                     2
Triple                                          3
Dual                                            2
Dual Tandom                            4
Triple Dual Tandom                 6
Dual Twin                                   4            
Dual Twin Tandom                   8
Twin Tricycle                             6</t>
        </r>
        <r>
          <rPr>
            <b/>
            <sz val="8"/>
            <color rgb="FF000000"/>
            <rFont val="Tahoma"/>
            <family val="2"/>
          </rPr>
          <t xml:space="preserve">
</t>
        </r>
      </text>
    </comment>
    <comment ref="D112" authorId="0" shapeId="0" xr:uid="{00000000-0006-0000-0700-00001C000000}">
      <text>
        <r>
          <rPr>
            <b/>
            <sz val="14"/>
            <color rgb="FF000000"/>
            <rFont val="Tahoma"/>
            <family val="2"/>
          </rPr>
          <t>Options
-Review Corke Figure 5.8, choose 1, 2, 3, 4, 6 or 8</t>
        </r>
        <r>
          <rPr>
            <sz val="9"/>
            <color rgb="FF000000"/>
            <rFont val="Tahoma"/>
            <family val="2"/>
          </rPr>
          <t xml:space="preserve">
</t>
        </r>
      </text>
    </comment>
    <comment ref="D113" authorId="0" shapeId="0" xr:uid="{00000000-0006-0000-0700-00001D000000}">
      <text>
        <r>
          <rPr>
            <b/>
            <sz val="14"/>
            <color rgb="FF000000"/>
            <rFont val="Tahoma"/>
            <family val="2"/>
          </rPr>
          <t>Options
-Review Corke Figure 5.8, choose 2 or 4</t>
        </r>
        <r>
          <rPr>
            <sz val="9"/>
            <color rgb="FF000000"/>
            <rFont val="Tahoma"/>
            <family val="2"/>
          </rPr>
          <t xml:space="preserve">
</t>
        </r>
      </text>
    </comment>
    <comment ref="D114" authorId="0" shapeId="0" xr:uid="{00000000-0006-0000-0700-00001E000000}">
      <text>
        <r>
          <rPr>
            <b/>
            <sz val="14"/>
            <color rgb="FF000000"/>
            <rFont val="Tahoma"/>
            <family val="2"/>
          </rPr>
          <t>Options
-Review Corke Figure 5.8, choose 1, 2 or 3</t>
        </r>
        <r>
          <rPr>
            <sz val="9"/>
            <color rgb="FF000000"/>
            <rFont val="Tahoma"/>
            <family val="2"/>
          </rPr>
          <t xml:space="preserve">
</t>
        </r>
      </text>
    </comment>
    <comment ref="D115" authorId="2" shapeId="0" xr:uid="{00000000-0006-0000-0700-00001F000000}">
      <text>
        <r>
          <rPr>
            <b/>
            <sz val="14"/>
            <color rgb="FF000000"/>
            <rFont val="Tahoma"/>
            <family val="2"/>
          </rPr>
          <t>Reference Table 5.10 Corke, page 100</t>
        </r>
        <r>
          <rPr>
            <sz val="8"/>
            <color rgb="FF000000"/>
            <rFont val="Tahoma"/>
            <family val="2"/>
          </rPr>
          <t xml:space="preserve">
</t>
        </r>
      </text>
    </comment>
    <comment ref="D116" authorId="2" shapeId="0" xr:uid="{00000000-0006-0000-0700-000020000000}">
      <text>
        <r>
          <rPr>
            <b/>
            <sz val="14"/>
            <color rgb="FF000000"/>
            <rFont val="Tahoma"/>
            <family val="2"/>
          </rPr>
          <t>Reference Table 5.10 Corke, page 100</t>
        </r>
        <r>
          <rPr>
            <sz val="8"/>
            <color rgb="FF000000"/>
            <rFont val="Tahoma"/>
            <family val="2"/>
          </rPr>
          <t xml:space="preserve">
</t>
        </r>
      </text>
    </comment>
    <comment ref="D117" authorId="2" shapeId="0" xr:uid="{00000000-0006-0000-0700-000021000000}">
      <text>
        <r>
          <rPr>
            <b/>
            <sz val="14"/>
            <color rgb="FF000000"/>
            <rFont val="Tahoma"/>
            <family val="2"/>
          </rPr>
          <t>Reference Table 5.10 Corke, page 100</t>
        </r>
        <r>
          <rPr>
            <sz val="8"/>
            <color rgb="FF000000"/>
            <rFont val="Tahoma"/>
            <family val="2"/>
          </rPr>
          <t xml:space="preserve">
</t>
        </r>
      </text>
    </comment>
    <comment ref="D118" authorId="2" shapeId="0" xr:uid="{00000000-0006-0000-0700-000022000000}">
      <text>
        <r>
          <rPr>
            <b/>
            <sz val="14"/>
            <color rgb="FF000000"/>
            <rFont val="Tahoma"/>
            <family val="2"/>
          </rPr>
          <t>Reference Table 5.10 Corke, page 100</t>
        </r>
        <r>
          <rPr>
            <sz val="8"/>
            <color rgb="FF000000"/>
            <rFont val="Tahoma"/>
            <family val="2"/>
          </rPr>
          <t xml:space="preserve">
</t>
        </r>
      </text>
    </comment>
    <comment ref="D128" authorId="0" shapeId="0" xr:uid="{00000000-0006-0000-0700-000023000000}">
      <text>
        <r>
          <rPr>
            <b/>
            <sz val="14"/>
            <color rgb="FF000000"/>
            <rFont val="Tahoma"/>
            <family val="2"/>
          </rPr>
          <t xml:space="preserve">Options:
</t>
        </r>
        <r>
          <rPr>
            <sz val="14"/>
            <color rgb="FF000000"/>
            <rFont val="Tahoma"/>
            <family val="2"/>
          </rPr>
          <t xml:space="preserve">-If the wing or wing-mounted nacelles are used to house gear, or if the gear is fixed (non-retractable) </t>
        </r>
        <r>
          <rPr>
            <b/>
            <sz val="14"/>
            <color rgb="FF000000"/>
            <rFont val="Tahoma"/>
            <family val="2"/>
          </rPr>
          <t>then use 0.0</t>
        </r>
        <r>
          <rPr>
            <sz val="14"/>
            <color rgb="FF000000"/>
            <rFont val="Tahoma"/>
            <family val="2"/>
          </rPr>
          <t xml:space="preserve">
-If Wheel Blisters are used that protrude from the fusealge, </t>
        </r>
        <r>
          <rPr>
            <b/>
            <sz val="14"/>
            <color rgb="FF000000"/>
            <rFont val="Tahoma"/>
            <family val="2"/>
          </rPr>
          <t>then use 0.2 to 0.5.</t>
        </r>
        <r>
          <rPr>
            <sz val="14"/>
            <color rgb="FF000000"/>
            <rFont val="Tahoma"/>
            <family val="2"/>
          </rPr>
          <t xml:space="preserve">  Note that this option will require accounting for a drag increase due to the blisters.
-If the entire gera assembly is to be housed in the fuselage, </t>
        </r>
        <r>
          <rPr>
            <b/>
            <sz val="14"/>
            <color rgb="FF000000"/>
            <rFont val="Tahoma"/>
            <family val="2"/>
          </rPr>
          <t>then use 1.0.</t>
        </r>
        <r>
          <rPr>
            <sz val="9"/>
            <color rgb="FF000000"/>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s>
  <commentList>
    <comment ref="E6" authorId="0" shapeId="0" xr:uid="{00000000-0006-0000-0800-000001000000}">
      <text>
        <r>
          <rPr>
            <b/>
            <sz val="9"/>
            <color rgb="FF000000"/>
            <rFont val="Tahoma"/>
            <family val="2"/>
          </rPr>
          <t>Cl</t>
        </r>
        <r>
          <rPr>
            <b/>
            <vertAlign val="subscript"/>
            <sz val="9"/>
            <color rgb="FF000000"/>
            <rFont val="Tahoma"/>
            <family val="2"/>
          </rPr>
          <t>max</t>
        </r>
        <r>
          <rPr>
            <b/>
            <sz val="9"/>
            <color rgb="FF000000"/>
            <rFont val="Tahoma"/>
            <family val="2"/>
          </rPr>
          <t xml:space="preserve"> = 2D maximum lift coefficient,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F6" authorId="0" shapeId="0" xr:uid="{00000000-0006-0000-0800-000002000000}">
      <text>
        <r>
          <rPr>
            <b/>
            <sz val="9"/>
            <color rgb="FF000000"/>
            <rFont val="Tahoma"/>
            <family val="2"/>
          </rPr>
          <t>Cl</t>
        </r>
        <r>
          <rPr>
            <b/>
            <vertAlign val="subscript"/>
            <sz val="9"/>
            <color rgb="FF000000"/>
            <rFont val="Tahoma"/>
            <family val="2"/>
          </rPr>
          <t>max</t>
        </r>
        <r>
          <rPr>
            <b/>
            <sz val="9"/>
            <color rgb="FF000000"/>
            <rFont val="Tahoma"/>
            <family val="2"/>
          </rPr>
          <t xml:space="preserve"> = 2D maximum lift coefficient,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E7" authorId="0" shapeId="0" xr:uid="{00000000-0006-0000-0800-000003000000}">
      <text>
        <r>
          <rPr>
            <b/>
            <sz val="9"/>
            <color rgb="FF000000"/>
            <rFont val="Tahoma"/>
            <family val="2"/>
          </rPr>
          <t>Cl</t>
        </r>
        <r>
          <rPr>
            <b/>
            <vertAlign val="subscript"/>
            <sz val="9"/>
            <color rgb="FF000000"/>
            <rFont val="Symbol"/>
            <family val="1"/>
            <charset val="2"/>
          </rPr>
          <t>a</t>
        </r>
        <r>
          <rPr>
            <b/>
            <sz val="9"/>
            <color rgb="FF000000"/>
            <rFont val="Tahoma"/>
            <family val="2"/>
          </rPr>
          <t xml:space="preserve"> = 2D lift curve slope, unflapped, (1/deg)</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-Review Corke Section 6.4 (pages 127 and 128).
</t>
        </r>
        <r>
          <rPr>
            <sz val="9"/>
            <color rgb="FF000000"/>
            <rFont val="Tahoma"/>
            <family val="2"/>
          </rPr>
          <t xml:space="preserve">-Use "Theory of Wing Sections" by Abbott and von Doenhoff to select a value.
</t>
        </r>
        <r>
          <rPr>
            <sz val="9"/>
            <color rgb="FF000000"/>
            <rFont val="Tahoma"/>
            <family val="2"/>
          </rPr>
          <t xml:space="preserve">-Use another 2D airfoil (include source).
</t>
        </r>
      </text>
    </comment>
    <comment ref="F7" authorId="0" shapeId="0" xr:uid="{00000000-0006-0000-0800-000004000000}">
      <text>
        <r>
          <rPr>
            <b/>
            <sz val="9"/>
            <color rgb="FF000000"/>
            <rFont val="Tahoma"/>
            <family val="2"/>
          </rPr>
          <t>Cl</t>
        </r>
        <r>
          <rPr>
            <b/>
            <vertAlign val="subscript"/>
            <sz val="9"/>
            <color rgb="FF000000"/>
            <rFont val="Symbol"/>
            <family val="1"/>
            <charset val="2"/>
          </rPr>
          <t>a</t>
        </r>
        <r>
          <rPr>
            <b/>
            <sz val="9"/>
            <color rgb="FF000000"/>
            <rFont val="Tahoma"/>
            <family val="2"/>
          </rPr>
          <t xml:space="preserve"> = 2D lift curve slope, unflapped, (1/deg)</t>
        </r>
        <r>
          <rPr>
            <sz val="9"/>
            <color rgb="FF000000"/>
            <rFont val="Tahoma"/>
            <family val="2"/>
          </rPr>
          <t xml:space="preserve">
Options:
-Review Corke Section 6.4 (pages 127 and 128).
-Use "Theory of Wing Sections" by Abbott and von Doenhoff to select a value.
-Use another 2D airfoil (include source).
</t>
        </r>
      </text>
    </comment>
    <comment ref="E8" authorId="0" shapeId="0" xr:uid="{00000000-0006-0000-0800-000005000000}">
      <text>
        <r>
          <rPr>
            <b/>
            <sz val="9"/>
            <color rgb="FF000000"/>
            <rFont val="Tahoma"/>
            <family val="2"/>
          </rPr>
          <t>a.c. = 2D aerodynamic center of airfoil, unflapped, (c)</t>
        </r>
        <r>
          <rPr>
            <sz val="9"/>
            <color rgb="FF000000"/>
            <rFont val="Tahoma"/>
            <family val="2"/>
          </rPr>
          <t xml:space="preserve">
Options:
-Review Corke Section 6.4 (pages 127 and 128).
-Use "Theory of Wing Sections" by Abbott and von Doenhoff to select a value.
-Use another 2D airfoil (include source).
</t>
        </r>
      </text>
    </comment>
    <comment ref="F8" authorId="0" shapeId="0" xr:uid="{00000000-0006-0000-0800-000006000000}">
      <text>
        <r>
          <rPr>
            <b/>
            <sz val="9"/>
            <color rgb="FF000000"/>
            <rFont val="Tahoma"/>
            <family val="2"/>
          </rPr>
          <t>a.c. = 2D aerodynamic center of airfoil, unflapped, (c)</t>
        </r>
        <r>
          <rPr>
            <sz val="9"/>
            <color rgb="FF000000"/>
            <rFont val="Tahoma"/>
            <family val="2"/>
          </rPr>
          <t xml:space="preserve">
Options:
-Review Corke Section 6.4 (pages 127 and 128).
-Use "Theory of Wing Sections" by Abbott and von Doenhoff to select a value.
-Use another 2D airfoil (include source).
</t>
        </r>
      </text>
    </comment>
    <comment ref="M8" authorId="0" shapeId="0" xr:uid="{00000000-0006-0000-0800-000007000000}">
      <text>
        <r>
          <rPr>
            <b/>
            <sz val="9"/>
            <color rgb="FF000000"/>
            <rFont val="Tahoma"/>
            <family val="2"/>
          </rPr>
          <t xml:space="preserve">Options
</t>
        </r>
        <r>
          <rPr>
            <sz val="9"/>
            <color rgb="FF000000"/>
            <rFont val="Tahoma"/>
            <family val="2"/>
          </rPr>
          <t xml:space="preserve">-Review Corke Section 6.1, pages 119-121
-The Table below is based on Corke's Chapter 6 and will be used in this spreadsheet.
-The values below will automatically be used based on the Type FLAG
-For liftinng canards, a study will be required to optimize the %Lift designed for the canard.  15 to 25% is typical.
-Without better information, use the following table for scale and interference factors.
                                                                                                               Interference
#    </t>
        </r>
        <r>
          <rPr>
            <u/>
            <sz val="9"/>
            <color rgb="FF000000"/>
            <rFont val="Tahoma"/>
            <family val="2"/>
          </rPr>
          <t xml:space="preserve">Type </t>
        </r>
        <r>
          <rPr>
            <sz val="9"/>
            <color rgb="FF000000"/>
            <rFont val="Tahoma"/>
            <family val="2"/>
          </rPr>
          <t xml:space="preserve">                       </t>
        </r>
        <r>
          <rPr>
            <u/>
            <sz val="9"/>
            <color rgb="FF000000"/>
            <rFont val="Tahoma"/>
            <family val="2"/>
          </rPr>
          <t xml:space="preserve"> CHT / CHT,conv</t>
        </r>
        <r>
          <rPr>
            <sz val="9"/>
            <color rgb="FF000000"/>
            <rFont val="Tahoma"/>
            <family val="2"/>
          </rPr>
          <t xml:space="preserve">     </t>
        </r>
        <r>
          <rPr>
            <u/>
            <sz val="9"/>
            <color rgb="FF000000"/>
            <rFont val="Tahoma"/>
            <family val="2"/>
          </rPr>
          <t>CVT / CVT,conv</t>
        </r>
        <r>
          <rPr>
            <sz val="9"/>
            <color rgb="FF000000"/>
            <rFont val="Tahoma"/>
            <family val="2"/>
          </rPr>
          <t xml:space="preserve">          </t>
        </r>
        <r>
          <rPr>
            <u/>
            <sz val="9"/>
            <color rgb="FF000000"/>
            <rFont val="Tahoma"/>
            <family val="2"/>
          </rPr>
          <t>Factor = Q</t>
        </r>
        <r>
          <rPr>
            <sz val="9"/>
            <color rgb="FF000000"/>
            <rFont val="Tahoma"/>
            <family val="2"/>
          </rPr>
          <t xml:space="preserve">           </t>
        </r>
        <r>
          <rPr>
            <u/>
            <sz val="9"/>
            <color rgb="FF000000"/>
            <rFont val="Tahoma"/>
            <family val="2"/>
          </rPr>
          <t>Notes</t>
        </r>
        <r>
          <rPr>
            <sz val="9"/>
            <color rgb="FF000000"/>
            <rFont val="Tahoma"/>
            <family val="2"/>
          </rPr>
          <t xml:space="preserve">
1     Conventional                 1.000                    1.000                         1.050                        per Corke Table 6.6
2     T-Tail                              0.950                    0.950                        1.040                       per Corke Table 6.3, assumption
3     Cruciform                       0.975                    0.975                        1.045                        Average of #1 and #2
4     H-Tail                              0.950                    0.500                        1.080                        per Corke Table 6.3 and Table 6.6
5     V-Tail                              1.000                    1.000                        1.030                         per Corke Table 6.3 and Table 6.6
6     Inverted V-Tail               1.000                    1.000                        1.030                         Corke, page 120
7     Y-Tail                              1.000                    1.000                        1.030                          Corke, page 120
8     Twin Tail                          0.500                   0.500                        1.080                         Corke, Figure 6.1
                                                                                                                 Interference
                                            </t>
        </r>
        <r>
          <rPr>
            <u/>
            <sz val="9"/>
            <color rgb="FF000000"/>
            <rFont val="Tahoma"/>
            <family val="2"/>
          </rPr>
          <t>CC / CC,conv</t>
        </r>
        <r>
          <rPr>
            <sz val="9"/>
            <color rgb="FF000000"/>
            <rFont val="Tahoma"/>
            <family val="2"/>
          </rPr>
          <t xml:space="preserve">                                           </t>
        </r>
        <r>
          <rPr>
            <u/>
            <sz val="9"/>
            <color rgb="FF000000"/>
            <rFont val="Tahoma"/>
            <family val="2"/>
          </rPr>
          <t xml:space="preserve"> Factor = Q</t>
        </r>
        <r>
          <rPr>
            <sz val="9"/>
            <color rgb="FF000000"/>
            <rFont val="Tahoma"/>
            <family val="2"/>
          </rPr>
          <t xml:space="preserve">
9     Control Canard             1.000                                                        1.020
10    Lifting Canard                1.000                                                       1.020</t>
        </r>
      </text>
    </comment>
    <comment ref="N8" authorId="0" shapeId="0" xr:uid="{00000000-0006-0000-0800-000008000000}">
      <text>
        <r>
          <rPr>
            <b/>
            <sz val="9"/>
            <color rgb="FF000000"/>
            <rFont val="Tahoma"/>
            <family val="2"/>
          </rPr>
          <t xml:space="preserve">Options
</t>
        </r>
        <r>
          <rPr>
            <sz val="9"/>
            <color rgb="FF000000"/>
            <rFont val="Tahoma"/>
            <family val="2"/>
          </rPr>
          <t xml:space="preserve">-Review Corke Section 6.1, pages 119-121
-The Table below is based on Corke's Chapter 6 and will be used in this spreadsheet.
-The values below will automatically be used based on the Type FLAG
-For liftinng canards, a study will be required to optimize the %Lift designed for the canard.  15 to 25% is typical.
-Without better information, use the following table for scale and interference factors.
                                                                                                               Interference
#    </t>
        </r>
        <r>
          <rPr>
            <u/>
            <sz val="9"/>
            <color rgb="FF000000"/>
            <rFont val="Tahoma"/>
            <family val="2"/>
          </rPr>
          <t xml:space="preserve">Type </t>
        </r>
        <r>
          <rPr>
            <sz val="9"/>
            <color rgb="FF000000"/>
            <rFont val="Tahoma"/>
            <family val="2"/>
          </rPr>
          <t xml:space="preserve">                       </t>
        </r>
        <r>
          <rPr>
            <u/>
            <sz val="9"/>
            <color rgb="FF000000"/>
            <rFont val="Tahoma"/>
            <family val="2"/>
          </rPr>
          <t xml:space="preserve"> CHT / CHT,conv</t>
        </r>
        <r>
          <rPr>
            <sz val="9"/>
            <color rgb="FF000000"/>
            <rFont val="Tahoma"/>
            <family val="2"/>
          </rPr>
          <t xml:space="preserve">     </t>
        </r>
        <r>
          <rPr>
            <u/>
            <sz val="9"/>
            <color rgb="FF000000"/>
            <rFont val="Tahoma"/>
            <family val="2"/>
          </rPr>
          <t>CVT / CVT,conv</t>
        </r>
        <r>
          <rPr>
            <sz val="9"/>
            <color rgb="FF000000"/>
            <rFont val="Tahoma"/>
            <family val="2"/>
          </rPr>
          <t xml:space="preserve">          </t>
        </r>
        <r>
          <rPr>
            <u/>
            <sz val="9"/>
            <color rgb="FF000000"/>
            <rFont val="Tahoma"/>
            <family val="2"/>
          </rPr>
          <t>Factor = Q</t>
        </r>
        <r>
          <rPr>
            <sz val="9"/>
            <color rgb="FF000000"/>
            <rFont val="Tahoma"/>
            <family val="2"/>
          </rPr>
          <t xml:space="preserve">           </t>
        </r>
        <r>
          <rPr>
            <u/>
            <sz val="9"/>
            <color rgb="FF000000"/>
            <rFont val="Tahoma"/>
            <family val="2"/>
          </rPr>
          <t>Notes</t>
        </r>
        <r>
          <rPr>
            <sz val="9"/>
            <color rgb="FF000000"/>
            <rFont val="Tahoma"/>
            <family val="2"/>
          </rPr>
          <t xml:space="preserve">
1     Conventional                 1.000                    1.000                         1.050                        per Corke Table 6.6
2     T-Tail                              0.950                    0.950                        1.040                       per Corke Table 6.3, assumption
3     Cruciform                       0.975                    0.975                        1.045                        Average of #1 and #2
4     H-Tail                              0.950                    0.500                        1.080                        per Corke Table 6.3 and Table 6.6
5     V-Tail                              1.000                    1.000                        1.030                         per Corke Table 6.3 and Table 6.6
6     Inverted V-Tail               1.000                    1.000                        1.030                         Corke, page 120
7     Y-Tail                              1.000                    1.000                        1.030                          Corke, page 120
8     Twin Tail                          0.500                   0.500                        1.080                         Corke, Figure 6.1
                                                                                                                 Interference
                                            </t>
        </r>
        <r>
          <rPr>
            <u/>
            <sz val="9"/>
            <color rgb="FF000000"/>
            <rFont val="Tahoma"/>
            <family val="2"/>
          </rPr>
          <t>CC / CC,conv</t>
        </r>
        <r>
          <rPr>
            <sz val="9"/>
            <color rgb="FF000000"/>
            <rFont val="Tahoma"/>
            <family val="2"/>
          </rPr>
          <t xml:space="preserve">                                           </t>
        </r>
        <r>
          <rPr>
            <u/>
            <sz val="9"/>
            <color rgb="FF000000"/>
            <rFont val="Tahoma"/>
            <family val="2"/>
          </rPr>
          <t xml:space="preserve"> Factor = Q</t>
        </r>
        <r>
          <rPr>
            <sz val="9"/>
            <color rgb="FF000000"/>
            <rFont val="Tahoma"/>
            <family val="2"/>
          </rPr>
          <t xml:space="preserve">
9     Control Canard             1.000                                                        1.020
10    Lifting Canard                1.000                                                       1.020</t>
        </r>
      </text>
    </comment>
    <comment ref="E9" authorId="0" shapeId="0" xr:uid="{00000000-0006-0000-0800-000009000000}">
      <text>
        <r>
          <rPr>
            <b/>
            <sz val="9"/>
            <color rgb="FF000000"/>
            <rFont val="Symbol"/>
            <family val="1"/>
            <charset val="2"/>
          </rPr>
          <t>a</t>
        </r>
        <r>
          <rPr>
            <b/>
            <vertAlign val="subscript"/>
            <sz val="9"/>
            <color rgb="FF000000"/>
            <rFont val="Tahoma"/>
            <family val="2"/>
          </rPr>
          <t>0L</t>
        </r>
        <r>
          <rPr>
            <b/>
            <sz val="9"/>
            <color rgb="FF000000"/>
            <rFont val="Tahoma"/>
            <family val="2"/>
          </rPr>
          <t xml:space="preserve"> = 2D zero lift angle-of-attack, unflapped, (deg)</t>
        </r>
        <r>
          <rPr>
            <sz val="9"/>
            <color rgb="FF000000"/>
            <rFont val="Tahoma"/>
            <family val="2"/>
          </rPr>
          <t xml:space="preserve">
Options:
-Review Corke Section 6.4 (pages 127 and 128).
-Use "Theory of Wing Sections" by Abbott and von Doenhoff to select a value.
-Use another 2D airfoil (include source).
</t>
        </r>
      </text>
    </comment>
    <comment ref="F9" authorId="0" shapeId="0" xr:uid="{00000000-0006-0000-0800-00000A000000}">
      <text>
        <r>
          <rPr>
            <b/>
            <sz val="9"/>
            <color rgb="FF000000"/>
            <rFont val="Symbol"/>
            <family val="1"/>
            <charset val="2"/>
          </rPr>
          <t>a</t>
        </r>
        <r>
          <rPr>
            <b/>
            <vertAlign val="subscript"/>
            <sz val="9"/>
            <color rgb="FF000000"/>
            <rFont val="Tahoma"/>
            <family val="2"/>
          </rPr>
          <t>0L</t>
        </r>
        <r>
          <rPr>
            <b/>
            <sz val="9"/>
            <color rgb="FF000000"/>
            <rFont val="Tahoma"/>
            <family val="2"/>
          </rPr>
          <t xml:space="preserve"> = 2D zero lift angle-of-attack, unflapped, (deg)</t>
        </r>
        <r>
          <rPr>
            <sz val="9"/>
            <color rgb="FF000000"/>
            <rFont val="Tahoma"/>
            <family val="2"/>
          </rPr>
          <t xml:space="preserve">
Options:
-Review Corke Section 6.4 (pages 127 and 128).
-Use "Theory of Wing Sections" by Abbott and von Doenhoff to select a value.
-Use another 2D airfoil (include source).
</t>
        </r>
      </text>
    </comment>
    <comment ref="M9" authorId="0" shapeId="0" xr:uid="{00000000-0006-0000-0800-00000B000000}">
      <text>
        <r>
          <rPr>
            <b/>
            <sz val="9"/>
            <color rgb="FF000000"/>
            <rFont val="Symbol"/>
            <family val="1"/>
            <charset val="2"/>
          </rPr>
          <t xml:space="preserve">l </t>
        </r>
        <r>
          <rPr>
            <b/>
            <sz val="9"/>
            <color rgb="FF000000"/>
            <rFont val="Tahoma"/>
            <family val="2"/>
          </rPr>
          <t>= ct/cr = Taper Ratio of the Horizontal Stabilizer, (-)</t>
        </r>
        <r>
          <rPr>
            <sz val="9"/>
            <color rgb="FF000000"/>
            <rFont val="Tahoma"/>
            <family val="2"/>
          </rPr>
          <t xml:space="preserve">
Options:
-Review Corke Section 6.3, pages 126-127
-Use existing competitor and like aircraft to get an estimate to use.
-Use Corke Table 6.5 (page 127) to select a typical value.</t>
        </r>
      </text>
    </comment>
    <comment ref="N9" authorId="0" shapeId="0" xr:uid="{00000000-0006-0000-0800-00000C000000}">
      <text>
        <r>
          <rPr>
            <b/>
            <sz val="9"/>
            <color rgb="FF000000"/>
            <rFont val="Symbol"/>
            <family val="1"/>
            <charset val="2"/>
          </rPr>
          <t xml:space="preserve">l </t>
        </r>
        <r>
          <rPr>
            <b/>
            <sz val="9"/>
            <color rgb="FF000000"/>
            <rFont val="Tahoma"/>
            <family val="2"/>
          </rPr>
          <t>= ct/cr = Taper Ratio of the Vertical Stabilizer, (-)</t>
        </r>
        <r>
          <rPr>
            <sz val="9"/>
            <color rgb="FF000000"/>
            <rFont val="Tahoma"/>
            <family val="2"/>
          </rPr>
          <t xml:space="preserve">
Options:
-Review Corke Section 6.3, pages 126-127
-Use existing competitor and like aircraft to get an estimate to use.
-Use Corke Table 6.5 (page 127) to select a typical value.</t>
        </r>
      </text>
    </comment>
    <comment ref="E10" authorId="0" shapeId="0" xr:uid="{00000000-0006-0000-0800-00000D000000}">
      <text>
        <r>
          <rPr>
            <b/>
            <sz val="9"/>
            <color rgb="FF000000"/>
            <rFont val="Tahoma"/>
            <family val="2"/>
          </rPr>
          <t>NOTE:  This input is not used for any calculations.  Just for reference only.
Cd0 = 2D minimum (or bucket) drag coefficient,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F10" authorId="0" shapeId="0" xr:uid="{00000000-0006-0000-0800-00000E000000}">
      <text>
        <r>
          <rPr>
            <b/>
            <sz val="9"/>
            <color rgb="FF000000"/>
            <rFont val="Tahoma"/>
            <family val="2"/>
          </rPr>
          <t>NOTE:  This input is not used for any calculations.  Just for reference only.
Cd0 = 2D minimum (or bucket) drag coefficient,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M10" authorId="0" shapeId="0" xr:uid="{00000000-0006-0000-0800-00000F000000}">
      <text>
        <r>
          <rPr>
            <b/>
            <sz val="9"/>
            <color rgb="FF000000"/>
            <rFont val="Symbol"/>
            <family val="1"/>
            <charset val="2"/>
          </rPr>
          <t>L</t>
        </r>
        <r>
          <rPr>
            <b/>
            <vertAlign val="subscript"/>
            <sz val="9"/>
            <color rgb="FF000000"/>
            <rFont val="Tahoma"/>
            <family val="2"/>
          </rPr>
          <t>LE</t>
        </r>
        <r>
          <rPr>
            <b/>
            <sz val="9"/>
            <color rgb="FF000000"/>
            <rFont val="Tahoma"/>
            <family val="2"/>
          </rPr>
          <t xml:space="preserve"> = Leading Edge Sweepback Angle of the Horizontal Stabilizer, (deg)</t>
        </r>
        <r>
          <rPr>
            <sz val="9"/>
            <color rgb="FF000000"/>
            <rFont val="Tahoma"/>
            <family val="2"/>
          </rPr>
          <t xml:space="preserve">
Options:
-Review Corke Section 6.3, pages 126-127
-Use existing competitor and like aircraft to get an estimate to use.
Note(s):
 -It's important that the critical Mach  number of the stabilizers be greater than that of the main wing.  This can be done by either increasing the sweep angle of the stabilizers OR decreasing the max thickness-to-chord ratio's of the stabilizers relative to that of the main wing.
</t>
        </r>
      </text>
    </comment>
    <comment ref="N10" authorId="0" shapeId="0" xr:uid="{00000000-0006-0000-0800-000010000000}">
      <text>
        <r>
          <rPr>
            <b/>
            <sz val="9"/>
            <color rgb="FF000000"/>
            <rFont val="Symbol"/>
            <family val="1"/>
            <charset val="2"/>
          </rPr>
          <t>L</t>
        </r>
        <r>
          <rPr>
            <b/>
            <vertAlign val="subscript"/>
            <sz val="9"/>
            <color rgb="FF000000"/>
            <rFont val="Tahoma"/>
            <family val="2"/>
          </rPr>
          <t>LE</t>
        </r>
        <r>
          <rPr>
            <b/>
            <sz val="9"/>
            <color rgb="FF000000"/>
            <rFont val="Tahoma"/>
            <family val="2"/>
          </rPr>
          <t xml:space="preserve"> = Leading Edge Sweepback Angle of the Vertical Stabilizer, (deg)</t>
        </r>
        <r>
          <rPr>
            <sz val="9"/>
            <color rgb="FF000000"/>
            <rFont val="Tahoma"/>
            <family val="2"/>
          </rPr>
          <t xml:space="preserve">
Options:
-Review Corke Section 6.3, pages 126-127
-Use existing competitor and like aircraft to get an estimate to use.
Note(s):
 -35 deg &lt; </t>
        </r>
        <r>
          <rPr>
            <sz val="9"/>
            <color rgb="FF000000"/>
            <rFont val="Symbol"/>
            <family val="1"/>
            <charset val="2"/>
          </rPr>
          <t>L</t>
        </r>
        <r>
          <rPr>
            <sz val="9"/>
            <color rgb="FF000000"/>
            <rFont val="Tahoma"/>
            <family val="2"/>
          </rPr>
          <t>LE &lt; 55 deg (typical for M&lt;1)
 -It's important that the critical Mach  number of the stabilizers be greater than that of the main wing.  This can be done by either increasing the sweep angle of the stabilizers OR decreasing the max thickness-to-chord ratio's of the stabilizers relative to that of the main wing.</t>
        </r>
      </text>
    </comment>
    <comment ref="E11" authorId="0" shapeId="0" xr:uid="{00000000-0006-0000-0800-000011000000}">
      <text>
        <r>
          <rPr>
            <b/>
            <sz val="9"/>
            <color rgb="FF000000"/>
            <rFont val="Tahoma"/>
            <family val="2"/>
          </rPr>
          <t>NOTE:  This input is not used for any calculations.  Just for reference only.
rle = 2D airfoil leading edge radius,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F11" authorId="0" shapeId="0" xr:uid="{00000000-0006-0000-0800-000012000000}">
      <text>
        <r>
          <rPr>
            <b/>
            <sz val="9"/>
            <color rgb="FF000000"/>
            <rFont val="Tahoma"/>
            <family val="2"/>
          </rPr>
          <t>NOTE:  This input is not used for any calculations.  Just for reference only.</t>
        </r>
        <r>
          <rPr>
            <sz val="9"/>
            <color rgb="FF000000"/>
            <rFont val="Tahoma"/>
            <family val="2"/>
          </rPr>
          <t xml:space="preserve">
</t>
        </r>
        <r>
          <rPr>
            <b/>
            <sz val="9"/>
            <color rgb="FF000000"/>
            <rFont val="Tahoma"/>
            <family val="2"/>
          </rPr>
          <t>rle = 2D airfoil leading edge radius,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M11" authorId="0" shapeId="0" xr:uid="{00000000-0006-0000-0800-000013000000}">
      <text>
        <r>
          <rPr>
            <b/>
            <sz val="9"/>
            <color rgb="FF000000"/>
            <rFont val="Tahoma"/>
            <family val="2"/>
          </rPr>
          <t>t/c = (t/c)max = Maximum Thickness-to-Chord ratio of the Horizontal Stabilizer, (-)</t>
        </r>
        <r>
          <rPr>
            <sz val="9"/>
            <color rgb="FF000000"/>
            <rFont val="Tahoma"/>
            <family val="2"/>
          </rPr>
          <t xml:space="preserve">
</t>
        </r>
        <r>
          <rPr>
            <b/>
            <sz val="9"/>
            <color rgb="FF000000"/>
            <rFont val="Tahoma"/>
            <family val="2"/>
          </rPr>
          <t>Options:</t>
        </r>
        <r>
          <rPr>
            <sz val="9"/>
            <color rgb="FF000000"/>
            <rFont val="Tahoma"/>
            <family val="2"/>
          </rPr>
          <t xml:space="preserve">
-Review Corke Section 6.3, pages 126-127
-Review Case Study - Corke Section 6.6. pages 134-137
-Note(s)
 -It's important that the critical Mach  number of the stabilizers be greater than that of the main wing.  This can be done by either</t>
        </r>
        <r>
          <rPr>
            <u/>
            <sz val="9"/>
            <color rgb="FF000000"/>
            <rFont val="Tahoma"/>
            <family val="2"/>
          </rPr>
          <t xml:space="preserve"> increasing</t>
        </r>
        <r>
          <rPr>
            <sz val="9"/>
            <color rgb="FF000000"/>
            <rFont val="Tahoma"/>
            <family val="2"/>
          </rPr>
          <t xml:space="preserve"> the sweep angle of the stabilizers OR </t>
        </r>
        <r>
          <rPr>
            <u/>
            <sz val="9"/>
            <color rgb="FF000000"/>
            <rFont val="Tahoma"/>
            <family val="2"/>
          </rPr>
          <t>decreasing</t>
        </r>
        <r>
          <rPr>
            <sz val="9"/>
            <color rgb="FF000000"/>
            <rFont val="Tahoma"/>
            <family val="2"/>
          </rPr>
          <t xml:space="preserve"> the max thickness-to-chord ratio's of the stabilizers relative to that of the main wing.
</t>
        </r>
      </text>
    </comment>
    <comment ref="N11" authorId="0" shapeId="0" xr:uid="{00000000-0006-0000-0800-000014000000}">
      <text>
        <r>
          <rPr>
            <b/>
            <sz val="9"/>
            <color rgb="FF000000"/>
            <rFont val="Tahoma"/>
            <family val="2"/>
          </rPr>
          <t>t/c = (t/c)max = Maximum Thickness-to-Chord ratio of the Vertical Stabilizer, (-)</t>
        </r>
        <r>
          <rPr>
            <sz val="9"/>
            <color rgb="FF000000"/>
            <rFont val="Tahoma"/>
            <family val="2"/>
          </rPr>
          <t xml:space="preserve">
</t>
        </r>
        <r>
          <rPr>
            <b/>
            <sz val="9"/>
            <color rgb="FF000000"/>
            <rFont val="Tahoma"/>
            <family val="2"/>
          </rPr>
          <t>Options:</t>
        </r>
        <r>
          <rPr>
            <sz val="9"/>
            <color rgb="FF000000"/>
            <rFont val="Tahoma"/>
            <family val="2"/>
          </rPr>
          <t xml:space="preserve">
-Review Corke Section 6.3, pages 126-127
-Review Case Study - Corke Section 6.6. pages 134-137
-Note(s)
 -It's important that the critical Mach  number of the stabilizers be greater than that of the main wing.  This can be done by either</t>
        </r>
        <r>
          <rPr>
            <u/>
            <sz val="9"/>
            <color rgb="FF000000"/>
            <rFont val="Tahoma"/>
            <family val="2"/>
          </rPr>
          <t xml:space="preserve"> increasing</t>
        </r>
        <r>
          <rPr>
            <sz val="9"/>
            <color rgb="FF000000"/>
            <rFont val="Tahoma"/>
            <family val="2"/>
          </rPr>
          <t xml:space="preserve"> the sweep angle of the stabilizers OR </t>
        </r>
        <r>
          <rPr>
            <u/>
            <sz val="9"/>
            <color rgb="FF000000"/>
            <rFont val="Tahoma"/>
            <family val="2"/>
          </rPr>
          <t>decreasing</t>
        </r>
        <r>
          <rPr>
            <sz val="9"/>
            <color rgb="FF000000"/>
            <rFont val="Tahoma"/>
            <family val="2"/>
          </rPr>
          <t xml:space="preserve"> the max thickness-to-chord ratio's of the stabilizers relative to that of the main wing.
</t>
        </r>
      </text>
    </comment>
    <comment ref="E12" authorId="0" shapeId="0" xr:uid="{00000000-0006-0000-0800-000015000000}">
      <text>
        <r>
          <rPr>
            <b/>
            <sz val="9"/>
            <color rgb="FF000000"/>
            <rFont val="Tahoma"/>
            <family val="2"/>
          </rPr>
          <t>NOTE:  This input is not used for any calculations.  Just for reference only.
Cl</t>
        </r>
        <r>
          <rPr>
            <b/>
            <vertAlign val="subscript"/>
            <sz val="9"/>
            <color rgb="FF000000"/>
            <rFont val="Tahoma"/>
            <family val="2"/>
          </rPr>
          <t>minD</t>
        </r>
        <r>
          <rPr>
            <b/>
            <sz val="9"/>
            <color rgb="FF000000"/>
            <rFont val="Tahoma"/>
            <family val="2"/>
          </rPr>
          <t xml:space="preserve"> = 2D lift coefficient range of the "drag bucket",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F12" authorId="0" shapeId="0" xr:uid="{00000000-0006-0000-0800-000016000000}">
      <text>
        <r>
          <rPr>
            <b/>
            <sz val="9"/>
            <color rgb="FF000000"/>
            <rFont val="Tahoma"/>
            <family val="2"/>
          </rPr>
          <t>NOTE:  This input is not used for any calculations.  Just for reference only.
Cl</t>
        </r>
        <r>
          <rPr>
            <b/>
            <vertAlign val="subscript"/>
            <sz val="9"/>
            <color rgb="FF000000"/>
            <rFont val="Tahoma"/>
            <family val="2"/>
          </rPr>
          <t>minD</t>
        </r>
        <r>
          <rPr>
            <b/>
            <sz val="9"/>
            <color rgb="FF000000"/>
            <rFont val="Tahoma"/>
            <family val="2"/>
          </rPr>
          <t xml:space="preserve"> = 2D lift coefficient range of the "drag bucket", unflapped, (-)</t>
        </r>
        <r>
          <rPr>
            <sz val="9"/>
            <color rgb="FF000000"/>
            <rFont val="Tahoma"/>
            <family val="2"/>
          </rPr>
          <t xml:space="preserve">
Options:
-Review Corke Section 6.4 (pages 127 and 128).
-Use "Theory of Wing Sections" by Abbott and von Doenhoff to select a value.
-Use another 2D airfoil (include source).
</t>
        </r>
      </text>
    </comment>
    <comment ref="M12" authorId="0" shapeId="0" xr:uid="{00000000-0006-0000-0800-000017000000}">
      <text>
        <r>
          <rPr>
            <b/>
            <sz val="9"/>
            <color rgb="FF000000"/>
            <rFont val="Tahoma"/>
            <family val="2"/>
          </rPr>
          <t xml:space="preserve">Options
</t>
        </r>
        <r>
          <rPr>
            <sz val="9"/>
            <color rgb="FF000000"/>
            <rFont val="Tahoma"/>
            <family val="2"/>
          </rPr>
          <t xml:space="preserve">-Review Corke Section 6.3, pages 126-127
</t>
        </r>
        <r>
          <rPr>
            <sz val="9"/>
            <color rgb="FF000000"/>
            <rFont val="Tahoma"/>
            <family val="2"/>
          </rPr>
          <t xml:space="preserve">-Use existing competitor and like aircraft to get an estimate to use.
</t>
        </r>
        <r>
          <rPr>
            <sz val="9"/>
            <color rgb="FF000000"/>
            <rFont val="Tahoma"/>
            <family val="2"/>
          </rPr>
          <t xml:space="preserve">-Use Corke Table 6.5 (page 127) to select a typical value.
</t>
        </r>
      </text>
    </comment>
    <comment ref="N12" authorId="0" shapeId="0" xr:uid="{00000000-0006-0000-0800-000018000000}">
      <text>
        <r>
          <rPr>
            <b/>
            <sz val="9"/>
            <color rgb="FF000000"/>
            <rFont val="Tahoma"/>
            <family val="2"/>
          </rPr>
          <t xml:space="preserve">Options
</t>
        </r>
        <r>
          <rPr>
            <sz val="9"/>
            <color rgb="FF000000"/>
            <rFont val="Tahoma"/>
            <family val="2"/>
          </rPr>
          <t xml:space="preserve">-Review Corke Section 6.3, pages 126-127
-Use existing competitor and like aircraft to get an estimate to use.
-Use Corke Table 6.5 (page 127) to select a typical value.
</t>
        </r>
      </text>
    </comment>
    <comment ref="E13" authorId="0" shapeId="0" xr:uid="{00000000-0006-0000-0800-000019000000}">
      <text>
        <r>
          <rPr>
            <b/>
            <sz val="9"/>
            <color rgb="FF000000"/>
            <rFont val="Tahoma"/>
            <family val="2"/>
          </rPr>
          <t>(x/c) of (t/c)max = axial location of the airfoil that coincides with the maximum thickness, (-)</t>
        </r>
        <r>
          <rPr>
            <sz val="9"/>
            <color rgb="FF000000"/>
            <rFont val="Tahoma"/>
            <family val="2"/>
          </rPr>
          <t xml:space="preserve">
Options:
-Review Corke Section 6.4 (pages 127 and 128).
-Use "Theory of Wing Sections" by Abbott and von Doenhoff to select a value.
-Use another 2D airfoil (include source).
</t>
        </r>
      </text>
    </comment>
    <comment ref="F13" authorId="0" shapeId="0" xr:uid="{00000000-0006-0000-0800-00001A000000}">
      <text>
        <r>
          <rPr>
            <b/>
            <sz val="9"/>
            <color rgb="FF000000"/>
            <rFont val="Tahoma"/>
            <family val="2"/>
          </rPr>
          <t>(x/c) of (t/c)max = axial location of the airfoil that coincides with the maximum thickness, (-)</t>
        </r>
        <r>
          <rPr>
            <sz val="9"/>
            <color rgb="FF000000"/>
            <rFont val="Tahoma"/>
            <family val="2"/>
          </rPr>
          <t xml:space="preserve">
Options:
-Review Corke Section 6.4 (pages 127 and 128).
-Use "Theory of Wing Sections" by Abbott and von Doenhoff to select a value.
-Use another 2D airfoil (include source).
</t>
        </r>
      </text>
    </comment>
    <comment ref="M13" authorId="0" shapeId="0" xr:uid="{00000000-0006-0000-0800-00001B000000}">
      <text>
        <r>
          <rPr>
            <b/>
            <sz val="9"/>
            <color rgb="FF000000"/>
            <rFont val="Tahoma"/>
            <family val="2"/>
          </rPr>
          <t>CHT = Horizontal Tail Sizing Coefficient, (-)</t>
        </r>
        <r>
          <rPr>
            <sz val="9"/>
            <color rgb="FF000000"/>
            <rFont val="Tahoma"/>
            <family val="2"/>
          </rPr>
          <t xml:space="preserve">
Options:
-Review Corke Section 6.2, pages 122-126
-Use existing aircraft data and use Solver to vary CHT until the horizontal tail reference area (SHT) is equal to the published value.
-Use Corke Table 6.1 (page 123) to select a typical CHT based on aircraft type.</t>
        </r>
      </text>
    </comment>
    <comment ref="N13" authorId="0" shapeId="0" xr:uid="{00000000-0006-0000-0800-00001C000000}">
      <text>
        <r>
          <rPr>
            <b/>
            <sz val="9"/>
            <color rgb="FF000000"/>
            <rFont val="Tahoma"/>
            <family val="2"/>
          </rPr>
          <t>CVT = Verrtical Tail Sizing Coefficient, (-)</t>
        </r>
        <r>
          <rPr>
            <sz val="9"/>
            <color rgb="FF000000"/>
            <rFont val="Tahoma"/>
            <family val="2"/>
          </rPr>
          <t xml:space="preserve">
Options:
-Review Corke Section 6.2, pages 122-126
-Use existing aircraft data and use Solver to vary CVT until the horizontal tail reference area (SVT) is equal to the published value.
-Use Corke Table 6.1 (page 123) to select a typical CVT based on aircraft type.</t>
        </r>
      </text>
    </comment>
    <comment ref="M14" authorId="0" shapeId="0" xr:uid="{00000000-0006-0000-0800-00001D000000}">
      <text>
        <r>
          <rPr>
            <b/>
            <sz val="9"/>
            <color rgb="FF000000"/>
            <rFont val="Tahoma"/>
            <family val="2"/>
          </rPr>
          <t xml:space="preserve">NOTE:  This input should be negative (-) for canards
</t>
        </r>
        <r>
          <rPr>
            <b/>
            <sz val="9"/>
            <color rgb="FF000000"/>
            <rFont val="Tahoma"/>
            <family val="2"/>
          </rPr>
          <t xml:space="preserve">
</t>
        </r>
        <r>
          <rPr>
            <b/>
            <sz val="9"/>
            <color rgb="FF000000"/>
            <rFont val="Tahoma"/>
            <family val="2"/>
          </rPr>
          <t xml:space="preserve">LHT = Distance between the quarter-chord locations of the mean-aerodynamic-chords (m.a.c.) of the main wing and the horizontal stabilizer, (ft)
</t>
        </r>
        <r>
          <rPr>
            <b/>
            <sz val="9"/>
            <color rgb="FF000000"/>
            <rFont val="Tahoma"/>
            <family val="2"/>
          </rPr>
          <t xml:space="preserve">
</t>
        </r>
        <r>
          <rPr>
            <b/>
            <sz val="9"/>
            <color rgb="FF000000"/>
            <rFont val="Tahoma"/>
            <family val="2"/>
          </rPr>
          <t>LHT / Lfus = The ratio of LHT to Lfus, the total length of the fuselage, (-)</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-Review Corke Section 6.2, pages 122-126
</t>
        </r>
        <r>
          <rPr>
            <sz val="9"/>
            <color rgb="FF000000"/>
            <rFont val="Tahoma"/>
            <family val="2"/>
          </rPr>
          <t xml:space="preserve">-Use existing competitor and like aircraft to get an estimate to use.
</t>
        </r>
        <r>
          <rPr>
            <sz val="9"/>
            <color rgb="FF000000"/>
            <rFont val="Tahoma"/>
            <family val="2"/>
          </rPr>
          <t>-Use Corke Table 6.4 (page 126) to select a typical LHT / Lfus based on aircraft type.</t>
        </r>
      </text>
    </comment>
    <comment ref="N14" authorId="0" shapeId="0" xr:uid="{00000000-0006-0000-0800-00001E000000}">
      <text>
        <r>
          <rPr>
            <b/>
            <sz val="9"/>
            <color rgb="FF000000"/>
            <rFont val="Tahoma"/>
            <family val="2"/>
          </rPr>
          <t>LVT = Distance between the quarter-chord locations of the mean-aerodynamic-chords (m.a.c.) of the main wing and the vertictal stabilizer, (ft)
LVT / Lfus = The ratio of LVT to Lfus, the total length of the fuselage, (-)</t>
        </r>
        <r>
          <rPr>
            <sz val="9"/>
            <color rgb="FF000000"/>
            <rFont val="Tahoma"/>
            <family val="2"/>
          </rPr>
          <t xml:space="preserve">
Options:
-Review Corke Section 6.2, pages 122-126
-Use existing competitor and like aircraft to get an estimate to use.
-Use Corke Table 6.4 (page 126) to select a typical LVT / Lfus based on aircraft type.</t>
        </r>
      </text>
    </comment>
    <comment ref="M15" authorId="0" shapeId="0" xr:uid="{00000000-0006-0000-0800-00001F000000}">
      <text>
        <r>
          <rPr>
            <sz val="9"/>
            <color indexed="81"/>
            <rFont val="Tahoma"/>
            <family val="2"/>
          </rPr>
          <t xml:space="preserve">Ref:  Corke page 128
This factor accounts for the hinge gaps that occor due to the elevator (H-Stab) and the Rudder (V-Stab)
</t>
        </r>
      </text>
    </comment>
    <comment ref="N15" authorId="0" shapeId="0" xr:uid="{00000000-0006-0000-0800-000020000000}">
      <text>
        <r>
          <rPr>
            <sz val="9"/>
            <color indexed="81"/>
            <rFont val="Tahoma"/>
            <family val="2"/>
          </rPr>
          <t xml:space="preserve">Ref:  Corke page 128
This factor accounts for the hinge gaps that occor due to the elevator (H-Stab) and the Rudder (V-Stab)
</t>
        </r>
      </text>
    </comment>
    <comment ref="M16" authorId="1" shapeId="0" xr:uid="{00000000-0006-0000-0800-000021000000}">
      <text>
        <r>
          <rPr>
            <b/>
            <sz val="12"/>
            <color indexed="81"/>
            <rFont val="Tahoma"/>
            <family val="2"/>
          </rPr>
          <t>Hht is the height (ft.) of the horizontal stabilizer relative to the fuselage centerline in the Y-Z plane (Front View).  Refer to Corke Figure 6.8, page 129.</t>
        </r>
        <r>
          <rPr>
            <sz val="9"/>
            <color indexed="81"/>
            <rFont val="Tahoma"/>
            <family val="2"/>
          </rPr>
          <t xml:space="preserve">
</t>
        </r>
      </text>
    </comment>
    <comment ref="N16" authorId="1" shapeId="0" xr:uid="{00000000-0006-0000-0800-000022000000}">
      <text>
        <r>
          <rPr>
            <b/>
            <sz val="12"/>
            <color rgb="FF000000"/>
            <rFont val="Tahoma"/>
            <family val="2"/>
          </rPr>
          <t>Hvt is the height (ft.) of the vertical stabilizer relative to the fuselage centerline in the Y-Z plane (Front View).  Hvt should be approximately equal to the fuselage radius (relative to the fuselage centerline) at the location where the vertical stabilizer is attached to the fuselage.  Note that the root chord of the vertical stabilizer is parallel to the fuselage centerline and the fuselage contour cannot exceed 12 degrees relative to the fuselage centerline.  Refer to Corke Figure 5.12, page 104.</t>
        </r>
        <r>
          <rPr>
            <sz val="9"/>
            <color rgb="FF000000"/>
            <rFont val="Tahoma"/>
            <family val="2"/>
          </rPr>
          <t xml:space="preserve">
</t>
        </r>
      </text>
    </comment>
    <comment ref="E39" authorId="0" shapeId="0" xr:uid="{00000000-0006-0000-0800-000023000000}">
      <text>
        <r>
          <rPr>
            <b/>
            <sz val="9"/>
            <color indexed="81"/>
            <rFont val="Tahoma"/>
            <family val="2"/>
          </rPr>
          <t>Make sure Meff&lt;1.0, else Beta will be undefined and the expression for dCL/d</t>
        </r>
        <r>
          <rPr>
            <b/>
            <sz val="9"/>
            <color indexed="81"/>
            <rFont val="Symbol"/>
            <family val="1"/>
            <charset val="2"/>
          </rPr>
          <t>a</t>
        </r>
        <r>
          <rPr>
            <b/>
            <sz val="9"/>
            <color indexed="81"/>
            <rFont val="Tahoma"/>
            <family val="2"/>
          </rPr>
          <t xml:space="preserve"> will not have a solution.</t>
        </r>
        <r>
          <rPr>
            <sz val="9"/>
            <color indexed="81"/>
            <rFont val="Tahoma"/>
            <family val="2"/>
          </rPr>
          <t xml:space="preserve">
Options
-Increase the leading edge sweep angle, </t>
        </r>
        <r>
          <rPr>
            <sz val="9"/>
            <color indexed="81"/>
            <rFont val="Symbol"/>
            <family val="1"/>
            <charset val="2"/>
          </rPr>
          <t>L</t>
        </r>
        <r>
          <rPr>
            <sz val="9"/>
            <color indexed="81"/>
            <rFont val="Tahoma"/>
            <family val="2"/>
          </rPr>
          <t>LE
-Decrease the design cruise Mach number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Borgiani Geiger Borgiani Geiger</author>
    <author>GE User</author>
    <author>james geiger</author>
  </authors>
  <commentList>
    <comment ref="F7" authorId="0" shapeId="0" xr:uid="{B0A2D6B6-441D-4E76-84C4-4EE12E79CE31}">
      <text>
        <r>
          <rPr>
            <b/>
            <sz val="14"/>
            <color rgb="FF000000"/>
            <rFont val="Tahoma"/>
            <family val="2"/>
          </rPr>
          <t>Reference Engine Weight</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8" authorId="0" shapeId="0" xr:uid="{3ED393DA-FE7B-45C8-A91B-E66DFB752A3A}">
      <text>
        <r>
          <rPr>
            <b/>
            <sz val="14"/>
            <color rgb="FF000000"/>
            <rFont val="Tahoma"/>
            <family val="2"/>
          </rPr>
          <t>Reference Engine Max Length</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9" authorId="0" shapeId="0" xr:uid="{1D332AB8-F5A1-4B61-8B13-0CAD898D47CF}">
      <text>
        <r>
          <rPr>
            <b/>
            <sz val="14"/>
            <color rgb="FF000000"/>
            <rFont val="Tahoma"/>
            <family val="2"/>
          </rPr>
          <t>Reference Engine Max Diameter</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10" authorId="0" shapeId="0" xr:uid="{709E4251-F29A-4D00-A274-0D89FA319859}">
      <text>
        <r>
          <rPr>
            <b/>
            <sz val="14"/>
            <color rgb="FF000000"/>
            <rFont val="Tahoma"/>
            <family val="2"/>
          </rPr>
          <t>Reference Engine SLS ISA Max Thrust or Power</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11" authorId="0" shapeId="0" xr:uid="{718F6DAF-107A-4D4F-BF88-614BF1745E4E}">
      <text>
        <r>
          <rPr>
            <b/>
            <sz val="14"/>
            <color rgb="FF000000"/>
            <rFont val="Tahoma"/>
            <family val="2"/>
          </rPr>
          <t>Reference Engine SLS ISA Max TSFC or SFC</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12" authorId="1" shapeId="0" xr:uid="{1CF9A275-F5FE-4FF5-8977-6ABC55A53F23}">
      <text>
        <r>
          <rPr>
            <b/>
            <sz val="14"/>
            <color rgb="FF000000"/>
            <rFont val="Tahoma"/>
            <family val="2"/>
          </rPr>
          <t>Installation Loss</t>
        </r>
        <r>
          <rPr>
            <b/>
            <sz val="12"/>
            <color rgb="FF000000"/>
            <rFont val="Tahoma"/>
            <family val="2"/>
          </rPr>
          <t xml:space="preserve">
</t>
        </r>
        <r>
          <rPr>
            <sz val="12"/>
            <color rgb="FF000000"/>
            <rFont val="Tahoma"/>
            <family val="2"/>
          </rPr>
          <t>The installation loss for ct is the %increase in TSFC due to bleed and other losses.
A realistic range is 1.005&lt;ct&lt;1.04, 1.005 being the best one could expect to achieve anf 1.04 the worst.</t>
        </r>
        <r>
          <rPr>
            <sz val="9"/>
            <color rgb="FF000000"/>
            <rFont val="Tahoma"/>
            <family val="2"/>
          </rPr>
          <t xml:space="preserve">
</t>
        </r>
      </text>
    </comment>
    <comment ref="F13" authorId="1" shapeId="0" xr:uid="{00000000-0006-0000-0900-000006000000}">
      <text>
        <r>
          <rPr>
            <b/>
            <sz val="14"/>
            <color rgb="FF000000"/>
            <rFont val="Tahoma"/>
            <family val="2"/>
          </rPr>
          <t>Bleed</t>
        </r>
        <r>
          <rPr>
            <b/>
            <sz val="12"/>
            <color rgb="FF000000"/>
            <rFont val="Tahoma"/>
            <family val="2"/>
          </rPr>
          <t xml:space="preserve">
</t>
        </r>
        <r>
          <rPr>
            <sz val="12"/>
            <color rgb="FF000000"/>
            <rFont val="Tahoma"/>
            <family val="2"/>
          </rPr>
          <t xml:space="preserve">
Refer to Corke page 148, Equation 7.19.
 Typically 0.01&lt;mbld/mair&lt;0.05
Mostly used for commercial applications, but could possibly be used for air-conditioning of components or pneumatics for UAV's and military aircraft. 
Without any better information, use
%Bleed = 0.01 + 0.0001*Npax</t>
        </r>
        <r>
          <rPr>
            <sz val="9"/>
            <color rgb="FF000000"/>
            <rFont val="Tahoma"/>
            <family val="2"/>
          </rPr>
          <t xml:space="preserve">
</t>
        </r>
      </text>
    </comment>
    <comment ref="F14" authorId="1" shapeId="0" xr:uid="{54D2BBF9-5499-460E-BB85-D7521053B77B}">
      <text>
        <r>
          <rPr>
            <b/>
            <sz val="14"/>
            <color rgb="FF000000"/>
            <rFont val="Tahoma"/>
            <family val="2"/>
          </rPr>
          <t>Scaling Exponent</t>
        </r>
        <r>
          <rPr>
            <b/>
            <sz val="12"/>
            <color rgb="FF000000"/>
            <rFont val="Tahoma"/>
            <family val="2"/>
          </rPr>
          <t xml:space="preserve">
</t>
        </r>
        <r>
          <rPr>
            <sz val="12"/>
            <color rgb="FF000000"/>
            <rFont val="Tahoma"/>
            <family val="2"/>
          </rPr>
          <t>Refer to Corke Equations 7.10 and 7.11, page 146</t>
        </r>
        <r>
          <rPr>
            <sz val="9"/>
            <color rgb="FF000000"/>
            <rFont val="Tahoma"/>
            <family val="2"/>
          </rPr>
          <t xml:space="preserve">
</t>
        </r>
        <r>
          <rPr>
            <sz val="12"/>
            <color rgb="FF000000"/>
            <rFont val="Tahoma"/>
            <family val="2"/>
          </rPr>
          <t>Corke uses a=1.0 in the spreadsheets, but states 0.8&lt;a&lt;1.3  Unfortunately, Corke does not cite a reference from which Equations 7.8 through 7.11 are from, so it will be difficult to know how to adjust the scaling exponent.
Other texts, like Raymer and Torenbeek have similar relations to Corke, but with scaling exponents.
Without any better information, use a=1.0.</t>
        </r>
      </text>
    </comment>
    <comment ref="Q14" authorId="2" shapeId="0" xr:uid="{00000000-0006-0000-0900-000001000000}">
      <text>
        <r>
          <rPr>
            <b/>
            <sz val="14"/>
            <color indexed="81"/>
            <rFont val="Tahoma"/>
            <family val="2"/>
          </rPr>
          <t>Design ENGINE SLS ISA Max Thrust-to-Weight Ratio, To/Wo</t>
        </r>
        <r>
          <rPr>
            <sz val="14"/>
            <color indexed="81"/>
            <rFont val="Tahoma"/>
            <family val="2"/>
          </rPr>
          <t xml:space="preserve">
This value is a result of the Chapter 3 analysis, i.e. the selection of your design point.  </t>
        </r>
      </text>
    </comment>
    <comment ref="F16" authorId="0" shapeId="0" xr:uid="{109DF4E8-47C5-49E3-89E8-DB23D153EF01}">
      <text>
        <r>
          <rPr>
            <b/>
            <sz val="14"/>
            <color indexed="81"/>
            <rFont val="Tahoma"/>
            <family val="2"/>
          </rPr>
          <t>SPU Input Data</t>
        </r>
        <r>
          <rPr>
            <sz val="9"/>
            <color indexed="81"/>
            <rFont val="Tahoma"/>
            <family val="2"/>
          </rPr>
          <t xml:space="preserve">
</t>
        </r>
        <r>
          <rPr>
            <sz val="12"/>
            <color indexed="81"/>
            <rFont val="Tahoma"/>
            <family val="2"/>
          </rPr>
          <t>The input data for actual SPU products will be challenging to obtain.  There are not many actal SPU products available, at least battery SPU products.  You may find proposed SPU data, but electric aviation is so new there are not many real products.
Document whatever values you do arrive at, no matter the source.</t>
        </r>
      </text>
    </comment>
    <comment ref="Q18" authorId="2" shapeId="0" xr:uid="{00000000-0006-0000-0900-000003000000}">
      <text>
        <r>
          <rPr>
            <b/>
            <sz val="14"/>
            <color indexed="81"/>
            <rFont val="Tahoma"/>
            <family val="2"/>
          </rPr>
          <t>Engine Power Scale Factor</t>
        </r>
        <r>
          <rPr>
            <b/>
            <sz val="12"/>
            <color indexed="81"/>
            <rFont val="Tahoma"/>
            <family val="2"/>
          </rPr>
          <t xml:space="preserve">
This is a calculated value based on all of the various inputs in this section.  </t>
        </r>
        <r>
          <rPr>
            <sz val="12"/>
            <color indexed="81"/>
            <rFont val="Tahoma"/>
            <family val="2"/>
          </rPr>
          <t>The best result would be an engine scale factor =1.0, which would imply that the reference engine can be used as is with no physical changes.  This is the lowest risk and cost option.
Scaling the reference engine is also a reasonable option, however the risk and cost go up as the engine scale factor moves away from 1.0.
Scaling beyond a reasonable limit, say 0.75&lt;ESF&lt;1.25, is not practical.  If the ESF falls out side of the this range, then a better option is to find a different refererence engine, either smalleror larger such that the ESF is within the 0.75&lt;ESF&lt;1.25 range.</t>
        </r>
      </text>
    </comment>
    <comment ref="Q19" authorId="0" shapeId="0" xr:uid="{44E71E03-2064-455B-9620-83EE16BDC135}">
      <text>
        <r>
          <rPr>
            <b/>
            <sz val="14"/>
            <color indexed="81"/>
            <rFont val="Tahoma"/>
            <family val="2"/>
          </rPr>
          <t xml:space="preserve">Uninstalled TSFC or SFC </t>
        </r>
        <r>
          <rPr>
            <b/>
            <sz val="9"/>
            <color indexed="81"/>
            <rFont val="Tahoma"/>
            <family val="2"/>
          </rPr>
          <t xml:space="preserve">
</t>
        </r>
        <r>
          <rPr>
            <sz val="12"/>
            <color indexed="81"/>
            <rFont val="Tahoma"/>
            <family val="2"/>
          </rPr>
          <t xml:space="preserve">
This value is calculated based on the power train efficiency design.  It should be equal to the reference engine value, but it most likely will NOT be equal to start.  I recommend using goal seek to vary the Thermal Efficiency input of the engine so that the TSFC or SFC design value is equivalent to the engine reference value.</t>
        </r>
        <r>
          <rPr>
            <sz val="9"/>
            <color indexed="81"/>
            <rFont val="Tahoma"/>
            <family val="2"/>
          </rPr>
          <t xml:space="preserve">
</t>
        </r>
      </text>
    </comment>
    <comment ref="F22" authorId="0" shapeId="0" xr:uid="{6FA813ED-7D56-40CF-8B32-E268BB029486}">
      <text>
        <r>
          <rPr>
            <b/>
            <sz val="14"/>
            <color indexed="81"/>
            <rFont val="Tahoma"/>
            <family val="2"/>
          </rPr>
          <t xml:space="preserve">Reference SPU Specific Energy
</t>
        </r>
        <r>
          <rPr>
            <sz val="9"/>
            <color indexed="81"/>
            <rFont val="Tahoma"/>
            <family val="2"/>
          </rPr>
          <t xml:space="preserve">
</t>
        </r>
        <r>
          <rPr>
            <sz val="14"/>
            <color indexed="81"/>
            <rFont val="Tahoma"/>
            <family val="2"/>
          </rPr>
          <t xml:space="preserve">If possible, specify the reference SPU pack average, installed specific energy, in Watt-hours/kilogram.
</t>
        </r>
      </text>
    </comment>
    <comment ref="F25" authorId="0" shapeId="0" xr:uid="{F3A1BC38-19C5-47F3-B9CF-BAD383665B05}">
      <text>
        <r>
          <rPr>
            <b/>
            <sz val="14"/>
            <color indexed="81"/>
            <rFont val="Tahoma"/>
            <family val="2"/>
          </rPr>
          <t>Efficiency inputs for Propulsion System Components</t>
        </r>
        <r>
          <rPr>
            <sz val="9"/>
            <color indexed="81"/>
            <rFont val="Tahoma"/>
            <family val="2"/>
          </rPr>
          <t xml:space="preserve">
</t>
        </r>
        <r>
          <rPr>
            <sz val="12"/>
            <color indexed="81"/>
            <rFont val="Tahoma"/>
            <family val="2"/>
          </rPr>
          <t>The values shown are representative values for the components shown.  Without any better information, these values can be used.
Better to base the component efficiency values on actual products.  Power (shp) and weights (lb) of actual components are available with research on-line.
If your propulsion system does not have the listed component, then you can enter "1.0" to null the loss of a given component.  Also, if you need to account for a component not listed, then you can add to the list or re-name a component that is not being used.</t>
        </r>
      </text>
    </comment>
    <comment ref="G25" authorId="0" shapeId="0" xr:uid="{835CE3E3-E2B2-4A0A-9B44-82954BB4C3D5}">
      <text>
        <r>
          <rPr>
            <b/>
            <sz val="14"/>
            <color indexed="81"/>
            <rFont val="Tahoma"/>
            <family val="2"/>
          </rPr>
          <t>Efficiency inputs for Propulsion System Components</t>
        </r>
        <r>
          <rPr>
            <sz val="9"/>
            <color indexed="81"/>
            <rFont val="Tahoma"/>
            <family val="2"/>
          </rPr>
          <t xml:space="preserve">
</t>
        </r>
        <r>
          <rPr>
            <sz val="12"/>
            <color indexed="81"/>
            <rFont val="Tahoma"/>
            <family val="2"/>
          </rPr>
          <t>The values shown are representative values for the components shown.  Without any better information, these values can be used.
Better to base the component efficiency values on actual products.  Power (shp) and weights (lb) of actual components are available with research on-line.
If your propulsion system does not have the listed component, then you can enter "1.0" to null the loss of a given component.  Also, if you need to account for a component not listed, then you can add to the list or re-name a component that is not being used.</t>
        </r>
      </text>
    </comment>
    <comment ref="G27" authorId="0" shapeId="0" xr:uid="{8D1322F2-5DDC-4E7A-A266-3F6445BF4B9C}">
      <text>
        <r>
          <rPr>
            <b/>
            <sz val="14"/>
            <color indexed="81"/>
            <rFont val="Tahoma"/>
            <family val="2"/>
          </rPr>
          <t xml:space="preserve">Specific Energy
</t>
        </r>
        <r>
          <rPr>
            <sz val="9"/>
            <color indexed="81"/>
            <rFont val="Tahoma"/>
            <family val="2"/>
          </rPr>
          <t xml:space="preserve">
</t>
        </r>
        <r>
          <rPr>
            <sz val="14"/>
            <color indexed="81"/>
            <rFont val="Tahoma"/>
            <family val="2"/>
          </rPr>
          <t>This input represents the energy content of the SPU energy source, in this case batteries.  150 W-hr/kg is a good average value for state of the art in 2020.  Research is required to find predicted values for battery specific energy in the future, but some reports show anywhere from 500 to 1,000 W-hr/kg to be possible.  You will need to document your source if you use anything higher than 150 W-hr/kg.</t>
        </r>
      </text>
    </comment>
    <comment ref="Q27" authorId="2" shapeId="0" xr:uid="{8054888C-7924-42DB-B5D2-96BE13F8F482}">
      <text>
        <r>
          <rPr>
            <b/>
            <sz val="14"/>
            <color indexed="81"/>
            <rFont val="Tahoma"/>
            <family val="2"/>
          </rPr>
          <t>Design SPU SLS ISA Max Thrust-to-Weight Ratio, To/Wo</t>
        </r>
        <r>
          <rPr>
            <sz val="14"/>
            <color indexed="81"/>
            <rFont val="Tahoma"/>
            <family val="2"/>
          </rPr>
          <t xml:space="preserve">
This value is a result of the Chapter 3 analysis, i.e. the selection of your design point.  </t>
        </r>
      </text>
    </comment>
    <comment ref="F28" authorId="0" shapeId="0" xr:uid="{9C5AF228-8577-4E1F-B4C6-9F105F4EDB38}">
      <text>
        <r>
          <rPr>
            <b/>
            <sz val="14"/>
            <color indexed="81"/>
            <rFont val="Tahoma"/>
            <family val="2"/>
          </rPr>
          <t>Specific Energy of Fuel</t>
        </r>
        <r>
          <rPr>
            <sz val="9"/>
            <color indexed="81"/>
            <rFont val="Tahoma"/>
            <family val="2"/>
          </rPr>
          <t xml:space="preserve">
</t>
        </r>
        <r>
          <rPr>
            <sz val="12"/>
            <color indexed="81"/>
            <rFont val="Tahoma"/>
            <family val="2"/>
          </rPr>
          <t xml:space="preserve">The units of this parameter are typically btu/lbm for most common aviation fuels.
This parameter is also know as "fuel heating value" and "fuel heat or energy  content".
Typical values are 18,300 btu/lbm &lt; Hf &lt; 18,800 btu/lbm
Different aviation segments tend to use different types of fuel, like Avgas, Jet A, Jet B for commercial applications and JP-4, JP-5 and JP-8 for military.  Research required for your market segment to nail this down.
</t>
        </r>
        <r>
          <rPr>
            <sz val="9"/>
            <color indexed="81"/>
            <rFont val="Tahoma"/>
            <family val="2"/>
          </rPr>
          <t xml:space="preserve">
</t>
        </r>
      </text>
    </comment>
    <comment ref="Q31" authorId="0" shapeId="0" xr:uid="{3A903D5B-2E04-4956-8F39-4C36FA1DC2B9}">
      <text>
        <r>
          <rPr>
            <b/>
            <sz val="14"/>
            <color indexed="81"/>
            <rFont val="Tahoma"/>
            <family val="2"/>
          </rPr>
          <t>SPU Power Scale Factor</t>
        </r>
        <r>
          <rPr>
            <b/>
            <sz val="9"/>
            <color indexed="81"/>
            <rFont val="Tahoma"/>
            <family val="2"/>
          </rPr>
          <t xml:space="preserve">
</t>
        </r>
        <r>
          <rPr>
            <b/>
            <sz val="12"/>
            <color indexed="81"/>
            <rFont val="Tahoma"/>
            <family val="2"/>
          </rPr>
          <t xml:space="preserve">
</t>
        </r>
        <r>
          <rPr>
            <sz val="12"/>
            <color indexed="81"/>
            <rFont val="Tahoma"/>
            <family val="2"/>
          </rPr>
          <t>This is a calculated value based on all of the various inputs in this section.  The best result would be an spu scale factor =1.0, which would imply that the reference spu can be used as is with no physical changes.  This is the lowest risk and cost option.
Scaling the reference spu is also a reasonable option, however the risk and cost go up as the engine scale factor moves away from 1.0.
Scaling beyond a reasonable limit, say 0.75&lt;SF&lt;1.25, is not practical.  If the SF falls out side of the this range, then a better option is to find a different refererence spu, either smaller or larger such that the SF is within the 0.75&lt;SF&lt;1.25 range.</t>
        </r>
        <r>
          <rPr>
            <sz val="9"/>
            <color indexed="81"/>
            <rFont val="Tahoma"/>
            <family val="2"/>
          </rPr>
          <t xml:space="preserve">
</t>
        </r>
      </text>
    </comment>
    <comment ref="F39" authorId="0" shapeId="0" xr:uid="{90997A6E-A859-4CB7-AFC4-3C67B59F98FC}">
      <text>
        <r>
          <rPr>
            <b/>
            <sz val="14"/>
            <color indexed="81"/>
            <rFont val="Tahoma"/>
            <family val="2"/>
          </rPr>
          <t>Static shaft power to propulsive thrust conversion</t>
        </r>
        <r>
          <rPr>
            <sz val="9"/>
            <color indexed="81"/>
            <rFont val="Tahoma"/>
            <family val="2"/>
          </rPr>
          <t xml:space="preserve">
</t>
        </r>
        <r>
          <rPr>
            <sz val="12"/>
            <color indexed="81"/>
            <rFont val="Tahoma"/>
            <family val="2"/>
          </rPr>
          <t xml:space="preserve">This value respresents how effective the propulsor is at turning shaft power into propulsive thrust at zero flight speed, essentially an efficiency at zero speed.
For open rotors (propellers) use McCormick's correlation with dsik loading (scroll to bottom of this spreadsheet).
For ducted rotors (turbofans or turbojets), this is a difficult number to obtain.  Values can be as low as 0.1 and as high as 5.  T/P=2 lb/hp is representative, but use with caution.  Error in this parameter will show up only in the component weight estimates OTHER than the engine itself.  </t>
        </r>
      </text>
    </comment>
    <comment ref="G39" authorId="0" shapeId="0" xr:uid="{FD58EC45-2616-4A1A-8E33-52E819C9535B}">
      <text>
        <r>
          <rPr>
            <b/>
            <sz val="14"/>
            <color indexed="81"/>
            <rFont val="Tahoma"/>
            <family val="2"/>
          </rPr>
          <t>Static shaft power to propulsive thrust conversion</t>
        </r>
        <r>
          <rPr>
            <sz val="9"/>
            <color indexed="81"/>
            <rFont val="Tahoma"/>
            <family val="2"/>
          </rPr>
          <t xml:space="preserve">
</t>
        </r>
        <r>
          <rPr>
            <sz val="12"/>
            <color indexed="81"/>
            <rFont val="Tahoma"/>
            <family val="2"/>
          </rPr>
          <t xml:space="preserve">This value respresents how effective the propulsor is at turning shaft power into propulsive thrust at zero flight speed, essentially an efficiency at zero speed.
For open rotors (propellers) use McCormick's correlation with dsik loading (scroll to bottom of this spreadsheet).
For ducted rotors (turbofans or turbojets), this is a difficult number to obtain.  Values can be as low as 0.1 and as high as 5.  T/P=2 lb/hp is representative, but use with caution.  Error in this parameter will show up only in the component weight estimates OTHER than the engine itself.  </t>
        </r>
      </text>
    </comment>
    <comment ref="F43" authorId="0" shapeId="0" xr:uid="{099D628B-FDE1-4662-876D-A78E62929A5F}">
      <text>
        <r>
          <rPr>
            <b/>
            <sz val="14"/>
            <color indexed="81"/>
            <rFont val="Tahoma"/>
            <family val="2"/>
          </rPr>
          <t>Power-to-Weight Ratio inputs for Propulsion System Components</t>
        </r>
        <r>
          <rPr>
            <sz val="9"/>
            <color indexed="81"/>
            <rFont val="Tahoma"/>
            <family val="2"/>
          </rPr>
          <t xml:space="preserve">
</t>
        </r>
        <r>
          <rPr>
            <sz val="12"/>
            <color indexed="81"/>
            <rFont val="Tahoma"/>
            <family val="2"/>
          </rPr>
          <t>The values shown are representative values for the compoents shown.  Without any better information, these values can be used.
Better to base the component P/W values on actual products.  Power (shp) and weights (lb) of actual components are available with research on-line.
If your propulsion system does not have the listed component, then you can enter "0.0" to null the weight of a given component.  Also, if you need to account for a component not listed, then you can add to the list or re-name a component that is not being used.</t>
        </r>
      </text>
    </comment>
    <comment ref="G43" authorId="0" shapeId="0" xr:uid="{D754EFD1-5BC7-4BE4-B3CA-EE526DB8629D}">
      <text>
        <r>
          <rPr>
            <b/>
            <sz val="14"/>
            <color indexed="81"/>
            <rFont val="Tahoma"/>
            <family val="2"/>
          </rPr>
          <t>Power-to-Weight Ratio inputs for Propulsion System Components</t>
        </r>
        <r>
          <rPr>
            <sz val="9"/>
            <color indexed="81"/>
            <rFont val="Tahoma"/>
            <family val="2"/>
          </rPr>
          <t xml:space="preserve">
</t>
        </r>
        <r>
          <rPr>
            <sz val="12"/>
            <color indexed="81"/>
            <rFont val="Tahoma"/>
            <family val="2"/>
          </rPr>
          <t>The values shown are representative values for the compoents shown.  Without any better information, these values can be used.
Better to base the component P/W values on actual products.  Power (shp) and weights (lb) of actual components are available with research on-line.
If your propulsion system does not have the listed component, then you can enter "0.0" to null the weight of a given component.  Also, if you need to account for a component not listed, then you can add to the list or re-name a component that is not being used.</t>
        </r>
      </text>
    </comment>
    <comment ref="AC77" authorId="0" shapeId="0" xr:uid="{B15FB576-4348-4E53-8777-70C8E2C625AF}">
      <text>
        <r>
          <rPr>
            <b/>
            <sz val="14"/>
            <color indexed="81"/>
            <rFont val="Tahoma"/>
            <family val="2"/>
          </rPr>
          <t>SPU Throttle</t>
        </r>
        <r>
          <rPr>
            <b/>
            <sz val="9"/>
            <color indexed="81"/>
            <rFont val="Tahoma"/>
            <family val="2"/>
          </rPr>
          <t xml:space="preserve">
</t>
        </r>
        <r>
          <rPr>
            <sz val="9"/>
            <color indexed="81"/>
            <rFont val="Tahoma"/>
            <family val="2"/>
          </rPr>
          <t xml:space="preserve">
</t>
        </r>
        <r>
          <rPr>
            <sz val="12"/>
            <color indexed="81"/>
            <rFont val="Tahoma"/>
            <family val="2"/>
          </rPr>
          <t>This input defines what % of max SPU power is used for this mission leg.</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Borgiani Geiger Borgiani Geiger</author>
    <author>GE User</author>
    <author>james geiger</author>
  </authors>
  <commentList>
    <comment ref="F7" authorId="0" shapeId="0" xr:uid="{010F55C0-0197-4699-8742-3AF67F6FB1C0}">
      <text>
        <r>
          <rPr>
            <b/>
            <sz val="14"/>
            <color rgb="FF000000"/>
            <rFont val="Tahoma"/>
            <family val="2"/>
          </rPr>
          <t>Reference Engine Weight</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8" authorId="0" shapeId="0" xr:uid="{9BD04E90-CD0B-4F29-BF42-119497403DD3}">
      <text>
        <r>
          <rPr>
            <b/>
            <sz val="14"/>
            <color rgb="FF000000"/>
            <rFont val="Tahoma"/>
            <family val="2"/>
          </rPr>
          <t>Reference Engine Max Length</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9" authorId="0" shapeId="0" xr:uid="{B4866A53-BAF9-40C4-AD6A-89BA07684F62}">
      <text>
        <r>
          <rPr>
            <b/>
            <sz val="14"/>
            <color rgb="FF000000"/>
            <rFont val="Tahoma"/>
            <family val="2"/>
          </rPr>
          <t>Reference Engine Max Diameter</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10" authorId="0" shapeId="0" xr:uid="{732B86B4-3892-4B8D-8613-B7F1D20AECCF}">
      <text>
        <r>
          <rPr>
            <b/>
            <sz val="14"/>
            <color rgb="FF000000"/>
            <rFont val="Tahoma"/>
            <family val="2"/>
          </rPr>
          <t>Reference Engine SLS ISA Max Thrust or Power</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11" authorId="0" shapeId="0" xr:uid="{ECBB637E-A43B-44F0-9CEE-4C0CB1F07C1C}">
      <text>
        <r>
          <rPr>
            <b/>
            <sz val="14"/>
            <color rgb="FF000000"/>
            <rFont val="Tahoma"/>
            <family val="2"/>
          </rPr>
          <t>Reference Engine SLS ISA Max TSFC or SFC</t>
        </r>
        <r>
          <rPr>
            <b/>
            <sz val="9"/>
            <color rgb="FF000000"/>
            <rFont val="Tahoma"/>
            <family val="2"/>
          </rPr>
          <t xml:space="preserve">
</t>
        </r>
        <r>
          <rPr>
            <b/>
            <sz val="9"/>
            <color rgb="FF000000"/>
            <rFont val="Tahoma"/>
            <family val="2"/>
          </rPr>
          <t xml:space="preserve">
</t>
        </r>
        <r>
          <rPr>
            <sz val="12"/>
            <color rgb="FF000000"/>
            <rFont val="Tahoma"/>
            <family val="2"/>
          </rPr>
          <t>This input should should be available from published information on engines.  Good references are the Aviation Week Specification database (saved on Learn under the "Spreadsheets" folder) and also Janes All the World's Aero Engines, which is in the BU Library.  Wikipedia and manufacturers websites can also be helpful.</t>
        </r>
        <r>
          <rPr>
            <sz val="9"/>
            <color rgb="FF000000"/>
            <rFont val="Tahoma"/>
            <family val="2"/>
          </rPr>
          <t xml:space="preserve">
</t>
        </r>
      </text>
    </comment>
    <comment ref="F12" authorId="1" shapeId="0" xr:uid="{9CAD2EEF-F3A8-4681-82AB-0096E60EE507}">
      <text>
        <r>
          <rPr>
            <b/>
            <sz val="14"/>
            <color rgb="FF000000"/>
            <rFont val="Tahoma"/>
            <family val="2"/>
          </rPr>
          <t>Installation Loss</t>
        </r>
        <r>
          <rPr>
            <b/>
            <sz val="12"/>
            <color rgb="FF000000"/>
            <rFont val="Tahoma"/>
            <family val="2"/>
          </rPr>
          <t xml:space="preserve">
</t>
        </r>
        <r>
          <rPr>
            <b/>
            <sz val="12"/>
            <color rgb="FF000000"/>
            <rFont val="Tahoma"/>
            <family val="2"/>
          </rPr>
          <t xml:space="preserve">
</t>
        </r>
        <r>
          <rPr>
            <sz val="12"/>
            <color rgb="FF000000"/>
            <rFont val="Tahoma"/>
            <family val="2"/>
          </rPr>
          <t xml:space="preserve">The installation loss for cp is the %increase in SFC due to bleed and other losses.
</t>
        </r>
        <r>
          <rPr>
            <sz val="12"/>
            <color rgb="FF000000"/>
            <rFont val="Tahoma"/>
            <family val="2"/>
          </rPr>
          <t xml:space="preserve">
</t>
        </r>
        <r>
          <rPr>
            <sz val="12"/>
            <color rgb="FF000000"/>
            <rFont val="Tahoma"/>
            <family val="2"/>
          </rPr>
          <t>A realistic range is 1.005&lt;ct&lt;1.04, 1.005 being the best one could expect to achieve anf 1.04 the worst.</t>
        </r>
        <r>
          <rPr>
            <sz val="9"/>
            <color rgb="FF000000"/>
            <rFont val="Tahoma"/>
            <family val="2"/>
          </rPr>
          <t xml:space="preserve">
</t>
        </r>
      </text>
    </comment>
    <comment ref="F13" authorId="1" shapeId="0" xr:uid="{BE507E26-DB15-4E60-B16A-01C087B1220C}">
      <text>
        <r>
          <rPr>
            <b/>
            <sz val="14"/>
            <color rgb="FF000000"/>
            <rFont val="Tahoma"/>
            <family val="2"/>
          </rPr>
          <t>Bleed</t>
        </r>
        <r>
          <rPr>
            <b/>
            <sz val="12"/>
            <color rgb="FF000000"/>
            <rFont val="Tahoma"/>
            <family val="2"/>
          </rPr>
          <t xml:space="preserve">
</t>
        </r>
        <r>
          <rPr>
            <sz val="12"/>
            <color rgb="FF000000"/>
            <rFont val="Tahoma"/>
            <family val="2"/>
          </rPr>
          <t xml:space="preserve">
</t>
        </r>
        <r>
          <rPr>
            <sz val="12"/>
            <color rgb="FF000000"/>
            <rFont val="Tahoma"/>
            <family val="2"/>
          </rPr>
          <t xml:space="preserve">Refer to Corke page 148, Equation 7.19.
</t>
        </r>
        <r>
          <rPr>
            <sz val="12"/>
            <color rgb="FF000000"/>
            <rFont val="Tahoma"/>
            <family val="2"/>
          </rPr>
          <t xml:space="preserve"> Typically 0.01&lt;mbld/mair&lt;0.05
</t>
        </r>
        <r>
          <rPr>
            <sz val="12"/>
            <color rgb="FF000000"/>
            <rFont val="Tahoma"/>
            <family val="2"/>
          </rPr>
          <t xml:space="preserve">
</t>
        </r>
        <r>
          <rPr>
            <sz val="12"/>
            <color rgb="FF000000"/>
            <rFont val="Tahoma"/>
            <family val="2"/>
          </rPr>
          <t xml:space="preserve">Mostly used for commercial applications, but could possibly be used for air-conditioning of components or pneumatics for UAV's and military aircraft. 
</t>
        </r>
        <r>
          <rPr>
            <sz val="12"/>
            <color rgb="FF000000"/>
            <rFont val="Tahoma"/>
            <family val="2"/>
          </rPr>
          <t xml:space="preserve">
</t>
        </r>
        <r>
          <rPr>
            <sz val="12"/>
            <color rgb="FF000000"/>
            <rFont val="Tahoma"/>
            <family val="2"/>
          </rPr>
          <t xml:space="preserve">Without any better information, use
</t>
        </r>
        <r>
          <rPr>
            <sz val="12"/>
            <color rgb="FF000000"/>
            <rFont val="Tahoma"/>
            <family val="2"/>
          </rPr>
          <t>%Bleed = 0.01 + 0.0001*Npax</t>
        </r>
        <r>
          <rPr>
            <sz val="9"/>
            <color rgb="FF000000"/>
            <rFont val="Tahoma"/>
            <family val="2"/>
          </rPr>
          <t xml:space="preserve">
</t>
        </r>
      </text>
    </comment>
    <comment ref="F14" authorId="1" shapeId="0" xr:uid="{1CF63F28-AF28-4A1C-AD2C-430F9B3009F9}">
      <text>
        <r>
          <rPr>
            <b/>
            <sz val="14"/>
            <color rgb="FF000000"/>
            <rFont val="Tahoma"/>
            <family val="2"/>
          </rPr>
          <t>Scaling Exponent</t>
        </r>
        <r>
          <rPr>
            <b/>
            <sz val="12"/>
            <color rgb="FF000000"/>
            <rFont val="Tahoma"/>
            <family val="2"/>
          </rPr>
          <t xml:space="preserve">
</t>
        </r>
        <r>
          <rPr>
            <b/>
            <sz val="12"/>
            <color rgb="FF000000"/>
            <rFont val="Tahoma"/>
            <family val="2"/>
          </rPr>
          <t xml:space="preserve">
</t>
        </r>
        <r>
          <rPr>
            <sz val="12"/>
            <color rgb="FF000000"/>
            <rFont val="Tahoma"/>
            <family val="2"/>
          </rPr>
          <t>Refer to Corke Equations 7.10 and 7.11, page 146</t>
        </r>
        <r>
          <rPr>
            <sz val="9"/>
            <color rgb="FF000000"/>
            <rFont val="Tahoma"/>
            <family val="2"/>
          </rPr>
          <t xml:space="preserve">
</t>
        </r>
        <r>
          <rPr>
            <sz val="9"/>
            <color rgb="FF000000"/>
            <rFont val="Tahoma"/>
            <family val="2"/>
          </rPr>
          <t xml:space="preserve">
</t>
        </r>
        <r>
          <rPr>
            <sz val="12"/>
            <color rgb="FF000000"/>
            <rFont val="Tahoma"/>
            <family val="2"/>
          </rPr>
          <t xml:space="preserve">Corke uses a=1.0 in the spreadsheets, but states 0.8&lt;a&lt;1.3  Unfortunately, Corke does not cite a reference from which Equations 7.8 through 7.11 are from, so it will be difficult to know how to adjust the scaling exponent.
</t>
        </r>
        <r>
          <rPr>
            <sz val="12"/>
            <color rgb="FF000000"/>
            <rFont val="Tahoma"/>
            <family val="2"/>
          </rPr>
          <t xml:space="preserve">
</t>
        </r>
        <r>
          <rPr>
            <sz val="12"/>
            <color rgb="FF000000"/>
            <rFont val="Tahoma"/>
            <family val="2"/>
          </rPr>
          <t xml:space="preserve">Other texts, like Raymer and Torenbeek have similar relations to Corke, but with scaling exponents.
</t>
        </r>
        <r>
          <rPr>
            <sz val="12"/>
            <color rgb="FF000000"/>
            <rFont val="Tahoma"/>
            <family val="2"/>
          </rPr>
          <t xml:space="preserve">
</t>
        </r>
        <r>
          <rPr>
            <sz val="12"/>
            <color rgb="FF000000"/>
            <rFont val="Tahoma"/>
            <family val="2"/>
          </rPr>
          <t>Without any better information, use a=1.0.</t>
        </r>
      </text>
    </comment>
    <comment ref="Q14" authorId="2" shapeId="0" xr:uid="{F9F831C6-74FF-4C23-9CEF-3A7ACB57B644}">
      <text>
        <r>
          <rPr>
            <b/>
            <sz val="14"/>
            <color rgb="FF000000"/>
            <rFont val="Tahoma"/>
            <family val="2"/>
          </rPr>
          <t>Design ENGINE SLS ISA Max Power-to-Weight Ratio, Po/Wo</t>
        </r>
        <r>
          <rPr>
            <sz val="14"/>
            <color rgb="FF000000"/>
            <rFont val="Tahoma"/>
            <family val="2"/>
          </rPr>
          <t xml:space="preserve">
</t>
        </r>
        <r>
          <rPr>
            <sz val="14"/>
            <color rgb="FF000000"/>
            <rFont val="Tahoma"/>
            <family val="2"/>
          </rPr>
          <t xml:space="preserve">
</t>
        </r>
        <r>
          <rPr>
            <sz val="14"/>
            <color rgb="FF000000"/>
            <rFont val="Tahoma"/>
            <family val="2"/>
          </rPr>
          <t xml:space="preserve">This value is a result of the Chapter 3 analysis, i.e. the selection of your design point.  </t>
        </r>
      </text>
    </comment>
    <comment ref="F16" authorId="0" shapeId="0" xr:uid="{6151EC89-EA5C-43EB-A91D-6CC98E0A1A43}">
      <text>
        <r>
          <rPr>
            <b/>
            <sz val="14"/>
            <color rgb="FF000000"/>
            <rFont val="Tahoma"/>
            <family val="2"/>
          </rPr>
          <t>SPU Input Data</t>
        </r>
        <r>
          <rPr>
            <sz val="9"/>
            <color rgb="FF000000"/>
            <rFont val="Tahoma"/>
            <family val="2"/>
          </rPr>
          <t xml:space="preserve">
</t>
        </r>
        <r>
          <rPr>
            <sz val="9"/>
            <color rgb="FF000000"/>
            <rFont val="Tahoma"/>
            <family val="2"/>
          </rPr>
          <t xml:space="preserve">
</t>
        </r>
        <r>
          <rPr>
            <sz val="12"/>
            <color rgb="FF000000"/>
            <rFont val="Tahoma"/>
            <family val="2"/>
          </rPr>
          <t xml:space="preserve">The input data for actual SPU products will be challenging to obtain.  There are not many actal SPU products available, at least battery SPU products.  You may find proposed SPU data, but electric aviation is so new there are not many real products.
</t>
        </r>
        <r>
          <rPr>
            <sz val="12"/>
            <color rgb="FF000000"/>
            <rFont val="Tahoma"/>
            <family val="2"/>
          </rPr>
          <t xml:space="preserve">
</t>
        </r>
        <r>
          <rPr>
            <sz val="12"/>
            <color rgb="FF000000"/>
            <rFont val="Tahoma"/>
            <family val="2"/>
          </rPr>
          <t>Document whatever values you do arrive at, no matter the source.</t>
        </r>
      </text>
    </comment>
    <comment ref="Q18" authorId="2" shapeId="0" xr:uid="{4517E5E5-769A-4101-8273-6E42F80AEC55}">
      <text>
        <r>
          <rPr>
            <b/>
            <sz val="14"/>
            <color rgb="FF000000"/>
            <rFont val="Tahoma"/>
            <family val="2"/>
          </rPr>
          <t>Engine Power Scale Factor</t>
        </r>
        <r>
          <rPr>
            <b/>
            <sz val="12"/>
            <color rgb="FF000000"/>
            <rFont val="Tahoma"/>
            <family val="2"/>
          </rPr>
          <t xml:space="preserve">
</t>
        </r>
        <r>
          <rPr>
            <b/>
            <sz val="12"/>
            <color rgb="FF000000"/>
            <rFont val="Tahoma"/>
            <family val="2"/>
          </rPr>
          <t xml:space="preserve">
</t>
        </r>
        <r>
          <rPr>
            <b/>
            <sz val="12"/>
            <color rgb="FF000000"/>
            <rFont val="Tahoma"/>
            <family val="2"/>
          </rPr>
          <t xml:space="preserve">This is a calculated value based on all of the various inputs in this section.  </t>
        </r>
        <r>
          <rPr>
            <sz val="12"/>
            <color rgb="FF000000"/>
            <rFont val="Tahoma"/>
            <family val="2"/>
          </rPr>
          <t xml:space="preserve">The best result would be an engine scale factor =1.0, which would imply that the reference engine can be used as is with no physical changes.  This is the lowest risk and cost option.
</t>
        </r>
        <r>
          <rPr>
            <sz val="12"/>
            <color rgb="FF000000"/>
            <rFont val="Tahoma"/>
            <family val="2"/>
          </rPr>
          <t xml:space="preserve">
</t>
        </r>
        <r>
          <rPr>
            <sz val="12"/>
            <color rgb="FF000000"/>
            <rFont val="Tahoma"/>
            <family val="2"/>
          </rPr>
          <t xml:space="preserve">Scaling the reference engine is also a reasonable option, however the risk and cost go up as the engine scale factor moves away from 1.0.
</t>
        </r>
        <r>
          <rPr>
            <sz val="12"/>
            <color rgb="FF000000"/>
            <rFont val="Tahoma"/>
            <family val="2"/>
          </rPr>
          <t xml:space="preserve">
</t>
        </r>
        <r>
          <rPr>
            <sz val="12"/>
            <color rgb="FF000000"/>
            <rFont val="Tahoma"/>
            <family val="2"/>
          </rPr>
          <t>Scaling beyond a reasonable limit, say 0.75&lt;ESF&lt;1.25, is not practical.  If the ESF falls out side of the this range, then a better option is to find a different refererence engine, either smalleror larger such that the ESF is within the 0.75&lt;ESF&lt;1.25 range.</t>
        </r>
      </text>
    </comment>
    <comment ref="Q19" authorId="0" shapeId="0" xr:uid="{D63CE764-2FC4-47A6-B46B-160C95FB8104}">
      <text>
        <r>
          <rPr>
            <b/>
            <sz val="14"/>
            <color rgb="FF000000"/>
            <rFont val="Tahoma"/>
            <family val="2"/>
          </rPr>
          <t xml:space="preserve">Uninstalled TSFC or SFC </t>
        </r>
        <r>
          <rPr>
            <b/>
            <sz val="9"/>
            <color rgb="FF000000"/>
            <rFont val="Tahoma"/>
            <family val="2"/>
          </rPr>
          <t xml:space="preserve">
</t>
        </r>
        <r>
          <rPr>
            <sz val="12"/>
            <color rgb="FF000000"/>
            <rFont val="Tahoma"/>
            <family val="2"/>
          </rPr>
          <t xml:space="preserve">
</t>
        </r>
        <r>
          <rPr>
            <sz val="12"/>
            <color rgb="FF000000"/>
            <rFont val="Tahoma"/>
            <family val="2"/>
          </rPr>
          <t>This value is calculated based on the power train efficiency design.  It should be equal to the reference engine value, but it most likely will NOT be equal to start.  I recommend using goal seek to vary the Thermal Efficiency input of the engine so that the TSFC or SFC design value is equivalent to the engine reference value.</t>
        </r>
        <r>
          <rPr>
            <sz val="9"/>
            <color rgb="FF000000"/>
            <rFont val="Tahoma"/>
            <family val="2"/>
          </rPr>
          <t xml:space="preserve">
</t>
        </r>
      </text>
    </comment>
    <comment ref="F22" authorId="0" shapeId="0" xr:uid="{80728546-3778-4850-A6ED-7201C55A79F6}">
      <text>
        <r>
          <rPr>
            <b/>
            <sz val="14"/>
            <color rgb="FF000000"/>
            <rFont val="Tahoma"/>
            <family val="2"/>
          </rPr>
          <t xml:space="preserve">Reference SPU Specific Energy
</t>
        </r>
        <r>
          <rPr>
            <sz val="9"/>
            <color rgb="FF000000"/>
            <rFont val="Tahoma"/>
            <family val="2"/>
          </rPr>
          <t xml:space="preserve">
</t>
        </r>
        <r>
          <rPr>
            <sz val="14"/>
            <color rgb="FF000000"/>
            <rFont val="Tahoma"/>
            <family val="2"/>
          </rPr>
          <t xml:space="preserve">If possible, specify the reference SPU pack average, installed specific energy, in Watt-hours/kilogram.
</t>
        </r>
      </text>
    </comment>
    <comment ref="F25" authorId="0" shapeId="0" xr:uid="{B3F1EBEC-22BB-4810-93EE-5193985EC1DC}">
      <text>
        <r>
          <rPr>
            <b/>
            <sz val="14"/>
            <color rgb="FF000000"/>
            <rFont val="Tahoma"/>
            <family val="2"/>
          </rPr>
          <t>Efficiency inputs for Propulsion System Components</t>
        </r>
        <r>
          <rPr>
            <sz val="9"/>
            <color rgb="FF000000"/>
            <rFont val="Tahoma"/>
            <family val="2"/>
          </rPr>
          <t xml:space="preserve">
</t>
        </r>
        <r>
          <rPr>
            <sz val="9"/>
            <color rgb="FF000000"/>
            <rFont val="Tahoma"/>
            <family val="2"/>
          </rPr>
          <t xml:space="preserve">
</t>
        </r>
        <r>
          <rPr>
            <sz val="12"/>
            <color rgb="FF000000"/>
            <rFont val="Tahoma"/>
            <family val="2"/>
          </rPr>
          <t xml:space="preserve">The values shown are representative values for the components shown.  Without any better information, these values can be used.
</t>
        </r>
        <r>
          <rPr>
            <sz val="12"/>
            <color rgb="FF000000"/>
            <rFont val="Tahoma"/>
            <family val="2"/>
          </rPr>
          <t xml:space="preserve">
</t>
        </r>
        <r>
          <rPr>
            <sz val="12"/>
            <color rgb="FF000000"/>
            <rFont val="Tahoma"/>
            <family val="2"/>
          </rPr>
          <t xml:space="preserve">Better to base the component efficiency values on actual products.  Power (shp) and weights (lb) of actual components are available with research on-line.
</t>
        </r>
        <r>
          <rPr>
            <sz val="12"/>
            <color rgb="FF000000"/>
            <rFont val="Tahoma"/>
            <family val="2"/>
          </rPr>
          <t xml:space="preserve">
</t>
        </r>
        <r>
          <rPr>
            <sz val="12"/>
            <color rgb="FF000000"/>
            <rFont val="Tahoma"/>
            <family val="2"/>
          </rPr>
          <t>If your propulsion system does not have the listed component, then you can enter "1.0" to null the loss of a given component.  Also, if you need to account for a component not listed, then you can add to the list or re-name a component that is not being used.</t>
        </r>
      </text>
    </comment>
    <comment ref="G25" authorId="0" shapeId="0" xr:uid="{E1777279-5E32-4FBB-9733-DFA9091BEB1B}">
      <text>
        <r>
          <rPr>
            <b/>
            <sz val="14"/>
            <color rgb="FF000000"/>
            <rFont val="Tahoma"/>
            <family val="2"/>
          </rPr>
          <t>Efficiency inputs for Propulsion System Components</t>
        </r>
        <r>
          <rPr>
            <sz val="9"/>
            <color rgb="FF000000"/>
            <rFont val="Tahoma"/>
            <family val="2"/>
          </rPr>
          <t xml:space="preserve">
</t>
        </r>
        <r>
          <rPr>
            <sz val="9"/>
            <color rgb="FF000000"/>
            <rFont val="Tahoma"/>
            <family val="2"/>
          </rPr>
          <t xml:space="preserve">
</t>
        </r>
        <r>
          <rPr>
            <sz val="12"/>
            <color rgb="FF000000"/>
            <rFont val="Tahoma"/>
            <family val="2"/>
          </rPr>
          <t xml:space="preserve">The values shown are representative values for the components shown.  Without any better information, these values can be used.
</t>
        </r>
        <r>
          <rPr>
            <sz val="12"/>
            <color rgb="FF000000"/>
            <rFont val="Tahoma"/>
            <family val="2"/>
          </rPr>
          <t xml:space="preserve">
</t>
        </r>
        <r>
          <rPr>
            <sz val="12"/>
            <color rgb="FF000000"/>
            <rFont val="Tahoma"/>
            <family val="2"/>
          </rPr>
          <t xml:space="preserve">Better to base the component efficiency values on actual products.  Power (shp) and weights (lb) of actual components are available with research on-line.
</t>
        </r>
        <r>
          <rPr>
            <sz val="12"/>
            <color rgb="FF000000"/>
            <rFont val="Tahoma"/>
            <family val="2"/>
          </rPr>
          <t xml:space="preserve">
</t>
        </r>
        <r>
          <rPr>
            <sz val="12"/>
            <color rgb="FF000000"/>
            <rFont val="Tahoma"/>
            <family val="2"/>
          </rPr>
          <t>If your propulsion system does not have the listed component, then you can enter "1.0" to null the loss of a given component.  Also, if you need to account for a component not listed, then you can add to the list or re-name a component that is not being used.</t>
        </r>
      </text>
    </comment>
    <comment ref="G27" authorId="0" shapeId="0" xr:uid="{FD748E6C-FCE2-49BD-9273-EAF5F56CD1A2}">
      <text>
        <r>
          <rPr>
            <b/>
            <sz val="14"/>
            <color rgb="FF000000"/>
            <rFont val="Tahoma"/>
            <family val="2"/>
          </rPr>
          <t xml:space="preserve">Specific Energy
</t>
        </r>
        <r>
          <rPr>
            <sz val="9"/>
            <color rgb="FF000000"/>
            <rFont val="Tahoma"/>
            <family val="2"/>
          </rPr>
          <t xml:space="preserve">
</t>
        </r>
        <r>
          <rPr>
            <sz val="14"/>
            <color rgb="FF000000"/>
            <rFont val="Tahoma"/>
            <family val="2"/>
          </rPr>
          <t>This input represents the energy content of the SPU energy source, in this case batteries.  150 W-hr/kg is a good average value for state of the art in 2020.  Research is required to find predicted values for battery specific energy in the future, but some reports show anywhere from 500 to 1,000 W-hr/kg to be possible.  You will need to document your source if you use anything higher than 150 W-hr/kg.</t>
        </r>
      </text>
    </comment>
    <comment ref="Q27" authorId="2" shapeId="0" xr:uid="{855AAD27-A766-473C-92DD-8108862573FF}">
      <text>
        <r>
          <rPr>
            <b/>
            <sz val="14"/>
            <color indexed="81"/>
            <rFont val="Tahoma"/>
            <family val="2"/>
          </rPr>
          <t>Design SPU SLS ISA Max Thrust-to-Weight Ratio, To/Wo</t>
        </r>
        <r>
          <rPr>
            <sz val="14"/>
            <color indexed="81"/>
            <rFont val="Tahoma"/>
            <family val="2"/>
          </rPr>
          <t xml:space="preserve">
This value is a result of the Chapter 3 analysis, i.e. the selection of your design point.  </t>
        </r>
      </text>
    </comment>
    <comment ref="F28" authorId="0" shapeId="0" xr:uid="{CB9DB7AD-D215-4017-BF20-B974F62CF0F8}">
      <text>
        <r>
          <rPr>
            <b/>
            <sz val="14"/>
            <color rgb="FF000000"/>
            <rFont val="Tahoma"/>
            <family val="2"/>
          </rPr>
          <t>Specific Energy of Fuel</t>
        </r>
        <r>
          <rPr>
            <sz val="9"/>
            <color rgb="FF000000"/>
            <rFont val="Tahoma"/>
            <family val="2"/>
          </rPr>
          <t xml:space="preserve">
</t>
        </r>
        <r>
          <rPr>
            <sz val="9"/>
            <color rgb="FF000000"/>
            <rFont val="Tahoma"/>
            <family val="2"/>
          </rPr>
          <t xml:space="preserve">
</t>
        </r>
        <r>
          <rPr>
            <sz val="12"/>
            <color rgb="FF000000"/>
            <rFont val="Tahoma"/>
            <family val="2"/>
          </rPr>
          <t xml:space="preserve">The units of this parameter are typically btu/lbm for most common aviation fuels.
</t>
        </r>
        <r>
          <rPr>
            <sz val="12"/>
            <color rgb="FF000000"/>
            <rFont val="Tahoma"/>
            <family val="2"/>
          </rPr>
          <t xml:space="preserve">
</t>
        </r>
        <r>
          <rPr>
            <sz val="12"/>
            <color rgb="FF000000"/>
            <rFont val="Tahoma"/>
            <family val="2"/>
          </rPr>
          <t xml:space="preserve">This parameter is also know as "fuel heating value" and "fuel heat or energy  content".
</t>
        </r>
        <r>
          <rPr>
            <sz val="12"/>
            <color rgb="FF000000"/>
            <rFont val="Tahoma"/>
            <family val="2"/>
          </rPr>
          <t xml:space="preserve">
</t>
        </r>
        <r>
          <rPr>
            <sz val="12"/>
            <color rgb="FF000000"/>
            <rFont val="Tahoma"/>
            <family val="2"/>
          </rPr>
          <t xml:space="preserve">Typical values are 18,300 btu/lbm &lt; Hf &lt; 18,800 btu/lbm
</t>
        </r>
        <r>
          <rPr>
            <sz val="12"/>
            <color rgb="FF000000"/>
            <rFont val="Tahoma"/>
            <family val="2"/>
          </rPr>
          <t xml:space="preserve">
</t>
        </r>
        <r>
          <rPr>
            <sz val="12"/>
            <color rgb="FF000000"/>
            <rFont val="Tahoma"/>
            <family val="2"/>
          </rPr>
          <t xml:space="preserve">Different aviation segments tend to use different types of fuel, like Avgas, Jet A, Jet B for commercial applications and JP-4, JP-5 and JP-8 for military.  Research required for your market segment to nail this down.
</t>
        </r>
        <r>
          <rPr>
            <sz val="9"/>
            <color rgb="FF000000"/>
            <rFont val="Tahoma"/>
            <family val="2"/>
          </rPr>
          <t xml:space="preserve">
</t>
        </r>
        <r>
          <rPr>
            <sz val="9"/>
            <color rgb="FF000000"/>
            <rFont val="Tahoma"/>
            <family val="2"/>
          </rPr>
          <t xml:space="preserve">
</t>
        </r>
      </text>
    </comment>
    <comment ref="Q31" authorId="0" shapeId="0" xr:uid="{9A038469-406F-41DF-8454-61155E451FC5}">
      <text>
        <r>
          <rPr>
            <b/>
            <sz val="14"/>
            <color indexed="81"/>
            <rFont val="Tahoma"/>
            <family val="2"/>
          </rPr>
          <t>SPU Power Scale Factor</t>
        </r>
        <r>
          <rPr>
            <b/>
            <sz val="9"/>
            <color indexed="81"/>
            <rFont val="Tahoma"/>
            <family val="2"/>
          </rPr>
          <t xml:space="preserve">
</t>
        </r>
        <r>
          <rPr>
            <b/>
            <sz val="12"/>
            <color indexed="81"/>
            <rFont val="Tahoma"/>
            <family val="2"/>
          </rPr>
          <t xml:space="preserve">
</t>
        </r>
        <r>
          <rPr>
            <sz val="12"/>
            <color indexed="81"/>
            <rFont val="Tahoma"/>
            <family val="2"/>
          </rPr>
          <t>This is a calculated value based on all of the various inputs in this section.  The best result would be an spu scale factor =1.0, which would imply that the reference spu can be used as is with no physical changes.  This is the lowest risk and cost option.
Scaling the reference spu is also a reasonable option, however the risk and cost go up as the engine scale factor moves away from 1.0.
Scaling beyond a reasonable limit, say 0.75&lt;SF&lt;1.25, is not practical.  If the SF falls out side of the this range, then a better option is to find a different refererence spu, either smaller or larger such that the SF is within the 0.75&lt;SF&lt;1.25 range.</t>
        </r>
        <r>
          <rPr>
            <sz val="9"/>
            <color indexed="81"/>
            <rFont val="Tahoma"/>
            <family val="2"/>
          </rPr>
          <t xml:space="preserve">
</t>
        </r>
      </text>
    </comment>
    <comment ref="F39" authorId="0" shapeId="0" xr:uid="{6C3A8876-C126-4C8B-A44E-4AC07B8FA07A}">
      <text>
        <r>
          <rPr>
            <b/>
            <sz val="14"/>
            <color rgb="FF000000"/>
            <rFont val="Tahoma"/>
            <family val="2"/>
          </rPr>
          <t>Static shaft power to propulsive thrust conversion</t>
        </r>
        <r>
          <rPr>
            <sz val="9"/>
            <color rgb="FF000000"/>
            <rFont val="Tahoma"/>
            <family val="2"/>
          </rPr>
          <t xml:space="preserve">
</t>
        </r>
        <r>
          <rPr>
            <sz val="9"/>
            <color rgb="FF000000"/>
            <rFont val="Tahoma"/>
            <family val="2"/>
          </rPr>
          <t xml:space="preserve">
</t>
        </r>
        <r>
          <rPr>
            <sz val="12"/>
            <color rgb="FF000000"/>
            <rFont val="Tahoma"/>
            <family val="2"/>
          </rPr>
          <t xml:space="preserve">This value respresents how effective the propulsor is at turning shaft power into propulsive thrust at zero flight speed, essentially an efficiency at zero speed.
</t>
        </r>
        <r>
          <rPr>
            <sz val="12"/>
            <color rgb="FF000000"/>
            <rFont val="Tahoma"/>
            <family val="2"/>
          </rPr>
          <t xml:space="preserve">
</t>
        </r>
        <r>
          <rPr>
            <sz val="12"/>
            <color rgb="FF000000"/>
            <rFont val="Tahoma"/>
            <family val="2"/>
          </rPr>
          <t xml:space="preserve">For open rotors (propellers) use McCormick's correlation with dsik loading (scroll to bottom of this spreadsheet).
</t>
        </r>
        <r>
          <rPr>
            <sz val="12"/>
            <color rgb="FF000000"/>
            <rFont val="Tahoma"/>
            <family val="2"/>
          </rPr>
          <t xml:space="preserve">
</t>
        </r>
        <r>
          <rPr>
            <sz val="12"/>
            <color rgb="FF000000"/>
            <rFont val="Tahoma"/>
            <family val="2"/>
          </rPr>
          <t xml:space="preserve">For ducted rotors (turbofans or turbojets), this is a difficult number to obtain.  Values can be as low as 0.1 and as high as 5.  T/P=2 lb/hp is representative, but use with caution.  Error in this parameter will show up only in the component weight estimates OTHER than the engine itself.  </t>
        </r>
      </text>
    </comment>
    <comment ref="G39" authorId="0" shapeId="0" xr:uid="{E79249E8-2E2B-44A7-8CB1-B55866AA03F8}">
      <text>
        <r>
          <rPr>
            <b/>
            <sz val="14"/>
            <color indexed="81"/>
            <rFont val="Tahoma"/>
            <family val="2"/>
          </rPr>
          <t>Static shaft power to propulsive thrust conversion</t>
        </r>
        <r>
          <rPr>
            <sz val="9"/>
            <color indexed="81"/>
            <rFont val="Tahoma"/>
            <family val="2"/>
          </rPr>
          <t xml:space="preserve">
</t>
        </r>
        <r>
          <rPr>
            <sz val="12"/>
            <color indexed="81"/>
            <rFont val="Tahoma"/>
            <family val="2"/>
          </rPr>
          <t xml:space="preserve">This value respresents how effective the propulsor is at turning shaft power into propulsive thrust at zero flight speed, essentially an efficiency at zero speed.
For open rotors (propellers) use McCormick's correlation with dsik loading (scroll to bottom of this spreadsheet).
For ducted rotors (turbofans or turbojets), this is a difficult number to obtain.  Values can be as low as 0.1 and as high as 5.  T/P=2 lb/hp is representative, but use with caution.  Error in this parameter will show up only in the component weight estimates OTHER than the engine itself.  </t>
        </r>
      </text>
    </comment>
    <comment ref="F43" authorId="0" shapeId="0" xr:uid="{F189A7C0-B894-405B-A777-25F6549032A7}">
      <text>
        <r>
          <rPr>
            <b/>
            <sz val="14"/>
            <color rgb="FF000000"/>
            <rFont val="Tahoma"/>
            <family val="2"/>
          </rPr>
          <t>Power-to-Weight Ratio inputs for Propulsion System Components</t>
        </r>
        <r>
          <rPr>
            <sz val="9"/>
            <color rgb="FF000000"/>
            <rFont val="Tahoma"/>
            <family val="2"/>
          </rPr>
          <t xml:space="preserve">
</t>
        </r>
        <r>
          <rPr>
            <sz val="9"/>
            <color rgb="FF000000"/>
            <rFont val="Tahoma"/>
            <family val="2"/>
          </rPr>
          <t xml:space="preserve">
</t>
        </r>
        <r>
          <rPr>
            <sz val="12"/>
            <color rgb="FF000000"/>
            <rFont val="Tahoma"/>
            <family val="2"/>
          </rPr>
          <t xml:space="preserve">The values shown are representative values for the compoents shown.  Without any better information, these values can be used.
</t>
        </r>
        <r>
          <rPr>
            <sz val="12"/>
            <color rgb="FF000000"/>
            <rFont val="Tahoma"/>
            <family val="2"/>
          </rPr>
          <t xml:space="preserve">
</t>
        </r>
        <r>
          <rPr>
            <sz val="12"/>
            <color rgb="FF000000"/>
            <rFont val="Tahoma"/>
            <family val="2"/>
          </rPr>
          <t xml:space="preserve">Better to base the component P/W values on actual products.  Power (shp) and weights (lb) of actual components are available with research on-line.
</t>
        </r>
        <r>
          <rPr>
            <sz val="12"/>
            <color rgb="FF000000"/>
            <rFont val="Tahoma"/>
            <family val="2"/>
          </rPr>
          <t xml:space="preserve">
</t>
        </r>
        <r>
          <rPr>
            <sz val="12"/>
            <color rgb="FF000000"/>
            <rFont val="Tahoma"/>
            <family val="2"/>
          </rPr>
          <t>If your propulsion system does not have the listed component, then you can enter "0.0" to null the weight of a given component.  Also, if you need to account for a component not listed, then you can add to the list or re-name a component that is not being used.</t>
        </r>
      </text>
    </comment>
    <comment ref="G43" authorId="0" shapeId="0" xr:uid="{52C143B8-2E39-48C4-ACE1-1BA36659BFF9}">
      <text>
        <r>
          <rPr>
            <b/>
            <sz val="14"/>
            <color indexed="81"/>
            <rFont val="Tahoma"/>
            <family val="2"/>
          </rPr>
          <t>Power-to-Weight Ratio inputs for Propulsion System Components</t>
        </r>
        <r>
          <rPr>
            <sz val="9"/>
            <color indexed="81"/>
            <rFont val="Tahoma"/>
            <family val="2"/>
          </rPr>
          <t xml:space="preserve">
</t>
        </r>
        <r>
          <rPr>
            <sz val="12"/>
            <color indexed="81"/>
            <rFont val="Tahoma"/>
            <family val="2"/>
          </rPr>
          <t>The values shown are representative values for the compoents shown.  Without any better information, these values can be used.
Better to base the component P/W values on actual products.  Power (shp) and weights (lb) of actual components are available with research on-line.
If your propulsion system does not have the listed component, then you can enter "0.0" to null the weight of a given component.  Also, if you need to account for a component not listed, then you can add to the list or re-name a component that is not being used.</t>
        </r>
      </text>
    </comment>
    <comment ref="F65" authorId="1" shapeId="0" xr:uid="{25B57498-8FD2-48DA-80F0-DFAC448906AD}">
      <text>
        <r>
          <rPr>
            <b/>
            <sz val="14"/>
            <color rgb="FF000000"/>
            <rFont val="Tahoma"/>
            <family val="2"/>
          </rPr>
          <t>Weight Delta for Supercharger or Turbocharger</t>
        </r>
        <r>
          <rPr>
            <sz val="12"/>
            <color rgb="FF000000"/>
            <rFont val="Tahoma"/>
            <family val="2"/>
          </rPr>
          <t xml:space="preserve">
</t>
        </r>
        <r>
          <rPr>
            <sz val="12"/>
            <color rgb="FF000000"/>
            <rFont val="Tahoma"/>
            <family val="2"/>
          </rPr>
          <t xml:space="preserve">
</t>
        </r>
        <r>
          <rPr>
            <sz val="12"/>
            <color rgb="FF000000"/>
            <rFont val="Tahoma"/>
            <family val="2"/>
          </rPr>
          <t xml:space="preserve">Choosing a supercharger or a turbocharger will increase power, but it will be heavier and thirstier.
</t>
        </r>
        <r>
          <rPr>
            <sz val="12"/>
            <color rgb="FF000000"/>
            <rFont val="Tahoma"/>
            <family val="2"/>
          </rPr>
          <t xml:space="preserve">
</t>
        </r>
        <r>
          <rPr>
            <sz val="12"/>
            <color rgb="FF000000"/>
            <rFont val="Tahoma"/>
            <family val="2"/>
          </rPr>
          <t xml:space="preserve">Better to research some actual superchargers on line to get actual numbers, but without any better information assume the following penalties;
</t>
        </r>
        <r>
          <rPr>
            <sz val="12"/>
            <color rgb="FF000000"/>
            <rFont val="Tahoma"/>
            <family val="2"/>
          </rPr>
          <t xml:space="preserve">
</t>
        </r>
        <r>
          <rPr>
            <sz val="12"/>
            <color rgb="FF000000"/>
            <rFont val="Tahoma"/>
            <family val="2"/>
          </rPr>
          <t xml:space="preserve">Weight:  +50 lbs/eng or +25% base engine weight, whichever is greater.
</t>
        </r>
        <r>
          <rPr>
            <sz val="12"/>
            <color rgb="FF000000"/>
            <rFont val="Tahoma"/>
            <family val="2"/>
          </rPr>
          <t xml:space="preserve">Width, height or diameter:  +2 to 3 in or +10%, whichever is greater
</t>
        </r>
        <r>
          <rPr>
            <sz val="12"/>
            <color rgb="FF000000"/>
            <rFont val="Tahoma"/>
            <family val="2"/>
          </rPr>
          <t>cp=sfc:  +5% at all altitudes and speeds</t>
        </r>
        <r>
          <rPr>
            <sz val="9"/>
            <color rgb="FF000000"/>
            <rFont val="Tahoma"/>
            <family val="2"/>
          </rPr>
          <t xml:space="preserve">
</t>
        </r>
      </text>
    </comment>
    <comment ref="F66" authorId="1" shapeId="0" xr:uid="{A9FB026E-6FDA-4D88-8FAF-A039A75BD209}">
      <text>
        <r>
          <rPr>
            <b/>
            <sz val="12"/>
            <color rgb="FF000000"/>
            <rFont val="Tahoma"/>
            <family val="2"/>
          </rPr>
          <t>Choosing a supercharger or a turbocharger will increase power, but it will be heavier and thirstier.
Better to research some actual superchargers on line to get actual numbers, but without any better information assume the following penalties;
Weight:  +50 lbs/eng or +25% base engine weight, whichever is greater.
Width, height or diameter:  +2 to 3 in or +10%, whichever is greater
cp=sfc:  +5% at all altitudes and speeds</t>
        </r>
        <r>
          <rPr>
            <sz val="9"/>
            <color rgb="FF000000"/>
            <rFont val="Tahoma"/>
            <family val="2"/>
          </rPr>
          <t xml:space="preserve">
</t>
        </r>
      </text>
    </comment>
    <comment ref="F67" authorId="1" shapeId="0" xr:uid="{41954102-C73C-48E4-A381-BB656BB52C1B}">
      <text>
        <r>
          <rPr>
            <b/>
            <sz val="12"/>
            <color rgb="FF000000"/>
            <rFont val="Tahoma"/>
            <family val="2"/>
          </rPr>
          <t>Choosing a supercharger or a turbocharger will increase power, but it will be heavier and thirstier.
Better to research some actual superchargers on line to get actual numbers, but without any better information assume the following penalties;
Weight:  +50 lbs/eng or +25% base engine weight, whichever is greater.
Width, height or diameter:  +2 to 3 in or +10%, whichever is greater
cp=sfc:  +5% at all altitudes and speeds</t>
        </r>
        <r>
          <rPr>
            <sz val="9"/>
            <color rgb="FF000000"/>
            <rFont val="Tahoma"/>
            <family val="2"/>
          </rPr>
          <t xml:space="preserve">
</t>
        </r>
      </text>
    </comment>
    <comment ref="X77" authorId="0" shapeId="0" xr:uid="{985C1F03-75AC-4257-8925-1E1AC9ED05C1}">
      <text>
        <r>
          <rPr>
            <b/>
            <sz val="14"/>
            <color indexed="81"/>
            <rFont val="Tahoma"/>
            <family val="2"/>
          </rPr>
          <t>SPU Throttle</t>
        </r>
        <r>
          <rPr>
            <b/>
            <sz val="9"/>
            <color indexed="81"/>
            <rFont val="Tahoma"/>
            <family val="2"/>
          </rPr>
          <t xml:space="preserve">
</t>
        </r>
        <r>
          <rPr>
            <sz val="9"/>
            <color indexed="81"/>
            <rFont val="Tahoma"/>
            <family val="2"/>
          </rPr>
          <t xml:space="preserve">
</t>
        </r>
        <r>
          <rPr>
            <sz val="12"/>
            <color indexed="81"/>
            <rFont val="Tahoma"/>
            <family val="2"/>
          </rPr>
          <t>This input defines what % of max SPU power is used for this mission leg.</t>
        </r>
        <r>
          <rPr>
            <sz val="9"/>
            <color indexed="81"/>
            <rFont val="Tahoma"/>
            <family val="2"/>
          </rPr>
          <t xml:space="preserve">
</t>
        </r>
      </text>
    </comment>
    <comment ref="AM77" authorId="0" shapeId="0" xr:uid="{3441F814-9DC0-4011-B78A-3E59CBED3794}">
      <text>
        <r>
          <rPr>
            <b/>
            <sz val="14"/>
            <color indexed="81"/>
            <rFont val="Tahoma"/>
            <family val="2"/>
          </rPr>
          <t>Propulsion System Throttle Setting</t>
        </r>
        <r>
          <rPr>
            <sz val="9"/>
            <color indexed="81"/>
            <rFont val="Tahoma"/>
            <family val="2"/>
          </rPr>
          <t xml:space="preserve">
</t>
        </r>
        <r>
          <rPr>
            <sz val="12"/>
            <color indexed="81"/>
            <rFont val="Tahoma"/>
            <family val="2"/>
          </rPr>
          <t>This parameter should be less then 1.0 at all flight segments.  If the inputs for chap3 (matching chart) and chap 7 are consistent, then this should be the case.  If not, then start checking all of the chap3 and chap 7 inputs for any inconsistencies.
If there are still values &gt;1.0, then you will need to increase the design P/W from the matching chart to make sure ALL values are &lt;1.0.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GE User</author>
    <author>Tim B</author>
    <author>Geiger, James (GE Aviation, US)</author>
  </authors>
  <commentList>
    <comment ref="C6" authorId="0" shapeId="0" xr:uid="{00000000-0006-0000-0A00-000001000000}">
      <text>
        <r>
          <rPr>
            <b/>
            <sz val="9"/>
            <color indexed="81"/>
            <rFont val="Tahoma"/>
            <family val="2"/>
          </rPr>
          <t xml:space="preserve">CD_0 = Clean Aircraft Drag Coefficient, (-)
</t>
        </r>
        <r>
          <rPr>
            <sz val="9"/>
            <color indexed="81"/>
            <rFont val="Tahoma"/>
            <family val="2"/>
          </rPr>
          <t xml:space="preserve">This input should agree with spreadsheets from chapters 2 through 7.
</t>
        </r>
      </text>
    </comment>
    <comment ref="F6" authorId="0" shapeId="0" xr:uid="{00000000-0006-0000-0A00-000002000000}">
      <text>
        <r>
          <rPr>
            <b/>
            <sz val="9"/>
            <color rgb="FF000000"/>
            <rFont val="Tahoma"/>
            <family val="2"/>
          </rPr>
          <t>mu_TO = Coefficient of Rolling Friction, (-)</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-Check project definition document for specific requirements.
</t>
        </r>
        <r>
          <rPr>
            <sz val="9"/>
            <color rgb="FF000000"/>
            <rFont val="Tahoma"/>
            <family val="2"/>
          </rPr>
          <t xml:space="preserve">-Use Corke Table 8.2 for an estimate.
</t>
        </r>
        <r>
          <rPr>
            <sz val="9"/>
            <color rgb="FF000000"/>
            <rFont val="Tahoma"/>
            <family val="2"/>
          </rPr>
          <t>-Use Corke Table 8.2 and treat mu_TO as a parameter and calculate the field length as a funcrion of mu_TO.</t>
        </r>
      </text>
    </comment>
    <comment ref="P6" authorId="0" shapeId="0" xr:uid="{00000000-0006-0000-0A00-000012000000}">
      <text>
        <r>
          <rPr>
            <b/>
            <sz val="9"/>
            <color indexed="81"/>
            <rFont val="Tahoma"/>
            <family val="2"/>
          </rPr>
          <t>W_L (lb) = Design Landing Weight, (lb)</t>
        </r>
        <r>
          <rPr>
            <sz val="9"/>
            <color indexed="81"/>
            <rFont val="Tahoma"/>
            <family val="2"/>
          </rPr>
          <t xml:space="preserve">
This input should agree with spreadsheets from chapters 2 through 7.
Options
-Assume W_L (lb) = W_TO (lb).  This is the most desirable, i.e the aircraft can meet landing requirements at the max gross weight.
-Use the landing Weight as calculated by the mission analysis in chapter 2.
-Assume a ratio, W_L / W_TO = 0.6 (rough estimate)</t>
        </r>
      </text>
    </comment>
    <comment ref="C7" authorId="0" shapeId="0" xr:uid="{00000000-0006-0000-0A00-000003000000}">
      <text>
        <r>
          <rPr>
            <b/>
            <sz val="9"/>
            <color rgb="FF000000"/>
            <rFont val="Tahoma"/>
            <family val="2"/>
          </rPr>
          <t>A = Wing Aspect Ratio, (-)</t>
        </r>
        <r>
          <rPr>
            <sz val="9"/>
            <color rgb="FF000000"/>
            <rFont val="Tahoma"/>
            <family val="2"/>
          </rPr>
          <t xml:space="preserve">
</t>
        </r>
        <r>
          <rPr>
            <sz val="9"/>
            <color rgb="FF000000"/>
            <rFont val="Tahoma"/>
            <family val="2"/>
          </rPr>
          <t xml:space="preserve">
</t>
        </r>
        <r>
          <rPr>
            <sz val="9"/>
            <color rgb="FF000000"/>
            <rFont val="Tahoma"/>
            <family val="2"/>
          </rPr>
          <t>This input should agree with spreadsheets from chapters 2 through 7.</t>
        </r>
      </text>
    </comment>
    <comment ref="F7" authorId="0" shapeId="0" xr:uid="{00000000-0006-0000-0A00-000004000000}">
      <text>
        <r>
          <rPr>
            <b/>
            <sz val="9"/>
            <color rgb="FF000000"/>
            <rFont val="Tahoma"/>
            <family val="2"/>
          </rPr>
          <t xml:space="preserve">T_max (lb) = Maximum Takeoff Thrust, (lb/ac)
</t>
        </r>
        <r>
          <rPr>
            <b/>
            <sz val="9"/>
            <color rgb="FF000000"/>
            <rFont val="Tahoma"/>
            <family val="2"/>
          </rPr>
          <t xml:space="preserve">
</t>
        </r>
        <r>
          <rPr>
            <sz val="9"/>
            <color rgb="FF000000"/>
            <rFont val="Tahoma"/>
            <family val="2"/>
          </rPr>
          <t xml:space="preserve">This input should agree with the Chapter 7 spreadsheet.
</t>
        </r>
        <r>
          <rPr>
            <sz val="9"/>
            <color rgb="FF000000"/>
            <rFont val="Tahoma"/>
            <family val="2"/>
          </rPr>
          <t xml:space="preserve">
</t>
        </r>
        <r>
          <rPr>
            <sz val="9"/>
            <color rgb="FF000000"/>
            <rFont val="Tahoma"/>
            <family val="2"/>
          </rPr>
          <t xml:space="preserve">NOTE:  Be careful of units!  This input is total installed thrust from all engines!
</t>
        </r>
      </text>
    </comment>
    <comment ref="S7" authorId="1" shapeId="0" xr:uid="{41EBDE43-8322-438F-885C-558C21C6EF12}">
      <text>
        <r>
          <rPr>
            <b/>
            <sz val="9"/>
            <color indexed="81"/>
            <rFont val="Tahoma"/>
            <family val="2"/>
          </rPr>
          <t xml:space="preserve">Corke Eqation 8.34
</t>
        </r>
      </text>
    </comment>
    <comment ref="C8" authorId="0" shapeId="0" xr:uid="{00000000-0006-0000-0A00-000005000000}">
      <text>
        <r>
          <rPr>
            <b/>
            <sz val="9"/>
            <color indexed="81"/>
            <rFont val="Tahoma"/>
            <family val="2"/>
          </rPr>
          <t>e = Oswalds's Span Efficiency Factor, (-)</t>
        </r>
        <r>
          <rPr>
            <sz val="9"/>
            <color indexed="81"/>
            <rFont val="Tahoma"/>
            <family val="2"/>
          </rPr>
          <t xml:space="preserve">
This input is typically lower with flaps deployed compared to a clean wing.  With out any better information assume that
(e w/flaps) / (e clean) ~ 0.8
For e clean use the value from Chapter 4-6 spreadsheet.</t>
        </r>
      </text>
    </comment>
    <comment ref="F8" authorId="2" shapeId="0" xr:uid="{00000000-0006-0000-0A00-000006000000}">
      <text>
        <r>
          <rPr>
            <sz val="9"/>
            <color indexed="81"/>
            <rFont val="Tahoma"/>
            <family val="2"/>
          </rPr>
          <t xml:space="preserve">Reduce gear drag by 0.667 factor for large aircraft, Wo&gt;250,000 lbs.   See Nicolai Figure 10.3.
</t>
        </r>
      </text>
    </comment>
    <comment ref="S8" authorId="0" shapeId="0" xr:uid="{00000000-0006-0000-0A00-000013000000}">
      <text>
        <r>
          <rPr>
            <b/>
            <sz val="9"/>
            <color indexed="81"/>
            <rFont val="Tahoma"/>
            <family val="2"/>
          </rPr>
          <t xml:space="preserve">gamma_A_act = glide slope during approach, (deg
</t>
        </r>
        <r>
          <rPr>
            <sz val="9"/>
            <color indexed="81"/>
            <rFont val="Tahoma"/>
            <family val="2"/>
          </rPr>
          <t>This input must be greater than or equal to gamma_A (deg) (Cell directly above).  
Options
-Treat gamma_A_act as a parameter and calculate field length as a fucntion of glide slope angle.
NOTE:  This glide slope is differant from the glide slope of Chapter 3</t>
        </r>
      </text>
    </comment>
    <comment ref="C9" authorId="0" shapeId="0" xr:uid="{00000000-0006-0000-0A00-000007000000}">
      <text>
        <r>
          <rPr>
            <b/>
            <sz val="9"/>
            <color indexed="81"/>
            <rFont val="Tahoma"/>
            <family val="2"/>
          </rPr>
          <t>H (f) = Pressure altitude of the takeoff field, (ft)</t>
        </r>
        <r>
          <rPr>
            <sz val="9"/>
            <color indexed="81"/>
            <rFont val="Tahoma"/>
            <family val="2"/>
          </rPr>
          <t xml:space="preserve">
Options:
-Check project definition document for specific requirements.
-Treat H(f) as a parameter and calculate field length as a function of H(f)
-Refer to Corke Tables 1.4 and 1.5 for insight into actual elevation values.</t>
        </r>
      </text>
    </comment>
    <comment ref="F9" authorId="0" shapeId="0" xr:uid="{00000000-0006-0000-0A00-000008000000}">
      <text>
        <r>
          <rPr>
            <b/>
            <sz val="9"/>
            <color rgb="FF000000"/>
            <rFont val="Tahoma"/>
            <family val="2"/>
          </rPr>
          <t>A_LG (f^2) = Frontal Area (cross-sectional) of the landing gear, (ft2)</t>
        </r>
        <r>
          <rPr>
            <sz val="9"/>
            <color rgb="FF000000"/>
            <rFont val="Tahoma"/>
            <family val="2"/>
          </rPr>
          <t xml:space="preserve">
Review Corke page 164.
Options
-For existing aircraft, obtain a 3-View with gear deployed and estimate area.
-For conceptual designs, use Torenbeek's Fixed Gear spreadsheet which will calculate the frontal area of the Tires (scaled).  For this option assume a scale factor, SF, to relate the total gear area to the wheel sizes only, i.e.
     A_LG (f^2) = (Torenbeek Scaled Wheel Area)*SF
     1.5&lt;SF&lt;3.0
SF accounts for all other items (struts, trap doors, etc.)</t>
        </r>
      </text>
    </comment>
    <comment ref="C10" authorId="0" shapeId="0" xr:uid="{00000000-0006-0000-0A00-000009000000}">
      <text>
        <r>
          <rPr>
            <b/>
            <sz val="9"/>
            <color indexed="81"/>
            <rFont val="Tahoma"/>
            <family val="2"/>
          </rPr>
          <t xml:space="preserve">CL_G, Takeoff - Maximum Lift Coefficient for Takeoff, (-)
</t>
        </r>
        <r>
          <rPr>
            <sz val="9"/>
            <color indexed="81"/>
            <rFont val="Tahoma"/>
            <family val="2"/>
          </rPr>
          <t xml:space="preserve">This input is the 3D, aircraft CL,max value.  It is a function of airfoil type, flap type and flap deflection angle.
Options
-Use Corke Table 3.2 (page 41) and treat CL,max as a parameter and calculate field length as a function of CL,max
-Use the lift curve generated using the methods of Chapter 9.
</t>
        </r>
      </text>
    </comment>
    <comment ref="F10" authorId="0" shapeId="0" xr:uid="{00000000-0006-0000-0A00-00000A000000}">
      <text>
        <r>
          <rPr>
            <b/>
            <sz val="9"/>
            <color rgb="FF000000"/>
            <rFont val="Tahoma"/>
            <family val="2"/>
          </rPr>
          <t>deltCD_0_flap = Delta drag coefficient due to flaps, (-)</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-Assume delCD_0_flap = 0.02 (rough estimate)
</t>
        </r>
        <r>
          <rPr>
            <sz val="9"/>
            <color rgb="FF000000"/>
            <rFont val="Tahoma"/>
            <family val="2"/>
          </rPr>
          <t xml:space="preserve">-Use Corke Table 8.3 for an estimate.
</t>
        </r>
        <r>
          <rPr>
            <sz val="9"/>
            <color rgb="FF000000"/>
            <rFont val="Tahoma"/>
            <family val="2"/>
          </rPr>
          <t>-Use the methods of Chapter 9, which calculate delCD_0_flap as a function of (t/c)max, flap type and flap deflection angle.  The treat delCD_0_flap as a parameter and calculate field length as a function of delCD_0_flap.</t>
        </r>
      </text>
    </comment>
    <comment ref="C11" authorId="0" shapeId="0" xr:uid="{00000000-0006-0000-0A00-00000B000000}">
      <text>
        <r>
          <rPr>
            <b/>
            <sz val="9"/>
            <color indexed="81"/>
            <rFont val="Tahoma"/>
            <family val="2"/>
          </rPr>
          <t>W_TO (lb) = Design Gross Weight, (lb)</t>
        </r>
        <r>
          <rPr>
            <sz val="9"/>
            <color indexed="81"/>
            <rFont val="Tahoma"/>
            <family val="2"/>
          </rPr>
          <t xml:space="preserve">
This input should agree with spreadsheets from chapters 2 through 7.</t>
        </r>
      </text>
    </comment>
    <comment ref="F11" authorId="0" shapeId="0" xr:uid="{00000000-0006-0000-0A00-00000C000000}">
      <text>
        <r>
          <rPr>
            <b/>
            <sz val="9"/>
            <color rgb="FF000000"/>
            <rFont val="Tahoma"/>
            <family val="2"/>
          </rPr>
          <t>gamma_CL (deg) = Climb angle, (deg)</t>
        </r>
        <r>
          <rPr>
            <sz val="9"/>
            <color rgb="FF000000"/>
            <rFont val="Tahoma"/>
            <family val="2"/>
          </rPr>
          <t xml:space="preserve">
</t>
        </r>
        <r>
          <rPr>
            <sz val="9"/>
            <color rgb="FF000000"/>
            <rFont val="Tahoma"/>
            <family val="2"/>
          </rPr>
          <t xml:space="preserve">
</t>
        </r>
        <r>
          <rPr>
            <sz val="9"/>
            <color rgb="FF000000"/>
            <rFont val="Tahoma"/>
            <family val="2"/>
          </rPr>
          <t xml:space="preserve">This input is the assumed constant angle of climb that marks the end of the transition segment.  It is assumed that the aircraft maintains a constant climb angle from the end of the transition segment to the obstacle.
</t>
        </r>
        <r>
          <rPr>
            <sz val="9"/>
            <color rgb="FF000000"/>
            <rFont val="Tahoma"/>
            <family val="2"/>
          </rPr>
          <t xml:space="preserve">
</t>
        </r>
        <r>
          <rPr>
            <sz val="9"/>
            <color rgb="FF000000"/>
            <rFont val="Tahoma"/>
            <family val="2"/>
          </rPr>
          <t xml:space="preserve">Options
</t>
        </r>
        <r>
          <rPr>
            <sz val="9"/>
            <color rgb="FF000000"/>
            <rFont val="Tahoma"/>
            <family val="2"/>
          </rPr>
          <t xml:space="preserve">-Assume a modest 3 deg climb out (conservative)
</t>
        </r>
        <r>
          <rPr>
            <sz val="9"/>
            <color rgb="FF000000"/>
            <rFont val="Tahoma"/>
            <family val="2"/>
          </rPr>
          <t xml:space="preserve">-Treat </t>
        </r>
        <r>
          <rPr>
            <b/>
            <sz val="9"/>
            <color rgb="FF000000"/>
            <rFont val="Tahoma"/>
            <family val="2"/>
          </rPr>
          <t>gamma_CL (deg)</t>
        </r>
        <r>
          <rPr>
            <sz val="9"/>
            <color rgb="FF000000"/>
            <rFont val="Tahoma"/>
            <family val="2"/>
          </rPr>
          <t xml:space="preserve"> as a parameter and calculate field length as a function of </t>
        </r>
        <r>
          <rPr>
            <b/>
            <sz val="9"/>
            <color rgb="FF000000"/>
            <rFont val="Tahoma"/>
            <family val="2"/>
          </rPr>
          <t>gamma_CL (deg)</t>
        </r>
        <r>
          <rPr>
            <sz val="9"/>
            <color rgb="FF000000"/>
            <rFont val="Tahoma"/>
            <family val="2"/>
          </rPr>
          <t>.</t>
        </r>
      </text>
    </comment>
    <comment ref="C12" authorId="0" shapeId="0" xr:uid="{00000000-0006-0000-0A00-00000D000000}">
      <text>
        <r>
          <rPr>
            <b/>
            <sz val="9"/>
            <color indexed="81"/>
            <rFont val="Tahoma"/>
            <family val="2"/>
          </rPr>
          <t>S (f^2) = Reference Wing Area, (ft2)</t>
        </r>
        <r>
          <rPr>
            <sz val="9"/>
            <color indexed="81"/>
            <rFont val="Tahoma"/>
            <family val="2"/>
          </rPr>
          <t xml:space="preserve">
Options.
-Use the reference wing area from Chapters 2-7
-If Fowler flaps are used (see Chapter 9), then the effective reference wing area is increased when the Fowler flap is deployed.  Corke assumes that 
     S effective w/Fowler flaps = 1.15 * Sref 
(see Chapter 8 case study, pages 173-176)</t>
        </r>
      </text>
    </comment>
    <comment ref="F12" authorId="0" shapeId="0" xr:uid="{00000000-0006-0000-0A00-00000E000000}">
      <text>
        <r>
          <rPr>
            <b/>
            <sz val="9"/>
            <color rgb="FF000000"/>
            <rFont val="Tahoma"/>
            <family val="2"/>
          </rPr>
          <t>H_obstacle (f) = vertical height of the obstacle, (ft)</t>
        </r>
        <r>
          <rPr>
            <sz val="9"/>
            <color rgb="FF000000"/>
            <rFont val="Tahoma"/>
            <family val="2"/>
          </rPr>
          <t xml:space="preserve">
</t>
        </r>
        <r>
          <rPr>
            <sz val="9"/>
            <color rgb="FF000000"/>
            <rFont val="Tahoma"/>
            <family val="2"/>
          </rPr>
          <t xml:space="preserve">
</t>
        </r>
        <r>
          <rPr>
            <sz val="9"/>
            <color rgb="FF000000"/>
            <rFont val="Tahoma"/>
            <family val="2"/>
          </rPr>
          <t>This input is determined by the regulations of the governing body.  See Corke Table 8.1 (page 162)</t>
        </r>
      </text>
    </comment>
    <comment ref="F13" authorId="0" shapeId="0" xr:uid="{00000000-0006-0000-0A00-00000F000000}">
      <text>
        <r>
          <rPr>
            <b/>
            <sz val="9"/>
            <color indexed="81"/>
            <rFont val="Tahoma"/>
            <family val="2"/>
          </rPr>
          <t>See Corke Table 8.1
This factor accounts for pilot differences or variation.</t>
        </r>
        <r>
          <rPr>
            <sz val="9"/>
            <color indexed="81"/>
            <rFont val="Tahoma"/>
            <family val="2"/>
          </rPr>
          <t xml:space="preserve">
</t>
        </r>
      </text>
    </comment>
    <comment ref="P14" authorId="0" shapeId="0" xr:uid="{00000000-0006-0000-0A00-000014000000}">
      <text>
        <r>
          <rPr>
            <b/>
            <sz val="9"/>
            <color rgb="FF000000"/>
            <rFont val="Tahoma"/>
            <family val="2"/>
          </rPr>
          <t>mu_L = Coefficient of Braking Friction, (-)</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-Check project definition document for specific requirements.
</t>
        </r>
        <r>
          <rPr>
            <sz val="9"/>
            <color rgb="FF000000"/>
            <rFont val="Tahoma"/>
            <family val="2"/>
          </rPr>
          <t xml:space="preserve">-Use Corke Table 8.5 for an estimate.
</t>
        </r>
        <r>
          <rPr>
            <sz val="9"/>
            <color rgb="FF000000"/>
            <rFont val="Tahoma"/>
            <family val="2"/>
          </rPr>
          <t>-Use Corke Table 8.5 and treat mu_L as a parameter and calculate the field length as a funcrion of mu_L.</t>
        </r>
      </text>
    </comment>
    <comment ref="S14" authorId="0" shapeId="0" xr:uid="{00000000-0006-0000-0A00-000015000000}">
      <text>
        <r>
          <rPr>
            <b/>
            <sz val="9"/>
            <color indexed="81"/>
            <rFont val="Tahoma"/>
            <family val="2"/>
          </rPr>
          <t xml:space="preserve">WARNING!
</t>
        </r>
        <r>
          <rPr>
            <sz val="9"/>
            <color indexed="81"/>
            <rFont val="Tahoma"/>
            <family val="2"/>
          </rPr>
          <t xml:space="preserve">If this cell has a negative number, then the Braking distance will be undefined. 
</t>
        </r>
      </text>
    </comment>
    <comment ref="P15" authorId="0" shapeId="0" xr:uid="{00000000-0006-0000-0A00-000016000000}">
      <text>
        <r>
          <rPr>
            <b/>
            <sz val="9"/>
            <color rgb="FF000000"/>
            <rFont val="Tahoma"/>
            <family val="2"/>
          </rPr>
          <t>T_L (lb) = Total installed thrust of all engines</t>
        </r>
        <r>
          <rPr>
            <sz val="9"/>
            <color rgb="FF000000"/>
            <rFont val="Tahoma"/>
            <family val="2"/>
          </rPr>
          <t xml:space="preserve">
</t>
        </r>
        <r>
          <rPr>
            <sz val="9"/>
            <color rgb="FF000000"/>
            <rFont val="Tahoma"/>
            <family val="2"/>
          </rPr>
          <t xml:space="preserve">
</t>
        </r>
        <r>
          <rPr>
            <sz val="9"/>
            <color rgb="FF000000"/>
            <rFont val="Tahoma"/>
            <family val="2"/>
          </rPr>
          <t xml:space="preserve">This input is typically assumed to be zero for conceptual design.
</t>
        </r>
        <r>
          <rPr>
            <sz val="9"/>
            <color rgb="FF000000"/>
            <rFont val="Tahoma"/>
            <family val="2"/>
          </rPr>
          <t xml:space="preserve">
</t>
        </r>
        <r>
          <rPr>
            <sz val="9"/>
            <color rgb="FF000000"/>
            <rFont val="Tahoma"/>
            <family val="2"/>
          </rPr>
          <t xml:space="preserve">Options
</t>
        </r>
        <r>
          <rPr>
            <sz val="9"/>
            <color rgb="FF000000"/>
            <rFont val="Tahoma"/>
            <family val="2"/>
          </rPr>
          <t xml:space="preserve">-Assume T_L (lb) = 0 (rough estimate
</t>
        </r>
        <r>
          <rPr>
            <sz val="9"/>
            <color rgb="FF000000"/>
            <rFont val="Tahoma"/>
            <family val="2"/>
          </rPr>
          <t xml:space="preserve">-Assume T_L (lb) = -k*T_TO(lb), i.e. a fraction of takeoff max thrust.  Typically, 0&lt;k&lt;-0.5
</t>
        </r>
        <r>
          <rPr>
            <sz val="9"/>
            <color rgb="FF000000"/>
            <rFont val="Tahoma"/>
            <family val="2"/>
          </rPr>
          <t>-Get estimate from engine brochure or other technical description of flight idle thrust levels.</t>
        </r>
      </text>
    </comment>
    <comment ref="P16" authorId="0" shapeId="0" xr:uid="{00000000-0006-0000-0A00-000017000000}">
      <text>
        <r>
          <rPr>
            <b/>
            <sz val="9"/>
            <color rgb="FF000000"/>
            <rFont val="Tahoma"/>
            <family val="2"/>
          </rPr>
          <t xml:space="preserve">CL_G, Landing - Maximum Lift Coefficient for Landing, (-)
</t>
        </r>
        <r>
          <rPr>
            <b/>
            <sz val="9"/>
            <color rgb="FF000000"/>
            <rFont val="Tahoma"/>
            <family val="2"/>
          </rPr>
          <t xml:space="preserve">
</t>
        </r>
        <r>
          <rPr>
            <sz val="9"/>
            <color rgb="FF000000"/>
            <rFont val="Tahoma"/>
            <family val="2"/>
          </rPr>
          <t xml:space="preserve">This input is the 3D, aircraft CL,max value.  It is a function of airfoil type, flap type and flap deflection angle.
</t>
        </r>
        <r>
          <rPr>
            <sz val="9"/>
            <color rgb="FF000000"/>
            <rFont val="Tahoma"/>
            <family val="2"/>
          </rPr>
          <t xml:space="preserve">
</t>
        </r>
        <r>
          <rPr>
            <sz val="9"/>
            <color rgb="FF000000"/>
            <rFont val="Tahoma"/>
            <family val="2"/>
          </rPr>
          <t xml:space="preserve">Options
</t>
        </r>
        <r>
          <rPr>
            <sz val="9"/>
            <color rgb="FF000000"/>
            <rFont val="Tahoma"/>
            <family val="2"/>
          </rPr>
          <t xml:space="preserve">-Use Corke Table 3.2 (page 41) and treat CL,max as a parameter and calculate field length as a function of CL,max
</t>
        </r>
        <r>
          <rPr>
            <sz val="9"/>
            <color rgb="FF000000"/>
            <rFont val="Tahoma"/>
            <family val="2"/>
          </rPr>
          <t xml:space="preserve">-Use the lift curve generated using the methods of Chapter 9.
</t>
        </r>
        <r>
          <rPr>
            <sz val="9"/>
            <color rgb="FF000000"/>
            <rFont val="Tahoma"/>
            <family val="2"/>
          </rPr>
          <t xml:space="preserve">
</t>
        </r>
        <r>
          <rPr>
            <sz val="9"/>
            <color rgb="FF000000"/>
            <rFont val="Tahoma"/>
            <family val="2"/>
          </rPr>
          <t>NOTE:  In general, CL_TO is NOT equal to CL_G.</t>
        </r>
      </text>
    </comment>
    <comment ref="P17" authorId="0" shapeId="0" xr:uid="{00000000-0006-0000-0A00-000018000000}">
      <text>
        <r>
          <rPr>
            <b/>
            <sz val="9"/>
            <color rgb="FF000000"/>
            <rFont val="Tahoma"/>
            <family val="2"/>
          </rPr>
          <t>deltCD_0_flap = Delta drag coefficient due to flaps, (-)</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-Assume delCD_0_flap = 0.02 (rough estimate)
</t>
        </r>
        <r>
          <rPr>
            <sz val="9"/>
            <color rgb="FF000000"/>
            <rFont val="Tahoma"/>
            <family val="2"/>
          </rPr>
          <t xml:space="preserve">-Use Corke Table 8.3 for an estimate.
</t>
        </r>
        <r>
          <rPr>
            <sz val="9"/>
            <color rgb="FF000000"/>
            <rFont val="Tahoma"/>
            <family val="2"/>
          </rPr>
          <t>-Use the methods of Chapter 9, which calculate delCD_0_flap as a function of (t/c)max, flap type and flap deflection angle.  The treat delCD_0_flap as a parameter and calculate field length as a function of delCD_0_flap.</t>
        </r>
      </text>
    </comment>
    <comment ref="P18" authorId="0" shapeId="0" xr:uid="{00000000-0006-0000-0A00-000019000000}">
      <text>
        <r>
          <rPr>
            <b/>
            <sz val="9"/>
            <color rgb="FF000000"/>
            <rFont val="Tahoma"/>
            <family val="2"/>
          </rPr>
          <t xml:space="preserve">See Corke Table 8.4
</t>
        </r>
        <r>
          <rPr>
            <b/>
            <sz val="9"/>
            <color rgb="FF000000"/>
            <rFont val="Tahoma"/>
            <family val="2"/>
          </rPr>
          <t xml:space="preserve">
</t>
        </r>
        <r>
          <rPr>
            <b/>
            <sz val="9"/>
            <color rgb="FF000000"/>
            <rFont val="Tahoma"/>
            <family val="2"/>
          </rPr>
          <t>This factor accounts for pilot differences or variation.</t>
        </r>
        <r>
          <rPr>
            <sz val="9"/>
            <color rgb="FF000000"/>
            <rFont val="Tahoma"/>
            <family val="2"/>
          </rPr>
          <t xml:space="preserve">
</t>
        </r>
      </text>
    </comment>
    <comment ref="F24" authorId="0" shapeId="0" xr:uid="{00000000-0006-0000-0A00-000011000000}">
      <text>
        <r>
          <rPr>
            <b/>
            <sz val="9"/>
            <color indexed="81"/>
            <rFont val="Tahoma"/>
            <family val="2"/>
          </rPr>
          <t xml:space="preserve">WARNING!
</t>
        </r>
        <r>
          <rPr>
            <sz val="9"/>
            <color indexed="81"/>
            <rFont val="Tahoma"/>
            <family val="2"/>
          </rPr>
          <t xml:space="preserve">If this cell has a negative number, then the Braking distance will be undefined.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s>
  <commentList>
    <comment ref="E7" authorId="0" shapeId="0" xr:uid="{00000000-0006-0000-0C00-000001000000}">
      <text>
        <r>
          <rPr>
            <b/>
            <sz val="11"/>
            <color indexed="81"/>
            <rFont val="Tahoma"/>
            <family val="2"/>
          </rPr>
          <t>Atmospheric Model Flag</t>
        </r>
        <r>
          <rPr>
            <b/>
            <sz val="9"/>
            <color indexed="81"/>
            <rFont val="Tahoma"/>
            <family val="2"/>
          </rPr>
          <t xml:space="preserve">
</t>
        </r>
        <r>
          <rPr>
            <sz val="10"/>
            <color indexed="81"/>
            <rFont val="Tahoma"/>
            <family val="2"/>
          </rPr>
          <t>1=Corke
2=6th Order Polynomial</t>
        </r>
        <r>
          <rPr>
            <sz val="9"/>
            <color indexed="81"/>
            <rFont val="Tahoma"/>
            <family val="2"/>
          </rPr>
          <t xml:space="preserve">
</t>
        </r>
      </text>
    </comment>
    <comment ref="E10" authorId="1" shapeId="0" xr:uid="{00000000-0006-0000-0C00-000002000000}">
      <text>
        <r>
          <rPr>
            <b/>
            <sz val="9"/>
            <color indexed="81"/>
            <rFont val="Tahoma"/>
            <family val="2"/>
          </rPr>
          <t>See Corke Section 10.1.3, page 214</t>
        </r>
        <r>
          <rPr>
            <sz val="9"/>
            <color indexed="81"/>
            <rFont val="Tahoma"/>
            <family val="2"/>
          </rPr>
          <t xml:space="preserve">
</t>
        </r>
      </text>
    </comment>
    <comment ref="AY10" authorId="1" shapeId="0" xr:uid="{00000000-0006-0000-0C00-000003000000}">
      <text>
        <r>
          <rPr>
            <b/>
            <sz val="9"/>
            <color indexed="81"/>
            <rFont val="Tahoma"/>
            <family val="2"/>
          </rPr>
          <t>The Fuselage Wall Thickness is measured from the inside cabin wall to the outer diameter of the fuselage.</t>
        </r>
        <r>
          <rPr>
            <sz val="9"/>
            <color indexed="81"/>
            <rFont val="Tahoma"/>
            <family val="2"/>
          </rPr>
          <t xml:space="preserve">
Without any better information, 4 in. is a typical value.
The longeron height (input below) needs to be less than the Target Fuselage Wall Thickness.  
It's ok for the longeron height to be significantly less than the actual wall thickness as there are many other itesm that need to fit within the wall.
</t>
        </r>
      </text>
    </comment>
    <comment ref="E16" authorId="0" shapeId="0" xr:uid="{00000000-0006-0000-0C00-000004000000}">
      <text>
        <r>
          <rPr>
            <b/>
            <sz val="9"/>
            <color rgb="FF000000"/>
            <rFont val="Tahoma"/>
            <family val="2"/>
          </rPr>
          <t xml:space="preserve">Reference:  Corke Table 10.1, page 209
</t>
        </r>
        <r>
          <rPr>
            <b/>
            <sz val="9"/>
            <color rgb="FF000000"/>
            <rFont val="Tahoma"/>
            <family val="2"/>
          </rPr>
          <t xml:space="preserve">
</t>
        </r>
        <r>
          <rPr>
            <b/>
            <sz val="9"/>
            <color rgb="FF000000"/>
            <rFont val="Tahoma"/>
            <family val="2"/>
          </rPr>
          <t xml:space="preserve">Aircraft                                                             Max Negative            Max Positive          
</t>
        </r>
        <r>
          <rPr>
            <b/>
            <sz val="9"/>
            <color rgb="FF000000"/>
            <rFont val="Tahoma"/>
            <family val="2"/>
          </rPr>
          <t xml:space="preserve">Type           Description                                 Load Factor              Load Factor           
</t>
        </r>
        <r>
          <rPr>
            <b/>
            <sz val="9"/>
            <color rgb="FF000000"/>
            <rFont val="Tahoma"/>
            <family val="2"/>
          </rPr>
          <t xml:space="preserve">
</t>
        </r>
        <r>
          <rPr>
            <b/>
            <sz val="9"/>
            <color rgb="FF000000"/>
            <rFont val="Tahoma"/>
            <family val="2"/>
          </rPr>
          <t xml:space="preserve">   1                 General Aviation (Normal)             -1.25                           3.1                            
</t>
        </r>
        <r>
          <rPr>
            <b/>
            <sz val="9"/>
            <color rgb="FF000000"/>
            <rFont val="Tahoma"/>
            <family val="2"/>
          </rPr>
          <t xml:space="preserve">   2                General Aviation (Utility)               -1.8                              4.4                           
</t>
        </r>
        <r>
          <rPr>
            <b/>
            <sz val="9"/>
            <color rgb="FF000000"/>
            <rFont val="Tahoma"/>
            <family val="2"/>
          </rPr>
          <t xml:space="preserve">   3                General Aviation (Acrobatic)        -3.0                             6.0                          
</t>
        </r>
        <r>
          <rPr>
            <b/>
            <sz val="9"/>
            <color rgb="FF000000"/>
            <rFont val="Tahoma"/>
            <family val="2"/>
          </rPr>
          <t xml:space="preserve">   4                Homebuilt                                          -2.0                             5.0                         
</t>
        </r>
        <r>
          <rPr>
            <b/>
            <sz val="9"/>
            <color rgb="FF000000"/>
            <rFont val="Tahoma"/>
            <family val="2"/>
          </rPr>
          <t xml:space="preserve">   5                Commercial Transport                    -1.5                              3.5
</t>
        </r>
        <r>
          <rPr>
            <b/>
            <sz val="9"/>
            <color rgb="FF000000"/>
            <rFont val="Tahoma"/>
            <family val="2"/>
          </rPr>
          <t xml:space="preserve">   6                Fighter                                               -4.5                             7.75</t>
        </r>
        <r>
          <rPr>
            <sz val="9"/>
            <color rgb="FF000000"/>
            <rFont val="Tahoma"/>
            <family val="2"/>
          </rPr>
          <t xml:space="preserve">
</t>
        </r>
      </text>
    </comment>
    <comment ref="E17" authorId="0" shapeId="0" xr:uid="{00000000-0006-0000-0C00-000005000000}">
      <text>
        <r>
          <rPr>
            <b/>
            <sz val="9"/>
            <color indexed="81"/>
            <rFont val="Tahoma"/>
            <family val="2"/>
          </rPr>
          <t>Reference:  Corke Table 10.1, page 209
Aircraft                                                             Max Negative            Max Positive          
Type           Description                                 Load Factor              Load Factor           
   1                 General Aviation (Normal)             -1.25                           3.1                            
   2                General Aviation (Utility)               -1.8                              4.4                           
   3                General Aviation (Acrobatic)        -3.0                             6.0                          
   4                Homebuilt                                          -2.0                             5.0                         
   5                Commercial Transport                    -1.5                              3.5
   6                Fighter                                               -4.5                             7.75</t>
        </r>
        <r>
          <rPr>
            <sz val="9"/>
            <color indexed="81"/>
            <rFont val="Tahoma"/>
            <family val="2"/>
          </rPr>
          <t xml:space="preserve">
</t>
        </r>
      </text>
    </comment>
    <comment ref="AH18" authorId="0" shapeId="0" xr:uid="{00000000-0006-0000-0C00-000006000000}">
      <text>
        <r>
          <rPr>
            <b/>
            <sz val="9"/>
            <color indexed="81"/>
            <rFont val="Tahoma"/>
            <family val="2"/>
          </rPr>
          <t xml:space="preserve">The wing center of lift location, (x/L)CL is expressed as a non-dimensional location (x/L), where x is the distance along the fuselage centerline starting at the nose of the aircraft and L is the total length of the fuselage.
IMPORTANT!!  This input must be in increments of 0.05 ONLY!  The fuselage is assumed to be in 20 equal increments, so (x/L)CL must be, for example, 0.30, 0.35, 0.40, etc., else the resulting integrated Shear and Bending Moments will be in error.
</t>
        </r>
        <r>
          <rPr>
            <sz val="9"/>
            <color indexed="81"/>
            <rFont val="Tahoma"/>
            <family val="2"/>
          </rPr>
          <t>Options</t>
        </r>
        <r>
          <rPr>
            <b/>
            <sz val="9"/>
            <color indexed="81"/>
            <rFont val="Tahoma"/>
            <family val="2"/>
          </rPr>
          <t xml:space="preserve">
</t>
        </r>
        <r>
          <rPr>
            <sz val="9"/>
            <color indexed="81"/>
            <rFont val="Tahoma"/>
            <family val="2"/>
          </rPr>
          <t>-Use the Static Stability Margin = SM as a guide to estimate (x/L)CL.  Typically, 3&lt;SM&lt;10 (See Cell E42 below).  But at a minimum SM must be &gt;0.
-Use Chapter 11 methods to calculate (x/L)CL.</t>
        </r>
        <r>
          <rPr>
            <b/>
            <sz val="9"/>
            <color indexed="81"/>
            <rFont val="Tahoma"/>
            <family val="2"/>
          </rPr>
          <t xml:space="preserve">
</t>
        </r>
        <r>
          <rPr>
            <sz val="9"/>
            <color indexed="81"/>
            <rFont val="Tahoma"/>
            <family val="2"/>
          </rPr>
          <t xml:space="preserve">
</t>
        </r>
      </text>
    </comment>
    <comment ref="O20" authorId="0" shapeId="0" xr:uid="{00000000-0006-0000-0C00-000007000000}">
      <text>
        <r>
          <rPr>
            <b/>
            <sz val="9"/>
            <color indexed="81"/>
            <rFont val="Tahoma"/>
            <family val="2"/>
          </rPr>
          <t>See Corke, Table 10.4 and Equ. 10.30, page 218
Flag   Load Value
1       User Input Value (Col P) is used directly.
2       Use Combat Values per Table 10.4, Corke, page 218 and use Equ. 10.30</t>
        </r>
        <r>
          <rPr>
            <sz val="9"/>
            <color indexed="81"/>
            <rFont val="Tahoma"/>
            <family val="2"/>
          </rPr>
          <t xml:space="preserve">
</t>
        </r>
        <r>
          <rPr>
            <b/>
            <sz val="9"/>
            <color indexed="81"/>
            <rFont val="Tahoma"/>
            <family val="2"/>
          </rPr>
          <t>3       Use Transport/Bomber Values per Table 10.4, Corke, page 218 and use Equ. 10.30
4       Use General Aviation Values per Table 10.4, Corke, page 218 and use Equ. 10.30
Note:  The Flag for the Lift and Fuel inputs should be set to 1.0 and the Load values obtained from chapters 2-9.</t>
        </r>
      </text>
    </comment>
    <comment ref="R20" authorId="0" shapeId="0" xr:uid="{00000000-0006-0000-0C00-000008000000}">
      <text>
        <r>
          <rPr>
            <b/>
            <sz val="9"/>
            <color indexed="81"/>
            <rFont val="Tahoma"/>
            <family val="2"/>
          </rPr>
          <t xml:space="preserve">"y/(b/2)" is the non-dimensional spanwise location of the physical presence of the component as one moves outward from the fuselage centerline (y/(b/2)=0) towards the wing tip (y/(b/2)=1).
</t>
        </r>
        <r>
          <rPr>
            <sz val="9"/>
            <color indexed="81"/>
            <rFont val="Tahoma"/>
            <family val="2"/>
          </rPr>
          <t xml:space="preserve">If the component is a concentrated load, like wing-mounted engine/nacelles, fuel tanks or missiles, then y/(b/2) start = y/(b/2) end
If the component is a distributed load, gear or structure, then y/(b/2) start &lt; y/(b/2) end &lt; 1
</t>
        </r>
      </text>
    </comment>
    <comment ref="S20" authorId="0" shapeId="0" xr:uid="{00000000-0006-0000-0C00-000009000000}">
      <text>
        <r>
          <rPr>
            <b/>
            <sz val="9"/>
            <color indexed="81"/>
            <rFont val="Tahoma"/>
            <family val="2"/>
          </rPr>
          <t xml:space="preserve">"y/(b/2)" is the non-dimensional spanwise location of the physical presence of the component as one moves outward from the fuselage centerline (y/(b/2)=0) towards the wing tip (y/(b/2)=1).
</t>
        </r>
        <r>
          <rPr>
            <sz val="9"/>
            <color indexed="81"/>
            <rFont val="Tahoma"/>
            <family val="2"/>
          </rPr>
          <t xml:space="preserve">If the component is a concentrated load, like wing-mounted engine/nacelles, fuel tanks or missiles, then y/(b/2) start = y/(b/2) end
If the component is a distributed load, like gear or structure, then y/(b/2) start &lt; y/(b/2) end &lt; 1
</t>
        </r>
      </text>
    </comment>
    <comment ref="AY20" authorId="0" shapeId="0" xr:uid="{00000000-0006-0000-0C00-00000A000000}">
      <text>
        <r>
          <rPr>
            <b/>
            <sz val="9"/>
            <color indexed="81"/>
            <rFont val="Tahoma"/>
            <family val="2"/>
          </rPr>
          <t>Choose a value between 1 and 34.  See Corke Table 10.8 (Scroll Down).</t>
        </r>
        <r>
          <rPr>
            <sz val="9"/>
            <color indexed="81"/>
            <rFont val="Tahoma"/>
            <family val="2"/>
          </rPr>
          <t xml:space="preserve">
</t>
        </r>
      </text>
    </comment>
    <comment ref="P21" authorId="1" shapeId="0" xr:uid="{00000000-0006-0000-0C00-00000B000000}">
      <text>
        <r>
          <rPr>
            <b/>
            <sz val="9"/>
            <color rgb="FF000000"/>
            <rFont val="Tahoma"/>
            <family val="2"/>
          </rPr>
          <t xml:space="preserve">Options
</t>
        </r>
        <r>
          <rPr>
            <sz val="9"/>
            <color rgb="FF000000"/>
            <rFont val="Tahoma"/>
            <family val="2"/>
          </rPr>
          <t xml:space="preserve">-Assume Lift =Design gross weight=Wo (conservative)
-Assume Lift =Start of cruise weight
</t>
        </r>
      </text>
    </comment>
    <comment ref="P22" authorId="1" shapeId="0" xr:uid="{00000000-0006-0000-0C00-00000C000000}">
      <text>
        <r>
          <rPr>
            <b/>
            <sz val="9"/>
            <color rgb="FF000000"/>
            <rFont val="Tahoma"/>
            <family val="2"/>
          </rPr>
          <t xml:space="preserve">Options
</t>
        </r>
        <r>
          <rPr>
            <sz val="9"/>
            <color rgb="FF000000"/>
            <rFont val="Tahoma"/>
            <family val="2"/>
          </rPr>
          <t>-Neglect this force, which would not likely be present at altitude</t>
        </r>
        <r>
          <rPr>
            <b/>
            <sz val="9"/>
            <color rgb="FF000000"/>
            <rFont val="Tahoma"/>
            <family val="2"/>
          </rPr>
          <t xml:space="preserve">
</t>
        </r>
        <r>
          <rPr>
            <sz val="9"/>
            <color rgb="FF000000"/>
            <rFont val="Tahoma"/>
            <family val="2"/>
          </rPr>
          <t>-Assume ~0.6*Wo as a rough approximation
-Use methods of chapters 4 and 9 and calculate the delta lift for the flap system design.</t>
        </r>
      </text>
    </comment>
    <comment ref="P23" authorId="1" shapeId="0" xr:uid="{00000000-0006-0000-0C00-00000D000000}">
      <text>
        <r>
          <rPr>
            <b/>
            <sz val="9"/>
            <color rgb="FF000000"/>
            <rFont val="Tahoma"/>
            <family val="2"/>
          </rPr>
          <t xml:space="preserve">Options
</t>
        </r>
        <r>
          <rPr>
            <sz val="9"/>
            <color rgb="FF000000"/>
            <rFont val="Tahoma"/>
            <family val="2"/>
          </rPr>
          <t>-Use Chapter 2 Fuel Load/2 (Conservative)</t>
        </r>
        <r>
          <rPr>
            <b/>
            <sz val="9"/>
            <color rgb="FF000000"/>
            <rFont val="Tahoma"/>
            <family val="2"/>
          </rPr>
          <t xml:space="preserve">
</t>
        </r>
        <r>
          <rPr>
            <sz val="9"/>
            <color rgb="FF000000"/>
            <rFont val="Tahoma"/>
            <family val="2"/>
          </rPr>
          <t>-Use Chapter 5 Fuel stored in Wing (More accurate)</t>
        </r>
        <r>
          <rPr>
            <b/>
            <sz val="9"/>
            <color rgb="FF000000"/>
            <rFont val="Tahoma"/>
            <family val="2"/>
          </rPr>
          <t xml:space="preserve">
</t>
        </r>
        <r>
          <rPr>
            <sz val="9"/>
            <color rgb="FF000000"/>
            <rFont val="Tahoma"/>
            <family val="2"/>
          </rPr>
          <t xml:space="preserve">
</t>
        </r>
      </text>
    </comment>
    <comment ref="AF24" authorId="0" shapeId="0" xr:uid="{00000000-0006-0000-0C00-00000E000000}">
      <text>
        <r>
          <rPr>
            <b/>
            <sz val="9"/>
            <color indexed="81"/>
            <rFont val="Tahoma"/>
            <family val="2"/>
          </rPr>
          <t>See Corke, Table 10.4 and Equ. 10.30, page 218
Flag   Load Value
1       User Input Value (Col AG) is used directly.
2       Use Combat Values per Table 10.4, Corke, page 218 and use Equ. 10.30</t>
        </r>
        <r>
          <rPr>
            <sz val="9"/>
            <color indexed="81"/>
            <rFont val="Tahoma"/>
            <family val="2"/>
          </rPr>
          <t xml:space="preserve">
</t>
        </r>
        <r>
          <rPr>
            <b/>
            <sz val="9"/>
            <color indexed="81"/>
            <rFont val="Tahoma"/>
            <family val="2"/>
          </rPr>
          <t>3       Use Transport/Bomber Values per Table 10.4, Corke, page 218 and use Equ. 10.30
4       Use General Aviation Values per Table 10.4, Corke, page 218 and use Equ. 10.30
Note:  The Flag for the Fuel and Payload inputs should be set to 1.0 and the Load values obtained from chapters 2-9.</t>
        </r>
      </text>
    </comment>
    <comment ref="AI24" authorId="0" shapeId="0" xr:uid="{00000000-0006-0000-0C00-00000F000000}">
      <text>
        <r>
          <rPr>
            <b/>
            <sz val="9"/>
            <color indexed="81"/>
            <rFont val="Tahoma"/>
            <family val="2"/>
          </rPr>
          <t xml:space="preserve">"(x/L)" is the non-dimensional length-wise location of the physical presence of the component as one moves rearward from the fuselage nose (x/L=0) towards the rear (x/L=1).
</t>
        </r>
        <r>
          <rPr>
            <sz val="9"/>
            <color indexed="81"/>
            <rFont val="Tahoma"/>
            <family val="2"/>
          </rPr>
          <t xml:space="preserve">If the component is a concentrated load, like engines, then (x/L) start = (x/L) end
If the component is a distributed load, like payload, structure, etc., then  (x/L) start &lt; (x/L) end &lt; 1
</t>
        </r>
      </text>
    </comment>
    <comment ref="AJ24" authorId="0" shapeId="0" xr:uid="{00000000-0006-0000-0C00-000010000000}">
      <text>
        <r>
          <rPr>
            <b/>
            <sz val="9"/>
            <color indexed="81"/>
            <rFont val="Tahoma"/>
            <family val="2"/>
          </rPr>
          <t xml:space="preserve">"(x/L)" is the non-dimensional length-wise location of the physical presence of the component as one moves rearward from the fuselage nose (x/L=0) towards the rear (x/L=1).
</t>
        </r>
        <r>
          <rPr>
            <sz val="9"/>
            <color indexed="81"/>
            <rFont val="Tahoma"/>
            <family val="2"/>
          </rPr>
          <t xml:space="preserve">If the component is a concentrated load, like engines, then (x/L) start = (x/L) end
If the component is a distributed load, like payload, structure, etc., then  (x/L) start &lt; (x/L) end &lt; 1
</t>
        </r>
      </text>
    </comment>
    <comment ref="AG25" authorId="1" shapeId="0" xr:uid="{00000000-0006-0000-0C00-000011000000}">
      <text>
        <r>
          <rPr>
            <b/>
            <sz val="9"/>
            <color rgb="FF000000"/>
            <rFont val="Tahoma"/>
            <family val="2"/>
          </rPr>
          <t xml:space="preserve">Options
</t>
        </r>
        <r>
          <rPr>
            <sz val="9"/>
            <color rgb="FF000000"/>
            <rFont val="Tahoma"/>
            <family val="2"/>
          </rPr>
          <t>-Use Chapter 2 Fuel Load (Conservative)</t>
        </r>
        <r>
          <rPr>
            <b/>
            <sz val="9"/>
            <color rgb="FF000000"/>
            <rFont val="Tahoma"/>
            <family val="2"/>
          </rPr>
          <t xml:space="preserve">
</t>
        </r>
        <r>
          <rPr>
            <sz val="9"/>
            <color rgb="FF000000"/>
            <rFont val="Tahoma"/>
            <family val="2"/>
          </rPr>
          <t>-Use Chapter 5 Fuel stored in Fuselage (More accurate)</t>
        </r>
        <r>
          <rPr>
            <b/>
            <sz val="9"/>
            <color rgb="FF000000"/>
            <rFont val="Tahoma"/>
            <family val="2"/>
          </rPr>
          <t xml:space="preserve">
</t>
        </r>
        <r>
          <rPr>
            <sz val="9"/>
            <color rgb="FF000000"/>
            <rFont val="Tahoma"/>
            <family val="2"/>
          </rPr>
          <t xml:space="preserve">
</t>
        </r>
      </text>
    </comment>
    <comment ref="BA25" authorId="1" shapeId="0" xr:uid="{00000000-0006-0000-0C00-000012000000}">
      <text>
        <r>
          <rPr>
            <b/>
            <sz val="9"/>
            <color indexed="81"/>
            <rFont val="Tahoma"/>
            <family val="2"/>
          </rPr>
          <t>1 "mil" is 1 inch/1,000.
A piece of paper is about 5 mils thick or 0.005 in.</t>
        </r>
        <r>
          <rPr>
            <sz val="9"/>
            <color indexed="81"/>
            <rFont val="Tahoma"/>
            <family val="2"/>
          </rPr>
          <t xml:space="preserve">
</t>
        </r>
      </text>
    </comment>
    <comment ref="AG26" authorId="1" shapeId="0" xr:uid="{00000000-0006-0000-0C00-000013000000}">
      <text>
        <r>
          <rPr>
            <b/>
            <sz val="9"/>
            <color rgb="FF000000"/>
            <rFont val="Tahoma"/>
            <family val="2"/>
          </rPr>
          <t xml:space="preserve">Options
</t>
        </r>
        <r>
          <rPr>
            <sz val="9"/>
            <color rgb="FF000000"/>
            <rFont val="Tahoma"/>
            <family val="2"/>
          </rPr>
          <t>-Use Chapter 2 Expendable AND Non-Expendable Payload</t>
        </r>
        <r>
          <rPr>
            <b/>
            <sz val="9"/>
            <color rgb="FF000000"/>
            <rFont val="Tahoma"/>
            <family val="2"/>
          </rPr>
          <t xml:space="preserve">
</t>
        </r>
        <r>
          <rPr>
            <sz val="9"/>
            <color rgb="FF000000"/>
            <rFont val="Tahoma"/>
            <family val="2"/>
          </rPr>
          <t>-Use Chapter 5-9 Expendable AND Non-Expendable Payload that will be stored in Fuselage.</t>
        </r>
        <r>
          <rPr>
            <b/>
            <sz val="9"/>
            <color rgb="FF000000"/>
            <rFont val="Tahoma"/>
            <family val="2"/>
          </rPr>
          <t xml:space="preserve">
</t>
        </r>
        <r>
          <rPr>
            <sz val="9"/>
            <color rgb="FF000000"/>
            <rFont val="Tahoma"/>
            <family val="2"/>
          </rPr>
          <t xml:space="preserve">
</t>
        </r>
      </text>
    </comment>
    <comment ref="AY29" authorId="1" shapeId="0" xr:uid="{00000000-0006-0000-0C00-000014000000}">
      <text>
        <r>
          <rPr>
            <b/>
            <sz val="9"/>
            <color indexed="81"/>
            <rFont val="Tahoma"/>
            <family val="2"/>
          </rPr>
          <t xml:space="preserve">The Tensile Stress Ratio is the ratio of the actual max stress in the skin to the ultimate tensile stress of the material chosen.  See Corke Equation 10.46, page 228.
</t>
        </r>
        <r>
          <rPr>
            <sz val="9"/>
            <color indexed="81"/>
            <rFont val="Tahoma"/>
            <family val="2"/>
          </rPr>
          <t xml:space="preserve">If need be, use Goal Seek and vary the skin thickness above to ensure the Tensile Stress Ratio is less than or equal to one (1.00).
Anything less than 20 mils is too difficult to machine within tolerance.  Use 20 mils as a lower bound.  On the high side, there isn't an upper limit that can't be a working solution, but without any better information use 250 mils (1/4 inch) as a upper target.
</t>
        </r>
      </text>
    </comment>
    <comment ref="AY36" authorId="1" shapeId="0" xr:uid="{00000000-0006-0000-0C00-000015000000}">
      <text>
        <r>
          <rPr>
            <b/>
            <sz val="9"/>
            <color indexed="81"/>
            <rFont val="Tahoma"/>
            <family val="2"/>
          </rPr>
          <t>Choose a value between 1 and 34.  See Corke Table 10.8 (Scroll Down).</t>
        </r>
        <r>
          <rPr>
            <sz val="9"/>
            <color indexed="81"/>
            <rFont val="Tahoma"/>
            <family val="2"/>
          </rPr>
          <t xml:space="preserve">
</t>
        </r>
      </text>
    </comment>
    <comment ref="AY42" authorId="1" shapeId="0" xr:uid="{00000000-0006-0000-0C00-000016000000}">
      <text>
        <r>
          <rPr>
            <b/>
            <sz val="9"/>
            <color indexed="81"/>
            <rFont val="Tahoma"/>
            <family val="2"/>
          </rPr>
          <t>See Spotts Diagram to the left.
Flag
1             Solid Rectangle
2            I-Beam
3            U-Channel (C orientation)
4            Hollow Rectangle
5            U-Channel (N orientation)
6            Solid Circle
7            Hollow Circle</t>
        </r>
        <r>
          <rPr>
            <sz val="9"/>
            <color indexed="81"/>
            <rFont val="Tahoma"/>
            <family val="2"/>
          </rPr>
          <t xml:space="preserve">
</t>
        </r>
      </text>
    </comment>
    <comment ref="AY54" authorId="1" shapeId="0" xr:uid="{00000000-0006-0000-0C00-000017000000}">
      <text>
        <r>
          <rPr>
            <b/>
            <sz val="9"/>
            <color indexed="81"/>
            <rFont val="Tahoma"/>
            <family val="2"/>
          </rPr>
          <t>Review Corke page 229, "Compressive Loading"</t>
        </r>
        <r>
          <rPr>
            <sz val="9"/>
            <color indexed="81"/>
            <rFont val="Tahoma"/>
            <family val="2"/>
          </rPr>
          <t xml:space="preserve">
</t>
        </r>
      </text>
    </comment>
    <comment ref="AY55" authorId="1" shapeId="0" xr:uid="{00000000-0006-0000-0C00-000018000000}">
      <text>
        <r>
          <rPr>
            <b/>
            <sz val="9"/>
            <color indexed="81"/>
            <rFont val="Tahoma"/>
            <family val="2"/>
          </rPr>
          <t xml:space="preserve">The max unsupported length between bulkheads is a key parameter for planning for windows and doors.  
</t>
        </r>
        <r>
          <rPr>
            <sz val="9"/>
            <color indexed="81"/>
            <rFont val="Tahoma"/>
            <family val="2"/>
          </rPr>
          <t xml:space="preserve">It is desirable to be able to fit windows and doors within the bulkheads.  There are work arounds, especially for doors, but this means stress concentrations and extra structure.  Assume 10 in.&lt;L&lt;40 in. as a target.
</t>
        </r>
      </text>
    </comment>
    <comment ref="AY59" authorId="1" shapeId="0" xr:uid="{00000000-0006-0000-0C00-000019000000}">
      <text>
        <r>
          <rPr>
            <b/>
            <sz val="9"/>
            <color indexed="81"/>
            <rFont val="Tahoma"/>
            <family val="2"/>
          </rPr>
          <t>Choose any # of Longerons per Quadrant between 2 and 10, inclusive.</t>
        </r>
        <r>
          <rPr>
            <sz val="9"/>
            <color indexed="81"/>
            <rFont val="Tahoma"/>
            <family val="2"/>
          </rPr>
          <t xml:space="preserve">
</t>
        </r>
      </text>
    </comment>
    <comment ref="AY63" authorId="1" shapeId="0" xr:uid="{00000000-0006-0000-0C00-00001A000000}">
      <text>
        <r>
          <rPr>
            <b/>
            <sz val="9"/>
            <color indexed="81"/>
            <rFont val="Tahoma"/>
            <family val="2"/>
          </rPr>
          <t>The Compressive Stress Ratio is the ratio of the actual max stress in the beam (Spar or Longeron) to the critical Euler Buckling stress of the material chosen.  See Corke Equation 10.54, page 229.</t>
        </r>
        <r>
          <rPr>
            <sz val="9"/>
            <color indexed="81"/>
            <rFont val="Tahoma"/>
            <family val="2"/>
          </rPr>
          <t xml:space="preserve">
Options
-If the Compressive Stress Ratio is greater than one (1.00), then...
  a)  Use Goal Seek to vary the Unsupported Length=L between Bulkheads
  b)  Increase the cross-sectional area of the Longeron
  c) Choose a new material with a higher Young's Modulus=E
  d) Choose a different beam cross sectional area
</t>
        </r>
      </text>
    </comment>
    <comment ref="BB63" authorId="1" shapeId="0" xr:uid="{00000000-0006-0000-0C00-00001B000000}">
      <text>
        <r>
          <rPr>
            <b/>
            <sz val="9"/>
            <color rgb="FF000000"/>
            <rFont val="Tahoma"/>
            <family val="2"/>
          </rPr>
          <t xml:space="preserve">The Compressive Stress Ratio is the ratio of the actual max stress in the beam (Spar) to the critical Euler Buckling stress of the material chosen.  See Corke Equation 10.54, page 229.
</t>
        </r>
        <r>
          <rPr>
            <b/>
            <sz val="9"/>
            <color rgb="FF000000"/>
            <rFont val="Tahoma"/>
            <family val="2"/>
          </rPr>
          <t xml:space="preserve">
</t>
        </r>
        <r>
          <rPr>
            <sz val="9"/>
            <color rgb="FF000000"/>
            <rFont val="Tahoma"/>
            <family val="2"/>
          </rPr>
          <t xml:space="preserve">Options
</t>
        </r>
        <r>
          <rPr>
            <sz val="9"/>
            <color rgb="FF000000"/>
            <rFont val="Tahoma"/>
            <family val="2"/>
          </rPr>
          <t xml:space="preserve">-If the Compressive Stress Ratio is greater than one (1.00), then...
</t>
        </r>
        <r>
          <rPr>
            <sz val="9"/>
            <color rgb="FF000000"/>
            <rFont val="Tahoma"/>
            <family val="2"/>
          </rPr>
          <t xml:space="preserve">
</t>
        </r>
        <r>
          <rPr>
            <sz val="9"/>
            <color rgb="FF000000"/>
            <rFont val="Tahoma"/>
            <family val="2"/>
          </rPr>
          <t xml:space="preserve">  a)  Increase the cross-sectional area of the Spar
</t>
        </r>
        <r>
          <rPr>
            <sz val="9"/>
            <color rgb="FF000000"/>
            <rFont val="Tahoma"/>
            <family val="2"/>
          </rPr>
          <t xml:space="preserve">  b) Choose a new material with a higher Young's Modulus=E
</t>
        </r>
        <r>
          <rPr>
            <sz val="9"/>
            <color rgb="FF000000"/>
            <rFont val="Tahoma"/>
            <family val="2"/>
          </rPr>
          <t xml:space="preserve">  dc Choose a different beam cross sectional area
</t>
        </r>
        <r>
          <rPr>
            <sz val="9"/>
            <color rgb="FF000000"/>
            <rFont val="Tahoma"/>
            <family val="2"/>
          </rPr>
          <t xml:space="preserve">
</t>
        </r>
      </text>
    </comment>
    <comment ref="BC63" authorId="1" shapeId="0" xr:uid="{00000000-0006-0000-0C00-00001C000000}">
      <text>
        <r>
          <rPr>
            <b/>
            <sz val="9"/>
            <color rgb="FF000000"/>
            <rFont val="Tahoma"/>
            <family val="2"/>
          </rPr>
          <t xml:space="preserve">The Compressive Stress Ratio is the ratio of the actual max stress in the beam (Longeron) to the critical Euler Buckling stress of the material chosen.  See Corke Equation 10.54, page 229.
</t>
        </r>
        <r>
          <rPr>
            <b/>
            <sz val="9"/>
            <color rgb="FF000000"/>
            <rFont val="Tahoma"/>
            <family val="2"/>
          </rPr>
          <t xml:space="preserve">
</t>
        </r>
        <r>
          <rPr>
            <sz val="9"/>
            <color rgb="FF000000"/>
            <rFont val="Tahoma"/>
            <family val="2"/>
          </rPr>
          <t xml:space="preserve">Options
</t>
        </r>
        <r>
          <rPr>
            <sz val="9"/>
            <color rgb="FF000000"/>
            <rFont val="Tahoma"/>
            <family val="2"/>
          </rPr>
          <t xml:space="preserve">-If the Compressive Stress Ratio is greater than one (1.00), then...
</t>
        </r>
        <r>
          <rPr>
            <sz val="9"/>
            <color rgb="FF000000"/>
            <rFont val="Tahoma"/>
            <family val="2"/>
          </rPr>
          <t xml:space="preserve">
</t>
        </r>
        <r>
          <rPr>
            <sz val="9"/>
            <color rgb="FF000000"/>
            <rFont val="Tahoma"/>
            <family val="2"/>
          </rPr>
          <t xml:space="preserve">  a)  Use Goal Seek to vary the Unsupported Length=L between Bulkheads
</t>
        </r>
        <r>
          <rPr>
            <sz val="9"/>
            <color rgb="FF000000"/>
            <rFont val="Tahoma"/>
            <family val="2"/>
          </rPr>
          <t xml:space="preserve">  b)  Increase the cross-sectional area of the Longeron
</t>
        </r>
        <r>
          <rPr>
            <sz val="9"/>
            <color rgb="FF000000"/>
            <rFont val="Tahoma"/>
            <family val="2"/>
          </rPr>
          <t xml:space="preserve">  c) Choose a new material with a higher Young's Modulus=E
</t>
        </r>
        <r>
          <rPr>
            <sz val="9"/>
            <color rgb="FF000000"/>
            <rFont val="Tahoma"/>
            <family val="2"/>
          </rPr>
          <t xml:space="preserve">  d) Choose a different beam cross sectional area
</t>
        </r>
        <r>
          <rPr>
            <sz val="9"/>
            <color rgb="FF000000"/>
            <rFont val="Tahoma"/>
            <family val="2"/>
          </rPr>
          <t xml:space="preserve">  e) Choose a higher # of Longerons per Quadrant=N</t>
        </r>
      </text>
    </comment>
    <comment ref="BK79" authorId="1" shapeId="0" xr:uid="{00000000-0006-0000-0C00-00001D000000}">
      <text>
        <r>
          <rPr>
            <b/>
            <sz val="9"/>
            <color indexed="81"/>
            <rFont val="Tahoma"/>
            <family val="2"/>
          </rPr>
          <t>This calculation uses an approximate formulae for the moment of inertia.</t>
        </r>
        <r>
          <rPr>
            <sz val="9"/>
            <color indexed="81"/>
            <rFont val="Tahoma"/>
            <family val="2"/>
          </rPr>
          <t xml:space="preserve">
</t>
        </r>
      </text>
    </comment>
    <comment ref="BL79" authorId="1" shapeId="0" xr:uid="{00000000-0006-0000-0C00-00001E000000}">
      <text>
        <r>
          <rPr>
            <b/>
            <sz val="9"/>
            <color indexed="81"/>
            <rFont val="Tahoma"/>
            <family val="2"/>
          </rPr>
          <t>This calculation uses an approximate formulae for the moment of inertia.</t>
        </r>
        <r>
          <rPr>
            <sz val="9"/>
            <color indexed="81"/>
            <rFont val="Tahoma"/>
            <family val="2"/>
          </rPr>
          <t xml:space="preserve">
</t>
        </r>
      </text>
    </comment>
    <comment ref="BM79" authorId="1" shapeId="0" xr:uid="{00000000-0006-0000-0C00-00001F000000}">
      <text>
        <r>
          <rPr>
            <b/>
            <sz val="9"/>
            <color indexed="81"/>
            <rFont val="Tahoma"/>
            <family val="2"/>
          </rPr>
          <t>This calculation uses an approximate formulae for the moment of inertia.</t>
        </r>
        <r>
          <rPr>
            <sz val="9"/>
            <color indexed="81"/>
            <rFont val="Tahoma"/>
            <family val="2"/>
          </rPr>
          <t xml:space="preserve">
</t>
        </r>
      </text>
    </comment>
    <comment ref="BN79" authorId="1" shapeId="0" xr:uid="{00000000-0006-0000-0C00-000020000000}">
      <text>
        <r>
          <rPr>
            <b/>
            <sz val="9"/>
            <color indexed="81"/>
            <rFont val="Tahoma"/>
            <family val="2"/>
          </rPr>
          <t>This calculation uses an approximate formulae for the moment of inertia.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Borgiani Geiger Borgiani Geiger</author>
    <author>GE User</author>
    <author>Juliana Geiger</author>
  </authors>
  <commentList>
    <comment ref="AA5" authorId="0" shapeId="0" xr:uid="{D95DA9F9-17D0-4893-9683-A5C2D66E8270}">
      <text>
        <r>
          <rPr>
            <b/>
            <sz val="14"/>
            <color rgb="FF000000"/>
            <rFont val="Tahoma"/>
            <family val="2"/>
          </rPr>
          <t>Macro for Stability Calculations</t>
        </r>
        <r>
          <rPr>
            <b/>
            <sz val="9"/>
            <color rgb="FF000000"/>
            <rFont val="Tahoma"/>
            <family val="2"/>
          </rPr>
          <t xml:space="preserve">
</t>
        </r>
        <r>
          <rPr>
            <b/>
            <sz val="9"/>
            <color rgb="FF000000"/>
            <rFont val="Tahoma"/>
            <family val="2"/>
          </rPr>
          <t xml:space="preserve">
</t>
        </r>
        <r>
          <rPr>
            <sz val="12"/>
            <color rgb="FF000000"/>
            <rFont val="Tahoma"/>
            <family val="2"/>
          </rPr>
          <t xml:space="preserve">NOTE:  Make sure all other Excel workbooks are CLOSED before running any Macros.
</t>
        </r>
        <r>
          <rPr>
            <sz val="12"/>
            <color rgb="FF000000"/>
            <rFont val="Tahoma"/>
            <family val="2"/>
          </rPr>
          <t xml:space="preserve">
</t>
        </r>
        <r>
          <rPr>
            <sz val="12"/>
            <color rgb="FF000000"/>
            <rFont val="Tahoma"/>
            <family val="2"/>
          </rPr>
          <t xml:space="preserve">1) Populate the seven blue input cells directly below with a range of static margins.
</t>
        </r>
        <r>
          <rPr>
            <sz val="12"/>
            <color rgb="FF000000"/>
            <rFont val="Tahoma"/>
            <family val="2"/>
          </rPr>
          <t xml:space="preserve">2) Go to "View-Macros-View Macro", then click the "Run' Button.
</t>
        </r>
      </text>
    </comment>
    <comment ref="U11" authorId="1" shapeId="0" xr:uid="{00000000-0006-0000-0D00-000001000000}">
      <text>
        <r>
          <rPr>
            <b/>
            <sz val="9"/>
            <color rgb="FF000000"/>
            <rFont val="Tahoma"/>
            <family val="2"/>
          </rPr>
          <t xml:space="preserve">The moment coefficient about the aerodynamic center is the 2D airfoil value.
</t>
        </r>
        <r>
          <rPr>
            <b/>
            <sz val="9"/>
            <color rgb="FF000000"/>
            <rFont val="Tahoma"/>
            <family val="2"/>
          </rPr>
          <t xml:space="preserve">
</t>
        </r>
        <r>
          <rPr>
            <sz val="9"/>
            <color rgb="FF000000"/>
            <rFont val="Tahoma"/>
            <family val="2"/>
          </rPr>
          <t xml:space="preserve">Use "Theory of Wing Sections" or other source for the airfoil chosen in Chapter 4 (Wing) and Chapter 6 (Horizontal Stabilizer).  Often times the horizontal stabilizer moment coeff. is assumed to be small, i.e.( CM,ac)hs=0
</t>
        </r>
      </text>
    </comment>
    <comment ref="V11" authorId="1" shapeId="0" xr:uid="{00000000-0006-0000-0D00-000002000000}">
      <text>
        <r>
          <rPr>
            <b/>
            <sz val="9"/>
            <color rgb="FF000000"/>
            <rFont val="Tahoma"/>
            <family val="2"/>
          </rPr>
          <t xml:space="preserve">The moment coefficient about the aerodynamic center is the 2D airfoil value.
</t>
        </r>
        <r>
          <rPr>
            <b/>
            <sz val="9"/>
            <color rgb="FF000000"/>
            <rFont val="Tahoma"/>
            <family val="2"/>
          </rPr>
          <t xml:space="preserve">
</t>
        </r>
        <r>
          <rPr>
            <sz val="9"/>
            <color rgb="FF000000"/>
            <rFont val="Tahoma"/>
            <family val="2"/>
          </rPr>
          <t xml:space="preserve">Use "Theory of Wing Sections" or other source for the airfoil chosen in Chapter 4 (Wing) and Chapter 6 (Horizontal Stabilizer).  Often times the horizontal stabilizer moment coeff. is assumed to be small, i.e.( CM,ac)hs=0
</t>
        </r>
      </text>
    </comment>
    <comment ref="U24" authorId="1" shapeId="0" xr:uid="{00000000-0006-0000-0D00-000003000000}">
      <text>
        <r>
          <rPr>
            <b/>
            <u/>
            <sz val="9"/>
            <color rgb="FF000000"/>
            <rFont val="Tahoma"/>
            <family val="2"/>
          </rPr>
          <t>Flag</t>
        </r>
        <r>
          <rPr>
            <b/>
            <sz val="9"/>
            <color rgb="FF000000"/>
            <rFont val="Tahoma"/>
            <family val="2"/>
          </rPr>
          <t xml:space="preserve">     </t>
        </r>
        <r>
          <rPr>
            <b/>
            <u/>
            <sz val="9"/>
            <color rgb="FF000000"/>
            <rFont val="Tahoma"/>
            <family val="2"/>
          </rPr>
          <t>Class Of Aircraft For Empty Weight Correlations</t>
        </r>
        <r>
          <rPr>
            <b/>
            <sz val="9"/>
            <color rgb="FF000000"/>
            <rFont val="Tahoma"/>
            <family val="2"/>
          </rPr>
          <t xml:space="preserve">
</t>
        </r>
        <r>
          <rPr>
            <b/>
            <sz val="9"/>
            <color rgb="FF000000"/>
            <rFont val="Tahoma"/>
            <family val="2"/>
          </rPr>
          <t xml:space="preserve">1          Fighters  (Military)
</t>
        </r>
        <r>
          <rPr>
            <b/>
            <sz val="9"/>
            <color rgb="FF000000"/>
            <rFont val="Tahoma"/>
            <family val="2"/>
          </rPr>
          <t xml:space="preserve">2          Commercial Transports (FAR Part 25)
</t>
        </r>
        <r>
          <rPr>
            <b/>
            <sz val="9"/>
            <color rgb="FF000000"/>
            <rFont val="Tahoma"/>
            <family val="2"/>
          </rPr>
          <t>3          General Aviation (FAR Part 23)</t>
        </r>
        <r>
          <rPr>
            <sz val="9"/>
            <color rgb="FF000000"/>
            <rFont val="Tahoma"/>
            <family val="2"/>
          </rPr>
          <t xml:space="preserve">
</t>
        </r>
      </text>
    </comment>
    <comment ref="U25" authorId="1" shapeId="0" xr:uid="{00000000-0006-0000-0D00-000004000000}">
      <text>
        <r>
          <rPr>
            <b/>
            <sz val="9"/>
            <color rgb="FF000000"/>
            <rFont val="Tahoma"/>
            <family val="2"/>
          </rPr>
          <t>The Thrust Moment Arm is the distance in the vertical direction (z axis) of the centerline of the engine inlet(s) and the center-of-gravity position.</t>
        </r>
        <r>
          <rPr>
            <sz val="9"/>
            <color rgb="FF000000"/>
            <rFont val="Tahoma"/>
            <family val="2"/>
          </rPr>
          <t xml:space="preserve">
</t>
        </r>
        <r>
          <rPr>
            <sz val="9"/>
            <color rgb="FF000000"/>
            <rFont val="Tahoma"/>
            <family val="2"/>
          </rPr>
          <t xml:space="preserve">
</t>
        </r>
        <r>
          <rPr>
            <sz val="9"/>
            <color rgb="FF000000"/>
            <rFont val="Tahoma"/>
            <family val="2"/>
          </rPr>
          <t xml:space="preserve">Without any better information assume the following;
</t>
        </r>
        <r>
          <rPr>
            <sz val="9"/>
            <color rgb="FF000000"/>
            <rFont val="Tahoma"/>
            <family val="2"/>
          </rPr>
          <t xml:space="preserve">
</t>
        </r>
        <r>
          <rPr>
            <sz val="9"/>
            <color rgb="FF000000"/>
            <rFont val="Tahoma"/>
            <family val="2"/>
          </rPr>
          <t xml:space="preserve">High Wing:  zd = (-0.5)*(Dmax,fuselage - Dmax,eng)
</t>
        </r>
        <r>
          <rPr>
            <sz val="9"/>
            <color rgb="FF000000"/>
            <rFont val="Tahoma"/>
            <family val="2"/>
          </rPr>
          <t xml:space="preserve">Mid Wing:     zd = 0.0
</t>
        </r>
        <r>
          <rPr>
            <sz val="9"/>
            <color rgb="FF000000"/>
            <rFont val="Tahoma"/>
            <family val="2"/>
          </rPr>
          <t xml:space="preserve">Low Wing:    zd = (+0.5)*(Dmax,fuselage - Dmax,eng)
</t>
        </r>
      </text>
    </comment>
    <comment ref="U26" authorId="1" shapeId="0" xr:uid="{00000000-0006-0000-0D00-000005000000}">
      <text>
        <r>
          <rPr>
            <b/>
            <sz val="9"/>
            <color indexed="81"/>
            <rFont val="Tahoma"/>
            <family val="2"/>
          </rPr>
          <t>The Drag Moment Arm is the distance in the vertical direction (z axis)  of the mean aero chord of the wing, cbar, and the center-of-gravity position.</t>
        </r>
        <r>
          <rPr>
            <sz val="9"/>
            <color indexed="81"/>
            <rFont val="Tahoma"/>
            <family val="2"/>
          </rPr>
          <t xml:space="preserve">
Without any better information assume the following;
High Wing:  zd = (+1)*((0.5)*Dmax,fuselage)
Mid Wing:     zd = 0.0
Low Wing:    zd = (-1)*((0.5)*Dmax,fuselage)
</t>
        </r>
      </text>
    </comment>
    <comment ref="U29" authorId="1" shapeId="0" xr:uid="{00000000-0006-0000-0D00-000006000000}">
      <text>
        <r>
          <rPr>
            <b/>
            <sz val="9"/>
            <color rgb="FF000000"/>
            <rFont val="Tahoma"/>
            <family val="2"/>
          </rPr>
          <t>Angle-of-Attack seen by engine inlets.  See Corke Figure 11.4</t>
        </r>
        <r>
          <rPr>
            <sz val="9"/>
            <color rgb="FF000000"/>
            <rFont val="Tahoma"/>
            <family val="2"/>
          </rPr>
          <t xml:space="preserve">
</t>
        </r>
        <r>
          <rPr>
            <sz val="9"/>
            <color rgb="FF000000"/>
            <rFont val="Tahoma"/>
            <family val="2"/>
          </rPr>
          <t xml:space="preserve">
</t>
        </r>
        <r>
          <rPr>
            <sz val="9"/>
            <color rgb="FF000000"/>
            <rFont val="Tahoma"/>
            <family val="2"/>
          </rPr>
          <t xml:space="preserve">Options
</t>
        </r>
        <r>
          <rPr>
            <sz val="9"/>
            <color rgb="FF000000"/>
            <rFont val="Tahoma"/>
            <family val="2"/>
          </rPr>
          <t xml:space="preserve">-Assume a fixed 20 deg as representative.
</t>
        </r>
        <r>
          <rPr>
            <sz val="9"/>
            <color rgb="FF000000"/>
            <rFont val="Tahoma"/>
            <family val="2"/>
          </rPr>
          <t xml:space="preserve">-Treat as a parameter and vary.
</t>
        </r>
        <r>
          <rPr>
            <sz val="9"/>
            <color rgb="FF000000"/>
            <rFont val="Tahoma"/>
            <family val="2"/>
          </rPr>
          <t>-Consider the worst case scenario.</t>
        </r>
      </text>
    </comment>
    <comment ref="R49" authorId="0" shapeId="0" xr:uid="{5DB14D2F-722D-41C2-B8D3-86D268569321}">
      <text>
        <r>
          <rPr>
            <sz val="9"/>
            <color rgb="FF000000"/>
            <rFont val="Tahoma"/>
            <family val="2"/>
          </rPr>
          <t xml:space="preserve">(for Wo set to (-1)*'2'!S16, for We set to zero)
</t>
        </r>
      </text>
    </comment>
    <comment ref="R50" authorId="0" shapeId="0" xr:uid="{16D2B188-50B6-4F0B-83FF-747DCE0B8E71}">
      <text>
        <r>
          <rPr>
            <sz val="9"/>
            <color indexed="81"/>
            <rFont val="Tahoma"/>
            <family val="2"/>
          </rPr>
          <t xml:space="preserve">Payload (for Wo set to (-1)*'2'!S13, for We set to 0)
</t>
        </r>
      </text>
    </comment>
    <comment ref="U129" authorId="1" shapeId="0" xr:uid="{00000000-0006-0000-0D00-000007000000}">
      <text>
        <r>
          <rPr>
            <b/>
            <sz val="9"/>
            <color indexed="81"/>
            <rFont val="Tahoma"/>
            <family val="2"/>
          </rPr>
          <t>Downwash Factor = de/da per Corke Figure 11.3, page 265.
This input should be zero for Canards!</t>
        </r>
        <r>
          <rPr>
            <sz val="9"/>
            <color indexed="81"/>
            <rFont val="Tahoma"/>
            <family val="2"/>
          </rPr>
          <t xml:space="preserve">
Figure 11.3 has limits on the paramaters for which de/da is given, i.e.
Aspect Ratio:  6&lt;A&lt;12
Taper Ratio:  0.2&lt;lambda&lt;1.0
Length Coordinate:  0.25&lt;r&lt;1.25
Height Coordinate:  0.0&lt;m&lt;0.2
If your design values fall outside of the these ranges, then use the closest boundary value, or extrapolate.  Be careful not to extrapolate too far!
If your design values fall inside these ranges, then interpolate.</t>
        </r>
      </text>
    </comment>
    <comment ref="U135" authorId="1" shapeId="0" xr:uid="{00000000-0006-0000-0D00-000008000000}">
      <text>
        <r>
          <rPr>
            <b/>
            <sz val="9"/>
            <color indexed="81"/>
            <rFont val="Tahoma"/>
            <family val="2"/>
          </rPr>
          <t xml:space="preserve">The horizontal stabilizer efficiency is the ratio of the dynamic pressure seen by the horizontal stabilizer to that seen by the wing.
</t>
        </r>
        <r>
          <rPr>
            <sz val="9"/>
            <color indexed="81"/>
            <rFont val="Tahoma"/>
            <family val="2"/>
          </rPr>
          <t>Options
-Use 1.0 for Canards
-Assume  0.95 &lt;eta,ht&lt;1.0 for aft horizontal stabilizers</t>
        </r>
      </text>
    </comment>
    <comment ref="U158" authorId="1" shapeId="0" xr:uid="{00000000-0006-0000-0D00-000009000000}">
      <text>
        <r>
          <rPr>
            <sz val="9"/>
            <color indexed="81"/>
            <rFont val="Tahoma"/>
            <family val="2"/>
          </rPr>
          <t xml:space="preserve">Without any better information use the following;
High Wing Configuration:  z_w = Dmax,fuselage / 2
Mid Wing Configuration: z_w = 0
Low Wing Configuration:  z_w = -Dmax,fuselage / 2
</t>
        </r>
      </text>
    </comment>
    <comment ref="U167" authorId="1" shapeId="0" xr:uid="{00000000-0006-0000-0D00-00000A000000}">
      <text>
        <r>
          <rPr>
            <sz val="9"/>
            <color rgb="FF000000"/>
            <rFont val="Tahoma"/>
            <family val="2"/>
          </rPr>
          <t>Cvt = Vertical Tail Volume Coefficient, (-)
Options:
-Review Corke Section 6.2, pages 122-126
-Use existing aircraft data and use Solver to vary Cvt until the vertical tail reference area (Svt) is equal to the published value.
-Use Corke Table 6.1 (page 123) to select a typical Cvt based on aircraft type.</t>
        </r>
      </text>
    </comment>
    <comment ref="U168" authorId="1" shapeId="0" xr:uid="{00000000-0006-0000-0D00-00000B000000}">
      <text>
        <r>
          <rPr>
            <sz val="9"/>
            <color rgb="FF000000"/>
            <rFont val="Tahoma"/>
            <family val="2"/>
          </rPr>
          <t>Lvt = Distance between the quarter-chord locations of the mean-aerodynamic-chords (m.a.c.) of the main wing and the vertical stabilizer, (ft)
Options:
-Review Corke Section 6.2, pages 122-126
-Use existing competitor and like aircraft to get an estimate to use.
-Use Corke Table 6.4 (page 126) to select a typical Lvt based on aircraft type.</t>
        </r>
      </text>
    </comment>
    <comment ref="U169" authorId="1" shapeId="0" xr:uid="{00000000-0006-0000-0D00-00000C000000}">
      <text>
        <r>
          <rPr>
            <sz val="9"/>
            <color rgb="FF000000"/>
            <rFont val="Symbol"/>
            <family val="1"/>
            <charset val="2"/>
          </rPr>
          <t>L</t>
        </r>
        <r>
          <rPr>
            <vertAlign val="subscript"/>
            <sz val="9"/>
            <color rgb="FF000000"/>
            <rFont val="Tahoma"/>
            <family val="2"/>
          </rPr>
          <t>LE</t>
        </r>
        <r>
          <rPr>
            <sz val="9"/>
            <color rgb="FF000000"/>
            <rFont val="Tahoma"/>
            <family val="2"/>
          </rPr>
          <t xml:space="preserve"> = Leading Edge Sweepback Angle of the Vertical Stabilizer, (deg)
Options:
-Review Corke Section 6.3, pages 126-127
-Use existing competitor and like aircraft to get an estimate to use.</t>
        </r>
      </text>
    </comment>
    <comment ref="U170" authorId="1" shapeId="0" xr:uid="{00000000-0006-0000-0D00-00000D000000}">
      <text>
        <r>
          <rPr>
            <sz val="9"/>
            <color rgb="FF000000"/>
            <rFont val="Tahoma"/>
            <family val="2"/>
          </rPr>
          <t>t/c = (t/c)max = Maximum Thickness-to-Chord ratio of the Vertical Stabilizer, (-)
Options:
-Review Corke Section 6.3, pages 126-127
-Use existing competitor and like aircraft to get an estimate to use.
-Use Corke Table 6.5 (page 127) to select a typical value.</t>
        </r>
      </text>
    </comment>
    <comment ref="U171" authorId="1" shapeId="0" xr:uid="{00000000-0006-0000-0D00-00000E000000}">
      <text>
        <r>
          <rPr>
            <sz val="9"/>
            <color rgb="FF000000"/>
            <rFont val="Symbol"/>
            <family val="1"/>
            <charset val="2"/>
          </rPr>
          <t xml:space="preserve">l </t>
        </r>
        <r>
          <rPr>
            <sz val="9"/>
            <color rgb="FF000000"/>
            <rFont val="Tahoma"/>
            <family val="2"/>
          </rPr>
          <t>= ct/cr = Taper Ratio of the Vertical Stabilizer, (-)
Options:
-Review Corke Section 6.3, pages 126-127
-Use existing competitor and like aircraft to get an estimate to use.
-Use Corke Table 6.5 (page 127) to select a typical value.</t>
        </r>
      </text>
    </comment>
    <comment ref="U172" authorId="1" shapeId="0" xr:uid="{00000000-0006-0000-0D00-00000F000000}">
      <text>
        <r>
          <rPr>
            <sz val="9"/>
            <color rgb="FF000000"/>
            <rFont val="Tahoma"/>
            <family val="2"/>
          </rPr>
          <t>Avt = Aspect Ratio of the Vertical Stabilizer, (-)
Options:
-Review Corke Section 6.3, pages 126-127
-Use existing competitor and like aircraft to get an estimate to use.
-Use Corke Table 6.5 (page 127) to select a typical value.</t>
        </r>
      </text>
    </comment>
    <comment ref="U173" authorId="1" shapeId="0" xr:uid="{00000000-0006-0000-0D00-000010000000}">
      <text>
        <r>
          <rPr>
            <b/>
            <sz val="9"/>
            <color indexed="81"/>
            <rFont val="Tahoma"/>
            <family val="2"/>
          </rPr>
          <t>If C_n_B &lt; 0 (unstable), consider increasing vertical stabilizer reference area, S_vs.</t>
        </r>
        <r>
          <rPr>
            <sz val="9"/>
            <color indexed="81"/>
            <rFont val="Tahoma"/>
            <family val="2"/>
          </rPr>
          <t xml:space="preserve">
Increase Cvt to increase ref. wing area.</t>
        </r>
      </text>
    </comment>
    <comment ref="U178" authorId="1" shapeId="0" xr:uid="{00000000-0006-0000-0D00-000011000000}">
      <text>
        <r>
          <rPr>
            <b/>
            <sz val="9"/>
            <color indexed="81"/>
            <rFont val="Tahoma"/>
            <family val="2"/>
          </rPr>
          <t xml:space="preserve">The vertical stabilizer trailing edge sweep angle needs to be within +/- 12.5 deg of the vertical so tha the Rudder effectiveness is not affeted.
</t>
        </r>
        <r>
          <rPr>
            <sz val="9"/>
            <color indexed="81"/>
            <rFont val="Tahoma"/>
            <family val="2"/>
          </rPr>
          <t xml:space="preserve">
Use taper ratio to ensure TE sweep is ok.
</t>
        </r>
      </text>
    </comment>
    <comment ref="U200" authorId="1" shapeId="0" xr:uid="{00000000-0006-0000-0D00-000012000000}">
      <text>
        <r>
          <rPr>
            <b/>
            <sz val="9"/>
            <color indexed="81"/>
            <rFont val="Tahoma"/>
            <family val="2"/>
          </rPr>
          <t xml:space="preserve">This input is the thrust difference of right and left powerplants in the asymmetric power condition (One Engine Inoperative, or OEI) for multi-engine aircraft. 
</t>
        </r>
        <r>
          <rPr>
            <sz val="9"/>
            <color indexed="81"/>
            <rFont val="Tahoma"/>
            <family val="2"/>
          </rPr>
          <t>The assymetric power condition is when the most unfavorable engine that could fail does in fact fail.  In most cases, this will be the wing-mounted engine that is farthest away from the aircraft centerline, thereby requiring the rudder to provide the most restoring moment.
This scenario only applies for multi-engine aircraft, so set T=0 for single engine aircraft.</t>
        </r>
      </text>
    </comment>
    <comment ref="U223" authorId="2" shapeId="0" xr:uid="{00000000-0006-0000-0D00-000013000000}">
      <text>
        <r>
          <rPr>
            <b/>
            <sz val="9"/>
            <color indexed="81"/>
            <rFont val="Tahoma"/>
            <family val="2"/>
          </rPr>
          <t xml:space="preserve">This input is the x-axis value of Figure 11.9, page 276.
</t>
        </r>
        <r>
          <rPr>
            <sz val="9"/>
            <color indexed="81"/>
            <rFont val="Tahoma"/>
            <family val="2"/>
          </rPr>
          <t xml:space="preserve">
Use the d</t>
        </r>
        <r>
          <rPr>
            <sz val="9"/>
            <color indexed="81"/>
            <rFont val="Symbol"/>
            <family val="1"/>
            <charset val="2"/>
          </rPr>
          <t>a</t>
        </r>
        <r>
          <rPr>
            <sz val="9"/>
            <color indexed="81"/>
            <rFont val="Tahoma"/>
            <family val="2"/>
          </rPr>
          <t>_0L/d</t>
        </r>
        <r>
          <rPr>
            <sz val="9"/>
            <color indexed="81"/>
            <rFont val="Symbol"/>
            <family val="1"/>
            <charset val="2"/>
          </rPr>
          <t>d</t>
        </r>
        <r>
          <rPr>
            <sz val="9"/>
            <color indexed="81"/>
            <rFont val="Tahoma"/>
            <family val="2"/>
          </rPr>
          <t>_r value directly above on the y-axis and read off the x-axis value from Figure 11.9.  
Note:  This curve often results in a rudder that is very small.  Use the "Eye Test" and increase C_R/C_VS is need be.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s>
  <commentList>
    <comment ref="B9" authorId="0" shapeId="0" xr:uid="{00000000-0006-0000-0E00-000001000000}">
      <text>
        <r>
          <rPr>
            <b/>
            <sz val="9"/>
            <color indexed="81"/>
            <rFont val="Tahoma"/>
            <family val="2"/>
          </rPr>
          <t>W_s = Structure Weight (or Empty Weight)
Options</t>
        </r>
        <r>
          <rPr>
            <sz val="9"/>
            <color indexed="81"/>
            <rFont val="Tahoma"/>
            <family val="2"/>
          </rPr>
          <t xml:space="preserve">
-Use Chapter 11 refined empty weight estimate (Best)
-Assume a gross weight and use Table 2.3 (page 31) for the type of aircraft being studied.
-Assume W_s is a parameter and vary to see the effect on Cost.
</t>
        </r>
      </text>
    </comment>
    <comment ref="B10" authorId="0" shapeId="0" xr:uid="{00000000-0006-0000-0E00-000002000000}">
      <text>
        <r>
          <rPr>
            <b/>
            <sz val="9"/>
            <color indexed="81"/>
            <rFont val="Tahoma"/>
            <family val="2"/>
          </rPr>
          <t>V_max = Design Cruise Speed (ft/sec)</t>
        </r>
        <r>
          <rPr>
            <sz val="9"/>
            <color indexed="81"/>
            <rFont val="Tahoma"/>
            <family val="2"/>
          </rPr>
          <t xml:space="preserve">
Notes
-Corke uses design cruise speed for all three example aircraft
-For some aircraft, the design cruise speed is less than the Max Cruise speed, but for this course assume that V_max is the design cruise speed.
Note:  Corke text indicates (more than once) that the speed used in the Rand Correlations should be in knots, yet the spreadsheets use ft/sec.  Could be an error, but something to consider when trying to match some known costs.</t>
        </r>
      </text>
    </comment>
    <comment ref="B11" authorId="0" shapeId="0" xr:uid="{00000000-0006-0000-0E00-000003000000}">
      <text>
        <r>
          <rPr>
            <b/>
            <sz val="9"/>
            <color indexed="81"/>
            <rFont val="Tahoma"/>
            <family val="2"/>
          </rPr>
          <t xml:space="preserve">N_D = The quantity of aircraft produced by the airframe manufacturer in the development phase of the project, or the RDT&amp;E phase (research, development, test and evaluation).
Options / Comments
</t>
        </r>
        <r>
          <rPr>
            <sz val="9"/>
            <color indexed="81"/>
            <rFont val="Tahoma"/>
            <family val="2"/>
          </rPr>
          <t xml:space="preserve">-Corke page 299 … "1&lt;N_D&lt;6, with the lower being more common."
</t>
        </r>
        <r>
          <rPr>
            <b/>
            <i/>
            <sz val="9"/>
            <color indexed="81"/>
            <rFont val="Tahoma"/>
            <family val="2"/>
          </rPr>
          <t>-Try to make N_D as HIGH as possible (up to 6) and maintain an attractive profit.</t>
        </r>
        <r>
          <rPr>
            <sz val="9"/>
            <color indexed="81"/>
            <rFont val="Tahoma"/>
            <family val="2"/>
          </rPr>
          <t xml:space="preserve">
-N_D must be at least 1, but N_D=1 is NOT a very attractive proposal as it indicates HIGH RISK.
-Corke assumes the following for N_D for the text example aircraft:
            (# of aircraft)
                 </t>
        </r>
        <r>
          <rPr>
            <u/>
            <sz val="9"/>
            <color indexed="81"/>
            <rFont val="Tahoma"/>
            <family val="2"/>
          </rPr>
          <t xml:space="preserve">N_P </t>
        </r>
        <r>
          <rPr>
            <sz val="9"/>
            <color indexed="81"/>
            <rFont val="Tahoma"/>
            <family val="2"/>
          </rPr>
          <t xml:space="preserve">
  ssbj            2
  hpka          1
  kc42          1
</t>
        </r>
      </text>
    </comment>
    <comment ref="G11" authorId="0" shapeId="0" xr:uid="{00000000-0006-0000-0E00-000004000000}">
      <text>
        <r>
          <rPr>
            <b/>
            <sz val="9"/>
            <color indexed="81"/>
            <rFont val="Tahoma"/>
            <family val="2"/>
          </rPr>
          <t xml:space="preserve">CPI (98-current) = CPI index of current year / CPI index in 1998
Notes
</t>
        </r>
        <r>
          <rPr>
            <sz val="9"/>
            <color indexed="81"/>
            <rFont val="Tahoma"/>
            <family val="2"/>
          </rPr>
          <t>-Use Dept. of Labor Statistics data to determine CPI Index.  See "CPI" worksheet.
-The CPI (70-98) = 3.95 and CPI (86-98) = 1.49 are used by Corke in the Text and are fine.  No need to update these.
-CPI (98-current) will change slightly depending on what month one assumes.  Your call.</t>
        </r>
      </text>
    </comment>
    <comment ref="B12" authorId="0" shapeId="0" xr:uid="{00000000-0006-0000-0E00-000005000000}">
      <text>
        <r>
          <rPr>
            <b/>
            <sz val="9"/>
            <color indexed="81"/>
            <rFont val="Tahoma"/>
            <family val="2"/>
          </rPr>
          <t xml:space="preserve">N_P = The quantity of aircraft produced by the airframe manufacturer in the production phase of the project, or the Acquisition phase.
Options / Comments
</t>
        </r>
        <r>
          <rPr>
            <sz val="9"/>
            <color indexed="81"/>
            <rFont val="Tahoma"/>
            <family val="2"/>
          </rPr>
          <t xml:space="preserve">-Corke page 312 … "In order to keep the unit price down, the number of production aircraft may need to be high".
</t>
        </r>
        <r>
          <rPr>
            <b/>
            <i/>
            <sz val="9"/>
            <color indexed="81"/>
            <rFont val="Tahoma"/>
            <family val="2"/>
          </rPr>
          <t>-Try to make N_P as LOW as possible and maintain an attractive profit.</t>
        </r>
        <r>
          <rPr>
            <sz val="9"/>
            <color indexed="81"/>
            <rFont val="Tahoma"/>
            <family val="2"/>
          </rPr>
          <t xml:space="preserve">
-Corke assumes the following for N_P for the text example aircraft:
            (# of aircraft)
                 </t>
        </r>
        <r>
          <rPr>
            <u/>
            <sz val="9"/>
            <color indexed="81"/>
            <rFont val="Tahoma"/>
            <family val="2"/>
          </rPr>
          <t xml:space="preserve">N_P </t>
        </r>
        <r>
          <rPr>
            <sz val="9"/>
            <color indexed="81"/>
            <rFont val="Tahoma"/>
            <family val="2"/>
          </rPr>
          <t xml:space="preserve">
  ssbj         250
  hpka        500
  kc42       100
-Check the Janes technical report for your competitors.  Janes often times lists the number of production aircraft in the report.  This may be the best information one can use to estimate N_P for a similar aircraft.</t>
        </r>
      </text>
    </comment>
    <comment ref="B13" authorId="1" shapeId="0" xr:uid="{00000000-0006-0000-0E00-000006000000}">
      <text>
        <r>
          <rPr>
            <b/>
            <sz val="9"/>
            <color indexed="81"/>
            <rFont val="Tahoma"/>
            <family val="2"/>
          </rPr>
          <t>N_am = # of aircraft in the RTD&amp;E amortization period</t>
        </r>
        <r>
          <rPr>
            <sz val="9"/>
            <color indexed="81"/>
            <rFont val="Tahoma"/>
            <family val="2"/>
          </rPr>
          <t xml:space="preserve">
Notes
-Review Section 12.2 Unit price
-N_am must be less than (or equal to) N_P
-N_am represents how much time that the RDT&amp;E costs are amortized over.
-This input affects the "Initial Price Markup", which is typically about 25%.
-It's desirable to amortize over as few aircraft as possible.</t>
        </r>
      </text>
    </comment>
    <comment ref="B14" authorId="0" shapeId="0" xr:uid="{00000000-0006-0000-0E00-000007000000}">
      <text>
        <r>
          <rPr>
            <b/>
            <sz val="9"/>
            <color indexed="81"/>
            <rFont val="Tahoma"/>
            <family val="2"/>
          </rPr>
          <t xml:space="preserve">R_D = The production rate of RDT&amp;E aircraft (units are aircraft per month)
Options / Comments
</t>
        </r>
        <r>
          <rPr>
            <sz val="9"/>
            <color indexed="81"/>
            <rFont val="Tahoma"/>
            <family val="2"/>
          </rPr>
          <t xml:space="preserve">-The inverse of R_D is the time it takes to "develop" one (1) development aircraft, or the time to research, develop, test and evaluate a new aircraft.
</t>
        </r>
        <r>
          <rPr>
            <b/>
            <i/>
            <sz val="9"/>
            <color indexed="81"/>
            <rFont val="Tahoma"/>
            <family val="2"/>
          </rPr>
          <t>-Try to make R_D as LOW as possible and maintain an attractive profit.</t>
        </r>
        <r>
          <rPr>
            <sz val="9"/>
            <color indexed="81"/>
            <rFont val="Tahoma"/>
            <family val="2"/>
          </rPr>
          <t xml:space="preserve">
-Corke assumes the following for R_D and 1/R_D for the text example aircraft:
         (aircraft/month)       (months)
                </t>
        </r>
        <r>
          <rPr>
            <u/>
            <sz val="9"/>
            <color indexed="81"/>
            <rFont val="Tahoma"/>
            <family val="2"/>
          </rPr>
          <t xml:space="preserve"> R_D</t>
        </r>
        <r>
          <rPr>
            <sz val="9"/>
            <color indexed="81"/>
            <rFont val="Tahoma"/>
            <family val="2"/>
          </rPr>
          <t xml:space="preserve">                </t>
        </r>
        <r>
          <rPr>
            <u/>
            <sz val="9"/>
            <color indexed="81"/>
            <rFont val="Tahoma"/>
            <family val="2"/>
          </rPr>
          <t xml:space="preserve"> (1/R_D)</t>
        </r>
        <r>
          <rPr>
            <sz val="9"/>
            <color indexed="81"/>
            <rFont val="Tahoma"/>
            <family val="2"/>
          </rPr>
          <t xml:space="preserve">
  ssbj         0.083                  12
  hpka       0.500                   6
  kc42       0.0625                 16
-Use these as a guide.  Clearly, the more sophisticated the design the longer the time will be for RDT&amp;E.
</t>
        </r>
      </text>
    </comment>
    <comment ref="B15" authorId="0" shapeId="0" xr:uid="{00000000-0006-0000-0E00-000008000000}">
      <text>
        <r>
          <rPr>
            <b/>
            <sz val="9"/>
            <color indexed="81"/>
            <rFont val="Tahoma"/>
            <family val="2"/>
          </rPr>
          <t xml:space="preserve">R_P = The production rate of Acquisition aircraft (units are aircraft per month)
Options / Comments
</t>
        </r>
        <r>
          <rPr>
            <sz val="9"/>
            <color indexed="81"/>
            <rFont val="Tahoma"/>
            <family val="2"/>
          </rPr>
          <t xml:space="preserve">-The inverse of R_P is the time it takes to produce one (1) acquisition aircraft, or the time to build, test and ship a production aircraft.
</t>
        </r>
        <r>
          <rPr>
            <b/>
            <i/>
            <sz val="9"/>
            <color indexed="81"/>
            <rFont val="Tahoma"/>
            <family val="2"/>
          </rPr>
          <t>-Try to make R_P as Low as possible and maintain an attractive profit.</t>
        </r>
        <r>
          <rPr>
            <sz val="9"/>
            <color indexed="81"/>
            <rFont val="Tahoma"/>
            <family val="2"/>
          </rPr>
          <t xml:space="preserve">
-Corke assumes the following for R_P and 1/R_P for the text example aircraft:
         (aircraft/month)       (months)
                 R_P                 (1/R_P)
  ssbj            1                         1
  hpka           1                        1
  kc42           1                        1
-Corke values are low, perhaps ok for these aircraft concepts.
-Do some research on R_P for your type of aircraft.  Janes and internet search should provide some insight.
-For example:  http://boeing.mediaroom.com/2014-10-02-Boeing-to-Increase-737-Production-Rate-to-52-per-Month-in-2018
</t>
        </r>
      </text>
    </comment>
    <comment ref="B16" authorId="0" shapeId="0" xr:uid="{00000000-0006-0000-0E00-000009000000}">
      <text>
        <r>
          <rPr>
            <b/>
            <sz val="9"/>
            <color indexed="81"/>
            <rFont val="Tahoma"/>
            <family val="2"/>
          </rPr>
          <t>Current = the current year</t>
        </r>
        <r>
          <rPr>
            <sz val="9"/>
            <color indexed="81"/>
            <rFont val="Tahoma"/>
            <family val="2"/>
          </rPr>
          <t xml:space="preserve">
Notes
-This input will effect the consumer price index (CPI), which is another user input in Cell G11.
-The user must independently assess the CPI associated with the current year and input in cell G11.
-Also, the current year input effects the labor rates directly below.
</t>
        </r>
      </text>
    </comment>
    <comment ref="B17" authorId="0" shapeId="0" xr:uid="{00000000-0006-0000-0E00-00000A000000}">
      <text>
        <r>
          <rPr>
            <b/>
            <sz val="9"/>
            <color indexed="81"/>
            <rFont val="Tahoma"/>
            <family val="2"/>
          </rPr>
          <t>This input is a flag
Flag = "C" if the aircraft is a cargo aircraft</t>
        </r>
        <r>
          <rPr>
            <sz val="9"/>
            <color indexed="81"/>
            <rFont val="Tahoma"/>
            <family val="2"/>
          </rPr>
          <t xml:space="preserve">
</t>
        </r>
        <r>
          <rPr>
            <b/>
            <sz val="9"/>
            <color indexed="81"/>
            <rFont val="Tahoma"/>
            <family val="2"/>
          </rPr>
          <t>Flag = "O" for other type of aircraft
Notes
-</t>
        </r>
        <r>
          <rPr>
            <sz val="9"/>
            <color indexed="81"/>
            <rFont val="Tahoma"/>
            <family val="2"/>
          </rPr>
          <t>This input effects the Quality Control Costs
-See Section 12.1.7, page 303
-See Table 12.8, page 304
-If the primary design mission is some form of cargo, then use "C".  Examples of "C" type aircraft include FedEx Airliner, Tanker, Aerial Firefighter, Military Cargo (C-5A Galaxy, C-130 Hercules, etc.).
-All other aircraft types should use "O"</t>
        </r>
      </text>
    </comment>
    <comment ref="B18" authorId="0" shapeId="0" xr:uid="{00000000-0006-0000-0E00-00000B000000}">
      <text>
        <r>
          <rPr>
            <b/>
            <sz val="9"/>
            <color indexed="81"/>
            <rFont val="Tahoma"/>
            <family val="2"/>
          </rPr>
          <t>Engine Flag = Indicator of the type of engine</t>
        </r>
        <r>
          <rPr>
            <sz val="9"/>
            <color indexed="81"/>
            <rFont val="Tahoma"/>
            <family val="2"/>
          </rPr>
          <t xml:space="preserve">
Notes
-Engine Flag must be one of the following three engine types; 
   "TJ" for a turbojet or low bypass turbofan and afterburning engines
   "TF" for a high bypass turbofan
   "TP" for turboprop and reciprocating engines</t>
        </r>
      </text>
    </comment>
    <comment ref="B20" authorId="0" shapeId="0" xr:uid="{00000000-0006-0000-0E00-00000C000000}">
      <text>
        <r>
          <rPr>
            <b/>
            <sz val="9"/>
            <color indexed="81"/>
            <rFont val="Tahoma"/>
            <family val="2"/>
          </rPr>
          <t>Engine Thrust  = the SLS ISA Max design thrust (lbs/eng)</t>
        </r>
        <r>
          <rPr>
            <sz val="9"/>
            <color indexed="81"/>
            <rFont val="Tahoma"/>
            <family val="2"/>
          </rPr>
          <t xml:space="preserve">
Notes;
-This input is only used for the "TJ" and "TF" Engine Flags.
-This input should agree with chapter 2, 3, 7 and 8</t>
        </r>
      </text>
    </comment>
    <comment ref="B21" authorId="0" shapeId="0" xr:uid="{00000000-0006-0000-0E00-00000D000000}">
      <text>
        <r>
          <rPr>
            <b/>
            <sz val="9"/>
            <color indexed="81"/>
            <rFont val="Tahoma"/>
            <family val="2"/>
          </rPr>
          <t xml:space="preserve">Engine Weight = weight of one (1) engine that can produce the necessary power for the design aircraft, (lbs/eng)
Notes
</t>
        </r>
        <r>
          <rPr>
            <sz val="9"/>
            <color indexed="81"/>
            <rFont val="Tahoma"/>
            <family val="2"/>
          </rPr>
          <t xml:space="preserve">-This input is only used for the "TP" Engine Flag.
-This input should agree with chapter 7, 10 and 11
</t>
        </r>
      </text>
    </comment>
    <comment ref="B22" authorId="0" shapeId="0" xr:uid="{00000000-0006-0000-0E00-00000E000000}">
      <text>
        <r>
          <rPr>
            <b/>
            <sz val="9"/>
            <color indexed="81"/>
            <rFont val="Tahoma"/>
            <family val="2"/>
          </rPr>
          <t xml:space="preserve">Engine Weight = weight of one (1) engine that can produce the necessary power for the design aircraft, (lbs/eng)
Notes
</t>
        </r>
        <r>
          <rPr>
            <sz val="9"/>
            <color indexed="81"/>
            <rFont val="Tahoma"/>
            <family val="2"/>
          </rPr>
          <t xml:space="preserve">-This input is only used for the "TP" Engine Flag.
-Engine cost ($/lb) for TP's and Recips cover a wide range…
Options
-Research current sell prices of your competitor engines, then
  assume Cost = Sell Price/1.4
-Use an assumed $/lb (current year $) based on engine class;
    </t>
        </r>
        <r>
          <rPr>
            <u/>
            <sz val="9"/>
            <color indexed="81"/>
            <rFont val="Tahoma"/>
            <family val="2"/>
          </rPr>
          <t>Cert Date</t>
        </r>
        <r>
          <rPr>
            <sz val="9"/>
            <color indexed="81"/>
            <rFont val="Tahoma"/>
            <family val="2"/>
          </rPr>
          <t xml:space="preserve">                      </t>
        </r>
        <r>
          <rPr>
            <u/>
            <sz val="9"/>
            <color indexed="81"/>
            <rFont val="Tahoma"/>
            <family val="2"/>
          </rPr>
          <t>Recips</t>
        </r>
        <r>
          <rPr>
            <sz val="9"/>
            <color indexed="81"/>
            <rFont val="Tahoma"/>
            <family val="2"/>
          </rPr>
          <t xml:space="preserve">          </t>
        </r>
        <r>
          <rPr>
            <u/>
            <sz val="9"/>
            <color indexed="81"/>
            <rFont val="Tahoma"/>
            <family val="2"/>
          </rPr>
          <t>Turboprops</t>
        </r>
        <r>
          <rPr>
            <sz val="9"/>
            <color indexed="81"/>
            <rFont val="Tahoma"/>
            <family val="2"/>
          </rPr>
          <t xml:space="preserve">
     -pre 1980                     25 $/lb          250 $/lb
     -1980 to current            50 $/lb          500 $/lb
     -New                           100 $/lb         1,000 $/lb
Choosing a "New" engine essentially allows one to set the design specific fuel consumption=cp (lbm/hr/shp) to a value 10 to 20% better than current engines AND similarly an engine power-to-weight ratio that is also 10 to 20% better than current engines.</t>
        </r>
      </text>
    </comment>
    <comment ref="B23" authorId="1" shapeId="0" xr:uid="{00000000-0006-0000-0E00-00000F000000}">
      <text>
        <r>
          <rPr>
            <b/>
            <sz val="9"/>
            <color indexed="81"/>
            <rFont val="Tahoma"/>
            <family val="2"/>
          </rPr>
          <t>Profit = Built-in % to ensure a practical business case</t>
        </r>
        <r>
          <rPr>
            <sz val="9"/>
            <color indexed="81"/>
            <rFont val="Tahoma"/>
            <family val="2"/>
          </rPr>
          <t xml:space="preserve">
Notes
-10% is nominal
-20% to 25% may be required for some lenders to be interested.
-Some lenders may go as low as 1% or 2%, if one can show low risk and evidence of solid orders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GE User</author>
    <author>Juliana Geiger</author>
  </authors>
  <commentList>
    <comment ref="I4" authorId="0" shapeId="0" xr:uid="{00000000-0006-0000-0F00-000001000000}">
      <text>
        <r>
          <rPr>
            <b/>
            <sz val="14"/>
            <color indexed="81"/>
            <rFont val="Tahoma"/>
            <family val="2"/>
          </rPr>
          <t>This input is determined after chapter 11</t>
        </r>
        <r>
          <rPr>
            <sz val="14"/>
            <color indexed="81"/>
            <rFont val="Tahoma"/>
            <family val="2"/>
          </rPr>
          <t xml:space="preserve">
-Typical values fall in the 0.3&lt;x/Lfus&lt;0.6 range
-For the Corke text aircraft designs;
   ssbj:   x/Lfus=0.60
   hpka:  x/Lfus = 0.35
   kc42:  x/Lfus = 0.39</t>
        </r>
        <r>
          <rPr>
            <sz val="9"/>
            <color indexed="81"/>
            <rFont val="Tahoma"/>
            <family val="2"/>
          </rPr>
          <t xml:space="preserve">
</t>
        </r>
        <r>
          <rPr>
            <sz val="14"/>
            <color indexed="81"/>
            <rFont val="Tahoma"/>
            <family val="2"/>
          </rPr>
          <t>-Use these as a guide until the Chap 11 analysis is complete.</t>
        </r>
      </text>
    </comment>
    <comment ref="H5" authorId="0" shapeId="0" xr:uid="{00000000-0006-0000-0F00-000002000000}">
      <text>
        <r>
          <rPr>
            <b/>
            <sz val="12"/>
            <color indexed="81"/>
            <rFont val="Tahoma"/>
            <family val="2"/>
          </rPr>
          <t>The Offset will raise a plotted component (m.a.c.'s and/or spans) off of the zero line so it appears on the plots.  This is only to enable the designer to be able to visually see where the compoent lies relative to the other components.</t>
        </r>
        <r>
          <rPr>
            <sz val="9"/>
            <color indexed="81"/>
            <rFont val="Tahoma"/>
            <family val="2"/>
          </rPr>
          <t xml:space="preserve">
</t>
        </r>
      </text>
    </comment>
    <comment ref="H10" authorId="1" shapeId="0" xr:uid="{00000000-0006-0000-0F00-000003000000}">
      <text>
        <r>
          <rPr>
            <b/>
            <sz val="12"/>
            <color indexed="81"/>
            <rFont val="Tahoma"/>
            <family val="2"/>
          </rPr>
          <t>Hvt is the height (ft.) of the vertical stabilizer relative to the fuselage centerline in the Y-Z plane (Front View).  Hvt should be approximately equal to the fuselage radius (relative to the fuselage centerline) at the location where the vertical stabilizer is attached to the fuselage.  Note that the root chord of the vertical stabilizer is parallel to the fuselage centerline and the fuselage contour cannot exceed 12 degrees relative to the fuselage centerline.  Refer to Corke Figure 5.12, page 104.</t>
        </r>
        <r>
          <rPr>
            <sz val="9"/>
            <color indexed="81"/>
            <rFont val="Tahoma"/>
            <family val="2"/>
          </rPr>
          <t xml:space="preserve">
</t>
        </r>
      </text>
    </comment>
    <comment ref="H11" authorId="1" shapeId="0" xr:uid="{00000000-0006-0000-0F00-000004000000}">
      <text>
        <r>
          <rPr>
            <b/>
            <sz val="12"/>
            <color indexed="81"/>
            <rFont val="Tahoma"/>
            <family val="2"/>
          </rPr>
          <t>Hht is the height (ft.) of the horizontal stabilizer relative to the fuselage centerline in the Y-Z plane (Front View).  Refer to Corke Figure 6.8, page 129.</t>
        </r>
        <r>
          <rPr>
            <sz val="9"/>
            <color indexed="81"/>
            <rFont val="Tahoma"/>
            <family val="2"/>
          </rPr>
          <t xml:space="preserve">
</t>
        </r>
      </text>
    </comment>
    <comment ref="H12" authorId="1" shapeId="0" xr:uid="{00000000-0006-0000-0F00-000005000000}">
      <text>
        <r>
          <rPr>
            <b/>
            <sz val="12"/>
            <color indexed="81"/>
            <rFont val="Tahoma"/>
            <family val="2"/>
          </rPr>
          <t>Wht is the offset distance (ft.) of the horizontal stabilizer in the X-Y plane (Top View).  Wht should be set to zero for aft horizontal stabilizers and approximately equal to the fuselage radius for Canards at the location where the Canard is attached to the fuselage.  Refer to Corke Section 6.2.3, pages 123 and 124.</t>
        </r>
        <r>
          <rPr>
            <sz val="9"/>
            <color indexed="81"/>
            <rFont val="Tahoma"/>
            <family val="2"/>
          </rPr>
          <t xml:space="preserve">
</t>
        </r>
      </text>
    </comment>
  </commentList>
</comments>
</file>

<file path=xl/sharedStrings.xml><?xml version="1.0" encoding="utf-8"?>
<sst xmlns="http://schemas.openxmlformats.org/spreadsheetml/2006/main" count="7270" uniqueCount="2805">
  <si>
    <t>Aspect Ratio</t>
  </si>
  <si>
    <t>Fuel Reserve (%)</t>
  </si>
  <si>
    <t>Trapped Fuel (%)</t>
  </si>
  <si>
    <t>Start-up &amp; Takeoff</t>
  </si>
  <si>
    <t>Cruise 1a</t>
  </si>
  <si>
    <t>Cruise 1b</t>
  </si>
  <si>
    <t>Cruise 1c</t>
  </si>
  <si>
    <t>Cruise 1d</t>
  </si>
  <si>
    <t>Cruise 1e</t>
  </si>
  <si>
    <t>Loiter 1a</t>
  </si>
  <si>
    <t>Loiter 1b</t>
  </si>
  <si>
    <t>Loiter 1c</t>
  </si>
  <si>
    <t>Loiter 1d</t>
  </si>
  <si>
    <t>Loiter 1e</t>
  </si>
  <si>
    <t>Combat</t>
  </si>
  <si>
    <t>Drop Expendable Payload</t>
  </si>
  <si>
    <t>Loiter 2a</t>
  </si>
  <si>
    <t>Loiter 2b</t>
  </si>
  <si>
    <t>Loiter 2c</t>
  </si>
  <si>
    <t>Loiter 2d</t>
  </si>
  <si>
    <t>Loiter 2e</t>
  </si>
  <si>
    <t>Cruise 2a</t>
  </si>
  <si>
    <t>Cruise 2b</t>
  </si>
  <si>
    <t>Cruise 2c</t>
  </si>
  <si>
    <t>Cruise 2d</t>
  </si>
  <si>
    <t>Cruise 2e</t>
  </si>
  <si>
    <t>Land and Taxi In</t>
  </si>
  <si>
    <t>Loiter 3a</t>
  </si>
  <si>
    <t>Loiter 3b</t>
  </si>
  <si>
    <t>Loiter 3c</t>
  </si>
  <si>
    <t>Loiter 3d</t>
  </si>
  <si>
    <t>Loiter 3e</t>
  </si>
  <si>
    <t>Pressure</t>
  </si>
  <si>
    <t>Altitude</t>
  </si>
  <si>
    <t>(ft)</t>
  </si>
  <si>
    <t>Mach</t>
  </si>
  <si>
    <t>Number</t>
  </si>
  <si>
    <t>(-)</t>
  </si>
  <si>
    <t>Ambient</t>
  </si>
  <si>
    <t>Temperature</t>
  </si>
  <si>
    <t>(deg C)</t>
  </si>
  <si>
    <t>Density</t>
  </si>
  <si>
    <t>(slugs/ft3)</t>
  </si>
  <si>
    <t>(ft/sec)</t>
  </si>
  <si>
    <t>(nm/hr)</t>
  </si>
  <si>
    <t>Dynamic</t>
  </si>
  <si>
    <t>(lb/ft2)</t>
  </si>
  <si>
    <t>q</t>
  </si>
  <si>
    <t>Vktas</t>
  </si>
  <si>
    <t>V</t>
  </si>
  <si>
    <t>r</t>
  </si>
  <si>
    <t>M</t>
  </si>
  <si>
    <t>h</t>
  </si>
  <si>
    <t>Delta Amb.</t>
  </si>
  <si>
    <t>CL</t>
  </si>
  <si>
    <t>Lift</t>
  </si>
  <si>
    <t>Wing</t>
  </si>
  <si>
    <t>Loading</t>
  </si>
  <si>
    <t>W/S</t>
  </si>
  <si>
    <t>Drag</t>
  </si>
  <si>
    <t>CD</t>
  </si>
  <si>
    <t>L/D</t>
  </si>
  <si>
    <t>Lift-to-Drag</t>
  </si>
  <si>
    <t>Ratio</t>
  </si>
  <si>
    <t>Tamb</t>
  </si>
  <si>
    <t>(degF)</t>
  </si>
  <si>
    <t>SFC</t>
  </si>
  <si>
    <t>ct</t>
  </si>
  <si>
    <t>cp</t>
  </si>
  <si>
    <t>Thrust</t>
  </si>
  <si>
    <t>Power</t>
  </si>
  <si>
    <t>(lb/hr/lb)</t>
  </si>
  <si>
    <t>(lb/hr/shp)</t>
  </si>
  <si>
    <t>Propeller</t>
  </si>
  <si>
    <t>Efficiency</t>
  </si>
  <si>
    <t>Time</t>
  </si>
  <si>
    <t>Fuel</t>
  </si>
  <si>
    <t>T</t>
  </si>
  <si>
    <t>D</t>
  </si>
  <si>
    <t>Distance</t>
  </si>
  <si>
    <t>Leg</t>
  </si>
  <si>
    <t>(min)</t>
  </si>
  <si>
    <t>(lb)</t>
  </si>
  <si>
    <t>(nm)</t>
  </si>
  <si>
    <t>Weight</t>
  </si>
  <si>
    <t>Aircraft</t>
  </si>
  <si>
    <t>Cdo</t>
  </si>
  <si>
    <t xml:space="preserve"> -</t>
  </si>
  <si>
    <t>Item</t>
  </si>
  <si>
    <t>Symbol</t>
  </si>
  <si>
    <t>Units</t>
  </si>
  <si>
    <t>Value</t>
  </si>
  <si>
    <t>Wing Aspect Ratio</t>
  </si>
  <si>
    <t>A</t>
  </si>
  <si>
    <t>e</t>
  </si>
  <si>
    <r>
      <rPr>
        <u/>
        <sz val="10"/>
        <rFont val="Symbol"/>
        <family val="1"/>
        <charset val="2"/>
      </rPr>
      <t>D</t>
    </r>
    <r>
      <rPr>
        <u/>
        <sz val="10"/>
        <rFont val="Arial"/>
        <family val="2"/>
      </rPr>
      <t>Tamb</t>
    </r>
  </si>
  <si>
    <r>
      <t xml:space="preserve">h </t>
    </r>
    <r>
      <rPr>
        <u/>
        <sz val="10"/>
        <rFont val="Arial"/>
        <family val="2"/>
      </rPr>
      <t>prop</t>
    </r>
  </si>
  <si>
    <t>n/a</t>
  </si>
  <si>
    <t>Wf/Wi</t>
  </si>
  <si>
    <t>Fraction</t>
  </si>
  <si>
    <t>Wstart</t>
  </si>
  <si>
    <t>Wend</t>
  </si>
  <si>
    <t>Radius or Range/2</t>
  </si>
  <si>
    <t>R</t>
  </si>
  <si>
    <t>nm</t>
  </si>
  <si>
    <t>min</t>
  </si>
  <si>
    <t>Cumlative</t>
  </si>
  <si>
    <t>Combat Thrust-to-Weight</t>
  </si>
  <si>
    <t>T/W</t>
  </si>
  <si>
    <t>Payload: Expendable</t>
  </si>
  <si>
    <t>Payload: Non-Expendable</t>
  </si>
  <si>
    <t>Endurance1</t>
  </si>
  <si>
    <t>Endurance2</t>
  </si>
  <si>
    <t>Endurance3</t>
  </si>
  <si>
    <t>E1</t>
  </si>
  <si>
    <t>E2</t>
  </si>
  <si>
    <t>E3</t>
  </si>
  <si>
    <t>Fres</t>
  </si>
  <si>
    <t>Ftrap</t>
  </si>
  <si>
    <t>Empty Weight Fraction FLAG</t>
  </si>
  <si>
    <t>We/Wo</t>
  </si>
  <si>
    <t>Empty Weight Fraction or Structure Factor</t>
  </si>
  <si>
    <t>Mission Analysis Summary</t>
  </si>
  <si>
    <t>(W/Wo)</t>
  </si>
  <si>
    <t>Weights</t>
  </si>
  <si>
    <t>Empty Weight (lb)</t>
  </si>
  <si>
    <t>We</t>
  </si>
  <si>
    <t>Payload (lb)</t>
  </si>
  <si>
    <t>Wp</t>
  </si>
  <si>
    <t xml:space="preserve"> -Expendable</t>
  </si>
  <si>
    <t>Wpe</t>
  </si>
  <si>
    <t xml:space="preserve"> -Non-expendable</t>
  </si>
  <si>
    <t>Wpne</t>
  </si>
  <si>
    <t xml:space="preserve"> -Mission Fuel Burned</t>
  </si>
  <si>
    <t>Wfb</t>
  </si>
  <si>
    <t xml:space="preserve"> -Reserves Fuel</t>
  </si>
  <si>
    <t>Wr</t>
  </si>
  <si>
    <t xml:space="preserve"> -Trapped Fuel</t>
  </si>
  <si>
    <t>Wtf</t>
  </si>
  <si>
    <t>Design Takeoff Gross Weight (lb)</t>
  </si>
  <si>
    <t>Wo</t>
  </si>
  <si>
    <t>1 to 12</t>
  </si>
  <si>
    <t>Coefficient</t>
  </si>
  <si>
    <t>Parasite</t>
  </si>
  <si>
    <t>Oswald's</t>
  </si>
  <si>
    <t>Factor</t>
  </si>
  <si>
    <t>Total</t>
  </si>
  <si>
    <t>L/D Calculation FLAG</t>
  </si>
  <si>
    <t>1 or 2</t>
  </si>
  <si>
    <t>Empty Weight Fraction (Option 12 only)</t>
  </si>
  <si>
    <t>Mission Segment</t>
  </si>
  <si>
    <t>ERROR = Wo,calc - Wo,guess</t>
  </si>
  <si>
    <t>S</t>
  </si>
  <si>
    <t xml:space="preserve">Segment Time, Fuel and Distance </t>
  </si>
  <si>
    <t>Cruise1</t>
  </si>
  <si>
    <t>Loiter 1</t>
  </si>
  <si>
    <t>Drop</t>
  </si>
  <si>
    <t>Loiter2</t>
  </si>
  <si>
    <t>Climb+Accel2</t>
  </si>
  <si>
    <t>Climb+Accel1</t>
  </si>
  <si>
    <t>Climb+Accel3</t>
  </si>
  <si>
    <t>Cruise2</t>
  </si>
  <si>
    <t>Loiter3</t>
  </si>
  <si>
    <t>a.c.</t>
  </si>
  <si>
    <t>c</t>
  </si>
  <si>
    <t>deg</t>
  </si>
  <si>
    <t>rle</t>
  </si>
  <si>
    <t>Airfoil Data</t>
  </si>
  <si>
    <t>Lift curve slope</t>
  </si>
  <si>
    <r>
      <t>Cl</t>
    </r>
    <r>
      <rPr>
        <sz val="10"/>
        <rFont val="Symbol"/>
        <family val="1"/>
        <charset val="2"/>
      </rPr>
      <t>a</t>
    </r>
  </si>
  <si>
    <t>Aerodynamic Center</t>
  </si>
  <si>
    <t>Airfoil designation</t>
  </si>
  <si>
    <t>Location of aerodynamic center (%chord)</t>
  </si>
  <si>
    <t>Zero-lift angle of attack</t>
  </si>
  <si>
    <r>
      <rPr>
        <sz val="10"/>
        <rFont val="Symbol"/>
        <family val="1"/>
        <charset val="2"/>
      </rPr>
      <t>a</t>
    </r>
    <r>
      <rPr>
        <vertAlign val="subscript"/>
        <sz val="10"/>
        <rFont val="Arial"/>
        <family val="2"/>
      </rPr>
      <t>oL</t>
    </r>
  </si>
  <si>
    <t>Base (minimum) drag coefficient</t>
  </si>
  <si>
    <t>Leading-edge radius (%chord)</t>
  </si>
  <si>
    <t>Extent of the drag bucket (+/-)</t>
  </si>
  <si>
    <t>dCL</t>
  </si>
  <si>
    <t>Location of max thickness</t>
  </si>
  <si>
    <t>(x/c) @ (t/c)max</t>
  </si>
  <si>
    <t>(t/c)max</t>
  </si>
  <si>
    <t>l</t>
  </si>
  <si>
    <t>Wing Design Parameters</t>
  </si>
  <si>
    <t>Taper Ratio</t>
  </si>
  <si>
    <t>Sweep Angle</t>
  </si>
  <si>
    <t>Max thickness-to-chord ratio</t>
  </si>
  <si>
    <r>
      <t>L</t>
    </r>
    <r>
      <rPr>
        <vertAlign val="subscript"/>
        <sz val="10"/>
        <rFont val="Symbol"/>
        <family val="1"/>
        <charset val="2"/>
      </rPr>
      <t>LE</t>
    </r>
  </si>
  <si>
    <t>ft</t>
  </si>
  <si>
    <t>b</t>
  </si>
  <si>
    <t>x/c</t>
  </si>
  <si>
    <t>k</t>
  </si>
  <si>
    <t>Cf</t>
  </si>
  <si>
    <t>F</t>
  </si>
  <si>
    <t>Plotting:</t>
  </si>
  <si>
    <t>Spanwise View</t>
  </si>
  <si>
    <t>x</t>
  </si>
  <si>
    <t>y</t>
  </si>
  <si>
    <t xml:space="preserve">Lift Curves </t>
  </si>
  <si>
    <t>a</t>
  </si>
  <si>
    <t>Cl (2D)</t>
  </si>
  <si>
    <t>CL (3D)</t>
  </si>
  <si>
    <t>Interference Factor</t>
  </si>
  <si>
    <t>Qwing</t>
  </si>
  <si>
    <t>Span</t>
  </si>
  <si>
    <t>Root Chord</t>
  </si>
  <si>
    <t>Tip Chord</t>
  </si>
  <si>
    <t>Reference Area (trapezoidal)</t>
  </si>
  <si>
    <t>Wing Geometry</t>
  </si>
  <si>
    <t>Leading Edge</t>
  </si>
  <si>
    <t>0.25*Chord</t>
  </si>
  <si>
    <t>Trailing Edge</t>
  </si>
  <si>
    <t>Viscosity</t>
  </si>
  <si>
    <t>Kinematic</t>
  </si>
  <si>
    <t>n</t>
  </si>
  <si>
    <t>Air</t>
  </si>
  <si>
    <t>(ft2/sec)</t>
  </si>
  <si>
    <t>(slugs/ft*sec)</t>
  </si>
  <si>
    <r>
      <t>m</t>
    </r>
    <r>
      <rPr>
        <u/>
        <sz val="10"/>
        <rFont val="Arial"/>
        <family val="2"/>
      </rPr>
      <t xml:space="preserve">  </t>
    </r>
  </si>
  <si>
    <t>cr</t>
  </si>
  <si>
    <t>cbar</t>
  </si>
  <si>
    <t>ft2</t>
  </si>
  <si>
    <t xml:space="preserve">ft </t>
  </si>
  <si>
    <t>Mean Aerodynamic Chord</t>
  </si>
  <si>
    <t>Sweep Angles (deg)</t>
  </si>
  <si>
    <t>Effective</t>
  </si>
  <si>
    <t>Meff</t>
  </si>
  <si>
    <t>Beta</t>
  </si>
  <si>
    <t>3D Lift</t>
  </si>
  <si>
    <t>Curve</t>
  </si>
  <si>
    <t>Slope</t>
  </si>
  <si>
    <t>(1/deg)</t>
  </si>
  <si>
    <r>
      <t>dCL/d</t>
    </r>
    <r>
      <rPr>
        <u/>
        <sz val="10"/>
        <rFont val="Symbol"/>
        <family val="1"/>
        <charset val="2"/>
      </rPr>
      <t>a</t>
    </r>
  </si>
  <si>
    <t>Speed</t>
  </si>
  <si>
    <t>Veff</t>
  </si>
  <si>
    <t>Flight</t>
  </si>
  <si>
    <t>qeff</t>
  </si>
  <si>
    <t>ME 408 - Aircraft Performance and Design</t>
  </si>
  <si>
    <t>Reference:  "Design of Aircraft", Corke, Thomas C.</t>
  </si>
  <si>
    <t>Reynolds</t>
  </si>
  <si>
    <t>RE</t>
  </si>
  <si>
    <t>Skin</t>
  </si>
  <si>
    <t>Friction</t>
  </si>
  <si>
    <t>Wetted surface area</t>
  </si>
  <si>
    <t>Swet</t>
  </si>
  <si>
    <t>Form</t>
  </si>
  <si>
    <t>Trim</t>
  </si>
  <si>
    <t>Angle-of</t>
  </si>
  <si>
    <t>Attack</t>
  </si>
  <si>
    <t>(deg)</t>
  </si>
  <si>
    <r>
      <t xml:space="preserve"> @ </t>
    </r>
    <r>
      <rPr>
        <sz val="10"/>
        <rFont val="Symbol"/>
        <family val="1"/>
        <charset val="2"/>
      </rPr>
      <t>a</t>
    </r>
    <r>
      <rPr>
        <sz val="10"/>
        <rFont val="Arial"/>
        <family val="2"/>
      </rPr>
      <t>=0</t>
    </r>
  </si>
  <si>
    <t>Induced</t>
  </si>
  <si>
    <r>
      <t>C</t>
    </r>
    <r>
      <rPr>
        <u/>
        <vertAlign val="subscript"/>
        <sz val="10"/>
        <rFont val="Arial"/>
        <family val="2"/>
      </rPr>
      <t>Lo</t>
    </r>
  </si>
  <si>
    <r>
      <rPr>
        <u/>
        <sz val="10"/>
        <rFont val="Symbol"/>
        <family val="1"/>
        <charset val="2"/>
      </rPr>
      <t>a</t>
    </r>
    <r>
      <rPr>
        <u/>
        <vertAlign val="subscript"/>
        <sz val="10"/>
        <rFont val="Arial"/>
        <family val="2"/>
      </rPr>
      <t>trim</t>
    </r>
  </si>
  <si>
    <t>Cdi,w</t>
  </si>
  <si>
    <t>Dwing</t>
  </si>
  <si>
    <t>Start of Segment</t>
  </si>
  <si>
    <t>End of Segment</t>
  </si>
  <si>
    <t>Loiter1</t>
  </si>
  <si>
    <t>Chapter 2 - Preliminary Estimate of Take-off Weight</t>
  </si>
  <si>
    <t>Chapter 3 - Wing Loading Selection</t>
  </si>
  <si>
    <t>Chapter 4 - Main Wing Design</t>
  </si>
  <si>
    <t>Table 5.1</t>
  </si>
  <si>
    <t>Height</t>
  </si>
  <si>
    <t>Width</t>
  </si>
  <si>
    <t>Dimension Data:</t>
  </si>
  <si>
    <t>Max Diameter</t>
  </si>
  <si>
    <t>d</t>
  </si>
  <si>
    <t>Inverse Fineness Ratio</t>
  </si>
  <si>
    <t>l/d</t>
  </si>
  <si>
    <t>Fineness Ratio</t>
  </si>
  <si>
    <t>f=d/l</t>
  </si>
  <si>
    <t>Nose/Total Length</t>
  </si>
  <si>
    <t>(x/L)nose</t>
  </si>
  <si>
    <t>Tail/Total Length</t>
  </si>
  <si>
    <t>(x/L)tail</t>
  </si>
  <si>
    <t>Power Series Factor</t>
  </si>
  <si>
    <t>Total Fuselage Length</t>
  </si>
  <si>
    <t>Max Cross-Sectional Area</t>
  </si>
  <si>
    <t>Amax</t>
  </si>
  <si>
    <t>Length of Nose Section</t>
  </si>
  <si>
    <t>l,nose</t>
  </si>
  <si>
    <t>Length of Tail Section</t>
  </si>
  <si>
    <t>l,tail</t>
  </si>
  <si>
    <t>Length for Wave Drag Calc.</t>
  </si>
  <si>
    <t>l,wave</t>
  </si>
  <si>
    <t>Form Factor</t>
  </si>
  <si>
    <t>Q</t>
  </si>
  <si>
    <t>Volume</t>
  </si>
  <si>
    <t>P (ft)</t>
  </si>
  <si>
    <t>x-L/4 (ft)</t>
  </si>
  <si>
    <t>x-L/2 (ft)</t>
  </si>
  <si>
    <t>x/Lc</t>
  </si>
  <si>
    <t>w</t>
  </si>
  <si>
    <t>Wing Design Summary</t>
  </si>
  <si>
    <t>Segment</t>
  </si>
  <si>
    <t>Totals</t>
  </si>
  <si>
    <t>x/Lfus</t>
  </si>
  <si>
    <t>x/Lfus:</t>
  </si>
  <si>
    <t>Roughness Height</t>
  </si>
  <si>
    <r>
      <t>(10</t>
    </r>
    <r>
      <rPr>
        <vertAlign val="superscript"/>
        <sz val="10"/>
        <rFont val="Arial"/>
        <family val="2"/>
      </rPr>
      <t>-5</t>
    </r>
    <r>
      <rPr>
        <sz val="10"/>
        <rFont val="Arial"/>
        <family val="2"/>
      </rPr>
      <t xml:space="preserve"> ft)</t>
    </r>
  </si>
  <si>
    <t>Drag1</t>
  </si>
  <si>
    <t>Drag2</t>
  </si>
  <si>
    <t>Drag3</t>
  </si>
  <si>
    <t>Drag4</t>
  </si>
  <si>
    <t>Drag5</t>
  </si>
  <si>
    <t>Drag6</t>
  </si>
  <si>
    <t>Drag7</t>
  </si>
  <si>
    <t>Drag8</t>
  </si>
  <si>
    <t>Drag9</t>
  </si>
  <si>
    <t>Drag10</t>
  </si>
  <si>
    <t>Axial</t>
  </si>
  <si>
    <t>Location</t>
  </si>
  <si>
    <t>Free Form</t>
  </si>
  <si>
    <t>Fuselage</t>
  </si>
  <si>
    <t>Fuselage Reference Lengths</t>
  </si>
  <si>
    <t>Length</t>
  </si>
  <si>
    <t>Average</t>
  </si>
  <si>
    <t>Diameter</t>
  </si>
  <si>
    <t>Perimeter</t>
  </si>
  <si>
    <t>Wetted</t>
  </si>
  <si>
    <t>Area</t>
  </si>
  <si>
    <t>(ft2)</t>
  </si>
  <si>
    <t>(ft3)</t>
  </si>
  <si>
    <t>Vertical</t>
  </si>
  <si>
    <t>Centerline</t>
  </si>
  <si>
    <t>from</t>
  </si>
  <si>
    <t>y+</t>
  </si>
  <si>
    <t>y-</t>
  </si>
  <si>
    <t>Spanwise</t>
  </si>
  <si>
    <t>z+</t>
  </si>
  <si>
    <t>z-</t>
  </si>
  <si>
    <r>
      <t>Re</t>
    </r>
    <r>
      <rPr>
        <u/>
        <vertAlign val="subscript"/>
        <sz val="10"/>
        <rFont val="Arial"/>
        <family val="2"/>
      </rPr>
      <t>x</t>
    </r>
  </si>
  <si>
    <t>Type FLAG</t>
  </si>
  <si>
    <t>Total Wetted Area</t>
  </si>
  <si>
    <t>Total Volume</t>
  </si>
  <si>
    <t>ft3</t>
  </si>
  <si>
    <t>Lfus</t>
  </si>
  <si>
    <t>Fuselage Type</t>
  </si>
  <si>
    <t>Fuselage Volume Summary</t>
  </si>
  <si>
    <t>1 Passenger Accommodation</t>
  </si>
  <si>
    <t>2 Crew Accommodation</t>
  </si>
  <si>
    <t>3 Fuel Stored in Fuselage</t>
  </si>
  <si>
    <t>4 Internal Engines and Air Inlets</t>
  </si>
  <si>
    <t>5 Wing Attachments</t>
  </si>
  <si>
    <t>6a Nose Landing Gear</t>
  </si>
  <si>
    <t>6b Main Landing Gear</t>
  </si>
  <si>
    <t>7 Armament</t>
  </si>
  <si>
    <t>1rst</t>
  </si>
  <si>
    <t>1) Passenger Accommodation</t>
  </si>
  <si>
    <t>Class</t>
  </si>
  <si>
    <t>Coach</t>
  </si>
  <si>
    <t>Comments</t>
  </si>
  <si>
    <t>Corke Table 5.1 - Passenger</t>
  </si>
  <si>
    <t>Long</t>
  </si>
  <si>
    <t>Short</t>
  </si>
  <si>
    <t>Compartment Requirements</t>
  </si>
  <si>
    <t>Range</t>
  </si>
  <si>
    <t>Seat Width</t>
  </si>
  <si>
    <t>in.</t>
  </si>
  <si>
    <t>17-28</t>
  </si>
  <si>
    <t>16-18</t>
  </si>
  <si>
    <t>Seat Pitch</t>
  </si>
  <si>
    <t>34-40</t>
  </si>
  <si>
    <t>30-32</t>
  </si>
  <si>
    <t>Headroom</t>
  </si>
  <si>
    <t>&gt;65</t>
  </si>
  <si>
    <t># of Aisles</t>
  </si>
  <si>
    <t>Aisle Width</t>
  </si>
  <si>
    <t>20-28</t>
  </si>
  <si>
    <t>&gt;15</t>
  </si>
  <si>
    <t>Aisle Height</t>
  </si>
  <si>
    <t>&gt;76</t>
  </si>
  <si>
    <t>&gt;60</t>
  </si>
  <si>
    <t>Cabin Density</t>
  </si>
  <si>
    <t>seats/cabin</t>
  </si>
  <si>
    <t xml:space="preserve"> 10-36</t>
  </si>
  <si>
    <t>≤50</t>
  </si>
  <si>
    <t>Lavatorie Density</t>
  </si>
  <si>
    <t>seats/lav</t>
  </si>
  <si>
    <t xml:space="preserve"> 10-20</t>
  </si>
  <si>
    <t>40-50</t>
  </si>
  <si>
    <t>Galley Volume</t>
  </si>
  <si>
    <t>ft3/seat</t>
  </si>
  <si>
    <t xml:space="preserve"> 1-8</t>
  </si>
  <si>
    <t>0-1</t>
  </si>
  <si>
    <t>Baggage in Hold</t>
  </si>
  <si>
    <t>15-25</t>
  </si>
  <si>
    <t>Baggage in Overhead</t>
  </si>
  <si>
    <t># of required lavatories</t>
  </si>
  <si>
    <t># of seat rows</t>
  </si>
  <si>
    <t>Cabin length</t>
  </si>
  <si>
    <t>Cabin Inside Width</t>
  </si>
  <si>
    <t>Fuselage Wall Thickness</t>
  </si>
  <si>
    <t>standard assumption</t>
  </si>
  <si>
    <t>Fuselage Max Diameter (assumes circular cross section)</t>
  </si>
  <si>
    <t>Seat volume per pax</t>
  </si>
  <si>
    <t>ft3/pax</t>
  </si>
  <si>
    <t>Lavatorie volume per pax</t>
  </si>
  <si>
    <t>Seat Volume</t>
  </si>
  <si>
    <t>ft3/cabin</t>
  </si>
  <si>
    <t>Aisle Volume</t>
  </si>
  <si>
    <t>Overhead baggage Volume</t>
  </si>
  <si>
    <t>Cargo Hold Volume</t>
  </si>
  <si>
    <t>Lavatorie Volume</t>
  </si>
  <si>
    <t>2) Crew Accommodation</t>
  </si>
  <si>
    <t>Corke Table 5.8</t>
  </si>
  <si>
    <t># of crew members</t>
  </si>
  <si>
    <t>Over-nose and Over-side Angles (Degrees)</t>
  </si>
  <si>
    <t>Landing approach angle, deg</t>
  </si>
  <si>
    <t>per chapter 8</t>
  </si>
  <si>
    <t>Over-nose</t>
  </si>
  <si>
    <t>Over-side</t>
  </si>
  <si>
    <t>Stall Speed, nm/hr</t>
  </si>
  <si>
    <t>nm/hr</t>
  </si>
  <si>
    <t>per chapter 3</t>
  </si>
  <si>
    <t>Military Transports/Bombers</t>
  </si>
  <si>
    <t>Crew compartment length</t>
  </si>
  <si>
    <t>Military Fighter</t>
  </si>
  <si>
    <t xml:space="preserve"> 11-15</t>
  </si>
  <si>
    <t>General Aviation</t>
  </si>
  <si>
    <t xml:space="preserve"> 5-10</t>
  </si>
  <si>
    <t>Average Width</t>
  </si>
  <si>
    <t>Commercial Transport</t>
  </si>
  <si>
    <t xml:space="preserve"> 11-20</t>
  </si>
  <si>
    <t>Crew compartment volume</t>
  </si>
  <si>
    <t>Over-nose angle</t>
  </si>
  <si>
    <t>Over-side angle</t>
  </si>
  <si>
    <t>per table 5.8</t>
  </si>
  <si>
    <t>Crew Compartment Length + Passenger Cabin Length</t>
  </si>
  <si>
    <t>3) Fuel Storage</t>
  </si>
  <si>
    <t>Corke Table 5.9</t>
  </si>
  <si>
    <t>Fuel Specific Volume</t>
  </si>
  <si>
    <t>ft3/lb</t>
  </si>
  <si>
    <t>Aviation Fuel Specific Volumes, Ft3/lb</t>
  </si>
  <si>
    <t>Design Max Fuel Load</t>
  </si>
  <si>
    <t>lb</t>
  </si>
  <si>
    <t>per Chapter 2</t>
  </si>
  <si>
    <t>0 degF</t>
  </si>
  <si>
    <t>100 degF</t>
  </si>
  <si>
    <t>Mil-Spec</t>
  </si>
  <si>
    <t>Total Required Fuel Volume</t>
  </si>
  <si>
    <t>AV-gas</t>
  </si>
  <si>
    <t>Design Main Wing Thickness-to-Chord Ratio, root</t>
  </si>
  <si>
    <t>per Chapter 4</t>
  </si>
  <si>
    <t>JP-4</t>
  </si>
  <si>
    <t>Design Main Wing Thickness-to-Chord Ratio, tip</t>
  </si>
  <si>
    <t>JP-5</t>
  </si>
  <si>
    <t>Design Main Wing Chord, root</t>
  </si>
  <si>
    <t>JP-8</t>
  </si>
  <si>
    <t>Design Main Wing Chord, tip</t>
  </si>
  <si>
    <t>Wing Span</t>
  </si>
  <si>
    <t>Airfoil Cross Sectional Area Factor</t>
  </si>
  <si>
    <t>middle of suggested range</t>
  </si>
  <si>
    <t>Wing Span Factor</t>
  </si>
  <si>
    <t>low end of suggested range</t>
  </si>
  <si>
    <t>Total Wing Cavity Volume</t>
  </si>
  <si>
    <t>delta wings, not good for fuel storage</t>
  </si>
  <si>
    <t>Type of Fuel Tanks (1=discrete, 2=bladder, 3=integral)</t>
  </si>
  <si>
    <t>discrete tanks, best for volume</t>
  </si>
  <si>
    <t>Fuel Volume Capacity Factor in Wing</t>
  </si>
  <si>
    <t>discrete tanks</t>
  </si>
  <si>
    <t>Available Fuel Volume for Fuel in Wing</t>
  </si>
  <si>
    <t>% of Fuel Load that could be housed in Wing</t>
  </si>
  <si>
    <t>Actual % of Fuel Load housed in Wing</t>
  </si>
  <si>
    <t>Must be less that cell above</t>
  </si>
  <si>
    <t>% of Fuel Load to be housed in Fuselage</t>
  </si>
  <si>
    <t>Fuselage Fuel Load</t>
  </si>
  <si>
    <t>Required Fuel Volume in Fuselage</t>
  </si>
  <si>
    <t>Fuel Volume Capacity Factor in Fuselage</t>
  </si>
  <si>
    <t>Required Fuel Volume for Fuel</t>
  </si>
  <si>
    <t>% of Fuselage Cross Section used for fuel</t>
  </si>
  <si>
    <t>Middle of range</t>
  </si>
  <si>
    <t>Axial length of Fuselage Fuel Tanks</t>
  </si>
  <si>
    <t>4) Internal Engines and Air Inlets</t>
  </si>
  <si>
    <t>Number of Engines housed in Fuselage</t>
  </si>
  <si>
    <t>Max Engine Diameter</t>
  </si>
  <si>
    <t>Chapter 7</t>
  </si>
  <si>
    <t>Engine Length</t>
  </si>
  <si>
    <t>Engine Volume Factor</t>
  </si>
  <si>
    <t>Air Inlet Length / Engine Length</t>
  </si>
  <si>
    <t>Single engine front mount</t>
  </si>
  <si>
    <t>Required Engine Volume</t>
  </si>
  <si>
    <t>5) Wing Attachments</t>
  </si>
  <si>
    <t>Main Wing Root Chord, cr</t>
  </si>
  <si>
    <t>Per chapter 4</t>
  </si>
  <si>
    <t>Main Wing Root Max Thickness-to-Chord Ratio</t>
  </si>
  <si>
    <t>Fuselage Width</t>
  </si>
  <si>
    <t>per calculation above (Pax Accommodation)</t>
  </si>
  <si>
    <t>Wing Carry-through Volume</t>
  </si>
  <si>
    <t>6) Landing Gear</t>
  </si>
  <si>
    <t>Corke Table 5.10</t>
  </si>
  <si>
    <t>Type of Main Landing Gear</t>
  </si>
  <si>
    <t>Figure 5.8</t>
  </si>
  <si>
    <t>Main Landing Gear Wheel Sizing</t>
  </si>
  <si>
    <t># of Wheels per Bogey</t>
  </si>
  <si>
    <t># of Main Landing Gear Bogeys</t>
  </si>
  <si>
    <t># of axial wheel stations per Bogey</t>
  </si>
  <si>
    <t>B</t>
  </si>
  <si>
    <t>Main Wheel Diameter Coefficient</t>
  </si>
  <si>
    <t>Table 5.10</t>
  </si>
  <si>
    <t>Main Wheel Width Coefficient</t>
  </si>
  <si>
    <t>Business Twin Jet</t>
  </si>
  <si>
    <t>Main Wheel Diameter Exponent</t>
  </si>
  <si>
    <t>Transport/Bomber</t>
  </si>
  <si>
    <t>Main Wheel Width Exponent</t>
  </si>
  <si>
    <t>Jet Fighter / Trainer</t>
  </si>
  <si>
    <t>Design Gross Weight</t>
  </si>
  <si>
    <t>lbs</t>
  </si>
  <si>
    <t>per chapter 2</t>
  </si>
  <si>
    <t>Weight on each Wheel</t>
  </si>
  <si>
    <t>Main Wheel Diameter</t>
  </si>
  <si>
    <t>in</t>
  </si>
  <si>
    <t>Main Wheel Width</t>
  </si>
  <si>
    <t>Nose Wheel Diameter</t>
  </si>
  <si>
    <t>Nose Wheel Width</t>
  </si>
  <si>
    <t>Landing Gear Volume Capacity Factor</t>
  </si>
  <si>
    <t>assumption</t>
  </si>
  <si>
    <t>Main Landing Gear Wheel Volume</t>
  </si>
  <si>
    <t>Nose Landing Gear Wheel Volume</t>
  </si>
  <si>
    <t>% of Main Landing Gear retracted into Fuselage</t>
  </si>
  <si>
    <t>Volume Required for Nose Landing Gear in Fuselage</t>
  </si>
  <si>
    <t>Volume Required for Main Landing Gear in Fuselage</t>
  </si>
  <si>
    <t>Agrees with chapter 8 value (by chance)</t>
  </si>
  <si>
    <t>Frontal Area</t>
  </si>
  <si>
    <t>Strut Length / Tire Diameter</t>
  </si>
  <si>
    <t>Axial Length of Nose Gear</t>
  </si>
  <si>
    <t>Axial Length of Main Gear</t>
  </si>
  <si>
    <t>7) Armament (See "Armament" worksheet)</t>
  </si>
  <si>
    <t>Include Armament Volume from worksheet "5-Vol2"?  (1=Yes, 0=No)</t>
  </si>
  <si>
    <t>Total Volume required</t>
  </si>
  <si>
    <t>Check for Tab 5.8 compliance</t>
  </si>
  <si>
    <t>Reconcile with Aero Calcs, should be within +/-5%</t>
  </si>
  <si>
    <t>Use Corke Table 5.9</t>
  </si>
  <si>
    <t>Inside Cabin Diameter (assumes a circular cross section)</t>
  </si>
  <si>
    <t>Cabin width at floor</t>
  </si>
  <si>
    <t>Flag</t>
  </si>
  <si>
    <t>Chapter 6 - Horizontal and Vertical Tail Design</t>
  </si>
  <si>
    <t>Horizontal</t>
  </si>
  <si>
    <t>Stabilizer</t>
  </si>
  <si>
    <r>
      <t>Q</t>
    </r>
    <r>
      <rPr>
        <vertAlign val="subscript"/>
        <sz val="10"/>
        <rFont val="Arial"/>
        <family val="2"/>
      </rPr>
      <t>HT</t>
    </r>
    <r>
      <rPr>
        <sz val="10"/>
        <rFont val="Arial"/>
        <family val="2"/>
      </rPr>
      <t xml:space="preserve"> &amp; Q</t>
    </r>
    <r>
      <rPr>
        <vertAlign val="subscript"/>
        <sz val="10"/>
        <rFont val="Arial"/>
        <family val="2"/>
      </rPr>
      <t>VT</t>
    </r>
  </si>
  <si>
    <r>
      <t>A</t>
    </r>
    <r>
      <rPr>
        <vertAlign val="subscript"/>
        <sz val="10"/>
        <rFont val="Arial"/>
        <family val="2"/>
      </rPr>
      <t>HT &amp;</t>
    </r>
    <r>
      <rPr>
        <sz val="10"/>
        <rFont val="Arial"/>
        <family val="2"/>
      </rPr>
      <t xml:space="preserve"> A</t>
    </r>
    <r>
      <rPr>
        <vertAlign val="subscript"/>
        <sz val="10"/>
        <rFont val="Arial"/>
        <family val="2"/>
      </rPr>
      <t>VT</t>
    </r>
  </si>
  <si>
    <t>Sizing Coefficient</t>
  </si>
  <si>
    <r>
      <t>Scaling Coeff. = C</t>
    </r>
    <r>
      <rPr>
        <vertAlign val="subscript"/>
        <sz val="10"/>
        <rFont val="Arial"/>
        <family val="2"/>
      </rPr>
      <t>HT/</t>
    </r>
    <r>
      <rPr>
        <sz val="10"/>
        <rFont val="Arial"/>
        <family val="2"/>
      </rPr>
      <t>C</t>
    </r>
    <r>
      <rPr>
        <vertAlign val="subscript"/>
        <sz val="10"/>
        <rFont val="Arial"/>
        <family val="2"/>
      </rPr>
      <t>HT</t>
    </r>
    <r>
      <rPr>
        <sz val="10"/>
        <rFont val="Arial"/>
        <family val="2"/>
      </rPr>
      <t>,</t>
    </r>
    <r>
      <rPr>
        <vertAlign val="subscript"/>
        <sz val="10"/>
        <rFont val="Arial"/>
        <family val="2"/>
      </rPr>
      <t xml:space="preserve">conv </t>
    </r>
    <r>
      <rPr>
        <sz val="10"/>
        <rFont val="Arial"/>
        <family val="2"/>
      </rPr>
      <t>&amp; C</t>
    </r>
    <r>
      <rPr>
        <vertAlign val="subscript"/>
        <sz val="10"/>
        <rFont val="Arial"/>
        <family val="2"/>
      </rPr>
      <t>VT/</t>
    </r>
    <r>
      <rPr>
        <sz val="10"/>
        <rFont val="Arial"/>
        <family val="2"/>
      </rPr>
      <t>C</t>
    </r>
    <r>
      <rPr>
        <vertAlign val="subscript"/>
        <sz val="10"/>
        <rFont val="Arial"/>
        <family val="2"/>
      </rPr>
      <t>VT,conv</t>
    </r>
  </si>
  <si>
    <t>Stabilizer Geometry</t>
  </si>
  <si>
    <t>Design Parameters</t>
  </si>
  <si>
    <t>Emmpenage Summary</t>
  </si>
  <si>
    <r>
      <t>C</t>
    </r>
    <r>
      <rPr>
        <vertAlign val="subscript"/>
        <sz val="10"/>
        <rFont val="Arial"/>
        <family val="2"/>
      </rPr>
      <t>C</t>
    </r>
    <r>
      <rPr>
        <sz val="10"/>
        <rFont val="Arial"/>
        <family val="2"/>
      </rPr>
      <t>, C</t>
    </r>
    <r>
      <rPr>
        <vertAlign val="subscript"/>
        <sz val="10"/>
        <rFont val="Arial"/>
        <family val="2"/>
      </rPr>
      <t xml:space="preserve">HT </t>
    </r>
    <r>
      <rPr>
        <sz val="10"/>
        <rFont val="Arial"/>
        <family val="2"/>
      </rPr>
      <t>or C</t>
    </r>
    <r>
      <rPr>
        <vertAlign val="subscript"/>
        <sz val="10"/>
        <rFont val="Arial"/>
        <family val="2"/>
      </rPr>
      <t>VT</t>
    </r>
  </si>
  <si>
    <r>
      <t>Moment Arm = L</t>
    </r>
    <r>
      <rPr>
        <vertAlign val="subscript"/>
        <sz val="10"/>
        <rFont val="Arial"/>
        <family val="2"/>
      </rPr>
      <t>C</t>
    </r>
    <r>
      <rPr>
        <sz val="10"/>
        <rFont val="Arial"/>
        <family val="2"/>
      </rPr>
      <t>, L</t>
    </r>
    <r>
      <rPr>
        <vertAlign val="subscript"/>
        <sz val="10"/>
        <rFont val="Arial"/>
        <family val="2"/>
      </rPr>
      <t>HT/</t>
    </r>
    <r>
      <rPr>
        <sz val="10"/>
        <rFont val="Arial"/>
        <family val="2"/>
      </rPr>
      <t>L</t>
    </r>
    <r>
      <rPr>
        <vertAlign val="subscript"/>
        <sz val="10"/>
        <rFont val="Arial"/>
        <family val="2"/>
      </rPr>
      <t xml:space="preserve">fus </t>
    </r>
    <r>
      <rPr>
        <sz val="10"/>
        <rFont val="Arial"/>
        <family val="2"/>
      </rPr>
      <t>or L</t>
    </r>
    <r>
      <rPr>
        <vertAlign val="subscript"/>
        <sz val="10"/>
        <rFont val="Arial"/>
        <family val="2"/>
      </rPr>
      <t>VT/</t>
    </r>
    <r>
      <rPr>
        <sz val="10"/>
        <rFont val="Arial"/>
        <family val="2"/>
      </rPr>
      <t>L</t>
    </r>
    <r>
      <rPr>
        <vertAlign val="subscript"/>
        <sz val="10"/>
        <rFont val="Arial"/>
        <family val="2"/>
      </rPr>
      <t>fus</t>
    </r>
  </si>
  <si>
    <t>H-Stab</t>
  </si>
  <si>
    <t>V-Stab</t>
  </si>
  <si>
    <t>Cl,max</t>
  </si>
  <si>
    <t>Max Lift Coefficient (2D airfoil value)</t>
  </si>
  <si>
    <t>Re</t>
  </si>
  <si>
    <r>
      <t>L</t>
    </r>
    <r>
      <rPr>
        <u/>
        <vertAlign val="subscript"/>
        <sz val="14"/>
        <rFont val="Arial"/>
        <family val="2"/>
      </rPr>
      <t>x/c</t>
    </r>
  </si>
  <si>
    <t>Drag  Adder - Hinge Gaps</t>
  </si>
  <si>
    <t>Horizontal Stabilizer</t>
  </si>
  <si>
    <t>Vertical Stabilizer</t>
  </si>
  <si>
    <t>Configuration</t>
  </si>
  <si>
    <t># of Surfaces</t>
  </si>
  <si>
    <t>Mean Aero Chord1</t>
  </si>
  <si>
    <t>Mean Aero Chord2</t>
  </si>
  <si>
    <t>Stall Avoidance Lines</t>
  </si>
  <si>
    <t>Bottom</t>
  </si>
  <si>
    <t>Middle</t>
  </si>
  <si>
    <t>Top</t>
  </si>
  <si>
    <t>LHT/MAC</t>
  </si>
  <si>
    <t>HHT/MAC</t>
  </si>
  <si>
    <t>Height of the horizontal stabilizer</t>
  </si>
  <si>
    <t>X</t>
  </si>
  <si>
    <t>Current Design</t>
  </si>
  <si>
    <t>LHT/mac</t>
  </si>
  <si>
    <t>HHT/mac</t>
  </si>
  <si>
    <t>V-Stab mac (side view)</t>
  </si>
  <si>
    <t>H-Stab mac1 (top view)</t>
  </si>
  <si>
    <t>H-Stab mac2 (top view)</t>
  </si>
  <si>
    <t>H-Stab planform (Top View)</t>
  </si>
  <si>
    <t>V-Stab planform (Side View)</t>
  </si>
  <si>
    <t>V-Stab mac (top view)</t>
  </si>
  <si>
    <t>Hstab mac (side view)</t>
  </si>
  <si>
    <t>Spin Recovery Lines</t>
  </si>
  <si>
    <t>Cdo,fuse</t>
  </si>
  <si>
    <t>Cdo,wing</t>
  </si>
  <si>
    <t>Cdo,h-stab</t>
  </si>
  <si>
    <t>Cdo,v-stab</t>
  </si>
  <si>
    <r>
      <t xml:space="preserve"> L</t>
    </r>
    <r>
      <rPr>
        <vertAlign val="subscript"/>
        <sz val="10"/>
        <rFont val="Arial"/>
        <family val="2"/>
      </rPr>
      <t>C</t>
    </r>
    <r>
      <rPr>
        <sz val="10"/>
        <rFont val="Arial"/>
        <family val="2"/>
      </rPr>
      <t>, L</t>
    </r>
    <r>
      <rPr>
        <vertAlign val="subscript"/>
        <sz val="10"/>
        <rFont val="Arial"/>
        <family val="2"/>
      </rPr>
      <t>HT/</t>
    </r>
    <r>
      <rPr>
        <sz val="10"/>
        <rFont val="Arial"/>
        <family val="2"/>
      </rPr>
      <t>L</t>
    </r>
    <r>
      <rPr>
        <vertAlign val="subscript"/>
        <sz val="10"/>
        <rFont val="Arial"/>
        <family val="2"/>
      </rPr>
      <t xml:space="preserve">fus </t>
    </r>
    <r>
      <rPr>
        <sz val="10"/>
        <rFont val="Arial"/>
        <family val="2"/>
      </rPr>
      <t>or L</t>
    </r>
    <r>
      <rPr>
        <vertAlign val="subscript"/>
        <sz val="10"/>
        <rFont val="Arial"/>
        <family val="2"/>
      </rPr>
      <t>VT/</t>
    </r>
    <r>
      <rPr>
        <sz val="10"/>
        <rFont val="Arial"/>
        <family val="2"/>
      </rPr>
      <t>L</t>
    </r>
    <r>
      <rPr>
        <vertAlign val="subscript"/>
        <sz val="10"/>
        <rFont val="Arial"/>
        <family val="2"/>
      </rPr>
      <t>fus</t>
    </r>
  </si>
  <si>
    <t>Number of Engines</t>
  </si>
  <si>
    <t>Neng</t>
  </si>
  <si>
    <t>Engine Manufacturer</t>
  </si>
  <si>
    <t>Engine Model</t>
  </si>
  <si>
    <t>lb/eng</t>
  </si>
  <si>
    <t>Lref</t>
  </si>
  <si>
    <t>Dref</t>
  </si>
  <si>
    <t>Uninstalled Thrust, SLS ISA Max</t>
  </si>
  <si>
    <t>lbf/eng</t>
  </si>
  <si>
    <t>lbm/hr/lbf</t>
  </si>
  <si>
    <t>Installation Loss - ct=TSFC</t>
  </si>
  <si>
    <t>%Bleed = mbld/mref</t>
  </si>
  <si>
    <t>To</t>
  </si>
  <si>
    <t>Bare engine weight</t>
  </si>
  <si>
    <t>Lct</t>
  </si>
  <si>
    <t>mbld/mref</t>
  </si>
  <si>
    <t>To/Wo</t>
  </si>
  <si>
    <t>Design Requirements</t>
  </si>
  <si>
    <t>Engine Type Flag</t>
  </si>
  <si>
    <t>Takeoff Climb Specs</t>
  </si>
  <si>
    <t>AEO Field Length</t>
  </si>
  <si>
    <t>STO</t>
  </si>
  <si>
    <t>Landing Field Length</t>
  </si>
  <si>
    <t>SL</t>
  </si>
  <si>
    <t>Max Inst. Turn Rate</t>
  </si>
  <si>
    <r>
      <t>d</t>
    </r>
    <r>
      <rPr>
        <sz val="10"/>
        <rFont val="Symbol"/>
        <family val="1"/>
        <charset val="2"/>
      </rPr>
      <t>Y/</t>
    </r>
    <r>
      <rPr>
        <sz val="10"/>
        <rFont val="Arial"/>
        <family val="2"/>
      </rPr>
      <t>dt</t>
    </r>
  </si>
  <si>
    <t>deg/s</t>
  </si>
  <si>
    <t>Max Sust. Turn Rate</t>
  </si>
  <si>
    <t>Glide Slope</t>
  </si>
  <si>
    <t>g</t>
  </si>
  <si>
    <t>Stall Speed</t>
  </si>
  <si>
    <t>Vs</t>
  </si>
  <si>
    <t>Start W/S</t>
  </si>
  <si>
    <t>lb/ft2</t>
  </si>
  <si>
    <t>Step W/S</t>
  </si>
  <si>
    <t>Design Point Selection Summary</t>
  </si>
  <si>
    <t>AEO</t>
  </si>
  <si>
    <t>OEI</t>
  </si>
  <si>
    <t>Takeoff</t>
  </si>
  <si>
    <t>Landing</t>
  </si>
  <si>
    <t>Max</t>
  </si>
  <si>
    <t>Inst.</t>
  </si>
  <si>
    <t>Sust.</t>
  </si>
  <si>
    <t>Field</t>
  </si>
  <si>
    <t>Climb</t>
  </si>
  <si>
    <t>Service</t>
  </si>
  <si>
    <t>Cruise</t>
  </si>
  <si>
    <t>Turn</t>
  </si>
  <si>
    <t>Glide</t>
  </si>
  <si>
    <t>Stall</t>
  </si>
  <si>
    <t>Gear Up</t>
  </si>
  <si>
    <t>Gear Down</t>
  </si>
  <si>
    <t>Ceiling</t>
  </si>
  <si>
    <t>Rate</t>
  </si>
  <si>
    <t>Requirement</t>
  </si>
  <si>
    <t>Parameter</t>
  </si>
  <si>
    <t>AEO Takeoff Field Length</t>
  </si>
  <si>
    <t>H</t>
  </si>
  <si>
    <t>Mach Number</t>
  </si>
  <si>
    <t>TO Climb, AEO Gear Up</t>
  </si>
  <si>
    <t>Delta Ambient Temperature</t>
  </si>
  <si>
    <r>
      <rPr>
        <sz val="10"/>
        <rFont val="Symbol"/>
        <family val="1"/>
        <charset val="2"/>
      </rPr>
      <t>D</t>
    </r>
    <r>
      <rPr>
        <sz val="10"/>
        <rFont val="Arial"/>
        <family val="2"/>
      </rPr>
      <t>Tamb</t>
    </r>
  </si>
  <si>
    <t>degC</t>
  </si>
  <si>
    <t>TO Climb, OEI Gear Up</t>
  </si>
  <si>
    <t>Max Lift Coefficient</t>
  </si>
  <si>
    <t>CLmax</t>
  </si>
  <si>
    <t>TO Climb, OEI Gear Down</t>
  </si>
  <si>
    <t>AEO Ceiling</t>
  </si>
  <si>
    <t>Oswalds Factor</t>
  </si>
  <si>
    <t>OEI Ceiling Ceiling</t>
  </si>
  <si>
    <t>Parasite Drag Coeff.</t>
  </si>
  <si>
    <t>Max Cruise Speed</t>
  </si>
  <si>
    <t>ft/sec</t>
  </si>
  <si>
    <t>Delta Cd, gear</t>
  </si>
  <si>
    <r>
      <rPr>
        <sz val="10"/>
        <rFont val="Symbol"/>
        <family val="1"/>
        <charset val="2"/>
      </rPr>
      <t>D</t>
    </r>
    <r>
      <rPr>
        <sz val="10"/>
        <rFont val="Arial"/>
        <family val="2"/>
      </rPr>
      <t>Cdo,gear</t>
    </r>
  </si>
  <si>
    <t>Delta Cd, flaps</t>
  </si>
  <si>
    <r>
      <rPr>
        <sz val="10"/>
        <rFont val="Symbol"/>
        <family val="1"/>
        <charset val="2"/>
      </rPr>
      <t>D</t>
    </r>
    <r>
      <rPr>
        <sz val="10"/>
        <rFont val="Arial"/>
        <family val="2"/>
      </rPr>
      <t>Cdo,flaps</t>
    </r>
  </si>
  <si>
    <t>Max Cruise Mach</t>
  </si>
  <si>
    <t>Propeller Efficiency</t>
  </si>
  <si>
    <r>
      <rPr>
        <sz val="10"/>
        <rFont val="Symbol"/>
        <family val="1"/>
        <charset val="2"/>
      </rPr>
      <t>h</t>
    </r>
    <r>
      <rPr>
        <vertAlign val="subscript"/>
        <sz val="10"/>
        <rFont val="Arial"/>
        <family val="2"/>
      </rPr>
      <t>prop</t>
    </r>
  </si>
  <si>
    <t>Instantaneous Turn Rate</t>
  </si>
  <si>
    <t>Weight Lapse</t>
  </si>
  <si>
    <t>Sustained Turn Rate</t>
  </si>
  <si>
    <t>Kth</t>
  </si>
  <si>
    <t>L</t>
  </si>
  <si>
    <t>Ambient Temperature</t>
  </si>
  <si>
    <t>degF</t>
  </si>
  <si>
    <t>slugs/ft3</t>
  </si>
  <si>
    <t>Design Point</t>
  </si>
  <si>
    <t>Density Ratio</t>
  </si>
  <si>
    <t>s</t>
  </si>
  <si>
    <t>Wing Loading, Wo/S</t>
  </si>
  <si>
    <t>Speed of Sound</t>
  </si>
  <si>
    <t>Reference Wing Area, S</t>
  </si>
  <si>
    <t>Velocity</t>
  </si>
  <si>
    <t>Velocity (True Airspeed)</t>
  </si>
  <si>
    <t>Dynamic pressure</t>
  </si>
  <si>
    <t>Velocity (Equ. Airspeed)</t>
  </si>
  <si>
    <t>Vkeas</t>
  </si>
  <si>
    <t>To/W</t>
  </si>
  <si>
    <t>Pao/W</t>
  </si>
  <si>
    <t>W/S =&lt;</t>
  </si>
  <si>
    <t>Thrust and Power Models</t>
  </si>
  <si>
    <r>
      <t>T = To*Kth*(C1*</t>
    </r>
    <r>
      <rPr>
        <sz val="10"/>
        <rFont val="Symbol"/>
        <family val="1"/>
        <charset val="2"/>
      </rPr>
      <t>s</t>
    </r>
    <r>
      <rPr>
        <vertAlign val="superscript"/>
        <sz val="10"/>
        <rFont val="Arial"/>
        <family val="2"/>
      </rPr>
      <t>C2</t>
    </r>
    <r>
      <rPr>
        <sz val="10"/>
        <rFont val="Arial"/>
        <family val="2"/>
      </rPr>
      <t xml:space="preserve"> + C3)*C4*(C5+C6*(M-C7)</t>
    </r>
    <r>
      <rPr>
        <vertAlign val="superscript"/>
        <sz val="10"/>
        <rFont val="Arial"/>
        <family val="2"/>
      </rPr>
      <t>C8</t>
    </r>
    <r>
      <rPr>
        <sz val="10"/>
        <rFont val="Arial"/>
        <family val="2"/>
      </rPr>
      <t>)</t>
    </r>
  </si>
  <si>
    <r>
      <t>Pa = Pao*Kth*(C1*</t>
    </r>
    <r>
      <rPr>
        <sz val="10"/>
        <rFont val="Symbol"/>
        <family val="1"/>
        <charset val="2"/>
      </rPr>
      <t>s</t>
    </r>
    <r>
      <rPr>
        <vertAlign val="superscript"/>
        <sz val="10"/>
        <rFont val="Arial"/>
        <family val="2"/>
      </rPr>
      <t>C2</t>
    </r>
    <r>
      <rPr>
        <sz val="10"/>
        <rFont val="Arial"/>
        <family val="2"/>
      </rPr>
      <t xml:space="preserve"> + C3)*C4*(C5+C6*(M-C7)</t>
    </r>
    <r>
      <rPr>
        <vertAlign val="superscript"/>
        <sz val="10"/>
        <rFont val="Arial"/>
        <family val="2"/>
      </rPr>
      <t>C8</t>
    </r>
    <r>
      <rPr>
        <sz val="10"/>
        <rFont val="Arial"/>
        <family val="2"/>
      </rPr>
      <t>)</t>
    </r>
  </si>
  <si>
    <t>M&lt;1</t>
  </si>
  <si>
    <t>M&gt;1</t>
  </si>
  <si>
    <t>Turbojet</t>
  </si>
  <si>
    <t>Low BPR</t>
  </si>
  <si>
    <t>High BPR</t>
  </si>
  <si>
    <t>w/Supercharger</t>
  </si>
  <si>
    <t>Turbofan</t>
  </si>
  <si>
    <t>TurboProp</t>
  </si>
  <si>
    <t>Recip</t>
  </si>
  <si>
    <t>C1</t>
  </si>
  <si>
    <t>C2</t>
  </si>
  <si>
    <t>C3</t>
  </si>
  <si>
    <t>C4</t>
  </si>
  <si>
    <t>C5</t>
  </si>
  <si>
    <t>C6</t>
  </si>
  <si>
    <t>C7</t>
  </si>
  <si>
    <t>C8</t>
  </si>
  <si>
    <t>Throttle</t>
  </si>
  <si>
    <t>JWG Standard Rating Structure</t>
  </si>
  <si>
    <t>Max Afterburner</t>
  </si>
  <si>
    <t>Min Afterburner</t>
  </si>
  <si>
    <t>Emergency or Contingency (OEI)</t>
  </si>
  <si>
    <t>Max (AEO Takeoff)</t>
  </si>
  <si>
    <t>Flight Idle</t>
  </si>
  <si>
    <t>Ground Idle</t>
  </si>
  <si>
    <t>To/Wo or</t>
  </si>
  <si>
    <t>Pao/Wo</t>
  </si>
  <si>
    <t>Installation Loss (Thrust or Power)</t>
  </si>
  <si>
    <t>Fuselage Shape FLAG</t>
  </si>
  <si>
    <t>Lt or Lp</t>
  </si>
  <si>
    <t>Lt</t>
  </si>
  <si>
    <t>(lb/ac)</t>
  </si>
  <si>
    <t>(lb/eng)</t>
  </si>
  <si>
    <t>(Pi/Po)ref</t>
  </si>
  <si>
    <t>(Pi/Po)act</t>
  </si>
  <si>
    <t>Cram</t>
  </si>
  <si>
    <t>Inlet</t>
  </si>
  <si>
    <t>Loss</t>
  </si>
  <si>
    <t>Lt,inlet</t>
  </si>
  <si>
    <t>Bleed</t>
  </si>
  <si>
    <t>Lt,bleed</t>
  </si>
  <si>
    <t>Corke</t>
  </si>
  <si>
    <t>Equation</t>
  </si>
  <si>
    <t>Installation</t>
  </si>
  <si>
    <t>Installed</t>
  </si>
  <si>
    <t>Setting</t>
  </si>
  <si>
    <t>Lapse</t>
  </si>
  <si>
    <t>T/To</t>
  </si>
  <si>
    <t>TurboFan or Turbojet</t>
  </si>
  <si>
    <t>lb/ac</t>
  </si>
  <si>
    <t>To,ref</t>
  </si>
  <si>
    <t>Fth</t>
  </si>
  <si>
    <t>Mattingly's</t>
  </si>
  <si>
    <t>Part</t>
  </si>
  <si>
    <t>Mattingly's Part PowerFactor</t>
  </si>
  <si>
    <t>Th</t>
  </si>
  <si>
    <t>ct and cp Models</t>
  </si>
  <si>
    <t>C9</t>
  </si>
  <si>
    <t>C10</t>
  </si>
  <si>
    <t>C11</t>
  </si>
  <si>
    <t>C12</t>
  </si>
  <si>
    <t>C13</t>
  </si>
  <si>
    <t>Engine</t>
  </si>
  <si>
    <t>Type</t>
  </si>
  <si>
    <t>Wave Drag Efficiency Factor, Ewd</t>
  </si>
  <si>
    <t>Ewd</t>
  </si>
  <si>
    <t>Wave</t>
  </si>
  <si>
    <t>xwave</t>
  </si>
  <si>
    <t>W, L and D Scaling exponent</t>
  </si>
  <si>
    <t>Bare Engine Weight</t>
  </si>
  <si>
    <t>Weng</t>
  </si>
  <si>
    <t>Leng</t>
  </si>
  <si>
    <t>Engine Diameter</t>
  </si>
  <si>
    <t>Deng</t>
  </si>
  <si>
    <t>Specific</t>
  </si>
  <si>
    <t>Consumption</t>
  </si>
  <si>
    <t>(lbm/hr/lbf)</t>
  </si>
  <si>
    <t>Flags</t>
  </si>
  <si>
    <t>Specific Fuel Consumption FLAG</t>
  </si>
  <si>
    <t>Specific Fuel Consumption (Option 1 Only)</t>
  </si>
  <si>
    <t>ct or cp</t>
  </si>
  <si>
    <t>lbmhr/lbf or
lbm/hr/shp</t>
  </si>
  <si>
    <t>Uninstalled TSFC at SLS, ISA, MRP</t>
  </si>
  <si>
    <t>Engine Scale Factor</t>
  </si>
  <si>
    <t>SF</t>
  </si>
  <si>
    <t>Reference</t>
  </si>
  <si>
    <t>Design</t>
  </si>
  <si>
    <t>Engine Type</t>
  </si>
  <si>
    <t>shp/eng</t>
  </si>
  <si>
    <t>lbm/hr/shp</t>
  </si>
  <si>
    <t>Uninstalled Power, SLS ISA Max</t>
  </si>
  <si>
    <t>Po</t>
  </si>
  <si>
    <t>Po/Wo</t>
  </si>
  <si>
    <t>Uninstalled SFC at SLS, ISA, MRP</t>
  </si>
  <si>
    <t>shp/ac</t>
  </si>
  <si>
    <t>(shp/ac)</t>
  </si>
  <si>
    <t>P/Po</t>
  </si>
  <si>
    <t>P</t>
  </si>
  <si>
    <t>Required</t>
  </si>
  <si>
    <t>Available</t>
  </si>
  <si>
    <t>(lbm/hr/shp)</t>
  </si>
  <si>
    <t>Propeller Efficiency FLAG</t>
  </si>
  <si>
    <t>Propeller Efficiency (Option 1 Only)</t>
  </si>
  <si>
    <r>
      <t xml:space="preserve">h </t>
    </r>
    <r>
      <rPr>
        <sz val="10"/>
        <rFont val="Arial"/>
        <family val="2"/>
      </rPr>
      <t>prop</t>
    </r>
  </si>
  <si>
    <t xml:space="preserve"> -Corke Chapter 11, pgs. 257-262</t>
  </si>
  <si>
    <t>Main Wing Weight</t>
  </si>
  <si>
    <t>Weight Summary</t>
  </si>
  <si>
    <t>General</t>
  </si>
  <si>
    <t>Fighter</t>
  </si>
  <si>
    <t>Transport</t>
  </si>
  <si>
    <t>Aviation</t>
  </si>
  <si>
    <t>Component</t>
  </si>
  <si>
    <t>Main Wing Aspect Ratio</t>
  </si>
  <si>
    <t>c1</t>
  </si>
  <si>
    <t>Wwing</t>
  </si>
  <si>
    <t>K_dw=0.768 for Delta Wing, else 1.0</t>
  </si>
  <si>
    <t>K_dw</t>
  </si>
  <si>
    <t>c2</t>
  </si>
  <si>
    <t>Horizontal Tail</t>
  </si>
  <si>
    <t>Wh-stab</t>
  </si>
  <si>
    <t>K_vs=1.19 for variable sweep, else 1.0</t>
  </si>
  <si>
    <t>K_vs</t>
  </si>
  <si>
    <t>c3</t>
  </si>
  <si>
    <t>Vertical Tail</t>
  </si>
  <si>
    <t>Wv-stab</t>
  </si>
  <si>
    <t>Design Load Factor</t>
  </si>
  <si>
    <t>c4</t>
  </si>
  <si>
    <t>Wfuse</t>
  </si>
  <si>
    <t>Dynamic Pressure at Cruise</t>
  </si>
  <si>
    <t>lb/ft^2</t>
  </si>
  <si>
    <t>c5</t>
  </si>
  <si>
    <t>Main Gear</t>
  </si>
  <si>
    <t>Wmain lg</t>
  </si>
  <si>
    <t>Main Wing Planform Reference Area</t>
  </si>
  <si>
    <t>S_w</t>
  </si>
  <si>
    <t>ft^2</t>
  </si>
  <si>
    <t>c6</t>
  </si>
  <si>
    <t>Nose Gear</t>
  </si>
  <si>
    <t>Wnose lg</t>
  </si>
  <si>
    <t>(Sf/Sw)</t>
  </si>
  <si>
    <t>c7</t>
  </si>
  <si>
    <t>Planform Area of Main Wing Flaps</t>
  </si>
  <si>
    <t>S_f</t>
  </si>
  <si>
    <t>c8</t>
  </si>
  <si>
    <t>Remaining Components</t>
  </si>
  <si>
    <t>Wrem</t>
  </si>
  <si>
    <t>Wing Max Thickness-to-Chord Ratio</t>
  </si>
  <si>
    <t>t/c</t>
  </si>
  <si>
    <t>c9</t>
  </si>
  <si>
    <t>Empty Weight</t>
  </si>
  <si>
    <t>W_dg</t>
  </si>
  <si>
    <t>c10</t>
  </si>
  <si>
    <t>Weight of Fuel in Wing</t>
  </si>
  <si>
    <t>W_fw</t>
  </si>
  <si>
    <t>c11</t>
  </si>
  <si>
    <t>Empty Weight Fraction</t>
  </si>
  <si>
    <t>Main Wing Sweepback Angle of the Max Thickness Line</t>
  </si>
  <si>
    <t>c12</t>
  </si>
  <si>
    <t>Main Wing Taper Ratio</t>
  </si>
  <si>
    <t>c13</t>
  </si>
  <si>
    <t>c14</t>
  </si>
  <si>
    <t>Horizontal Stabilizer Weight</t>
  </si>
  <si>
    <t>H-Stab Aspect Ratio</t>
  </si>
  <si>
    <t>A_ht</t>
  </si>
  <si>
    <t>H-Stab Span</t>
  </si>
  <si>
    <t>b_ht</t>
  </si>
  <si>
    <t>F_w</t>
  </si>
  <si>
    <t>Pitching radius of gyration (~0.3*L_ht)</t>
  </si>
  <si>
    <t>K_y</t>
  </si>
  <si>
    <t>Distance between c/4 locations of Main Wing and H-Stab</t>
  </si>
  <si>
    <t>L_ht</t>
  </si>
  <si>
    <t>lbs/ft^2</t>
  </si>
  <si>
    <t>H-Stab planform area</t>
  </si>
  <si>
    <t>S_ht</t>
  </si>
  <si>
    <t>H-Stab max thickness-to-chord ratio</t>
  </si>
  <si>
    <t>(t/c)ht</t>
  </si>
  <si>
    <t>H-Stab Sweepback Angle of the Max Thickness Line</t>
  </si>
  <si>
    <r>
      <t>(L)</t>
    </r>
    <r>
      <rPr>
        <sz val="9.9499999999999993"/>
        <color rgb="FF000000"/>
        <rFont val="Arial"/>
        <family val="2"/>
      </rPr>
      <t>ht</t>
    </r>
  </si>
  <si>
    <t>H-Stab Taper Ratio</t>
  </si>
  <si>
    <r>
      <t>(l)</t>
    </r>
    <r>
      <rPr>
        <sz val="9.9499999999999993"/>
        <color rgb="FF000000"/>
        <rFont val="Arial"/>
        <family val="2"/>
      </rPr>
      <t>ht</t>
    </r>
  </si>
  <si>
    <t>Vertical Stabilizer Weight</t>
  </si>
  <si>
    <t>V-Stab Aspect Ratio</t>
  </si>
  <si>
    <t>A_vt</t>
  </si>
  <si>
    <t>Height of H-Stab above Fuselage C/L (H_ht=0 for Conventional Tail)</t>
  </si>
  <si>
    <t>H_ht</t>
  </si>
  <si>
    <t>Height of V-Stab above Fuseelage C/L (same as V-Stab span)</t>
  </si>
  <si>
    <t>H_vt</t>
  </si>
  <si>
    <t>Yawing radius of gyration (~L_vt)</t>
  </si>
  <si>
    <t>K_z</t>
  </si>
  <si>
    <t>K_rht=1.047 for rolling ("flying") tail, else 1.0</t>
  </si>
  <si>
    <t>K_rht</t>
  </si>
  <si>
    <t>Distance between c/4 locations of Main Wing and V-Stab</t>
  </si>
  <si>
    <t>L_vt</t>
  </si>
  <si>
    <t>Design Cruise Mach Number</t>
  </si>
  <si>
    <t>S_r/S_vt</t>
  </si>
  <si>
    <t>Rudder planform area</t>
  </si>
  <si>
    <t>S_r</t>
  </si>
  <si>
    <t>V-Stab planform area</t>
  </si>
  <si>
    <t>S_vt</t>
  </si>
  <si>
    <t>V-Stab max thickness-to-chord ratio</t>
  </si>
  <si>
    <t>(t/c)_vt</t>
  </si>
  <si>
    <t>V-Stab Sweepback Angle of the Max Thickness Line</t>
  </si>
  <si>
    <r>
      <t>(L)</t>
    </r>
    <r>
      <rPr>
        <sz val="9.9499999999999993"/>
        <color rgb="FF000000"/>
        <rFont val="Arial"/>
        <family val="2"/>
      </rPr>
      <t>vt</t>
    </r>
  </si>
  <si>
    <t>c15</t>
  </si>
  <si>
    <t>V-Stab Taper Ratio</t>
  </si>
  <si>
    <r>
      <t>(l)</t>
    </r>
    <r>
      <rPr>
        <sz val="9.9499999999999993"/>
        <color rgb="FF000000"/>
        <rFont val="Arial"/>
        <family val="2"/>
      </rPr>
      <t>vt</t>
    </r>
  </si>
  <si>
    <t>c16</t>
  </si>
  <si>
    <t>Fuselage Weight</t>
  </si>
  <si>
    <t>Main wing span</t>
  </si>
  <si>
    <t>b_w</t>
  </si>
  <si>
    <t>Fuselage maximum height, or effective diameter</t>
  </si>
  <si>
    <t>K_ws</t>
  </si>
  <si>
    <t>K_dwf=0.774 for Delta Wing, else 1.0</t>
  </si>
  <si>
    <t>K_dwf</t>
  </si>
  <si>
    <t>K_door</t>
  </si>
  <si>
    <t>K_lg=1.12 for fuselage mounted landing gear, else 1.0</t>
  </si>
  <si>
    <t>K_lg</t>
  </si>
  <si>
    <t>Length of the fuselage</t>
  </si>
  <si>
    <t>L_f</t>
  </si>
  <si>
    <t>L_t</t>
  </si>
  <si>
    <t>Fuselage External Surface Area (Wetted)</t>
  </si>
  <si>
    <t>Fuselage maximum width, or effective diameter</t>
  </si>
  <si>
    <t>W_f</t>
  </si>
  <si>
    <t>Volume of pressurized section (Chapter 5)</t>
  </si>
  <si>
    <t>V_pr</t>
  </si>
  <si>
    <t>ft^3</t>
  </si>
  <si>
    <t>Pdiff</t>
  </si>
  <si>
    <t xml:space="preserve"> lbs/ft2</t>
  </si>
  <si>
    <t>Weight Adder due to pressurized fuselage</t>
  </si>
  <si>
    <t>W_p</t>
  </si>
  <si>
    <t>Main Landing Gear Weight</t>
  </si>
  <si>
    <t>K_cb=2.25 for cross beam gear (like F-111), else 1.0</t>
  </si>
  <si>
    <t>K_cb</t>
  </si>
  <si>
    <t>K_mp=1.126 for a kneeling gear, else 1.0</t>
  </si>
  <si>
    <t>K_mp</t>
  </si>
  <si>
    <t>K_tpg=0.826 for a tripod gear (like A-7), else 1.0</t>
  </si>
  <si>
    <t>K_tpg</t>
  </si>
  <si>
    <t>Length of main landing gear</t>
  </si>
  <si>
    <t>L_m</t>
  </si>
  <si>
    <t># of main wheels</t>
  </si>
  <si>
    <t>N_mw</t>
  </si>
  <si>
    <t>wheels</t>
  </si>
  <si>
    <t>N_mss</t>
  </si>
  <si>
    <t>struts</t>
  </si>
  <si>
    <t>Stall speed</t>
  </si>
  <si>
    <t>V_s</t>
  </si>
  <si>
    <t>Landing design gross weight</t>
  </si>
  <si>
    <t>W_l</t>
  </si>
  <si>
    <t>Nose Landing Gear Weight</t>
  </si>
  <si>
    <t>K_np=1.15 for a kneeling gear, else 1.0</t>
  </si>
  <si>
    <t>K_np</t>
  </si>
  <si>
    <t>Length of nose landing gear</t>
  </si>
  <si>
    <t>L_n</t>
  </si>
  <si>
    <t>N_nw</t>
  </si>
  <si>
    <t>Engine and Remaining Components</t>
  </si>
  <si>
    <t>Web</t>
  </si>
  <si>
    <t># of Engines</t>
  </si>
  <si>
    <t>Chapter 11a - Refined Weight Empty Estimate</t>
  </si>
  <si>
    <t>Design Load Factor (per chap 10 analysis)</t>
  </si>
  <si>
    <t>Flap to Main Wing Planform Area Ratio (per chap 8)</t>
  </si>
  <si>
    <t>Fuselage Width at H-Stab  (estimate per chap 5)</t>
  </si>
  <si>
    <t>Rudder to V-Stab Planform Area Ratio  (per chap 9)</t>
  </si>
  <si>
    <t># of main gear shock struts  (use 2)</t>
  </si>
  <si>
    <t>Landing design gross weight (Preferably =Wo, but check Design Requirements)</t>
  </si>
  <si>
    <t xml:space="preserve"> -Weight penalty for supercharging</t>
  </si>
  <si>
    <t>lbs/eng</t>
  </si>
  <si>
    <t xml:space="preserve"> -Width, height and diameter penalty fo s.c.</t>
  </si>
  <si>
    <t xml:space="preserve"> -cp=sfc penalty for supercharging</t>
  </si>
  <si>
    <t>Recip Supercharger (or Turbocharger)?</t>
  </si>
  <si>
    <t>lb/h/hp</t>
  </si>
  <si>
    <r>
      <rPr>
        <sz val="10"/>
        <rFont val="Symbol"/>
        <family val="1"/>
        <charset val="2"/>
      </rPr>
      <t>D</t>
    </r>
    <r>
      <rPr>
        <sz val="10"/>
        <rFont val="Arial"/>
        <family val="2"/>
      </rPr>
      <t>W s/c</t>
    </r>
  </si>
  <si>
    <r>
      <rPr>
        <sz val="10"/>
        <rFont val="Symbol"/>
        <family val="1"/>
        <charset val="2"/>
      </rPr>
      <t>D</t>
    </r>
    <r>
      <rPr>
        <sz val="10"/>
        <rFont val="Arial"/>
        <family val="2"/>
      </rPr>
      <t>D s/c</t>
    </r>
  </si>
  <si>
    <r>
      <rPr>
        <sz val="10"/>
        <rFont val="Symbol"/>
        <family val="1"/>
        <charset val="2"/>
      </rPr>
      <t>D</t>
    </r>
    <r>
      <rPr>
        <sz val="10"/>
        <rFont val="Arial"/>
        <family val="2"/>
      </rPr>
      <t>cp s/c</t>
    </r>
  </si>
  <si>
    <t>Chap 11 We/Wo (Fighter)</t>
  </si>
  <si>
    <t>Chap 11 We/Wo (Transport)</t>
  </si>
  <si>
    <t>Chap 11 We/Wo (General Aviation)</t>
  </si>
  <si>
    <t>Chapter 5b - Fuselage Design (Aerodynamics)</t>
  </si>
  <si>
    <t># of Seats Abreast</t>
  </si>
  <si>
    <t>Calculated per Aero (Chap 5b)</t>
  </si>
  <si>
    <t>Required (Chap 5a)</t>
  </si>
  <si>
    <t>Chapter 5a  - Fuselage Design (Volume Considerations)</t>
  </si>
  <si>
    <t>Aircraft 3-View Plots</t>
  </si>
  <si>
    <t>Center of Lift Location (x/Lfus)</t>
  </si>
  <si>
    <t>Base Design</t>
  </si>
  <si>
    <t>Offset</t>
  </si>
  <si>
    <t>Main Wing</t>
  </si>
  <si>
    <t>Main Wing Spanwise View</t>
  </si>
  <si>
    <t>Mean Aero Chord</t>
  </si>
  <si>
    <t>Tail Moment Arms &amp; Heights</t>
  </si>
  <si>
    <t>Lvt</t>
  </si>
  <si>
    <t>Lht</t>
  </si>
  <si>
    <t>Hvt</t>
  </si>
  <si>
    <t>Hht</t>
  </si>
  <si>
    <t>Wht</t>
  </si>
  <si>
    <t>Wing MAC</t>
  </si>
  <si>
    <t>evt</t>
  </si>
  <si>
    <t>eht</t>
  </si>
  <si>
    <t>Tail</t>
  </si>
  <si>
    <t>V-Tail Spanwise View</t>
  </si>
  <si>
    <t>H-Tail Spanwise View</t>
  </si>
  <si>
    <t>Mean Aero Chords</t>
  </si>
  <si>
    <t>V-Tail Front View</t>
  </si>
  <si>
    <t>H-Tail Front View</t>
  </si>
  <si>
    <t>Fuselage Length</t>
  </si>
  <si>
    <t>Adjusted</t>
  </si>
  <si>
    <t>Radial</t>
  </si>
  <si>
    <t>x (ft)</t>
  </si>
  <si>
    <t>Fuselage Cross Section</t>
  </si>
  <si>
    <t>Height, up</t>
  </si>
  <si>
    <t>Height, Bot</t>
  </si>
  <si>
    <r>
      <t>H</t>
    </r>
    <r>
      <rPr>
        <vertAlign val="subscript"/>
        <sz val="12"/>
        <rFont val="Arial"/>
        <family val="2"/>
      </rPr>
      <t xml:space="preserve">HT </t>
    </r>
    <r>
      <rPr>
        <sz val="12"/>
        <rFont val="Arial"/>
        <family val="2"/>
      </rPr>
      <t>and H</t>
    </r>
    <r>
      <rPr>
        <vertAlign val="subscript"/>
        <sz val="12"/>
        <rFont val="Arial"/>
        <family val="2"/>
      </rPr>
      <t>VT</t>
    </r>
  </si>
  <si>
    <t>V-Stab planform (3-View)</t>
  </si>
  <si>
    <t>Mean Aero Chords (3-View)</t>
  </si>
  <si>
    <t>Zero out cockpit volume, accounted for with pax cabin</t>
  </si>
  <si>
    <t>Volume Ratio (Target&gt;=100%)</t>
  </si>
  <si>
    <t>K_door=1.0 for no cargo door, 1.06 for one side door, 1.12 for two side doors or a single clam-shell door, and 1.25 for two side doors and one clam-shell door.</t>
  </si>
  <si>
    <t>Pressure difference (8 psf is typical)</t>
  </si>
  <si>
    <t># of nose wheels  (use 1 or 2)</t>
  </si>
  <si>
    <t>ct = cto*Fth*(C9*(C10+C11*(M-C12)^C13)</t>
  </si>
  <si>
    <t>cp = cpo*Fth*(C9*(C10+C11*(M-C12)^C13)</t>
  </si>
  <si>
    <t>Optimum</t>
  </si>
  <si>
    <t>Maximum</t>
  </si>
  <si>
    <t>CL,opt</t>
  </si>
  <si>
    <t>L/D, max</t>
  </si>
  <si>
    <t>Empty Weight Technology Factor</t>
  </si>
  <si>
    <t>Ftech</t>
  </si>
  <si>
    <t>Fixed Gear</t>
  </si>
  <si>
    <t>Armament</t>
  </si>
  <si>
    <t>Vbe</t>
  </si>
  <si>
    <t>(ktas)</t>
  </si>
  <si>
    <t>1/deg</t>
  </si>
  <si>
    <t>Landing Gear</t>
  </si>
  <si>
    <t>Airfoil</t>
  </si>
  <si>
    <t>Taper ratio</t>
  </si>
  <si>
    <t>Leading Edge sweepback angle</t>
  </si>
  <si>
    <t>ktas</t>
  </si>
  <si>
    <t>Wing Loading</t>
  </si>
  <si>
    <t>ME408 Design Compliance Checklist</t>
  </si>
  <si>
    <t>Regulatory Requirements(Red) and Design Best Practices</t>
  </si>
  <si>
    <t>Design Compliance Summary</t>
  </si>
  <si>
    <t>Chapter</t>
  </si>
  <si>
    <t>Count</t>
  </si>
  <si>
    <t>%Y</t>
  </si>
  <si>
    <t>%N</t>
  </si>
  <si>
    <t>%n/a</t>
  </si>
  <si>
    <t>Current</t>
  </si>
  <si>
    <t>FAA/Military Qual Requirement OR</t>
  </si>
  <si>
    <t>Page</t>
  </si>
  <si>
    <t>Corke Best Practice</t>
  </si>
  <si>
    <t>Status</t>
  </si>
  <si>
    <t>Designer Comment, if "No"</t>
  </si>
  <si>
    <t>Design Wing Aspect Ratio = A</t>
  </si>
  <si>
    <t>Table 1.1</t>
  </si>
  <si>
    <t>Personal, 5&lt;A&lt;8</t>
  </si>
  <si>
    <t>N</t>
  </si>
  <si>
    <t xml:space="preserve">High speed.  </t>
  </si>
  <si>
    <t>Takeoff Fuel Fraction</t>
  </si>
  <si>
    <t>Equ. 2.5</t>
  </si>
  <si>
    <t xml:space="preserve">0.970&lt;Wf/Wi&lt;0.975 </t>
  </si>
  <si>
    <t>Y</t>
  </si>
  <si>
    <t>Max Lift-to-Drag ratio = (L/D)max</t>
  </si>
  <si>
    <t>Table 2.1</t>
  </si>
  <si>
    <t>Propeller Personal/Utility, 9.6 &lt; L/Dmax &lt; 14.2</t>
  </si>
  <si>
    <t>18.4 - 18.7</t>
  </si>
  <si>
    <t>Result of Higher Aspect Ratio</t>
  </si>
  <si>
    <t>Oswald’s Factor = e (see #24 below)</t>
  </si>
  <si>
    <t>Equ. 2.10</t>
  </si>
  <si>
    <t>e=0.8</t>
  </si>
  <si>
    <t>Parasite Drag Coeff. = Cdo</t>
  </si>
  <si>
    <t>Equ. 2.11</t>
  </si>
  <si>
    <t>0.01&lt;Cdo&lt;0.02</t>
  </si>
  <si>
    <t>cdo=0.018</t>
  </si>
  <si>
    <t>Cruise thrust specific fuel consumption = ct (lbm/hr/lbf)</t>
  </si>
  <si>
    <t>Equ. 2.12</t>
  </si>
  <si>
    <t>0.5&lt;ct&lt;1.2</t>
  </si>
  <si>
    <t>Cruise power specific fuel consumption = cp (lbm/hr/shp)</t>
  </si>
  <si>
    <t>Table 2.2</t>
  </si>
  <si>
    <t>Personal/Utility, cp=0.6</t>
  </si>
  <si>
    <t>Based on Corke's Appendix B hpka design</t>
  </si>
  <si>
    <t>Cruise Propeller Efficiency</t>
  </si>
  <si>
    <t>Personal/Utility, cp=0.8</t>
  </si>
  <si>
    <t>Landing Fuel Fraction</t>
  </si>
  <si>
    <t>Equ. 2.22</t>
  </si>
  <si>
    <t>0.990&lt;Wf/Wi&lt;0.995</t>
  </si>
  <si>
    <t>Table 2.3</t>
  </si>
  <si>
    <t>Homebuilt (composite), We/Wo=0.503</t>
  </si>
  <si>
    <t>Table 3.1</t>
  </si>
  <si>
    <t>Light Civil, 10 &lt; W/S &lt; 30</t>
  </si>
  <si>
    <t>W/S=20.1 psf</t>
  </si>
  <si>
    <t>CL,max takeoff</t>
  </si>
  <si>
    <t>Table 3.2</t>
  </si>
  <si>
    <t>Light Civil, 1.2 &lt; CL,max &lt; 1.8</t>
  </si>
  <si>
    <t>Risky.  May have to reduce cruise speed or suffer longer field lengths.</t>
  </si>
  <si>
    <t>CL,max maneuvering</t>
  </si>
  <si>
    <t>Section 3.6.1</t>
  </si>
  <si>
    <t>1.0&lt;CL,max&lt;1.5</t>
  </si>
  <si>
    <t>CL,maneuvering=1.0</t>
  </si>
  <si>
    <t>Takeoff Rate-of-Climb, Gear Up, AEO, Sea Level = Vy (fpm)</t>
  </si>
  <si>
    <t>Table 3.3</t>
  </si>
  <si>
    <t>Vy=500 fpm (Mil) or Vy=300 fpm (FAR Part 23)</t>
  </si>
  <si>
    <t>Vy=300 fpm</t>
  </si>
  <si>
    <t>Takeoff Rate-of-Climb, Gear Up, OEI, Sea Level = Vy (fpm)</t>
  </si>
  <si>
    <t>Vy=100 fpm (Mil)</t>
  </si>
  <si>
    <r>
      <t xml:space="preserve">Takeoff Climb Gradient, Gear Up, OEI, Sea Level at VCL=1.2Vstall = </t>
    </r>
    <r>
      <rPr>
        <sz val="11"/>
        <color rgb="FFFF0000"/>
        <rFont val="Symbol"/>
        <family val="1"/>
        <charset val="2"/>
      </rPr>
      <t>g</t>
    </r>
    <r>
      <rPr>
        <sz val="11"/>
        <color rgb="FFFF0000"/>
        <rFont val="Calibri"/>
        <family val="2"/>
        <scheme val="minor"/>
      </rPr>
      <t xml:space="preserve"> (%)</t>
    </r>
  </si>
  <si>
    <t>specify or n/a</t>
  </si>
  <si>
    <r>
      <t xml:space="preserve">Takeoff Climb Gradient, Gear Down, OEI, Sea Level at VCL=1.2Vstall = </t>
    </r>
    <r>
      <rPr>
        <sz val="11"/>
        <color rgb="FFFF0000"/>
        <rFont val="Symbol"/>
        <family val="1"/>
        <charset val="2"/>
      </rPr>
      <t>g</t>
    </r>
    <r>
      <rPr>
        <sz val="11"/>
        <color rgb="FFFF0000"/>
        <rFont val="Calibri"/>
        <family val="2"/>
        <scheme val="minor"/>
      </rPr>
      <t xml:space="preserve"> (%)</t>
    </r>
  </si>
  <si>
    <t>Airfoil Maximum thickness-to-chord ratio = (t/c)max to maximize cl,max</t>
  </si>
  <si>
    <t>Figure 4.3</t>
  </si>
  <si>
    <t>(t/c)m = 14%</t>
  </si>
  <si>
    <t>(t/c)m=18%</t>
  </si>
  <si>
    <t>Trade-off for staying within drg bucket</t>
  </si>
  <si>
    <t>Airfoil Maximum thickness-to-chord ratio = (t/c)max to avoid shocks</t>
  </si>
  <si>
    <t>Figure 4.4</t>
  </si>
  <si>
    <t>Mdesign&lt;0.65 to avoid shocks at (t/c)max=0.18</t>
  </si>
  <si>
    <t>Mdesign=0.4</t>
  </si>
  <si>
    <t>Airfoil Maximum thickness-to-chord ratio = (t/c)max of M&gt;0.6 airfoils</t>
  </si>
  <si>
    <t>Figure 4.5</t>
  </si>
  <si>
    <t>Design lift coefficient = CL within drag bucket for entire mission</t>
  </si>
  <si>
    <t>Section 4.1.1</t>
  </si>
  <si>
    <t>Airfoil section type for Mdesign&lt;=0.4</t>
  </si>
  <si>
    <t>NACA 5 digit series</t>
  </si>
  <si>
    <t>NACA 63(3)-418</t>
  </si>
  <si>
    <t>Had to use NACA 6 Series for high speed.</t>
  </si>
  <si>
    <t>Airfoil section type for Mdesign~0.8</t>
  </si>
  <si>
    <t>NACA Supercritical</t>
  </si>
  <si>
    <t>Airfoil section type for Mdesign&gt;1</t>
  </si>
  <si>
    <t>NACA Series 6</t>
  </si>
  <si>
    <r>
      <t xml:space="preserve">Wing taper ratio = </t>
    </r>
    <r>
      <rPr>
        <sz val="11"/>
        <color theme="1"/>
        <rFont val="Symbol"/>
        <family val="1"/>
        <charset val="2"/>
      </rPr>
      <t>l</t>
    </r>
  </si>
  <si>
    <t>Figure 4.10</t>
  </si>
  <si>
    <t>taper=1 for low cost</t>
  </si>
  <si>
    <r>
      <t xml:space="preserve">Quarter-Chord sweepback angle = </t>
    </r>
    <r>
      <rPr>
        <sz val="11"/>
        <color theme="1"/>
        <rFont val="Symbol"/>
        <family val="1"/>
        <charset val="2"/>
      </rPr>
      <t>L</t>
    </r>
    <r>
      <rPr>
        <vertAlign val="subscript"/>
        <sz val="11"/>
        <color theme="1"/>
        <rFont val="Calibri"/>
        <family val="2"/>
        <scheme val="minor"/>
      </rPr>
      <t>c/4</t>
    </r>
  </si>
  <si>
    <t>Figure 4.12</t>
  </si>
  <si>
    <t>Oswald’s Factor = e prime</t>
  </si>
  <si>
    <t>Equ. 4.18</t>
  </si>
  <si>
    <t>e=eprime*(1-(d/b)^2)</t>
  </si>
  <si>
    <t>Interference Factor (wing related) = Qwing</t>
  </si>
  <si>
    <t>Table 4.2</t>
  </si>
  <si>
    <t>Qwing = specify (for your config.)</t>
  </si>
  <si>
    <t>specify</t>
  </si>
  <si>
    <t>Q=1 for "well filleted low-wing"</t>
  </si>
  <si>
    <t>Seat Width (in)</t>
  </si>
  <si>
    <t>LR (17-28) or SR (16-18)</t>
  </si>
  <si>
    <t>Could lower to 16-18</t>
  </si>
  <si>
    <t>Seat Pitch (in)</t>
  </si>
  <si>
    <t>LR (34-40) or SR (30-32)</t>
  </si>
  <si>
    <t>Could lower 30-32</t>
  </si>
  <si>
    <t>Headroom (in)</t>
  </si>
  <si>
    <t>LR (&gt;65) or SR (n/a)</t>
  </si>
  <si>
    <t>No Corke recommendation.</t>
  </si>
  <si>
    <t>Aisle Width (in)</t>
  </si>
  <si>
    <t>LR (20-28) or SR (&gt;15)</t>
  </si>
  <si>
    <t>Aisle Height (in)</t>
  </si>
  <si>
    <t>LR (&gt;76) or SR (&gt;60)</t>
  </si>
  <si>
    <t>Passengers/Cabin (-)</t>
  </si>
  <si>
    <t>LR (10-36) or SR (&lt;=50)</t>
  </si>
  <si>
    <t>Lavatories/Passeger (-)</t>
  </si>
  <si>
    <t>LR (1/(10-20)) or SR (1/(40-50))</t>
  </si>
  <si>
    <t>Galley Volume/Passenger (ft3)</t>
  </si>
  <si>
    <t>LR (1-8) or SR (0-1)</t>
  </si>
  <si>
    <t>Baggage/Passenger (lbs)</t>
  </si>
  <si>
    <t>LR (40-60) or SR (40)</t>
  </si>
  <si>
    <t>Checked Baggage Volume=Vbag,ch (ft3/passenger)</t>
  </si>
  <si>
    <t>Section 5.1.1</t>
  </si>
  <si>
    <t>15&lt;Vbag,ch&lt;25</t>
  </si>
  <si>
    <t>Carry-On Baggage Volume=Vbag,co (ft3/passenger)</t>
  </si>
  <si>
    <t>Vbag,co=3 ft3/person</t>
  </si>
  <si>
    <t>Cargo Container Type (LD-2, LD-3, LD-4, LD-5, LD-8)</t>
  </si>
  <si>
    <t>Table 5.4</t>
  </si>
  <si>
    <t>Cargo space (in lieu of Containers; for short range a/c) = Vchold (ft3/p)</t>
  </si>
  <si>
    <t>6&lt;Vchold&lt;8</t>
  </si>
  <si>
    <t>Number of Type I Emergency Exits</t>
  </si>
  <si>
    <t>Table 5.6</t>
  </si>
  <si>
    <t>specify (for your max passenger size)</t>
  </si>
  <si>
    <t>Number of Type II Emergency Exits</t>
  </si>
  <si>
    <t>Number of Type III Emergency Exits</t>
  </si>
  <si>
    <t>Number of Type IV Emergency Exits</t>
  </si>
  <si>
    <t>For 2 Pax, one (1) Type IV door</t>
  </si>
  <si>
    <t>Number of Tailcone Emergency Exits</t>
  </si>
  <si>
    <t>Number of Ventral Emergency Exits</t>
  </si>
  <si>
    <t>Number of Type A Emergency Exits</t>
  </si>
  <si>
    <t>Location or placement of all emergency exits</t>
  </si>
  <si>
    <t>Table 5.7</t>
  </si>
  <si>
    <t>specify (for each exit for your design)</t>
  </si>
  <si>
    <t>Crew comparment length = Lcrew (in)</t>
  </si>
  <si>
    <t>Section 5.1.2</t>
  </si>
  <si>
    <t>100&lt;Lcrew&lt;150</t>
  </si>
  <si>
    <t>Lcrew=100 in</t>
  </si>
  <si>
    <r>
      <t xml:space="preserve">Pilot Over-nose angle = </t>
    </r>
    <r>
      <rPr>
        <sz val="11"/>
        <color theme="1"/>
        <rFont val="Symbol"/>
        <family val="1"/>
        <charset val="2"/>
      </rPr>
      <t>a</t>
    </r>
    <r>
      <rPr>
        <vertAlign val="subscript"/>
        <sz val="11"/>
        <color theme="1"/>
        <rFont val="Calibri"/>
        <family val="2"/>
        <scheme val="minor"/>
      </rPr>
      <t>overnose</t>
    </r>
  </si>
  <si>
    <t>Table 5.8</t>
  </si>
  <si>
    <t>5 to 10 deg</t>
  </si>
  <si>
    <r>
      <t xml:space="preserve">Pilot Over-side angle = </t>
    </r>
    <r>
      <rPr>
        <sz val="11"/>
        <color theme="1"/>
        <rFont val="Symbol"/>
        <family val="1"/>
        <charset val="2"/>
      </rPr>
      <t>a</t>
    </r>
    <r>
      <rPr>
        <vertAlign val="subscript"/>
        <sz val="11"/>
        <color theme="1"/>
        <rFont val="Calibri"/>
        <family val="2"/>
        <scheme val="minor"/>
      </rPr>
      <t>overside</t>
    </r>
  </si>
  <si>
    <t>35 deg</t>
  </si>
  <si>
    <r>
      <t xml:space="preserve">Pilot Upward Viewing angle = </t>
    </r>
    <r>
      <rPr>
        <sz val="11"/>
        <color theme="1"/>
        <rFont val="Symbol"/>
        <family val="1"/>
        <charset val="2"/>
      </rPr>
      <t>a</t>
    </r>
    <r>
      <rPr>
        <vertAlign val="subscript"/>
        <sz val="11"/>
        <color theme="1"/>
        <rFont val="Calibri"/>
        <family val="2"/>
        <scheme val="minor"/>
      </rPr>
      <t>upview</t>
    </r>
  </si>
  <si>
    <t>aupview&gt;120 deg (combat); &gt;20 deg (all)</t>
  </si>
  <si>
    <r>
      <t xml:space="preserve">Grazing angle = </t>
    </r>
    <r>
      <rPr>
        <sz val="11"/>
        <color theme="1"/>
        <rFont val="Symbol"/>
        <family val="1"/>
        <charset val="2"/>
      </rPr>
      <t>a</t>
    </r>
    <r>
      <rPr>
        <vertAlign val="subscript"/>
        <sz val="11"/>
        <color theme="1"/>
        <rFont val="Calibri"/>
        <family val="2"/>
        <scheme val="minor"/>
      </rPr>
      <t xml:space="preserve">grazing  </t>
    </r>
    <r>
      <rPr>
        <sz val="10"/>
        <rFont val="Arial"/>
        <family val="2"/>
      </rPr>
      <t>(for combat and high speed aircraft)</t>
    </r>
  </si>
  <si>
    <t>Design fuel type (AV-gas, JP-4, JP-5 or JP-8)</t>
  </si>
  <si>
    <t>Table 5.9</t>
  </si>
  <si>
    <t>AV-gas for recips</t>
  </si>
  <si>
    <t>Av-Gas</t>
  </si>
  <si>
    <t>Design fuel specific volume (ft3/lb)</t>
  </si>
  <si>
    <t>Fuel Tank Type (Discete, Bladder or Integal)</t>
  </si>
  <si>
    <t>Section 5.1.3</t>
  </si>
  <si>
    <t>Discrete for small general aviation</t>
  </si>
  <si>
    <t>Discrete</t>
  </si>
  <si>
    <t>Inlet length = Linlet (for internal engines)</t>
  </si>
  <si>
    <t>Section 5.1.4</t>
  </si>
  <si>
    <t>Linlet=0.1*Lengine  for front mount</t>
  </si>
  <si>
    <t>Fuselage inverse fineness ratio = l/d (Mdesign&lt;1)</t>
  </si>
  <si>
    <t>Section 5.2.1</t>
  </si>
  <si>
    <t>8&lt;=l/d&lt;12.5  (0.08&lt;d/l&lt;0.125)</t>
  </si>
  <si>
    <t>l/d=5</t>
  </si>
  <si>
    <t>l/d=5 is nearer the optimum of 3.3 for low drag</t>
  </si>
  <si>
    <t>Fuselage inverse fineness ratio = l/d (Mdesign&gt;1 for ~50% mission)</t>
  </si>
  <si>
    <t>8&lt;=l/d&lt;10  (0.10&lt;d/l&lt;0.125)</t>
  </si>
  <si>
    <t>Fuselage inverse fineness ratio = l/d (Mdesign&gt;1 for ~80% mission)</t>
  </si>
  <si>
    <t>10&lt;=l/d&lt;20  (0.05&lt;d/l&lt;0.10)</t>
  </si>
  <si>
    <r>
      <t xml:space="preserve">Aft fuselage upsweep angle = </t>
    </r>
    <r>
      <rPr>
        <sz val="11"/>
        <color theme="1"/>
        <rFont val="Symbol"/>
        <family val="1"/>
        <charset val="2"/>
      </rPr>
      <t>a</t>
    </r>
    <r>
      <rPr>
        <vertAlign val="subscript"/>
        <sz val="11"/>
        <color theme="1"/>
        <rFont val="Calibri"/>
        <family val="2"/>
        <scheme val="minor"/>
      </rPr>
      <t>upsweep</t>
    </r>
  </si>
  <si>
    <t>Section 5.2.2</t>
  </si>
  <si>
    <t>??</t>
  </si>
  <si>
    <t>need a 3D solid model for this</t>
  </si>
  <si>
    <r>
      <t xml:space="preserve">Aft fuselage total divergence angle = </t>
    </r>
    <r>
      <rPr>
        <sz val="11"/>
        <color theme="1"/>
        <rFont val="Symbol"/>
        <family val="1"/>
        <charset val="2"/>
      </rPr>
      <t>a</t>
    </r>
    <r>
      <rPr>
        <vertAlign val="subscript"/>
        <sz val="11"/>
        <color theme="1"/>
        <rFont val="Calibri"/>
        <family val="2"/>
        <scheme val="minor"/>
      </rPr>
      <t>divergence</t>
    </r>
  </si>
  <si>
    <t>Vertical Stabilizer volume coefficient = Cvt</t>
  </si>
  <si>
    <t>Table 6.1</t>
  </si>
  <si>
    <t>Homebuilt Cvt=0.04</t>
  </si>
  <si>
    <t>Aft Horizontal Stabilizer volume coefficient = Cht</t>
  </si>
  <si>
    <t>Homebuilt Cht=0.50</t>
  </si>
  <si>
    <t>Control-Canard volume coefficient = Cc</t>
  </si>
  <si>
    <t>Table 6.2</t>
  </si>
  <si>
    <t>Lifting canard %Lift relative to wing</t>
  </si>
  <si>
    <t>Section6.2.3</t>
  </si>
  <si>
    <t>0.15 &lt; Lc/Lwing &lt; 0.25</t>
  </si>
  <si>
    <t>Cvt and Cht for T-Tails</t>
  </si>
  <si>
    <t>Table 6.3</t>
  </si>
  <si>
    <t>Cvt,t-tail / Cvt, conv. tail = 0.95</t>
  </si>
  <si>
    <t>Cvt and Cht for H-Tails</t>
  </si>
  <si>
    <t>Cvt,h-tail / Cvt, conv. tail = 0.50; Cht/Cht=0.95</t>
  </si>
  <si>
    <t>Cvt and Cht for V-Tails</t>
  </si>
  <si>
    <t>Cvt,v-tail / Cvt, conv. tail = 1.00</t>
  </si>
  <si>
    <t>Vertical Stabilizer moment arm = lvt</t>
  </si>
  <si>
    <t>Table 6.4</t>
  </si>
  <si>
    <t>Front-Mounted Prop. Lvt/lfuselage=0.6</t>
  </si>
  <si>
    <t>Aft Horizontal Stabilizer moment arm = lht</t>
  </si>
  <si>
    <t>Control-Canard Stabilizer moment arm = lc</t>
  </si>
  <si>
    <t>specify (for your engine mount  type)</t>
  </si>
  <si>
    <t>Vertical Stabilizer aspect ratio = Avt</t>
  </si>
  <si>
    <t>Table 6.5</t>
  </si>
  <si>
    <t>Other … 1.3&lt;Avt&lt;2.0</t>
  </si>
  <si>
    <t>Avt=1.3</t>
  </si>
  <si>
    <t>Aft Horizontal Stabilizer aspect ratio = Aht</t>
  </si>
  <si>
    <t>Other … 3&lt;Aht&lt;5</t>
  </si>
  <si>
    <t>Aht=4</t>
  </si>
  <si>
    <t>Control-Canard Stabilizer aspect ratio = Ac</t>
  </si>
  <si>
    <r>
      <t>Vertical Stabilizer leading edge sweep angle = (</t>
    </r>
    <r>
      <rPr>
        <sz val="11"/>
        <color theme="1"/>
        <rFont val="Symbol"/>
        <family val="1"/>
        <charset val="2"/>
      </rPr>
      <t>L</t>
    </r>
    <r>
      <rPr>
        <vertAlign val="subscript"/>
        <sz val="11"/>
        <color theme="1"/>
        <rFont val="Calibri"/>
        <family val="2"/>
        <scheme val="minor"/>
      </rPr>
      <t>LE</t>
    </r>
    <r>
      <rPr>
        <sz val="10"/>
        <rFont val="Arial"/>
        <family val="2"/>
      </rPr>
      <t>)vt  (subsonic)</t>
    </r>
  </si>
  <si>
    <t>Section 6.3</t>
  </si>
  <si>
    <r>
      <t>Vertical Stabilizer leading edge sweep angle = (</t>
    </r>
    <r>
      <rPr>
        <sz val="11"/>
        <color theme="1"/>
        <rFont val="Symbol"/>
        <family val="1"/>
        <charset val="2"/>
      </rPr>
      <t>L</t>
    </r>
    <r>
      <rPr>
        <vertAlign val="subscript"/>
        <sz val="11"/>
        <color theme="1"/>
        <rFont val="Calibri"/>
        <family val="2"/>
        <scheme val="minor"/>
      </rPr>
      <t>LE</t>
    </r>
    <r>
      <rPr>
        <sz val="10"/>
        <rFont val="Arial"/>
        <family val="2"/>
      </rPr>
      <t>)vt  (supersonic)</t>
    </r>
  </si>
  <si>
    <r>
      <t>Aft Horizontal Stabilizer leading edge sweep angle = (</t>
    </r>
    <r>
      <rPr>
        <sz val="11"/>
        <color theme="1"/>
        <rFont val="Symbol"/>
        <family val="1"/>
        <charset val="2"/>
      </rPr>
      <t>L</t>
    </r>
    <r>
      <rPr>
        <vertAlign val="subscript"/>
        <sz val="11"/>
        <color theme="1"/>
        <rFont val="Calibri"/>
        <family val="2"/>
        <scheme val="minor"/>
      </rPr>
      <t>LE</t>
    </r>
    <r>
      <rPr>
        <sz val="10"/>
        <rFont val="Arial"/>
        <family val="2"/>
      </rPr>
      <t>)ht</t>
    </r>
  </si>
  <si>
    <t>15 deg</t>
  </si>
  <si>
    <t>For style</t>
  </si>
  <si>
    <t>Vertical Stabilizer airfoil section type</t>
  </si>
  <si>
    <t>Section 6.4</t>
  </si>
  <si>
    <t>Symmetric</t>
  </si>
  <si>
    <t>Aft Horizontal Stabilizer airfoil section type</t>
  </si>
  <si>
    <t>Control-Canard Stabilizer airfoil section type</t>
  </si>
  <si>
    <t>Aft Horizontal Stabilizer placement for Stall Control</t>
  </si>
  <si>
    <t>Figure 6.9</t>
  </si>
  <si>
    <t>Hht=0</t>
  </si>
  <si>
    <t>Vertical Stabilizer placement to ensure Spin Recovery</t>
  </si>
  <si>
    <t>Figure 6.10</t>
  </si>
  <si>
    <t>30% of Rudder outside H-Stab wake</t>
  </si>
  <si>
    <r>
      <t>Vertical Stabilizer trailing edge sweep angle = (</t>
    </r>
    <r>
      <rPr>
        <sz val="11"/>
        <color theme="1"/>
        <rFont val="Symbol"/>
        <family val="1"/>
        <charset val="2"/>
      </rPr>
      <t>L</t>
    </r>
    <r>
      <rPr>
        <vertAlign val="subscript"/>
        <sz val="11"/>
        <color theme="1"/>
        <rFont val="Calibri"/>
        <family val="2"/>
        <scheme val="minor"/>
      </rPr>
      <t>TE</t>
    </r>
    <r>
      <rPr>
        <sz val="10"/>
        <rFont val="Arial"/>
        <family val="2"/>
      </rPr>
      <t>)vt</t>
    </r>
  </si>
  <si>
    <t>Section 6.6.1</t>
  </si>
  <si>
    <t>Design Thrust-to-Weight Ratio</t>
  </si>
  <si>
    <t>Table 7.1</t>
  </si>
  <si>
    <t>Engine Scale Factor = T/Tref or P/Pref</t>
  </si>
  <si>
    <t>Section 7.4</t>
  </si>
  <si>
    <t>0.5&lt;T/Tref&lt;1.5</t>
  </si>
  <si>
    <t>Tip mach number of propeller blades</t>
  </si>
  <si>
    <t>Section 7.5.1</t>
  </si>
  <si>
    <t>Mtip&lt;0.85</t>
  </si>
  <si>
    <t>Ground clearance of propeller blade tip</t>
  </si>
  <si>
    <t>Clearance &gt; 1 m</t>
  </si>
  <si>
    <t>Fuselage clearance of propeller blade tip</t>
  </si>
  <si>
    <t>Takeoff velocity (lift off velocity) = VTO</t>
  </si>
  <si>
    <t>Table 8.1</t>
  </si>
  <si>
    <t>VTO&gt;=1.1*Vstall</t>
  </si>
  <si>
    <t>Climb velocity (speed at obstacle) = VCL</t>
  </si>
  <si>
    <t>VCL&gt;=1.1*Vstall (FAR Part 23), else VCL&gt;=1.2*Vstall</t>
  </si>
  <si>
    <t>Obstacle height for takeoff = Hobs</t>
  </si>
  <si>
    <t>Hobs=35 ft (FAR Part 25), else Hobs=50 ft</t>
  </si>
  <si>
    <t>Safety factor on takeoff field length = F,sto  (Sto=F,sto*Sto,calculated)</t>
  </si>
  <si>
    <t>F,sto=1.15 (FAR Part 25), else F,sto=1.0</t>
  </si>
  <si>
    <t>Rolling Friction Coefficient = mu,r</t>
  </si>
  <si>
    <t>Table 8.2</t>
  </si>
  <si>
    <t>specify (for your design takeoff surface)</t>
  </si>
  <si>
    <t>Braking Friction Coefficient = mu,b</t>
  </si>
  <si>
    <t>Table 8.5</t>
  </si>
  <si>
    <t>specify (for your design landing surface)</t>
  </si>
  <si>
    <t>Screen velocity (velocity at obstacle) = VSC</t>
  </si>
  <si>
    <t>Table 8.4</t>
  </si>
  <si>
    <t>VSC&gt;=1.2*Vstall (Mil), else VSC&gt;=1.3*Vstall</t>
  </si>
  <si>
    <t>Touchdown velocity = VTD</t>
  </si>
  <si>
    <t>VTD&gt;=1.1*Vstall (Mil), else VTD&gt;=1.15*Vstall</t>
  </si>
  <si>
    <t>Obstacle height for landing = Hobs</t>
  </si>
  <si>
    <t>Safety factor on landing field length = F,sl  (Sl=F,sl*Sl,calculated)</t>
  </si>
  <si>
    <t>F,sl=1.60 (FAR Part 25), else F,sl=1.0</t>
  </si>
  <si>
    <t>Reference wing area w/Fowler flaps deployed = Sref, flaps</t>
  </si>
  <si>
    <t>Section 9.1</t>
  </si>
  <si>
    <t>Sref,flaps = 1.15*Sref</t>
  </si>
  <si>
    <t>Limit Load Factor</t>
  </si>
  <si>
    <t>Table 10.1</t>
  </si>
  <si>
    <t>Maneuver Load Factor for Commercial Transports (Part 25)</t>
  </si>
  <si>
    <t>Table 10.2
Figure 10.1</t>
  </si>
  <si>
    <t>Statistical Gust Velocities</t>
  </si>
  <si>
    <t>Table 10.3
Figure 10.4</t>
  </si>
  <si>
    <t>High Angle-of-Attack:  0-20K/66 fps, 50K/38 fps
Level Flight: 0-20K/50 fps, 50K/25 fps
Dive Condition: 0-20K/25 fps, 50K/12.5 fps</t>
  </si>
  <si>
    <t>Compliant
Compliant
Compliant</t>
  </si>
  <si>
    <t>Y
Y
Y</t>
  </si>
  <si>
    <t>Hard wired.</t>
  </si>
  <si>
    <t>Safety Factor</t>
  </si>
  <si>
    <t>Section 10.1.3</t>
  </si>
  <si>
    <t>SF=1.5</t>
  </si>
  <si>
    <t>Use of Magnesium</t>
  </si>
  <si>
    <t>Section 10.3.1</t>
  </si>
  <si>
    <t>Use of Composites</t>
  </si>
  <si>
    <t>Component weight estimates (Staton, 1968-69 and Jackson 1971)</t>
  </si>
  <si>
    <t>Tables 11.1-11.7
Equ's 11.1-11.6</t>
  </si>
  <si>
    <t>257-
262</t>
  </si>
  <si>
    <t>Use Corke component weight estimates</t>
  </si>
  <si>
    <t>Specify compliance OR scale factors, OR other</t>
  </si>
  <si>
    <r>
      <t xml:space="preserve">Horizontal Tail "Efficiency" = </t>
    </r>
    <r>
      <rPr>
        <sz val="11"/>
        <color theme="1"/>
        <rFont val="Symbol"/>
        <family val="1"/>
        <charset val="2"/>
      </rPr>
      <t>h</t>
    </r>
    <r>
      <rPr>
        <sz val="10"/>
        <rFont val="Arial"/>
        <family val="2"/>
      </rPr>
      <t>HT</t>
    </r>
  </si>
  <si>
    <t>Equ. 11.11</t>
  </si>
  <si>
    <r>
      <rPr>
        <sz val="11"/>
        <color theme="1"/>
        <rFont val="Symbol"/>
        <family val="1"/>
        <charset val="2"/>
      </rPr>
      <t>h</t>
    </r>
    <r>
      <rPr>
        <sz val="10"/>
        <rFont val="Arial"/>
        <family val="2"/>
      </rPr>
      <t xml:space="preserve">HT&lt;1 for aft horizontal stabilizers
</t>
    </r>
    <r>
      <rPr>
        <sz val="11"/>
        <color theme="1"/>
        <rFont val="Symbol"/>
        <family val="1"/>
        <charset val="2"/>
      </rPr>
      <t>h</t>
    </r>
    <r>
      <rPr>
        <sz val="10"/>
        <rFont val="Arial"/>
        <family val="2"/>
      </rPr>
      <t>HT=1 for canards</t>
    </r>
  </si>
  <si>
    <r>
      <t>Horizontal Tail Downwash Factor, de/d</t>
    </r>
    <r>
      <rPr>
        <sz val="11"/>
        <color theme="1"/>
        <rFont val="Symbol"/>
        <family val="1"/>
        <charset val="2"/>
      </rPr>
      <t>a</t>
    </r>
  </si>
  <si>
    <t>Figure 11.3</t>
  </si>
  <si>
    <r>
      <rPr>
        <sz val="11"/>
        <color theme="1"/>
        <rFont val="Symbol"/>
        <family val="1"/>
        <charset val="2"/>
      </rPr>
      <t>a</t>
    </r>
    <r>
      <rPr>
        <sz val="10"/>
        <rFont val="Arial"/>
        <family val="2"/>
      </rPr>
      <t>HT = (1-de/da)*</t>
    </r>
    <r>
      <rPr>
        <sz val="11"/>
        <color theme="1"/>
        <rFont val="Symbol"/>
        <family val="1"/>
        <charset val="2"/>
      </rPr>
      <t>a</t>
    </r>
    <r>
      <rPr>
        <sz val="10"/>
        <rFont val="Arial"/>
        <family val="2"/>
      </rPr>
      <t xml:space="preserve">wing for aft horizontal stabilizers
</t>
    </r>
    <r>
      <rPr>
        <sz val="11"/>
        <color theme="1"/>
        <rFont val="Symbol"/>
        <family val="1"/>
        <charset val="2"/>
      </rPr>
      <t>a</t>
    </r>
    <r>
      <rPr>
        <sz val="10"/>
        <rFont val="Arial"/>
        <family val="2"/>
      </rPr>
      <t xml:space="preserve">HT = </t>
    </r>
    <r>
      <rPr>
        <sz val="11"/>
        <color theme="1"/>
        <rFont val="Symbol"/>
        <family val="1"/>
        <charset val="2"/>
      </rPr>
      <t>a</t>
    </r>
    <r>
      <rPr>
        <sz val="10"/>
        <rFont val="Arial"/>
        <family val="2"/>
      </rPr>
      <t>wing for canards</t>
    </r>
  </si>
  <si>
    <r>
      <t>Engine Inlet Turning Angle derivative, d</t>
    </r>
    <r>
      <rPr>
        <sz val="11"/>
        <color theme="1"/>
        <rFont val="Symbol"/>
        <family val="1"/>
        <charset val="2"/>
      </rPr>
      <t>b</t>
    </r>
    <r>
      <rPr>
        <sz val="10"/>
        <rFont val="Arial"/>
        <family val="2"/>
      </rPr>
      <t>/d</t>
    </r>
    <r>
      <rPr>
        <sz val="11"/>
        <color theme="1"/>
        <rFont val="Symbol"/>
        <family val="1"/>
        <charset val="2"/>
      </rPr>
      <t>a</t>
    </r>
  </si>
  <si>
    <t>Equ. 11.23-11.24
Figure 11.5</t>
  </si>
  <si>
    <t>267, 268</t>
  </si>
  <si>
    <r>
      <t>d</t>
    </r>
    <r>
      <rPr>
        <sz val="11"/>
        <color theme="1"/>
        <rFont val="Symbol"/>
        <family val="1"/>
        <charset val="2"/>
      </rPr>
      <t>b</t>
    </r>
    <r>
      <rPr>
        <sz val="10"/>
        <rFont val="Arial"/>
        <family val="2"/>
      </rPr>
      <t>/d</t>
    </r>
    <r>
      <rPr>
        <sz val="11"/>
        <color theme="1"/>
        <rFont val="Symbol"/>
        <family val="1"/>
        <charset val="2"/>
      </rPr>
      <t>a</t>
    </r>
    <r>
      <rPr>
        <sz val="10"/>
        <rFont val="Arial"/>
        <family val="2"/>
      </rPr>
      <t>=1 for M&gt;1 (supersonic)
d</t>
    </r>
    <r>
      <rPr>
        <sz val="11"/>
        <color theme="1"/>
        <rFont val="Symbol"/>
        <family val="1"/>
        <charset val="2"/>
      </rPr>
      <t>b</t>
    </r>
    <r>
      <rPr>
        <sz val="10"/>
        <rFont val="Arial"/>
        <family val="2"/>
      </rPr>
      <t>/d</t>
    </r>
    <r>
      <rPr>
        <sz val="11"/>
        <color theme="1"/>
        <rFont val="Symbol"/>
        <family val="1"/>
        <charset val="2"/>
      </rPr>
      <t>a</t>
    </r>
    <r>
      <rPr>
        <sz val="10"/>
        <rFont val="Arial"/>
        <family val="2"/>
      </rPr>
      <t>=(1-de/da)xI/lHT  for M&lt;1 AND downstream inlets
d</t>
    </r>
    <r>
      <rPr>
        <sz val="11"/>
        <color theme="1"/>
        <rFont val="Symbol"/>
        <family val="1"/>
        <charset val="2"/>
      </rPr>
      <t>b</t>
    </r>
    <r>
      <rPr>
        <sz val="10"/>
        <rFont val="Arial"/>
        <family val="2"/>
      </rPr>
      <t>/d</t>
    </r>
    <r>
      <rPr>
        <sz val="11"/>
        <color theme="1"/>
        <rFont val="Symbol"/>
        <family val="1"/>
        <charset val="2"/>
      </rPr>
      <t>a</t>
    </r>
    <r>
      <rPr>
        <sz val="10"/>
        <rFont val="Arial"/>
        <family val="2"/>
      </rPr>
      <t>=f(Li/mac)  for M&lt;1 and upstream inlets</t>
    </r>
  </si>
  <si>
    <t>Longitudinal (Pitch) Static Stability Coefficient, Cma</t>
  </si>
  <si>
    <t>Section 11.2.1</t>
  </si>
  <si>
    <t>262-268</t>
  </si>
  <si>
    <t xml:space="preserve"> -1.5 &lt; Cma &lt; -0.16</t>
  </si>
  <si>
    <r>
      <t>Lateral (Roll) Static Stability Coefficient, Cl</t>
    </r>
    <r>
      <rPr>
        <sz val="11"/>
        <color theme="1"/>
        <rFont val="Symbol"/>
        <family val="1"/>
        <charset val="2"/>
      </rPr>
      <t>b</t>
    </r>
  </si>
  <si>
    <t>Section 11.2.2</t>
  </si>
  <si>
    <t>268-270</t>
  </si>
  <si>
    <r>
      <t xml:space="preserve"> -0.08 &lt; Cl</t>
    </r>
    <r>
      <rPr>
        <sz val="11"/>
        <color theme="1"/>
        <rFont val="Symbol"/>
        <family val="1"/>
        <charset val="2"/>
      </rPr>
      <t xml:space="preserve">b </t>
    </r>
    <r>
      <rPr>
        <sz val="10"/>
        <rFont val="Arial"/>
        <family val="2"/>
      </rPr>
      <t>&lt; -0.28</t>
    </r>
  </si>
  <si>
    <r>
      <t>Directional (Yaw) Static Stability Coefficient, Cn</t>
    </r>
    <r>
      <rPr>
        <sz val="11"/>
        <color theme="1"/>
        <rFont val="Symbol"/>
        <family val="1"/>
        <charset val="2"/>
      </rPr>
      <t>b</t>
    </r>
  </si>
  <si>
    <t>Section 11.2.3</t>
  </si>
  <si>
    <t>270-273</t>
  </si>
  <si>
    <r>
      <t xml:space="preserve"> 0.08 &lt; Cn</t>
    </r>
    <r>
      <rPr>
        <sz val="11"/>
        <color theme="1"/>
        <rFont val="Symbol"/>
        <family val="1"/>
        <charset val="2"/>
      </rPr>
      <t xml:space="preserve">b </t>
    </r>
    <r>
      <rPr>
        <sz val="10"/>
        <rFont val="Arial"/>
        <family val="2"/>
      </rPr>
      <t>&lt; 0.28</t>
    </r>
  </si>
  <si>
    <t>Trim Drag = Dtrim at Wo</t>
  </si>
  <si>
    <t>Section 11.2.6</t>
  </si>
  <si>
    <t>277-282</t>
  </si>
  <si>
    <t>Dtrim &lt;= Dtot/10</t>
  </si>
  <si>
    <t>Trim Drag = Dtrim at We</t>
  </si>
  <si>
    <t>Cost Estimating Relationships (CER)</t>
  </si>
  <si>
    <t>Section 12.1</t>
  </si>
  <si>
    <t>299-305</t>
  </si>
  <si>
    <t>Use 1970 CER and 1987 CER to estimate cost</t>
  </si>
  <si>
    <t>Account for Inflation using Current Year Dollars</t>
  </si>
  <si>
    <t>Equ's 12.1 and 12.2</t>
  </si>
  <si>
    <t>Design Summary</t>
  </si>
  <si>
    <t>Table 13.1</t>
  </si>
  <si>
    <t>314-317</t>
  </si>
  <si>
    <t>Compare and contrast final design vs. competitors</t>
  </si>
  <si>
    <t>Trade Study:  Y=Design Driver(s),  X=TBD</t>
  </si>
  <si>
    <t>Section 13.1</t>
  </si>
  <si>
    <t>317-322</t>
  </si>
  <si>
    <t>Determine best values for X's to optimize Design Driver's</t>
  </si>
  <si>
    <t xml:space="preserve">Reference: "Aerodynamics, Aeronautics and Flight Mechanics", BW McCormick, John Wiley &amp; Sons, 1979
</t>
  </si>
  <si>
    <t>McCormick's Strip Analysis Calculation, Single Rotation Propellers</t>
  </si>
  <si>
    <t>Blade Element Theory, Linearly Twisted Blades</t>
  </si>
  <si>
    <t>Input</t>
  </si>
  <si>
    <t>x=r/R</t>
  </si>
  <si>
    <t>Delta Temp, ambient</t>
  </si>
  <si>
    <t>chord, c</t>
  </si>
  <si>
    <t>ISA Ambient Temperature</t>
  </si>
  <si>
    <t>degR</t>
  </si>
  <si>
    <t>Upper Co-ordinate</t>
  </si>
  <si>
    <t>ISA Speed of Sound</t>
  </si>
  <si>
    <t>Lower Co-ordinate</t>
  </si>
  <si>
    <r>
      <t>s</t>
    </r>
    <r>
      <rPr>
        <vertAlign val="subscript"/>
        <sz val="10"/>
        <rFont val="Arial"/>
        <family val="2"/>
      </rPr>
      <t>x</t>
    </r>
    <r>
      <rPr>
        <sz val="10"/>
        <rFont val="Symbol"/>
        <family val="1"/>
        <charset val="2"/>
      </rPr>
      <t xml:space="preserve"> </t>
    </r>
    <r>
      <rPr>
        <sz val="10"/>
        <rFont val="Arial"/>
        <family val="2"/>
      </rPr>
      <t>=Bc/</t>
    </r>
    <r>
      <rPr>
        <sz val="10"/>
        <rFont val="Symbol"/>
        <family val="1"/>
        <charset val="2"/>
      </rPr>
      <t>p</t>
    </r>
    <r>
      <rPr>
        <sz val="10"/>
        <rFont val="Arial"/>
        <family val="2"/>
      </rPr>
      <t>r</t>
    </r>
  </si>
  <si>
    <t>Ambient Speed of Sound</t>
  </si>
  <si>
    <r>
      <t>V</t>
    </r>
    <r>
      <rPr>
        <vertAlign val="subscript"/>
        <sz val="10"/>
        <rFont val="Arial"/>
        <family val="2"/>
      </rPr>
      <t>r</t>
    </r>
    <r>
      <rPr>
        <sz val="10"/>
        <rFont val="Arial"/>
        <family val="2"/>
      </rPr>
      <t>/V</t>
    </r>
    <r>
      <rPr>
        <vertAlign val="subscript"/>
        <sz val="10"/>
        <rFont val="Arial"/>
        <family val="2"/>
      </rPr>
      <t>T</t>
    </r>
  </si>
  <si>
    <t>Ambient Pressure</t>
  </si>
  <si>
    <t>psi</t>
  </si>
  <si>
    <r>
      <t xml:space="preserve">Ambient Density, </t>
    </r>
    <r>
      <rPr>
        <sz val="10"/>
        <rFont val="Symbol"/>
        <family val="1"/>
        <charset val="2"/>
      </rPr>
      <t>r</t>
    </r>
  </si>
  <si>
    <r>
      <t>f</t>
    </r>
    <r>
      <rPr>
        <sz val="10"/>
        <rFont val="Arial"/>
        <family val="2"/>
      </rPr>
      <t xml:space="preserve"> = atan(</t>
    </r>
    <r>
      <rPr>
        <sz val="10"/>
        <rFont val="Symbol"/>
        <family val="1"/>
        <charset val="2"/>
      </rPr>
      <t>l</t>
    </r>
    <r>
      <rPr>
        <sz val="10"/>
        <rFont val="Arial"/>
        <family val="2"/>
      </rPr>
      <t>/x)</t>
    </r>
  </si>
  <si>
    <t>rad</t>
  </si>
  <si>
    <t>Freestream Velocity, V</t>
  </si>
  <si>
    <r>
      <t xml:space="preserve">Pitch Angle, </t>
    </r>
    <r>
      <rPr>
        <sz val="10"/>
        <rFont val="Symbol"/>
        <family val="1"/>
        <charset val="2"/>
      </rPr>
      <t>q</t>
    </r>
  </si>
  <si>
    <t>Free stream Mach No., Ma</t>
  </si>
  <si>
    <t>No. of Blades, B</t>
  </si>
  <si>
    <t>Diameter, D</t>
  </si>
  <si>
    <t>Prop Rotational Speed, N</t>
  </si>
  <si>
    <t>rpm</t>
  </si>
  <si>
    <t>Prop Rotational Speed, n</t>
  </si>
  <si>
    <t>rps</t>
  </si>
  <si>
    <r>
      <t xml:space="preserve">Induced </t>
    </r>
    <r>
      <rPr>
        <sz val="10"/>
        <rFont val="Symbol"/>
        <family val="1"/>
        <charset val="2"/>
      </rPr>
      <t xml:space="preserve">a </t>
    </r>
    <r>
      <rPr>
        <vertAlign val="subscript"/>
        <sz val="10"/>
        <rFont val="Arial"/>
        <family val="2"/>
      </rPr>
      <t>i</t>
    </r>
  </si>
  <si>
    <r>
      <t xml:space="preserve">Prop Rotational Speed, </t>
    </r>
    <r>
      <rPr>
        <sz val="10"/>
        <rFont val="Symbol"/>
        <family val="1"/>
        <charset val="2"/>
      </rPr>
      <t>w</t>
    </r>
  </si>
  <si>
    <t>rad/s</t>
  </si>
  <si>
    <r>
      <t>Tip Speed, V</t>
    </r>
    <r>
      <rPr>
        <vertAlign val="subscript"/>
        <sz val="10"/>
        <rFont val="Arial"/>
        <family val="2"/>
      </rPr>
      <t>T</t>
    </r>
    <r>
      <rPr>
        <sz val="10"/>
        <rFont val="Arial"/>
        <family val="2"/>
      </rPr>
      <t xml:space="preserve"> = </t>
    </r>
    <r>
      <rPr>
        <sz val="10"/>
        <rFont val="Symbol"/>
        <family val="1"/>
        <charset val="2"/>
      </rPr>
      <t>w</t>
    </r>
    <r>
      <rPr>
        <sz val="10"/>
        <rFont val="Arial"/>
        <family val="2"/>
      </rPr>
      <t xml:space="preserve">R = </t>
    </r>
    <r>
      <rPr>
        <sz val="10"/>
        <rFont val="Symbol"/>
        <family val="1"/>
        <charset val="2"/>
      </rPr>
      <t>p</t>
    </r>
    <r>
      <rPr>
        <sz val="10"/>
        <rFont val="Arial"/>
        <family val="2"/>
      </rPr>
      <t>nD</t>
    </r>
  </si>
  <si>
    <r>
      <t xml:space="preserve">Actual </t>
    </r>
    <r>
      <rPr>
        <sz val="10"/>
        <rFont val="Symbol"/>
        <family val="1"/>
        <charset val="2"/>
      </rPr>
      <t>a</t>
    </r>
  </si>
  <si>
    <t>Tip Mach</t>
  </si>
  <si>
    <t>Advance Ratio, J=V/nD</t>
  </si>
  <si>
    <t>1/rev</t>
  </si>
  <si>
    <r>
      <t>C</t>
    </r>
    <r>
      <rPr>
        <vertAlign val="subscript"/>
        <sz val="10"/>
        <rFont val="Arial"/>
        <family val="2"/>
      </rPr>
      <t>L</t>
    </r>
  </si>
  <si>
    <r>
      <t xml:space="preserve">Inflow Ratio, </t>
    </r>
    <r>
      <rPr>
        <sz val="10"/>
        <rFont val="Symbol"/>
        <family val="1"/>
        <charset val="2"/>
      </rPr>
      <t>l</t>
    </r>
    <r>
      <rPr>
        <sz val="10"/>
        <rFont val="Arial"/>
        <family val="2"/>
      </rPr>
      <t>=V/</t>
    </r>
    <r>
      <rPr>
        <sz val="10"/>
        <rFont val="Symbol"/>
        <family val="1"/>
        <charset val="2"/>
      </rPr>
      <t>w</t>
    </r>
    <r>
      <rPr>
        <sz val="10"/>
        <rFont val="Arial"/>
        <family val="2"/>
      </rPr>
      <t>R</t>
    </r>
  </si>
  <si>
    <r>
      <t>C</t>
    </r>
    <r>
      <rPr>
        <vertAlign val="subscript"/>
        <sz val="10"/>
        <rFont val="Arial"/>
        <family val="2"/>
      </rPr>
      <t>D</t>
    </r>
  </si>
  <si>
    <t>Lift Curve Slope, a</t>
  </si>
  <si>
    <t>1/rad</t>
  </si>
  <si>
    <r>
      <t>L/D = C</t>
    </r>
    <r>
      <rPr>
        <vertAlign val="subscript"/>
        <sz val="10"/>
        <rFont val="Arial"/>
        <family val="2"/>
      </rPr>
      <t>L</t>
    </r>
    <r>
      <rPr>
        <sz val="10"/>
        <rFont val="Arial"/>
        <family val="2"/>
      </rPr>
      <t>/C</t>
    </r>
    <r>
      <rPr>
        <vertAlign val="subscript"/>
        <sz val="10"/>
        <rFont val="Arial"/>
        <family val="2"/>
      </rPr>
      <t>D</t>
    </r>
  </si>
  <si>
    <r>
      <t>dC</t>
    </r>
    <r>
      <rPr>
        <vertAlign val="subscript"/>
        <sz val="10"/>
        <rFont val="Arial"/>
        <family val="2"/>
      </rPr>
      <t>T</t>
    </r>
    <r>
      <rPr>
        <sz val="10"/>
        <rFont val="Arial"/>
        <family val="2"/>
      </rPr>
      <t>/dx</t>
    </r>
  </si>
  <si>
    <t>K</t>
  </si>
  <si>
    <r>
      <t>dC</t>
    </r>
    <r>
      <rPr>
        <vertAlign val="subscript"/>
        <sz val="10"/>
        <rFont val="Arial"/>
        <family val="2"/>
      </rPr>
      <t>P</t>
    </r>
    <r>
      <rPr>
        <sz val="10"/>
        <rFont val="Arial"/>
        <family val="2"/>
      </rPr>
      <t>/dx</t>
    </r>
  </si>
  <si>
    <t>Clo</t>
  </si>
  <si>
    <r>
      <t>Blade Twist, d</t>
    </r>
    <r>
      <rPr>
        <sz val="10"/>
        <rFont val="Symbol"/>
        <family val="1"/>
        <charset val="2"/>
      </rPr>
      <t>q</t>
    </r>
    <r>
      <rPr>
        <sz val="10"/>
        <rFont val="Arial"/>
        <family val="2"/>
      </rPr>
      <t>/dx</t>
    </r>
  </si>
  <si>
    <t>Propeller Design Summary</t>
  </si>
  <si>
    <r>
      <t xml:space="preserve">Blade Pitch, </t>
    </r>
    <r>
      <rPr>
        <sz val="10"/>
        <rFont val="Symbol"/>
        <family val="1"/>
        <charset val="2"/>
      </rPr>
      <t>q</t>
    </r>
    <r>
      <rPr>
        <vertAlign val="subscript"/>
        <sz val="10"/>
        <rFont val="Arial"/>
        <family val="2"/>
      </rPr>
      <t>3/4</t>
    </r>
  </si>
  <si>
    <t>Disk Loading</t>
  </si>
  <si>
    <r>
      <t xml:space="preserve">Solidity </t>
    </r>
    <r>
      <rPr>
        <sz val="10"/>
        <rFont val="Symbol"/>
        <family val="1"/>
        <charset val="2"/>
      </rPr>
      <t>s</t>
    </r>
    <r>
      <rPr>
        <sz val="10"/>
        <rFont val="Arial"/>
        <family val="2"/>
      </rPr>
      <t xml:space="preserve"> = bc/</t>
    </r>
    <r>
      <rPr>
        <sz val="10"/>
        <rFont val="Symbol"/>
        <family val="1"/>
        <charset val="2"/>
      </rPr>
      <t>p</t>
    </r>
    <r>
      <rPr>
        <sz val="10"/>
        <rFont val="Arial"/>
        <family val="2"/>
      </rPr>
      <t>R</t>
    </r>
  </si>
  <si>
    <t>CT - Thrust Coefficient</t>
  </si>
  <si>
    <t>CP - Power Coefficient</t>
  </si>
  <si>
    <r>
      <rPr>
        <sz val="10"/>
        <rFont val="Arial"/>
        <family val="2"/>
      </rPr>
      <t>Efficiency -</t>
    </r>
    <r>
      <rPr>
        <sz val="10"/>
        <rFont val="Symbol"/>
        <family val="1"/>
        <charset val="2"/>
      </rPr>
      <t xml:space="preserve"> h</t>
    </r>
  </si>
  <si>
    <t>shp</t>
  </si>
  <si>
    <t>Cruise 1</t>
  </si>
  <si>
    <t>Loiter 2</t>
  </si>
  <si>
    <t>Cruise 2</t>
  </si>
  <si>
    <t>Loiter 3</t>
  </si>
  <si>
    <t>Ambient Density, r</t>
  </si>
  <si>
    <t>Prop Rotational Speed, w</t>
  </si>
  <si>
    <t>Tip Speed, VT = wR = pnD</t>
  </si>
  <si>
    <t>Inflow Ratio, l=V/wR</t>
  </si>
  <si>
    <t>Blade Twist, dq/dx</t>
  </si>
  <si>
    <t>Blade Bite Angle</t>
  </si>
  <si>
    <t>Blade Root Chord</t>
  </si>
  <si>
    <t>Blade Tip Chord</t>
  </si>
  <si>
    <t>Drag/Thrust</t>
  </si>
  <si>
    <t>Tip Mach Limit</t>
  </si>
  <si>
    <r>
      <rPr>
        <b/>
        <sz val="11"/>
        <rFont val="Arial"/>
        <family val="2"/>
      </rPr>
      <t>Efficiency -</t>
    </r>
    <r>
      <rPr>
        <b/>
        <sz val="11"/>
        <rFont val="Symbol"/>
        <family val="1"/>
        <charset val="2"/>
      </rPr>
      <t xml:space="preserve"> h</t>
    </r>
  </si>
  <si>
    <t>Power Required = Pr</t>
  </si>
  <si>
    <t>Pr/Pa</t>
  </si>
  <si>
    <t>Installed Power Available =Pa</t>
  </si>
  <si>
    <t>using chap7, so use 1.00</t>
  </si>
  <si>
    <t>Takeoff and Landing</t>
  </si>
  <si>
    <t xml:space="preserve"> -Corke Chapter 8, pgs. 160-176</t>
  </si>
  <si>
    <t>1) AEO Take-Off</t>
  </si>
  <si>
    <t>CD_0</t>
  </si>
  <si>
    <t>mu_TO</t>
  </si>
  <si>
    <t>T_max (lb)</t>
  </si>
  <si>
    <t>f_LG</t>
  </si>
  <si>
    <t>H (f)</t>
  </si>
  <si>
    <t>A_LG (f^2)</t>
  </si>
  <si>
    <t>CL_G, Takeoff</t>
  </si>
  <si>
    <t>deltCD_0_flap takeoff</t>
  </si>
  <si>
    <t>W_TO (lb)</t>
  </si>
  <si>
    <t>gamma_CL (deg)</t>
  </si>
  <si>
    <t>S (f^2)</t>
  </si>
  <si>
    <t>H_obstacle (f)</t>
  </si>
  <si>
    <t>T/W aeo</t>
  </si>
  <si>
    <t>rho (lbm/f^3)</t>
  </si>
  <si>
    <t>T/W oei</t>
  </si>
  <si>
    <t>W/S (lb/f^2)</t>
  </si>
  <si>
    <t>f1 (f/s^2)</t>
  </si>
  <si>
    <t>deltCD_0_LG (Corke, ground operation)</t>
  </si>
  <si>
    <t>V_T-O (f/s)</t>
  </si>
  <si>
    <t>deltCD_0_LG (Torenbeek, airborne)</t>
  </si>
  <si>
    <t>q_T_O (lb/f^2)</t>
  </si>
  <si>
    <t>deltCD_0_LG (used in airborne calculations)</t>
  </si>
  <si>
    <t>f2 (f^-1)</t>
  </si>
  <si>
    <t>Engine Flag 1=TF/TJ, 2=TP/Recip</t>
  </si>
  <si>
    <t>f2*(V_T-O^2)</t>
  </si>
  <si>
    <t>Takeoff and Landing Summary</t>
  </si>
  <si>
    <t>(f1+f2*V_T-O^2)/f1</t>
  </si>
  <si>
    <t>R_TR (f)</t>
  </si>
  <si>
    <t>lbf</t>
  </si>
  <si>
    <t>H_TR (f)</t>
  </si>
  <si>
    <t>Engine Takeoff Thrust</t>
  </si>
  <si>
    <t>S_G (f) - Ground Roll</t>
  </si>
  <si>
    <t>S_R (f) - Rotation</t>
  </si>
  <si>
    <t>S_TR (f) - Transition</t>
  </si>
  <si>
    <t>Field Lengths</t>
  </si>
  <si>
    <t>S_CL (f) - Climb</t>
  </si>
  <si>
    <t>AEO Takeoff</t>
  </si>
  <si>
    <t>S_T-O (f) - AEO Takeoff Field Length</t>
  </si>
  <si>
    <t>%</t>
  </si>
  <si>
    <t>W_L (lb)</t>
  </si>
  <si>
    <t>D_50 (lb)</t>
  </si>
  <si>
    <t>gamma_A (deg)</t>
  </si>
  <si>
    <t>V_50 (f/s)</t>
  </si>
  <si>
    <t>gamma_A _act</t>
  </si>
  <si>
    <t>V_TD (f/s)</t>
  </si>
  <si>
    <t>q_50 (lb/f^2)</t>
  </si>
  <si>
    <t>q_TD (lb/f^2)</t>
  </si>
  <si>
    <t>mu _L</t>
  </si>
  <si>
    <t>T_L (lb)</t>
  </si>
  <si>
    <t>f2*(V_TD^2)</t>
  </si>
  <si>
    <t>CL_G, Landing</t>
  </si>
  <si>
    <t>f1/(f1+f2*VTD^2)</t>
  </si>
  <si>
    <t>deltCD_0_flap landing</t>
  </si>
  <si>
    <t>S_A (f) - Approach</t>
  </si>
  <si>
    <t>S_FR (f) - Free Roll</t>
  </si>
  <si>
    <t>S_B (f) - Braking</t>
  </si>
  <si>
    <t>S_L (f) - Landing Field Length</t>
  </si>
  <si>
    <t>(S_L) (f) - w/safety factor</t>
  </si>
  <si>
    <t>G</t>
  </si>
  <si>
    <t>Dp</t>
  </si>
  <si>
    <t>Enhanced Lift Design</t>
  </si>
  <si>
    <t xml:space="preserve"> -Corke Chapter 9, pgs. 177-205</t>
  </si>
  <si>
    <t>Main Wing Data:</t>
  </si>
  <si>
    <t>Flap Design Summary</t>
  </si>
  <si>
    <t>per 2D Airfoil data</t>
  </si>
  <si>
    <r>
      <t>L</t>
    </r>
    <r>
      <rPr>
        <vertAlign val="subscript"/>
        <sz val="10"/>
        <rFont val="Arial"/>
        <family val="2"/>
      </rPr>
      <t>LE</t>
    </r>
  </si>
  <si>
    <t>Chapter 4, Cell C10</t>
  </si>
  <si>
    <t>Flaps1</t>
  </si>
  <si>
    <t>Flaps2</t>
  </si>
  <si>
    <t>Flaps3</t>
  </si>
  <si>
    <t>Chapter 4, Cell C12</t>
  </si>
  <si>
    <t>Type of TE Flaps</t>
  </si>
  <si>
    <t>Chapter 4, Cell C11</t>
  </si>
  <si>
    <t>LE Flaps</t>
  </si>
  <si>
    <t>T-O Mach No.</t>
  </si>
  <si>
    <t xml:space="preserve">1.2*Vstall, Chapter 3 </t>
  </si>
  <si>
    <t>Flap Area / Wing Area, Swf/Sw</t>
  </si>
  <si>
    <r>
      <t xml:space="preserve">Flap Deflection Angle, </t>
    </r>
    <r>
      <rPr>
        <sz val="10"/>
        <rFont val="Symbol"/>
        <family val="1"/>
        <charset val="2"/>
      </rPr>
      <t>d</t>
    </r>
    <r>
      <rPr>
        <sz val="10"/>
        <rFont val="Arial"/>
        <family val="2"/>
      </rPr>
      <t>f</t>
    </r>
  </si>
  <si>
    <t>Chapter 4, Cell C9</t>
  </si>
  <si>
    <t>Flap Chord / Wing Chord, cf/c</t>
  </si>
  <si>
    <r>
      <t>L</t>
    </r>
    <r>
      <rPr>
        <vertAlign val="subscript"/>
        <sz val="10"/>
        <rFont val="Arial"/>
        <family val="2"/>
      </rPr>
      <t>t/c</t>
    </r>
  </si>
  <si>
    <t>Chapter 4, Cell H25</t>
  </si>
  <si>
    <t>Flap Span / Wing Span, bf/b</t>
  </si>
  <si>
    <r>
      <t>C</t>
    </r>
    <r>
      <rPr>
        <vertAlign val="subscript"/>
        <sz val="10"/>
        <rFont val="Arial"/>
        <family val="2"/>
      </rPr>
      <t>l</t>
    </r>
    <r>
      <rPr>
        <vertAlign val="subscript"/>
        <sz val="10"/>
        <rFont val="Symbol"/>
        <family val="1"/>
        <charset val="2"/>
      </rPr>
      <t>a</t>
    </r>
    <r>
      <rPr>
        <sz val="10"/>
        <rFont val="Arial"/>
        <family val="2"/>
      </rPr>
      <t xml:space="preserve"> (no flap)</t>
    </r>
  </si>
  <si>
    <t>CL,max</t>
  </si>
  <si>
    <r>
      <t>C</t>
    </r>
    <r>
      <rPr>
        <vertAlign val="subscript"/>
        <sz val="10"/>
        <rFont val="Arial"/>
        <family val="2"/>
      </rPr>
      <t>L</t>
    </r>
    <r>
      <rPr>
        <vertAlign val="subscript"/>
        <sz val="10"/>
        <rFont val="Symbol"/>
        <family val="1"/>
        <charset val="2"/>
      </rPr>
      <t>a</t>
    </r>
    <r>
      <rPr>
        <sz val="10"/>
        <rFont val="Arial"/>
        <family val="2"/>
      </rPr>
      <t xml:space="preserve"> (no flap)</t>
    </r>
  </si>
  <si>
    <t>Chapter 4, Cell C28</t>
  </si>
  <si>
    <r>
      <rPr>
        <sz val="10"/>
        <rFont val="Symbol"/>
        <family val="1"/>
        <charset val="2"/>
      </rPr>
      <t>D</t>
    </r>
    <r>
      <rPr>
        <sz val="10"/>
        <rFont val="Arial"/>
        <family val="2"/>
      </rPr>
      <t>CDo, flaps</t>
    </r>
  </si>
  <si>
    <r>
      <t>a</t>
    </r>
    <r>
      <rPr>
        <vertAlign val="subscript"/>
        <sz val="10"/>
        <rFont val="Arial"/>
        <family val="2"/>
      </rPr>
      <t>0L</t>
    </r>
  </si>
  <si>
    <r>
      <t>C</t>
    </r>
    <r>
      <rPr>
        <vertAlign val="subscript"/>
        <sz val="10"/>
        <rFont val="Arial"/>
        <family val="2"/>
      </rPr>
      <t>lmax</t>
    </r>
  </si>
  <si>
    <r>
      <t>a</t>
    </r>
    <r>
      <rPr>
        <vertAlign val="subscript"/>
        <sz val="10"/>
        <rFont val="Arial"/>
        <family val="2"/>
      </rPr>
      <t>s</t>
    </r>
  </si>
  <si>
    <t>Sref</t>
  </si>
  <si>
    <t>Chapter 4, Cell C8</t>
  </si>
  <si>
    <t>Dfus max</t>
  </si>
  <si>
    <t>Chapter 5, Cell C16</t>
  </si>
  <si>
    <t>xflap</t>
  </si>
  <si>
    <t>Inboard Flap Span - Fuselage Radius</t>
  </si>
  <si>
    <t>Trailing-edge Flap Design:</t>
  </si>
  <si>
    <t xml:space="preserve">Flap type </t>
  </si>
  <si>
    <t>select "slot", "plain" or "split"</t>
  </si>
  <si>
    <r>
      <t>S</t>
    </r>
    <r>
      <rPr>
        <vertAlign val="subscript"/>
        <sz val="10"/>
        <rFont val="Arial"/>
        <family val="2"/>
      </rPr>
      <t>wf</t>
    </r>
    <r>
      <rPr>
        <sz val="10"/>
        <rFont val="Arial"/>
        <family val="2"/>
      </rPr>
      <t>/S</t>
    </r>
    <r>
      <rPr>
        <vertAlign val="subscript"/>
        <sz val="10"/>
        <rFont val="Arial"/>
        <family val="2"/>
      </rPr>
      <t>w</t>
    </r>
  </si>
  <si>
    <t>see Notes</t>
  </si>
  <si>
    <r>
      <t>d</t>
    </r>
    <r>
      <rPr>
        <vertAlign val="subscript"/>
        <sz val="10"/>
        <rFont val="Arial"/>
        <family val="2"/>
      </rPr>
      <t>f</t>
    </r>
  </si>
  <si>
    <r>
      <t>c</t>
    </r>
    <r>
      <rPr>
        <vertAlign val="subscript"/>
        <sz val="10"/>
        <rFont val="Arial"/>
        <family val="2"/>
      </rPr>
      <t>f</t>
    </r>
    <r>
      <rPr>
        <sz val="10"/>
        <rFont val="Arial"/>
        <family val="2"/>
      </rPr>
      <t>/c</t>
    </r>
  </si>
  <si>
    <t>bf/b</t>
  </si>
  <si>
    <r>
      <t xml:space="preserve">Delta </t>
    </r>
    <r>
      <rPr>
        <b/>
        <sz val="10"/>
        <rFont val="Symbol"/>
        <family val="1"/>
        <charset val="2"/>
      </rPr>
      <t>a</t>
    </r>
    <r>
      <rPr>
        <b/>
        <sz val="10"/>
        <rFont val="Arial"/>
        <family val="2"/>
      </rPr>
      <t>0L:</t>
    </r>
  </si>
  <si>
    <t xml:space="preserve"> </t>
  </si>
  <si>
    <t>Plain Flap</t>
  </si>
  <si>
    <t>K'</t>
  </si>
  <si>
    <t>Chapter 9, Fig. 9.3</t>
  </si>
  <si>
    <r>
      <t>dC</t>
    </r>
    <r>
      <rPr>
        <vertAlign val="subscript"/>
        <sz val="10"/>
        <rFont val="Arial"/>
        <family val="2"/>
      </rPr>
      <t>l</t>
    </r>
    <r>
      <rPr>
        <sz val="10"/>
        <rFont val="Arial"/>
        <family val="2"/>
      </rPr>
      <t>/d</t>
    </r>
    <r>
      <rPr>
        <sz val="10"/>
        <rFont val="Symbol"/>
        <family val="1"/>
        <charset val="2"/>
      </rPr>
      <t>d</t>
    </r>
    <r>
      <rPr>
        <vertAlign val="subscript"/>
        <sz val="10"/>
        <rFont val="Arial"/>
        <family val="2"/>
      </rPr>
      <t>f</t>
    </r>
  </si>
  <si>
    <t xml:space="preserve"> 1/rad</t>
  </si>
  <si>
    <t>Chapter 9, Fig. 9.4</t>
  </si>
  <si>
    <r>
      <t>Da</t>
    </r>
    <r>
      <rPr>
        <vertAlign val="subscript"/>
        <sz val="10"/>
        <rFont val="Arial"/>
        <family val="2"/>
      </rPr>
      <t>0l</t>
    </r>
  </si>
  <si>
    <t>Single Slotted &amp; Fowler Flap</t>
  </si>
  <si>
    <r>
      <t>d</t>
    </r>
    <r>
      <rPr>
        <sz val="10"/>
        <rFont val="Symbol"/>
        <family val="1"/>
        <charset val="2"/>
      </rPr>
      <t>a</t>
    </r>
    <r>
      <rPr>
        <vertAlign val="subscript"/>
        <sz val="10"/>
        <rFont val="Arial"/>
        <family val="2"/>
      </rPr>
      <t>0l</t>
    </r>
    <r>
      <rPr>
        <sz val="10"/>
        <rFont val="Arial"/>
        <family val="2"/>
      </rPr>
      <t>/d</t>
    </r>
    <r>
      <rPr>
        <sz val="10"/>
        <rFont val="Symbol"/>
        <family val="1"/>
        <charset val="2"/>
      </rPr>
      <t>d</t>
    </r>
    <r>
      <rPr>
        <vertAlign val="subscript"/>
        <sz val="10"/>
        <rFont val="Arial"/>
        <family val="2"/>
      </rPr>
      <t>f</t>
    </r>
  </si>
  <si>
    <t>deg/deg</t>
  </si>
  <si>
    <t>Chapter 9, Fig. 9.5</t>
  </si>
  <si>
    <t>Split Flaps</t>
  </si>
  <si>
    <t>Chapter 9, Fig. 9.6</t>
  </si>
  <si>
    <r>
      <t>D</t>
    </r>
    <r>
      <rPr>
        <sz val="10"/>
        <rFont val="Arial"/>
        <family val="2"/>
      </rPr>
      <t>Cl</t>
    </r>
  </si>
  <si>
    <t>Chapter 9, Fig. 9.7</t>
  </si>
  <si>
    <t>Aspect Ratio Criterion:</t>
  </si>
  <si>
    <r>
      <t>C</t>
    </r>
    <r>
      <rPr>
        <vertAlign val="subscript"/>
        <sz val="10"/>
        <rFont val="Arial"/>
        <family val="2"/>
      </rPr>
      <t xml:space="preserve">1 </t>
    </r>
  </si>
  <si>
    <t>Chapter 9, Fig. 9.8</t>
  </si>
  <si>
    <t>High A criteria</t>
  </si>
  <si>
    <t>If "High", only complete Rows 50-54
If "Low", only complete Rows 57-66</t>
  </si>
  <si>
    <t>Basic Wing -- High Aspect Ratio:</t>
  </si>
  <si>
    <r>
      <t>D</t>
    </r>
    <r>
      <rPr>
        <sz val="10"/>
        <rFont val="Arial"/>
        <family val="2"/>
      </rPr>
      <t>y</t>
    </r>
  </si>
  <si>
    <t>Chapter 9, Fig. 9.10</t>
  </si>
  <si>
    <r>
      <t>C</t>
    </r>
    <r>
      <rPr>
        <vertAlign val="subscript"/>
        <sz val="10"/>
        <rFont val="Arial"/>
        <family val="2"/>
      </rPr>
      <t>Lmax</t>
    </r>
    <r>
      <rPr>
        <sz val="10"/>
        <rFont val="Arial"/>
        <family val="2"/>
      </rPr>
      <t>/C</t>
    </r>
    <r>
      <rPr>
        <vertAlign val="subscript"/>
        <sz val="10"/>
        <rFont val="Arial"/>
        <family val="2"/>
      </rPr>
      <t>lmax</t>
    </r>
  </si>
  <si>
    <t>Chapter 9, Fig. 9.9</t>
  </si>
  <si>
    <r>
      <t>C</t>
    </r>
    <r>
      <rPr>
        <vertAlign val="subscript"/>
        <sz val="10"/>
        <rFont val="Arial"/>
        <family val="2"/>
      </rPr>
      <t>Lmax</t>
    </r>
  </si>
  <si>
    <r>
      <t>Da</t>
    </r>
    <r>
      <rPr>
        <vertAlign val="subscript"/>
        <sz val="10"/>
        <rFont val="Arial"/>
        <family val="2"/>
      </rPr>
      <t>CLmax</t>
    </r>
  </si>
  <si>
    <t>Chapter 9, Fig. 9.11</t>
  </si>
  <si>
    <t>Basic Wing -- Low Aspect Ratio:</t>
  </si>
  <si>
    <t>(C1 + 1)…</t>
  </si>
  <si>
    <r>
      <t>(C</t>
    </r>
    <r>
      <rPr>
        <vertAlign val="subscript"/>
        <sz val="10"/>
        <rFont val="Arial"/>
        <family val="2"/>
      </rPr>
      <t>Lmax)base</t>
    </r>
  </si>
  <si>
    <t>Chapter 9, Fig. 9.12</t>
  </si>
  <si>
    <r>
      <t>C</t>
    </r>
    <r>
      <rPr>
        <vertAlign val="subscript"/>
        <sz val="10"/>
        <rFont val="Arial"/>
        <family val="2"/>
      </rPr>
      <t>2</t>
    </r>
  </si>
  <si>
    <t>Chapter 9, Fig.  9.14</t>
  </si>
  <si>
    <t>(C2 + 1)…</t>
  </si>
  <si>
    <r>
      <t>D</t>
    </r>
    <r>
      <rPr>
        <sz val="10"/>
        <rFont val="Arial"/>
        <family val="2"/>
      </rPr>
      <t>C</t>
    </r>
    <r>
      <rPr>
        <vertAlign val="subscript"/>
        <sz val="10"/>
        <rFont val="Arial"/>
        <family val="2"/>
      </rPr>
      <t>Lmax</t>
    </r>
  </si>
  <si>
    <t>Chapter 9, Fig. 9.13</t>
  </si>
  <si>
    <r>
      <t>(a</t>
    </r>
    <r>
      <rPr>
        <vertAlign val="subscript"/>
        <sz val="10"/>
        <rFont val="Arial"/>
        <family val="2"/>
      </rPr>
      <t>s</t>
    </r>
    <r>
      <rPr>
        <sz val="11"/>
        <rFont val="Arial"/>
        <family val="2"/>
      </rPr>
      <t>)</t>
    </r>
    <r>
      <rPr>
        <vertAlign val="subscript"/>
        <sz val="10"/>
        <rFont val="Arial"/>
        <family val="2"/>
      </rPr>
      <t>base</t>
    </r>
  </si>
  <si>
    <t>Chapter 9, Fig. 9.15</t>
  </si>
  <si>
    <t>A cos(…</t>
  </si>
  <si>
    <r>
      <t>Da</t>
    </r>
    <r>
      <rPr>
        <vertAlign val="subscript"/>
        <sz val="10"/>
        <rFont val="Arial"/>
        <family val="2"/>
      </rPr>
      <t>s</t>
    </r>
  </si>
  <si>
    <t>Chapter 9, Fig. 9.16</t>
  </si>
  <si>
    <t xml:space="preserve">Effect of Trailing-edge Flap: </t>
  </si>
  <si>
    <t>Flap type</t>
  </si>
  <si>
    <r>
      <t>a</t>
    </r>
    <r>
      <rPr>
        <vertAlign val="subscript"/>
        <sz val="10"/>
        <rFont val="Arial"/>
        <family val="2"/>
      </rPr>
      <t>0l</t>
    </r>
  </si>
  <si>
    <r>
      <t>Basic 3-D</t>
    </r>
    <r>
      <rPr>
        <sz val="10"/>
        <rFont val="Symbol"/>
        <family val="1"/>
        <charset val="2"/>
      </rPr>
      <t xml:space="preserve"> a</t>
    </r>
    <r>
      <rPr>
        <vertAlign val="subscript"/>
        <sz val="10"/>
        <rFont val="Arial"/>
        <family val="2"/>
      </rPr>
      <t>s</t>
    </r>
  </si>
  <si>
    <r>
      <t>Basic 3-D C</t>
    </r>
    <r>
      <rPr>
        <vertAlign val="subscript"/>
        <sz val="10"/>
        <rFont val="Arial"/>
        <family val="2"/>
      </rPr>
      <t>L</t>
    </r>
  </si>
  <si>
    <r>
      <t>2-</t>
    </r>
    <r>
      <rPr>
        <sz val="10"/>
        <rFont val="Arial"/>
        <family val="2"/>
      </rPr>
      <t>D</t>
    </r>
    <r>
      <rPr>
        <sz val="10"/>
        <rFont val="Symbol"/>
        <family val="1"/>
        <charset val="2"/>
      </rPr>
      <t xml:space="preserve"> Da</t>
    </r>
    <r>
      <rPr>
        <vertAlign val="subscript"/>
        <sz val="10"/>
        <rFont val="Arial"/>
        <family val="2"/>
      </rPr>
      <t>s</t>
    </r>
  </si>
  <si>
    <t>Chapter 9, Fig. 9.18</t>
  </si>
  <si>
    <r>
      <t>2-</t>
    </r>
    <r>
      <rPr>
        <sz val="10"/>
        <rFont val="Arial"/>
        <family val="2"/>
      </rPr>
      <t>D</t>
    </r>
    <r>
      <rPr>
        <sz val="10"/>
        <rFont val="Symbol"/>
        <family val="1"/>
        <charset val="2"/>
      </rPr>
      <t xml:space="preserve"> a</t>
    </r>
    <r>
      <rPr>
        <vertAlign val="subscript"/>
        <sz val="10"/>
        <rFont val="Arial"/>
        <family val="2"/>
      </rPr>
      <t>s flapped</t>
    </r>
  </si>
  <si>
    <r>
      <t>(C</t>
    </r>
    <r>
      <rPr>
        <vertAlign val="subscript"/>
        <sz val="10"/>
        <rFont val="Arial"/>
        <family val="2"/>
      </rPr>
      <t>lmax</t>
    </r>
    <r>
      <rPr>
        <sz val="10"/>
        <rFont val="Arial"/>
        <family val="2"/>
      </rPr>
      <t>)</t>
    </r>
    <r>
      <rPr>
        <vertAlign val="subscript"/>
        <sz val="10"/>
        <rFont val="Arial"/>
        <family val="2"/>
      </rPr>
      <t xml:space="preserve"> flapped</t>
    </r>
  </si>
  <si>
    <r>
      <t>D</t>
    </r>
    <r>
      <rPr>
        <sz val="10"/>
        <rFont val="Arial"/>
        <family val="2"/>
      </rPr>
      <t>C</t>
    </r>
    <r>
      <rPr>
        <vertAlign val="subscript"/>
        <sz val="10"/>
        <rFont val="Arial"/>
        <family val="2"/>
      </rPr>
      <t>lmax</t>
    </r>
  </si>
  <si>
    <r>
      <t>K</t>
    </r>
    <r>
      <rPr>
        <sz val="10"/>
        <rFont val="Symbol"/>
        <family val="1"/>
        <charset val="2"/>
      </rPr>
      <t>D</t>
    </r>
  </si>
  <si>
    <r>
      <t>3-D</t>
    </r>
    <r>
      <rPr>
        <sz val="10"/>
        <rFont val="Symbol"/>
        <family val="1"/>
        <charset val="2"/>
      </rPr>
      <t xml:space="preserve"> a</t>
    </r>
    <r>
      <rPr>
        <vertAlign val="subscript"/>
        <sz val="10"/>
        <rFont val="Arial"/>
        <family val="2"/>
      </rPr>
      <t>s flapped</t>
    </r>
  </si>
  <si>
    <t>Leading-edge flap CL Max:</t>
  </si>
  <si>
    <t>Chapter 9, Table 9.1</t>
  </si>
  <si>
    <t>Trailing-edge flap Added drag:</t>
  </si>
  <si>
    <r>
      <t>k</t>
    </r>
    <r>
      <rPr>
        <vertAlign val="subscript"/>
        <sz val="10"/>
        <rFont val="Arial"/>
        <family val="2"/>
      </rPr>
      <t>1</t>
    </r>
  </si>
  <si>
    <t>Chapter 9, Fig. 9.20</t>
  </si>
  <si>
    <r>
      <t>k</t>
    </r>
    <r>
      <rPr>
        <vertAlign val="subscript"/>
        <sz val="10"/>
        <rFont val="Arial"/>
        <family val="2"/>
      </rPr>
      <t>2</t>
    </r>
  </si>
  <si>
    <t>Chapter 9, Fig. 9.21</t>
  </si>
  <si>
    <r>
      <t>D</t>
    </r>
    <r>
      <rPr>
        <sz val="10"/>
        <rFont val="Arial"/>
        <family val="2"/>
      </rPr>
      <t>C</t>
    </r>
    <r>
      <rPr>
        <vertAlign val="subscript"/>
        <sz val="10"/>
        <rFont val="Arial"/>
        <family val="2"/>
      </rPr>
      <t>D0</t>
    </r>
  </si>
  <si>
    <t>Flap Geometry</t>
  </si>
  <si>
    <t>cf</t>
  </si>
  <si>
    <t>Flap Chord</t>
  </si>
  <si>
    <t>bf</t>
  </si>
  <si>
    <t>Flap Span</t>
  </si>
  <si>
    <t>Sf</t>
  </si>
  <si>
    <t>Flap planform area</t>
  </si>
  <si>
    <t>Swf</t>
  </si>
  <si>
    <t>See Corke Figure 9.19, page 192</t>
  </si>
  <si>
    <t>Sf/Swf</t>
  </si>
  <si>
    <t>Should match user input (Cell C28)</t>
  </si>
  <si>
    <t>Lift Curve Plotting:</t>
  </si>
  <si>
    <t xml:space="preserve">     2-D (no flaps)</t>
  </si>
  <si>
    <t xml:space="preserve">       2-D (flaps)</t>
  </si>
  <si>
    <r>
      <t>C</t>
    </r>
    <r>
      <rPr>
        <vertAlign val="subscript"/>
        <sz val="10"/>
        <rFont val="Arial"/>
        <family val="2"/>
      </rPr>
      <t>l</t>
    </r>
  </si>
  <si>
    <t xml:space="preserve">     3-D (no flaps)</t>
  </si>
  <si>
    <t xml:space="preserve">       3-D (flaps1)</t>
  </si>
  <si>
    <t xml:space="preserve">       3-D (flaps2)</t>
  </si>
  <si>
    <t>Wing Planform Plotting:</t>
  </si>
  <si>
    <t>Wing Mean Aero Chord</t>
  </si>
  <si>
    <t>Sweep Angles</t>
  </si>
  <si>
    <r>
      <t>L</t>
    </r>
    <r>
      <rPr>
        <vertAlign val="subscript"/>
        <sz val="10"/>
        <rFont val="Arial"/>
        <family val="2"/>
      </rPr>
      <t xml:space="preserve">x/c </t>
    </r>
    <r>
      <rPr>
        <sz val="10"/>
        <rFont val="Arial"/>
        <family val="2"/>
      </rPr>
      <t>(deg)</t>
    </r>
  </si>
  <si>
    <t>LE</t>
  </si>
  <si>
    <t>1/4C</t>
  </si>
  <si>
    <t>a.c</t>
  </si>
  <si>
    <t>TE</t>
  </si>
  <si>
    <t>Flap</t>
  </si>
  <si>
    <t>Aileron</t>
  </si>
  <si>
    <t>Max Fuse Diamater</t>
  </si>
  <si>
    <t>Vto/Vs</t>
  </si>
  <si>
    <t>V_50/Vs</t>
  </si>
  <si>
    <t>V_TD/Vs</t>
  </si>
  <si>
    <t>Corke Chapter 10, pgs. 206-255</t>
  </si>
  <si>
    <t>Summary - Load Factors</t>
  </si>
  <si>
    <t>Max Load</t>
  </si>
  <si>
    <t>Performance Segment</t>
  </si>
  <si>
    <t>Factors</t>
  </si>
  <si>
    <t>Atmospheric Model FLAG</t>
  </si>
  <si>
    <t xml:space="preserve">Wing Mean Aerodynamic Chord </t>
  </si>
  <si>
    <t>MAC</t>
  </si>
  <si>
    <t>Chapter 4</t>
  </si>
  <si>
    <t>3D Lift Curve Slope</t>
  </si>
  <si>
    <r>
      <t>C</t>
    </r>
    <r>
      <rPr>
        <vertAlign val="subscript"/>
        <sz val="10"/>
        <rFont val="Arial"/>
        <family val="2"/>
      </rPr>
      <t>L</t>
    </r>
    <r>
      <rPr>
        <vertAlign val="subscript"/>
        <sz val="10"/>
        <rFont val="Symbol"/>
        <family val="1"/>
        <charset val="2"/>
      </rPr>
      <t>a</t>
    </r>
  </si>
  <si>
    <t>Parasite Drag Coefficient, clean (unflapped)</t>
  </si>
  <si>
    <t>Chapter4-6</t>
  </si>
  <si>
    <t>Chapter 2</t>
  </si>
  <si>
    <t>Oswald Efficiency</t>
  </si>
  <si>
    <t>Chapter 4-6</t>
  </si>
  <si>
    <t>Design Gross Weight (for Part 25 Table 10.2)</t>
  </si>
  <si>
    <t>nlim+  per Table 10.2</t>
  </si>
  <si>
    <t>nlim+</t>
  </si>
  <si>
    <t>Max Positive Limit Load Factor</t>
  </si>
  <si>
    <t>Corke Table 10.1</t>
  </si>
  <si>
    <t>Max Negative Limit Load Factor</t>
  </si>
  <si>
    <t>nlim-</t>
  </si>
  <si>
    <t>Maximum Calculated Limit Load Factor</t>
  </si>
  <si>
    <t>Regulatory Limit Load Factor</t>
  </si>
  <si>
    <t>Acceleration (Climb - 1.2*Vstall to climb speed)</t>
  </si>
  <si>
    <t>Pressure altitude</t>
  </si>
  <si>
    <t>Use altitude at end of takeoff segment (1,500 ft&lt;H&lt;10,000 ft)</t>
  </si>
  <si>
    <t>Use average M=(1.2*Mstall+MBE)/2</t>
  </si>
  <si>
    <t>Chapter 2 - Design Wing Loading</t>
  </si>
  <si>
    <t>Dynamic Pressure</t>
  </si>
  <si>
    <t>Load Factor</t>
  </si>
  <si>
    <t>Acceleration (Loiter - MBE to Cruise speed)</t>
  </si>
  <si>
    <t>Chapter 2, design loiter altitude</t>
  </si>
  <si>
    <t>Use average M=(MBE+Mcruise)/2</t>
  </si>
  <si>
    <t>Chapter 2 - Loiter wing loading</t>
  </si>
  <si>
    <t>Acceleration (Combat - Cruise speed to Max Mach)</t>
  </si>
  <si>
    <t>Use average M=(Mcr+Mmax)/2</t>
  </si>
  <si>
    <t>Chapter 2 - combat wing loading</t>
  </si>
  <si>
    <t>Use loiter or combat altitude</t>
  </si>
  <si>
    <t>Use loiter or combat Mach</t>
  </si>
  <si>
    <t>Turn Rate</t>
  </si>
  <si>
    <r>
      <t>y</t>
    </r>
    <r>
      <rPr>
        <sz val="10"/>
        <rFont val="Arial"/>
        <family val="2"/>
      </rPr>
      <t>-dot</t>
    </r>
  </si>
  <si>
    <t>Chapter 3</t>
  </si>
  <si>
    <t>Climb - Takeoff</t>
  </si>
  <si>
    <t>Lift Coefficient</t>
  </si>
  <si>
    <t>Chapter 9 - CL,max no flaps</t>
  </si>
  <si>
    <t>Flight path angle</t>
  </si>
  <si>
    <t>Estimate climb angle with full load, 5 deg&lt;g&lt;10 deg</t>
  </si>
  <si>
    <t>Climb gradient</t>
  </si>
  <si>
    <t>Actual Thrust-to-Weight Ratio</t>
  </si>
  <si>
    <t>T/W_actual</t>
  </si>
  <si>
    <t>Chapter 7 - Design T/W</t>
  </si>
  <si>
    <t>n jwg</t>
  </si>
  <si>
    <r>
      <t>Highest angle-of-attack (</t>
    </r>
    <r>
      <rPr>
        <b/>
        <sz val="10"/>
        <rFont val="Symbol"/>
        <family val="1"/>
        <charset val="2"/>
      </rPr>
      <t>a)</t>
    </r>
  </si>
  <si>
    <t>Design cruise altitude</t>
  </si>
  <si>
    <t>Corke: Design cruise Mach Number
JWG: Top of climb Mach Number</t>
  </si>
  <si>
    <t>Chapter 2 - Top of Climb</t>
  </si>
  <si>
    <t>Max q (dive)</t>
  </si>
  <si>
    <t>Design cruise Mach number</t>
  </si>
  <si>
    <t>Chapter 4 - Use middle of drag bucket CL, positive side only</t>
  </si>
  <si>
    <t>Chapter 2 - landing</t>
  </si>
  <si>
    <t>Gust Loads (cruise)</t>
  </si>
  <si>
    <t>High a</t>
  </si>
  <si>
    <t>Cruise (Level Flight)</t>
  </si>
  <si>
    <t>Dive</t>
  </si>
  <si>
    <t>Chapter 2 - Start of cruise, mid cruise, landing</t>
  </si>
  <si>
    <t>High a, Corke: Design cruise Mach Number
High a, JWG: Top of climb Mach Number</t>
  </si>
  <si>
    <r>
      <t>C</t>
    </r>
    <r>
      <rPr>
        <vertAlign val="subscript"/>
        <sz val="10"/>
        <rFont val="Arial"/>
        <family val="2"/>
      </rPr>
      <t xml:space="preserve">La, </t>
    </r>
    <r>
      <rPr>
        <sz val="10"/>
        <rFont val="Arial"/>
        <family val="2"/>
      </rPr>
      <t>(1/rad)</t>
    </r>
  </si>
  <si>
    <t>Statistical Gust Velocity (equivalent)</t>
  </si>
  <si>
    <t>Uhat</t>
  </si>
  <si>
    <t>Statistical Gust Velocity (true)</t>
  </si>
  <si>
    <t>Equivalent Mass Ratio</t>
  </si>
  <si>
    <t>m</t>
  </si>
  <si>
    <t>Response Coefficient</t>
  </si>
  <si>
    <t>Gust Velocity (normal)</t>
  </si>
  <si>
    <t>u</t>
  </si>
  <si>
    <t>Incremental load factor</t>
  </si>
  <si>
    <r>
      <t>D</t>
    </r>
    <r>
      <rPr>
        <sz val="10"/>
        <rFont val="Arial"/>
        <family val="2"/>
      </rPr>
      <t>n</t>
    </r>
  </si>
  <si>
    <t>Peak load factor</t>
  </si>
  <si>
    <t>n_peak</t>
  </si>
  <si>
    <t>High</t>
  </si>
  <si>
    <t>Angle-of-</t>
  </si>
  <si>
    <t>Level</t>
  </si>
  <si>
    <t>Table 10.3 and Figure 10.4 (page 213)</t>
  </si>
  <si>
    <t>Condition</t>
  </si>
  <si>
    <t>Gust Velocity (Ave) (0-20K)</t>
  </si>
  <si>
    <t>uhat1</t>
  </si>
  <si>
    <t>Gust Velocity (Ave) (50K)</t>
  </si>
  <si>
    <t>uhat2</t>
  </si>
  <si>
    <t>Altitude1</t>
  </si>
  <si>
    <t>H1</t>
  </si>
  <si>
    <t>Altitude2</t>
  </si>
  <si>
    <t>H2</t>
  </si>
  <si>
    <t>Wing Reference Area</t>
  </si>
  <si>
    <t>Design Takeoff Gross Weight</t>
  </si>
  <si>
    <t>Wing Half-Span</t>
  </si>
  <si>
    <t>b/2</t>
  </si>
  <si>
    <t xml:space="preserve">Mean Aerodynamic Chord </t>
  </si>
  <si>
    <t>(lbf)</t>
  </si>
  <si>
    <t>Uniform</t>
  </si>
  <si>
    <t>Load Summary (lbf)</t>
  </si>
  <si>
    <t>Load</t>
  </si>
  <si>
    <t>Distributed</t>
  </si>
  <si>
    <t>Load Type</t>
  </si>
  <si>
    <t>Magnitude</t>
  </si>
  <si>
    <t xml:space="preserve">y/(b/2)_start </t>
  </si>
  <si>
    <t>y/(b/2)_end</t>
  </si>
  <si>
    <t>Total Wing Lift, Unflapped, Full Wing</t>
  </si>
  <si>
    <t>Delta Lift due to Flaps, Half Wing</t>
  </si>
  <si>
    <t>Fuel Stored in Wing, Half Wing</t>
  </si>
  <si>
    <t>Outboard Engine or Store</t>
  </si>
  <si>
    <t>Inboard Engine or Store</t>
  </si>
  <si>
    <t>Wing Structure, Full Wing</t>
  </si>
  <si>
    <t>Wing Load Summary</t>
  </si>
  <si>
    <t>Max Shear</t>
  </si>
  <si>
    <t>Vmax</t>
  </si>
  <si>
    <t>Span Location of Max Shear</t>
  </si>
  <si>
    <t>b vmax</t>
  </si>
  <si>
    <t>Max Moment</t>
  </si>
  <si>
    <t>Mmax</t>
  </si>
  <si>
    <t>ft-lbf</t>
  </si>
  <si>
    <t>Span Location of Max Moment</t>
  </si>
  <si>
    <t>b mmax</t>
  </si>
  <si>
    <t>(ft-Klbf)</t>
  </si>
  <si>
    <t>(ft-lbf)</t>
  </si>
  <si>
    <t>(Klbf)</t>
  </si>
  <si>
    <t>Integrated</t>
  </si>
  <si>
    <t>Lift+Fuel+</t>
  </si>
  <si>
    <t>Shear</t>
  </si>
  <si>
    <t>Moment</t>
  </si>
  <si>
    <t>Load Spanwise Distribution</t>
  </si>
  <si>
    <t>Engines+</t>
  </si>
  <si>
    <t>due to</t>
  </si>
  <si>
    <t>(lbf/ft)</t>
  </si>
  <si>
    <t>Structure+</t>
  </si>
  <si>
    <t>Elliptical</t>
  </si>
  <si>
    <t>Trapezoidal</t>
  </si>
  <si>
    <t>Lift+Fuel</t>
  </si>
  <si>
    <t>Engines</t>
  </si>
  <si>
    <t>Structure</t>
  </si>
  <si>
    <t>Gear</t>
  </si>
  <si>
    <t>Half</t>
  </si>
  <si>
    <t>Lift/Span</t>
  </si>
  <si>
    <t>Flaps</t>
  </si>
  <si>
    <t>Lift, Total</t>
  </si>
  <si>
    <t>Weight/Span</t>
  </si>
  <si>
    <t>y/(b/2)</t>
  </si>
  <si>
    <t>L/b (y)</t>
  </si>
  <si>
    <t>L(y)</t>
  </si>
  <si>
    <t>V (y)</t>
  </si>
  <si>
    <t>M (y)</t>
  </si>
  <si>
    <r>
      <t>D</t>
    </r>
    <r>
      <rPr>
        <b/>
        <sz val="10"/>
        <rFont val="Arial"/>
        <family val="2"/>
      </rPr>
      <t>L-flap</t>
    </r>
  </si>
  <si>
    <t>Ltot (y)</t>
  </si>
  <si>
    <r>
      <t>D</t>
    </r>
    <r>
      <rPr>
        <b/>
        <sz val="10"/>
        <rFont val="Arial"/>
        <family val="2"/>
      </rPr>
      <t>V-flap</t>
    </r>
  </si>
  <si>
    <r>
      <t>DM</t>
    </r>
    <r>
      <rPr>
        <b/>
        <sz val="10"/>
        <rFont val="Arial"/>
        <family val="2"/>
      </rPr>
      <t>-flap</t>
    </r>
  </si>
  <si>
    <r>
      <t>D</t>
    </r>
    <r>
      <rPr>
        <b/>
        <sz val="10"/>
        <rFont val="Arial"/>
        <family val="2"/>
      </rPr>
      <t>W-fuel</t>
    </r>
  </si>
  <si>
    <t>W (y)</t>
  </si>
  <si>
    <r>
      <t>D</t>
    </r>
    <r>
      <rPr>
        <b/>
        <sz val="10"/>
        <rFont val="Arial"/>
        <family val="2"/>
      </rPr>
      <t>V-fuel</t>
    </r>
  </si>
  <si>
    <r>
      <t>DM</t>
    </r>
    <r>
      <rPr>
        <b/>
        <sz val="10"/>
        <rFont val="Arial"/>
        <family val="2"/>
      </rPr>
      <t>-fuel</t>
    </r>
  </si>
  <si>
    <r>
      <t>D</t>
    </r>
    <r>
      <rPr>
        <b/>
        <sz val="10"/>
        <rFont val="Arial"/>
        <family val="2"/>
      </rPr>
      <t>W-engines</t>
    </r>
  </si>
  <si>
    <r>
      <t>D</t>
    </r>
    <r>
      <rPr>
        <b/>
        <sz val="10"/>
        <rFont val="Arial"/>
        <family val="2"/>
      </rPr>
      <t>V-engines</t>
    </r>
  </si>
  <si>
    <r>
      <t>DM</t>
    </r>
    <r>
      <rPr>
        <b/>
        <sz val="10"/>
        <rFont val="Arial"/>
        <family val="2"/>
      </rPr>
      <t>-engines</t>
    </r>
  </si>
  <si>
    <t>Wst/b (y)</t>
  </si>
  <si>
    <t>Wst (y)</t>
  </si>
  <si>
    <t>Wtot (y)</t>
  </si>
  <si>
    <r>
      <t>D</t>
    </r>
    <r>
      <rPr>
        <b/>
        <sz val="10"/>
        <rFont val="Arial"/>
        <family val="2"/>
      </rPr>
      <t>V-structure</t>
    </r>
  </si>
  <si>
    <r>
      <t>DM</t>
    </r>
    <r>
      <rPr>
        <b/>
        <sz val="10"/>
        <rFont val="Arial"/>
        <family val="2"/>
      </rPr>
      <t>-structure</t>
    </r>
  </si>
  <si>
    <r>
      <t>D</t>
    </r>
    <r>
      <rPr>
        <b/>
        <sz val="10"/>
        <rFont val="Arial"/>
        <family val="2"/>
      </rPr>
      <t>W-gear</t>
    </r>
  </si>
  <si>
    <r>
      <t>D</t>
    </r>
    <r>
      <rPr>
        <b/>
        <sz val="10"/>
        <rFont val="Arial"/>
        <family val="2"/>
      </rPr>
      <t>V-gear</t>
    </r>
  </si>
  <si>
    <r>
      <t>DM</t>
    </r>
    <r>
      <rPr>
        <b/>
        <sz val="10"/>
        <rFont val="Arial"/>
        <family val="2"/>
      </rPr>
      <t>-gear</t>
    </r>
  </si>
  <si>
    <t>x/L</t>
  </si>
  <si>
    <t>Delta%</t>
  </si>
  <si>
    <t>Fuselage Shear and Bending Moment Diagrams</t>
  </si>
  <si>
    <t>Chapter 5</t>
  </si>
  <si>
    <t>Wing Center of Lift Location</t>
  </si>
  <si>
    <r>
      <t>(x/L)</t>
    </r>
    <r>
      <rPr>
        <vertAlign val="subscript"/>
        <sz val="10"/>
        <rFont val="Arial"/>
        <family val="2"/>
      </rPr>
      <t>CL</t>
    </r>
  </si>
  <si>
    <t>See Comment, there are RESTRICTIONS on this input.</t>
  </si>
  <si>
    <t>Fuselage Wetted Area</t>
  </si>
  <si>
    <t>Sfuse</t>
  </si>
  <si>
    <t>(ft-lbf) (+cw)</t>
  </si>
  <si>
    <t>(lbs)</t>
  </si>
  <si>
    <t>Load Summary (Fuselage)</t>
  </si>
  <si>
    <t xml:space="preserve"> resultant</t>
  </si>
  <si>
    <t>about Center</t>
  </si>
  <si>
    <t xml:space="preserve">(x/L)_start </t>
  </si>
  <si>
    <t>(x/L)_end</t>
  </si>
  <si>
    <t xml:space="preserve"> x/L</t>
  </si>
  <si>
    <t>of Lift</t>
  </si>
  <si>
    <t>Payload</t>
  </si>
  <si>
    <t>Fuselage Structure</t>
  </si>
  <si>
    <t>Engine1</t>
  </si>
  <si>
    <t>Engine2</t>
  </si>
  <si>
    <t>Wing Structure</t>
  </si>
  <si>
    <t>Horizontal Tail Structure</t>
  </si>
  <si>
    <t>Vertical Tail Structure</t>
  </si>
  <si>
    <t>Other</t>
  </si>
  <si>
    <r>
      <t>S</t>
    </r>
    <r>
      <rPr>
        <sz val="10"/>
        <rFont val="Arial"/>
        <family val="2"/>
      </rPr>
      <t xml:space="preserve"> Loads</t>
    </r>
  </si>
  <si>
    <r>
      <t>S</t>
    </r>
    <r>
      <rPr>
        <sz val="10"/>
        <rFont val="Arial"/>
        <family val="2"/>
      </rPr>
      <t xml:space="preserve"> Moments</t>
    </r>
  </si>
  <si>
    <t>Tail Lift (required)</t>
  </si>
  <si>
    <t>Aircraft Center of Gravity Location</t>
  </si>
  <si>
    <r>
      <t>x</t>
    </r>
    <r>
      <rPr>
        <vertAlign val="subscript"/>
        <sz val="10"/>
        <rFont val="Arial"/>
        <family val="2"/>
      </rPr>
      <t>CG</t>
    </r>
  </si>
  <si>
    <r>
      <t>(x/L)</t>
    </r>
    <r>
      <rPr>
        <vertAlign val="subscript"/>
        <sz val="10"/>
        <rFont val="Arial"/>
        <family val="2"/>
      </rPr>
      <t>CG</t>
    </r>
  </si>
  <si>
    <t>Static Stability Margin</t>
  </si>
  <si>
    <t>SM</t>
  </si>
  <si>
    <t>Max Positive Shear</t>
  </si>
  <si>
    <t>Vmax (+)</t>
  </si>
  <si>
    <t>Max Negative Shear</t>
  </si>
  <si>
    <t>Vmax (-)</t>
  </si>
  <si>
    <t>Max Positive Bending Moment</t>
  </si>
  <si>
    <t>Mmax (+)</t>
  </si>
  <si>
    <t>Max Negative Bending Moment</t>
  </si>
  <si>
    <t>Mmax (-)</t>
  </si>
  <si>
    <t>Calculations</t>
  </si>
  <si>
    <t>(K lbf)</t>
  </si>
  <si>
    <t>W-fuel</t>
  </si>
  <si>
    <t>V-fuel</t>
  </si>
  <si>
    <t>M-fuel</t>
  </si>
  <si>
    <t>W-payload</t>
  </si>
  <si>
    <t>V-payload</t>
  </si>
  <si>
    <t>M-payload</t>
  </si>
  <si>
    <t>W-fuse</t>
  </si>
  <si>
    <t>V-fuse</t>
  </si>
  <si>
    <t>M-fuse</t>
  </si>
  <si>
    <t>W-eng1</t>
  </si>
  <si>
    <t>V-eng1</t>
  </si>
  <si>
    <t>M-eng1</t>
  </si>
  <si>
    <t>W-eng2</t>
  </si>
  <si>
    <t>V-eng2</t>
  </si>
  <si>
    <t>M-eng2</t>
  </si>
  <si>
    <t>W-wing</t>
  </si>
  <si>
    <t>V-wing</t>
  </si>
  <si>
    <t>M-wing</t>
  </si>
  <si>
    <t>W-Hstab</t>
  </si>
  <si>
    <t>V-Hstab</t>
  </si>
  <si>
    <t>M-Hstab</t>
  </si>
  <si>
    <t>W-Vstab</t>
  </si>
  <si>
    <t>V-Vstab</t>
  </si>
  <si>
    <t>M-Vstab</t>
  </si>
  <si>
    <t>WL-tail</t>
  </si>
  <si>
    <t>VL-tail</t>
  </si>
  <si>
    <t>ML-tail</t>
  </si>
  <si>
    <t>W-other</t>
  </si>
  <si>
    <t>V-other</t>
  </si>
  <si>
    <t>M-other</t>
  </si>
  <si>
    <t>Total W</t>
  </si>
  <si>
    <t xml:space="preserve">Total V </t>
  </si>
  <si>
    <t>Total M</t>
  </si>
  <si>
    <t>Structure/Material Summary</t>
  </si>
  <si>
    <t>Fuselage Longeron Cross Section Plots</t>
  </si>
  <si>
    <t>Spar</t>
  </si>
  <si>
    <t>Longerons</t>
  </si>
  <si>
    <t>start</t>
  </si>
  <si>
    <t>Wall Thickness</t>
  </si>
  <si>
    <t>For Plotting</t>
  </si>
  <si>
    <t>X-Section</t>
  </si>
  <si>
    <t>Point</t>
  </si>
  <si>
    <t>Material Group</t>
  </si>
  <si>
    <t>Longeron</t>
  </si>
  <si>
    <t>Material</t>
  </si>
  <si>
    <r>
      <t>Tension (W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t</t>
    </r>
  </si>
  <si>
    <r>
      <t>Fuselage Height (External) @X</t>
    </r>
    <r>
      <rPr>
        <vertAlign val="subscript"/>
        <sz val="10"/>
        <rFont val="Arial"/>
        <family val="2"/>
      </rPr>
      <t>CL</t>
    </r>
  </si>
  <si>
    <t>Dfuse,height</t>
  </si>
  <si>
    <r>
      <t>Compression (W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c</t>
    </r>
  </si>
  <si>
    <t>Strength</t>
  </si>
  <si>
    <r>
      <t>Fuselage Width (External) @X</t>
    </r>
    <r>
      <rPr>
        <vertAlign val="subscript"/>
        <sz val="10"/>
        <rFont val="Arial"/>
        <family val="2"/>
      </rPr>
      <t>CL</t>
    </r>
  </si>
  <si>
    <t>Dfuse,width</t>
  </si>
  <si>
    <r>
      <t>Bending (W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b</t>
    </r>
  </si>
  <si>
    <t>Target Fuselage Wall Thickness</t>
  </si>
  <si>
    <t>tfuse</t>
  </si>
  <si>
    <t>Component Weight (lb)</t>
  </si>
  <si>
    <t>Wing max Thickness-to-Chord Ratio</t>
  </si>
  <si>
    <t>Spar Deflection (in.)</t>
  </si>
  <si>
    <t>Wing Taper Ratio</t>
  </si>
  <si>
    <t>Spar Height &lt; Wing Thickness ?</t>
  </si>
  <si>
    <t>Magnesium</t>
  </si>
  <si>
    <t>Wing Root Chord</t>
  </si>
  <si>
    <t># of Bulkheads</t>
  </si>
  <si>
    <t>Bulkhead Spacing (in.)</t>
  </si>
  <si>
    <t>Composites</t>
  </si>
  <si>
    <t>m.a.c.</t>
  </si>
  <si>
    <t># of Longerons</t>
  </si>
  <si>
    <t>ndesign</t>
  </si>
  <si>
    <t>Longeron Height &lt; Fuse. Wall</t>
  </si>
  <si>
    <t>Max Bending Moment (Spar / Longeron)</t>
  </si>
  <si>
    <t>Skin Material</t>
  </si>
  <si>
    <t>Material Flag (Skin only)</t>
  </si>
  <si>
    <t>Table 10.8 &amp; 10.9 (see below)</t>
  </si>
  <si>
    <t>Young's Modulus</t>
  </si>
  <si>
    <t>E</t>
  </si>
  <si>
    <t>Ultimate Tensile Stress</t>
  </si>
  <si>
    <r>
      <rPr>
        <sz val="10"/>
        <rFont val="Symbol"/>
        <family val="1"/>
        <charset val="2"/>
      </rPr>
      <t>s</t>
    </r>
    <r>
      <rPr>
        <vertAlign val="subscript"/>
        <sz val="10"/>
        <rFont val="Arial"/>
        <family val="2"/>
      </rPr>
      <t>ut</t>
    </r>
  </si>
  <si>
    <t>Ultimate Tensile Stress with Design Load Factor</t>
  </si>
  <si>
    <r>
      <rPr>
        <sz val="10"/>
        <rFont val="Symbol"/>
        <family val="1"/>
        <charset val="2"/>
      </rPr>
      <t>s</t>
    </r>
    <r>
      <rPr>
        <vertAlign val="subscript"/>
        <sz val="10"/>
        <rFont val="Arial"/>
        <family val="2"/>
      </rPr>
      <t xml:space="preserve">ut </t>
    </r>
    <r>
      <rPr>
        <sz val="10"/>
        <rFont val="Arial"/>
        <family val="2"/>
      </rPr>
      <t>/ n</t>
    </r>
    <r>
      <rPr>
        <vertAlign val="subscript"/>
        <sz val="10"/>
        <rFont val="Arial"/>
        <family val="2"/>
      </rPr>
      <t>design</t>
    </r>
  </si>
  <si>
    <t>lb/in3</t>
  </si>
  <si>
    <t>Skin Thickness</t>
  </si>
  <si>
    <t>tskin</t>
  </si>
  <si>
    <t>mils</t>
  </si>
  <si>
    <t>See notes on "Summary" page</t>
  </si>
  <si>
    <t>Max Stress due to Bending Moment</t>
  </si>
  <si>
    <r>
      <rPr>
        <sz val="10"/>
        <rFont val="Symbol"/>
        <family val="1"/>
        <charset val="2"/>
      </rPr>
      <t>s</t>
    </r>
    <r>
      <rPr>
        <vertAlign val="subscript"/>
        <sz val="10"/>
        <rFont val="Arial"/>
        <family val="2"/>
      </rPr>
      <t>max</t>
    </r>
    <r>
      <rPr>
        <sz val="10"/>
        <rFont val="Arial"/>
        <family val="2"/>
      </rPr>
      <t>=M</t>
    </r>
    <r>
      <rPr>
        <vertAlign val="subscript"/>
        <sz val="10"/>
        <rFont val="Arial"/>
        <family val="2"/>
      </rPr>
      <t>xCL</t>
    </r>
    <r>
      <rPr>
        <sz val="10"/>
        <rFont val="Arial"/>
        <family val="2"/>
      </rPr>
      <t>*R/I</t>
    </r>
  </si>
  <si>
    <t>Tensile Stress Ratio</t>
  </si>
  <si>
    <r>
      <rPr>
        <sz val="10"/>
        <rFont val="Symbol"/>
        <family val="1"/>
        <charset val="2"/>
      </rPr>
      <t>s</t>
    </r>
    <r>
      <rPr>
        <vertAlign val="subscript"/>
        <sz val="10"/>
        <rFont val="Arial"/>
        <family val="2"/>
      </rPr>
      <t>t</t>
    </r>
    <r>
      <rPr>
        <sz val="10"/>
        <rFont val="Arial"/>
        <family val="2"/>
      </rPr>
      <t xml:space="preserve"> / (</t>
    </r>
    <r>
      <rPr>
        <sz val="10"/>
        <rFont val="Symbol"/>
        <family val="1"/>
        <charset val="2"/>
      </rPr>
      <t>s</t>
    </r>
    <r>
      <rPr>
        <vertAlign val="subscript"/>
        <sz val="10"/>
        <rFont val="Arial"/>
        <family val="2"/>
      </rPr>
      <t xml:space="preserve">ut </t>
    </r>
    <r>
      <rPr>
        <sz val="10"/>
        <rFont val="Arial"/>
        <family val="2"/>
      </rPr>
      <t>/ n</t>
    </r>
    <r>
      <rPr>
        <vertAlign val="subscript"/>
        <sz val="10"/>
        <rFont val="Arial"/>
        <family val="2"/>
      </rPr>
      <t>design</t>
    </r>
    <r>
      <rPr>
        <sz val="10"/>
        <rFont val="Arial"/>
        <family val="2"/>
      </rPr>
      <t>)</t>
    </r>
  </si>
  <si>
    <t>Wing Spar Cross Section Plots</t>
  </si>
  <si>
    <t>Wing Spar</t>
  </si>
  <si>
    <t>Major Axis (Ellipse)</t>
  </si>
  <si>
    <t>Thickness</t>
  </si>
  <si>
    <t>Minor Axis (Ellipse)</t>
  </si>
  <si>
    <t>Reference:  "Design of Machine Elements", 5th Edition, M.F. Spotts</t>
  </si>
  <si>
    <t>Moment of Inertia</t>
  </si>
  <si>
    <t>I</t>
  </si>
  <si>
    <t>ft4</t>
  </si>
  <si>
    <t>Wskin</t>
  </si>
  <si>
    <t>Spar / Longeron Material</t>
  </si>
  <si>
    <t>Material Flag (Spar / Longeron)</t>
  </si>
  <si>
    <t>Beam Cross Section (see Spotts Diagram)</t>
  </si>
  <si>
    <t>X-Section Flag (Spar / Longeron)</t>
  </si>
  <si>
    <t>See Comment &amp; Spotts Figure</t>
  </si>
  <si>
    <t>X-Section Area</t>
  </si>
  <si>
    <t>Across</t>
  </si>
  <si>
    <t xml:space="preserve"> -Width</t>
  </si>
  <si>
    <t xml:space="preserve"> -Height</t>
  </si>
  <si>
    <t xml:space="preserve"> -Thickness</t>
  </si>
  <si>
    <t>t</t>
  </si>
  <si>
    <t xml:space="preserve"> -Cutout Height</t>
  </si>
  <si>
    <t>h1</t>
  </si>
  <si>
    <t xml:space="preserve"> -Cutout Width</t>
  </si>
  <si>
    <t>b1</t>
  </si>
  <si>
    <t xml:space="preserve"> -Diameter (Solid)</t>
  </si>
  <si>
    <t xml:space="preserve"> -Outer Diameter (Hollow)</t>
  </si>
  <si>
    <t>do</t>
  </si>
  <si>
    <t xml:space="preserve"> -Inner Diameter (Hollow)</t>
  </si>
  <si>
    <t>di</t>
  </si>
  <si>
    <t>Moment of Inertia of one (1) Beam (Spar/Longeron)</t>
  </si>
  <si>
    <t>Radius of Gyration of one (1) Beam (Spar/Longeron)</t>
  </si>
  <si>
    <t>Column Pinned (1.0&lt;C&lt;1.5) or Fixed (C=4)</t>
  </si>
  <si>
    <t>C</t>
  </si>
  <si>
    <t>Corke: 1.0&lt;C&lt;1.5</t>
  </si>
  <si>
    <t>Max Unsupported Length between Bulkheads</t>
  </si>
  <si>
    <t>See Comment</t>
  </si>
  <si>
    <t>Euler's Buckling Critical Stress</t>
  </si>
  <si>
    <r>
      <rPr>
        <sz val="10"/>
        <rFont val="Symbol"/>
        <family val="1"/>
        <charset val="2"/>
      </rPr>
      <t>s</t>
    </r>
    <r>
      <rPr>
        <vertAlign val="subscript"/>
        <sz val="10"/>
        <rFont val="Arial"/>
        <family val="2"/>
      </rPr>
      <t>E</t>
    </r>
  </si>
  <si>
    <t>Critical Stress with Design Load Factor</t>
  </si>
  <si>
    <r>
      <rPr>
        <sz val="10"/>
        <rFont val="Symbol"/>
        <family val="1"/>
        <charset val="2"/>
      </rPr>
      <t>s</t>
    </r>
    <r>
      <rPr>
        <vertAlign val="subscript"/>
        <sz val="10"/>
        <rFont val="Arial"/>
        <family val="2"/>
      </rPr>
      <t xml:space="preserve">E </t>
    </r>
    <r>
      <rPr>
        <sz val="10"/>
        <rFont val="Arial"/>
        <family val="2"/>
      </rPr>
      <t>/ndesign</t>
    </r>
  </si>
  <si>
    <t># of Spars / # of Longerons per Quadrant</t>
  </si>
  <si>
    <t>Nspar / Nlongerons/quad</t>
  </si>
  <si>
    <t>Spreadsheet Limit:  2&lt;N&lt;10</t>
  </si>
  <si>
    <r>
      <t xml:space="preserve"> S(</t>
    </r>
    <r>
      <rPr>
        <sz val="12"/>
        <rFont val="Arial"/>
        <family val="2"/>
      </rPr>
      <t>y</t>
    </r>
    <r>
      <rPr>
        <vertAlign val="superscript"/>
        <sz val="12"/>
        <rFont val="Symbol"/>
        <family val="1"/>
        <charset val="2"/>
      </rPr>
      <t>2</t>
    </r>
    <r>
      <rPr>
        <sz val="12"/>
        <rFont val="Symbol"/>
        <family val="1"/>
        <charset val="2"/>
      </rPr>
      <t xml:space="preserve">) = </t>
    </r>
    <r>
      <rPr>
        <sz val="12"/>
        <rFont val="Arial"/>
        <family val="2"/>
      </rPr>
      <t>R</t>
    </r>
    <r>
      <rPr>
        <vertAlign val="superscript"/>
        <sz val="12"/>
        <rFont val="Symbol"/>
        <family val="1"/>
        <charset val="2"/>
      </rPr>
      <t>2</t>
    </r>
    <r>
      <rPr>
        <sz val="12"/>
        <rFont val="Symbol"/>
        <family val="1"/>
        <charset val="2"/>
      </rPr>
      <t>*S</t>
    </r>
    <r>
      <rPr>
        <sz val="12"/>
        <rFont val="Arial"/>
        <family val="2"/>
      </rPr>
      <t>cos</t>
    </r>
    <r>
      <rPr>
        <vertAlign val="superscript"/>
        <sz val="12"/>
        <rFont val="Symbol"/>
        <family val="1"/>
        <charset val="2"/>
      </rPr>
      <t>2</t>
    </r>
    <r>
      <rPr>
        <sz val="12"/>
        <rFont val="Symbol"/>
        <family val="1"/>
        <charset val="2"/>
      </rPr>
      <t>q</t>
    </r>
    <r>
      <rPr>
        <vertAlign val="subscript"/>
        <sz val="12"/>
        <rFont val="Arial"/>
        <family val="2"/>
      </rPr>
      <t>N</t>
    </r>
    <r>
      <rPr>
        <sz val="12"/>
        <rFont val="Symbol"/>
        <family val="1"/>
        <charset val="2"/>
      </rPr>
      <t xml:space="preserve"> </t>
    </r>
    <r>
      <rPr>
        <sz val="12"/>
        <rFont val="Arial"/>
        <family val="2"/>
      </rPr>
      <t>i=1,N</t>
    </r>
  </si>
  <si>
    <t>Longeron Assembly Moment of Inertia</t>
  </si>
  <si>
    <r>
      <t>I</t>
    </r>
    <r>
      <rPr>
        <vertAlign val="subscript"/>
        <sz val="10"/>
        <rFont val="Arial"/>
        <family val="2"/>
      </rPr>
      <t>F</t>
    </r>
  </si>
  <si>
    <t>Compressive Stress Ratio</t>
  </si>
  <si>
    <r>
      <rPr>
        <sz val="10"/>
        <rFont val="Symbol"/>
        <family val="1"/>
        <charset val="2"/>
      </rPr>
      <t>s</t>
    </r>
    <r>
      <rPr>
        <vertAlign val="subscript"/>
        <sz val="10"/>
        <rFont val="Arial"/>
        <family val="2"/>
      </rPr>
      <t>max</t>
    </r>
    <r>
      <rPr>
        <sz val="10"/>
        <rFont val="Arial"/>
        <family val="2"/>
      </rPr>
      <t xml:space="preserve"> / (</t>
    </r>
    <r>
      <rPr>
        <sz val="10"/>
        <rFont val="Symbol"/>
        <family val="1"/>
        <charset val="2"/>
      </rPr>
      <t>s</t>
    </r>
    <r>
      <rPr>
        <vertAlign val="subscript"/>
        <sz val="10"/>
        <rFont val="Arial"/>
        <family val="2"/>
      </rPr>
      <t xml:space="preserve">E </t>
    </r>
    <r>
      <rPr>
        <sz val="10"/>
        <rFont val="Arial"/>
        <family val="2"/>
      </rPr>
      <t>/ n</t>
    </r>
    <r>
      <rPr>
        <vertAlign val="subscript"/>
        <sz val="10"/>
        <rFont val="Arial"/>
        <family val="2"/>
      </rPr>
      <t>design</t>
    </r>
    <r>
      <rPr>
        <sz val="10"/>
        <rFont val="Arial"/>
        <family val="2"/>
      </rPr>
      <t>)</t>
    </r>
  </si>
  <si>
    <t>Weight (Spar/Longeron)</t>
  </si>
  <si>
    <t>Wbeam</t>
  </si>
  <si>
    <t>Calculation of Sum of Cosine Terms based on the Total # of Longerons</t>
  </si>
  <si>
    <t>N=P/4</t>
  </si>
  <si>
    <r>
      <t>S</t>
    </r>
    <r>
      <rPr>
        <sz val="12"/>
        <rFont val="Arial"/>
        <family val="2"/>
      </rPr>
      <t>cos</t>
    </r>
    <r>
      <rPr>
        <vertAlign val="superscript"/>
        <sz val="12"/>
        <rFont val="Symbol"/>
        <family val="1"/>
        <charset val="2"/>
      </rPr>
      <t>2</t>
    </r>
    <r>
      <rPr>
        <sz val="12"/>
        <rFont val="Symbol"/>
        <family val="1"/>
        <charset val="2"/>
      </rPr>
      <t>q</t>
    </r>
    <r>
      <rPr>
        <vertAlign val="subscript"/>
        <sz val="12"/>
        <rFont val="Arial"/>
        <family val="2"/>
      </rPr>
      <t>N</t>
    </r>
    <r>
      <rPr>
        <sz val="12"/>
        <rFont val="Symbol"/>
        <family val="1"/>
        <charset val="2"/>
      </rPr>
      <t xml:space="preserve"> </t>
    </r>
    <r>
      <rPr>
        <sz val="12"/>
        <rFont val="Arial"/>
        <family val="2"/>
      </rPr>
      <t>i=1,N</t>
    </r>
  </si>
  <si>
    <t>Table 10.8 (Corke)</t>
  </si>
  <si>
    <t xml:space="preserve"> -Weight Ratio's</t>
  </si>
  <si>
    <r>
      <t>(K lb/in</t>
    </r>
    <r>
      <rPr>
        <vertAlign val="superscript"/>
        <sz val="10"/>
        <rFont val="Arial"/>
        <family val="2"/>
      </rPr>
      <t>2</t>
    </r>
    <r>
      <rPr>
        <sz val="10"/>
        <rFont val="Arial"/>
        <family val="2"/>
      </rPr>
      <t>)</t>
    </r>
  </si>
  <si>
    <r>
      <t>(M lb/in</t>
    </r>
    <r>
      <rPr>
        <vertAlign val="superscript"/>
        <sz val="10"/>
        <rFont val="Arial"/>
        <family val="2"/>
      </rPr>
      <t>2</t>
    </r>
    <r>
      <rPr>
        <sz val="10"/>
        <rFont val="Arial"/>
        <family val="2"/>
      </rPr>
      <t>)</t>
    </r>
  </si>
  <si>
    <r>
      <t>(lb/in</t>
    </r>
    <r>
      <rPr>
        <vertAlign val="superscript"/>
        <sz val="10"/>
        <rFont val="Arial"/>
        <family val="2"/>
      </rPr>
      <t>3</t>
    </r>
    <r>
      <rPr>
        <sz val="10"/>
        <rFont val="Arial"/>
        <family val="2"/>
      </rPr>
      <t>)</t>
    </r>
  </si>
  <si>
    <t>(mils)</t>
  </si>
  <si>
    <r>
      <rPr>
        <u/>
        <sz val="14"/>
        <rFont val="Symbol"/>
        <family val="1"/>
        <charset val="2"/>
      </rPr>
      <t>q</t>
    </r>
    <r>
      <rPr>
        <u/>
        <vertAlign val="subscript"/>
        <sz val="14"/>
        <rFont val="Arial"/>
        <family val="2"/>
      </rPr>
      <t>1</t>
    </r>
  </si>
  <si>
    <r>
      <rPr>
        <u/>
        <sz val="14"/>
        <rFont val="Symbol"/>
        <family val="1"/>
        <charset val="2"/>
      </rPr>
      <t>q</t>
    </r>
    <r>
      <rPr>
        <u/>
        <vertAlign val="subscript"/>
        <sz val="14"/>
        <rFont val="Arial"/>
        <family val="2"/>
      </rPr>
      <t>2</t>
    </r>
  </si>
  <si>
    <r>
      <rPr>
        <u/>
        <sz val="14"/>
        <rFont val="Symbol"/>
        <family val="1"/>
        <charset val="2"/>
      </rPr>
      <t>q</t>
    </r>
    <r>
      <rPr>
        <u/>
        <vertAlign val="subscript"/>
        <sz val="14"/>
        <rFont val="Arial"/>
        <family val="2"/>
      </rPr>
      <t>3</t>
    </r>
  </si>
  <si>
    <r>
      <rPr>
        <u/>
        <sz val="14"/>
        <rFont val="Symbol"/>
        <family val="1"/>
        <charset val="2"/>
      </rPr>
      <t>q</t>
    </r>
    <r>
      <rPr>
        <u/>
        <vertAlign val="subscript"/>
        <sz val="14"/>
        <rFont val="Arial"/>
        <family val="2"/>
      </rPr>
      <t>4</t>
    </r>
  </si>
  <si>
    <r>
      <rPr>
        <u/>
        <sz val="14"/>
        <rFont val="Symbol"/>
        <family val="1"/>
        <charset val="2"/>
      </rPr>
      <t>q</t>
    </r>
    <r>
      <rPr>
        <u/>
        <vertAlign val="subscript"/>
        <sz val="14"/>
        <rFont val="Arial"/>
        <family val="2"/>
      </rPr>
      <t>5</t>
    </r>
  </si>
  <si>
    <r>
      <rPr>
        <u/>
        <sz val="14"/>
        <rFont val="Symbol"/>
        <family val="1"/>
        <charset val="2"/>
      </rPr>
      <t>q</t>
    </r>
    <r>
      <rPr>
        <u/>
        <vertAlign val="subscript"/>
        <sz val="14"/>
        <rFont val="Arial"/>
        <family val="2"/>
      </rPr>
      <t>6</t>
    </r>
  </si>
  <si>
    <r>
      <rPr>
        <u/>
        <sz val="14"/>
        <rFont val="Symbol"/>
        <family val="1"/>
        <charset val="2"/>
      </rPr>
      <t>q</t>
    </r>
    <r>
      <rPr>
        <u/>
        <vertAlign val="subscript"/>
        <sz val="14"/>
        <rFont val="Arial"/>
        <family val="2"/>
      </rPr>
      <t>7</t>
    </r>
  </si>
  <si>
    <r>
      <rPr>
        <u/>
        <sz val="14"/>
        <rFont val="Symbol"/>
        <family val="1"/>
        <charset val="2"/>
      </rPr>
      <t>q</t>
    </r>
    <r>
      <rPr>
        <u/>
        <vertAlign val="subscript"/>
        <sz val="14"/>
        <rFont val="Arial"/>
        <family val="2"/>
      </rPr>
      <t>8</t>
    </r>
  </si>
  <si>
    <r>
      <rPr>
        <u/>
        <sz val="14"/>
        <rFont val="Symbol"/>
        <family val="1"/>
        <charset val="2"/>
      </rPr>
      <t>q</t>
    </r>
    <r>
      <rPr>
        <u/>
        <vertAlign val="subscript"/>
        <sz val="14"/>
        <rFont val="Arial"/>
        <family val="2"/>
      </rPr>
      <t>9</t>
    </r>
  </si>
  <si>
    <r>
      <rPr>
        <u/>
        <sz val="14"/>
        <rFont val="Symbol"/>
        <family val="1"/>
        <charset val="2"/>
      </rPr>
      <t>q</t>
    </r>
    <r>
      <rPr>
        <u/>
        <vertAlign val="subscript"/>
        <sz val="14"/>
        <rFont val="Arial"/>
        <family val="2"/>
      </rPr>
      <t>10</t>
    </r>
    <r>
      <rPr>
        <sz val="11"/>
        <color theme="1"/>
        <rFont val="Calibri"/>
        <family val="2"/>
        <scheme val="minor"/>
      </rPr>
      <t/>
    </r>
  </si>
  <si>
    <t xml:space="preserve"> -Skin Thickness Calculation</t>
  </si>
  <si>
    <t>Ultimate</t>
  </si>
  <si>
    <t>Yield</t>
  </si>
  <si>
    <t>Minimum</t>
  </si>
  <si>
    <t>(in.)</t>
  </si>
  <si>
    <t xml:space="preserve"> -Bulkhead Seperation Distance</t>
  </si>
  <si>
    <t>Tensile</t>
  </si>
  <si>
    <t>Compression</t>
  </si>
  <si>
    <t>Young's</t>
  </si>
  <si>
    <t>Modulus</t>
  </si>
  <si>
    <t>Tension</t>
  </si>
  <si>
    <t>&amp; Buckling</t>
  </si>
  <si>
    <t>Bending</t>
  </si>
  <si>
    <t>Between</t>
  </si>
  <si>
    <t>Group</t>
  </si>
  <si>
    <r>
      <rPr>
        <sz val="12"/>
        <rFont val="Symbol"/>
        <family val="1"/>
        <charset val="2"/>
      </rPr>
      <t>s</t>
    </r>
    <r>
      <rPr>
        <vertAlign val="subscript"/>
        <sz val="12"/>
        <rFont val="Arial"/>
        <family val="2"/>
      </rPr>
      <t>tu</t>
    </r>
  </si>
  <si>
    <r>
      <rPr>
        <sz val="12"/>
        <rFont val="Symbol"/>
        <family val="1"/>
        <charset val="2"/>
      </rPr>
      <t>s</t>
    </r>
    <r>
      <rPr>
        <vertAlign val="subscript"/>
        <sz val="12"/>
        <rFont val="Arial"/>
        <family val="2"/>
      </rPr>
      <t>ty</t>
    </r>
  </si>
  <si>
    <r>
      <rPr>
        <sz val="12"/>
        <rFont val="Symbol"/>
        <family val="1"/>
        <charset val="2"/>
      </rPr>
      <t>s</t>
    </r>
    <r>
      <rPr>
        <vertAlign val="subscript"/>
        <sz val="12"/>
        <rFont val="Arial"/>
        <family val="2"/>
      </rPr>
      <t>cu</t>
    </r>
  </si>
  <si>
    <r>
      <t>(W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t</t>
    </r>
  </si>
  <si>
    <r>
      <t>(W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c</t>
    </r>
  </si>
  <si>
    <r>
      <t>(W</t>
    </r>
    <r>
      <rPr>
        <vertAlign val="subscript"/>
        <sz val="10"/>
        <rFont val="Arial"/>
        <family val="2"/>
      </rPr>
      <t>1</t>
    </r>
    <r>
      <rPr>
        <sz val="10"/>
        <rFont val="Arial"/>
        <family val="2"/>
      </rPr>
      <t>/W</t>
    </r>
    <r>
      <rPr>
        <vertAlign val="subscript"/>
        <sz val="10"/>
        <rFont val="Arial"/>
        <family val="2"/>
      </rPr>
      <t>2</t>
    </r>
    <r>
      <rPr>
        <sz val="10"/>
        <rFont val="Arial"/>
        <family val="2"/>
      </rPr>
      <t>)</t>
    </r>
    <r>
      <rPr>
        <vertAlign val="subscript"/>
        <sz val="10"/>
        <rFont val="Arial"/>
        <family val="2"/>
      </rPr>
      <t>b</t>
    </r>
  </si>
  <si>
    <t>Bulkheads</t>
  </si>
  <si>
    <t>Alloy Steels</t>
  </si>
  <si>
    <t>4130 Normalized</t>
  </si>
  <si>
    <t>4130 (180HT)</t>
  </si>
  <si>
    <t>4330 (220HT)</t>
  </si>
  <si>
    <t>300M (280HT)</t>
  </si>
  <si>
    <t>4340 (260HT)</t>
  </si>
  <si>
    <t>Stainless Steel</t>
  </si>
  <si>
    <t>301 (full hard)</t>
  </si>
  <si>
    <t>15-5 PH</t>
  </si>
  <si>
    <t>(in^4)</t>
  </si>
  <si>
    <t>(ft^4)</t>
  </si>
  <si>
    <t>Cross-Sectional Areas</t>
  </si>
  <si>
    <t>15-5 PH (190HT)</t>
  </si>
  <si>
    <t>Moment of Inertia Calculations</t>
  </si>
  <si>
    <t>Spar in2</t>
  </si>
  <si>
    <t>Long-in2</t>
  </si>
  <si>
    <t>Spar-ft2</t>
  </si>
  <si>
    <t>Long-ft2</t>
  </si>
  <si>
    <t>PH 15-7 Mo</t>
  </si>
  <si>
    <t>Major Axis Radius</t>
  </si>
  <si>
    <t>17-4 PH</t>
  </si>
  <si>
    <t>Minor Axis Radius</t>
  </si>
  <si>
    <t>Heat-Resistant Steels</t>
  </si>
  <si>
    <t>A286</t>
  </si>
  <si>
    <t>Solid Rectangle</t>
  </si>
  <si>
    <t>Isr</t>
  </si>
  <si>
    <t>Inconel 600</t>
  </si>
  <si>
    <t>I-Beam</t>
  </si>
  <si>
    <t>Iib</t>
  </si>
  <si>
    <t>Inconel 718</t>
  </si>
  <si>
    <t>C-Beam</t>
  </si>
  <si>
    <t>Icb</t>
  </si>
  <si>
    <t>Inconel X-750</t>
  </si>
  <si>
    <t>Hollow Rectangle</t>
  </si>
  <si>
    <t>Ihr</t>
  </si>
  <si>
    <t>Aluminum Alloy</t>
  </si>
  <si>
    <t>2024-T3 (clad)</t>
  </si>
  <si>
    <t>N-Beam</t>
  </si>
  <si>
    <t>Inb</t>
  </si>
  <si>
    <t>2024-T3 A1</t>
  </si>
  <si>
    <t>Solid Circle</t>
  </si>
  <si>
    <t>Isc</t>
  </si>
  <si>
    <t>2219-T87</t>
  </si>
  <si>
    <t>Hollow Circle</t>
  </si>
  <si>
    <t>Ihc</t>
  </si>
  <si>
    <t>6061-T6</t>
  </si>
  <si>
    <t>7075-T6</t>
  </si>
  <si>
    <t>Beam Cross Section Moment of Inertia (Exact)</t>
  </si>
  <si>
    <t>IL</t>
  </si>
  <si>
    <t>7075-T6 A1</t>
  </si>
  <si>
    <t>7178-T6</t>
  </si>
  <si>
    <t>HK 31A</t>
  </si>
  <si>
    <t>HM 21A</t>
  </si>
  <si>
    <t>Alloy</t>
  </si>
  <si>
    <t>Titanium Alloy</t>
  </si>
  <si>
    <t>6AL-4V</t>
  </si>
  <si>
    <t>13V-11Cr-3AL</t>
  </si>
  <si>
    <t>Graphite-Epoxy</t>
  </si>
  <si>
    <t>Boron-Epoxy</t>
  </si>
  <si>
    <t>Graphite-Polyimide</t>
  </si>
  <si>
    <t>S-Fiberglass-Epoxy</t>
  </si>
  <si>
    <t>E-Fiberglass-Epoxy</t>
  </si>
  <si>
    <t>Aramid-Epoxy</t>
  </si>
  <si>
    <t>Laminated Plastic</t>
  </si>
  <si>
    <t>Spruce Wood</t>
  </si>
  <si>
    <t xml:space="preserve"> -Corke Chapter 11, pgs. 262-297</t>
  </si>
  <si>
    <t>1) Static Margin Calculation</t>
  </si>
  <si>
    <t>Static Stability &amp; Control Summary</t>
  </si>
  <si>
    <t>Main Wing and Horizontal Stabilizer Inputs</t>
  </si>
  <si>
    <t>Reference Area</t>
  </si>
  <si>
    <t>Chapters 4 &amp; 6</t>
  </si>
  <si>
    <t>Values</t>
  </si>
  <si>
    <t>Compliance</t>
  </si>
  <si>
    <t>Chapters 2 &amp; 6</t>
  </si>
  <si>
    <t>Static Margin</t>
  </si>
  <si>
    <t>at Wo</t>
  </si>
  <si>
    <t>at We</t>
  </si>
  <si>
    <t>Stability Requirement</t>
  </si>
  <si>
    <t>Oswald Efficiency Factor</t>
  </si>
  <si>
    <t xml:space="preserve"> -Center of Lift</t>
  </si>
  <si>
    <t>Moment Coeff. Aerodynamic Center</t>
  </si>
  <si>
    <t>CM,ac</t>
  </si>
  <si>
    <t>"Theory of Wing Sections", or similar</t>
  </si>
  <si>
    <t>Zero Lift Angle-of-Attack</t>
  </si>
  <si>
    <r>
      <rPr>
        <sz val="10"/>
        <rFont val="Symbol"/>
        <family val="1"/>
        <charset val="2"/>
      </rPr>
      <t>a</t>
    </r>
    <r>
      <rPr>
        <sz val="8"/>
        <rFont val="Arial"/>
        <family val="2"/>
      </rPr>
      <t>,0L</t>
    </r>
  </si>
  <si>
    <t xml:space="preserve"> -Static Margin</t>
  </si>
  <si>
    <t>SM&gt;0%</t>
  </si>
  <si>
    <r>
      <t>CL</t>
    </r>
    <r>
      <rPr>
        <sz val="10"/>
        <rFont val="Symbol"/>
        <family val="1"/>
        <charset val="2"/>
      </rPr>
      <t>a</t>
    </r>
    <r>
      <rPr>
        <sz val="10"/>
        <rFont val="Arial"/>
        <family val="2"/>
      </rPr>
      <t>=dCL/d</t>
    </r>
    <r>
      <rPr>
        <sz val="10"/>
        <rFont val="Symbol"/>
        <family val="1"/>
        <charset val="2"/>
      </rPr>
      <t>a</t>
    </r>
  </si>
  <si>
    <t xml:space="preserve"> -Dtrim / Dtotal</t>
  </si>
  <si>
    <t>Dtrim/Dtot&lt;0.1</t>
  </si>
  <si>
    <t>Induced Drag Factor</t>
  </si>
  <si>
    <t>Parasite Drag Coefficient (Total Aircraft)</t>
  </si>
  <si>
    <t>Chapters 4 &amp; 6, includes wave drag</t>
  </si>
  <si>
    <t>Stability Coefficients</t>
  </si>
  <si>
    <r>
      <t xml:space="preserve"> -Longitudinal, C</t>
    </r>
    <r>
      <rPr>
        <sz val="8"/>
        <rFont val="Arial"/>
        <family val="2"/>
      </rPr>
      <t>m</t>
    </r>
    <r>
      <rPr>
        <sz val="8"/>
        <rFont val="Symbol"/>
        <family val="1"/>
        <charset val="2"/>
      </rPr>
      <t>a</t>
    </r>
  </si>
  <si>
    <r>
      <t xml:space="preserve"> -1.5&lt;C</t>
    </r>
    <r>
      <rPr>
        <sz val="8"/>
        <rFont val="Cambria"/>
        <family val="1"/>
      </rPr>
      <t>m</t>
    </r>
    <r>
      <rPr>
        <sz val="8"/>
        <rFont val="Symbol"/>
        <family val="1"/>
        <charset val="2"/>
      </rPr>
      <t>a</t>
    </r>
    <r>
      <rPr>
        <sz val="10"/>
        <rFont val="Arial"/>
        <family val="2"/>
      </rPr>
      <t>&lt;-0.16</t>
    </r>
  </si>
  <si>
    <r>
      <t xml:space="preserve"> -Directional, Cn</t>
    </r>
    <r>
      <rPr>
        <sz val="10"/>
        <rFont val="Symbol"/>
        <family val="1"/>
        <charset val="2"/>
      </rPr>
      <t>b</t>
    </r>
  </si>
  <si>
    <r>
      <t xml:space="preserve"> +0.08&lt;C</t>
    </r>
    <r>
      <rPr>
        <sz val="8"/>
        <rFont val="Arial"/>
        <family val="2"/>
      </rPr>
      <t>n</t>
    </r>
    <r>
      <rPr>
        <sz val="8"/>
        <rFont val="Symbol"/>
        <family val="1"/>
        <charset val="2"/>
      </rPr>
      <t>b</t>
    </r>
    <r>
      <rPr>
        <sz val="10"/>
        <rFont val="Arial"/>
        <family val="2"/>
      </rPr>
      <t>&lt;+0.28</t>
    </r>
  </si>
  <si>
    <t>Half-Span</t>
  </si>
  <si>
    <r>
      <t xml:space="preserve"> -Lateral, C</t>
    </r>
    <r>
      <rPr>
        <sz val="8"/>
        <rFont val="Arial"/>
        <family val="2"/>
      </rPr>
      <t>L</t>
    </r>
    <r>
      <rPr>
        <sz val="8"/>
        <rFont val="Symbol"/>
        <family val="1"/>
        <charset val="2"/>
      </rPr>
      <t>b</t>
    </r>
  </si>
  <si>
    <r>
      <t xml:space="preserve"> -0.28&lt;C</t>
    </r>
    <r>
      <rPr>
        <sz val="8"/>
        <rFont val="Arial"/>
        <family val="2"/>
      </rPr>
      <t>L</t>
    </r>
    <r>
      <rPr>
        <sz val="8"/>
        <rFont val="Symbol"/>
        <family val="1"/>
        <charset val="2"/>
      </rPr>
      <t>b</t>
    </r>
    <r>
      <rPr>
        <sz val="10"/>
        <rFont val="Arial"/>
        <family val="2"/>
      </rPr>
      <t>&lt;-0.08</t>
    </r>
  </si>
  <si>
    <t>Rudder</t>
  </si>
  <si>
    <t>cmac</t>
  </si>
  <si>
    <t>Rudder TE Sweepback Angle (deg)</t>
  </si>
  <si>
    <t xml:space="preserve"> -12.5 deg&lt;VT sweep&lt;+12.5 deg</t>
  </si>
  <si>
    <t>Aircraft Type Flag</t>
  </si>
  <si>
    <t>Atype</t>
  </si>
  <si>
    <t>Thrust Moment Arm (Below cg (+), Above cg (-))</t>
  </si>
  <si>
    <t>zt</t>
  </si>
  <si>
    <t>See Figure 11.2</t>
  </si>
  <si>
    <t>Drag Moment Arm (Below cg (+), Above cg (-))</t>
  </si>
  <si>
    <t>z</t>
  </si>
  <si>
    <t>Diameter of Engine Inlet</t>
  </si>
  <si>
    <t>Dmax,eng</t>
  </si>
  <si>
    <t>Angle of airflow entering engine</t>
  </si>
  <si>
    <t>Atmosphere (Corke App. A):</t>
  </si>
  <si>
    <t>Design Cruise Altitude</t>
  </si>
  <si>
    <t>Chapter 2 - Design Cruise or Loiter Condition</t>
  </si>
  <si>
    <t>Design Cruise Speed</t>
  </si>
  <si>
    <t>lb/f^2</t>
  </si>
  <si>
    <t>lbf/f^2</t>
  </si>
  <si>
    <t>Ambient Density Ratio, s</t>
  </si>
  <si>
    <t>f/s</t>
  </si>
  <si>
    <r>
      <t>q/q</t>
    </r>
    <r>
      <rPr>
        <vertAlign val="subscript"/>
        <sz val="10"/>
        <rFont val="Arial"/>
        <family val="2"/>
      </rPr>
      <t>SL</t>
    </r>
  </si>
  <si>
    <r>
      <t>p/p</t>
    </r>
    <r>
      <rPr>
        <vertAlign val="subscript"/>
        <sz val="10"/>
        <rFont val="Arial"/>
        <family val="2"/>
      </rPr>
      <t>SL</t>
    </r>
  </si>
  <si>
    <t>Ambient Density</t>
  </si>
  <si>
    <t>Loads and Moments</t>
  </si>
  <si>
    <t>Start</t>
  </si>
  <si>
    <t>End</t>
  </si>
  <si>
    <t>Weights (lb)</t>
  </si>
  <si>
    <t>of Gravity</t>
  </si>
  <si>
    <t>Engine Structure</t>
  </si>
  <si>
    <r>
      <t>S</t>
    </r>
    <r>
      <rPr>
        <sz val="10"/>
        <rFont val="Arial"/>
        <family val="2"/>
      </rPr>
      <t xml:space="preserve"> Weights / Center-of-Gravity position, (xcg/L)</t>
    </r>
  </si>
  <si>
    <t>Lift (lb)</t>
  </si>
  <si>
    <t>Wing Lift</t>
  </si>
  <si>
    <t>Horizontal Stabilizer Lift</t>
  </si>
  <si>
    <t>Fy = Engine Inlet Force (see Fig. 11.4)</t>
  </si>
  <si>
    <t>Wing Moment, Mac</t>
  </si>
  <si>
    <t>Horizontal Stabilizer Moment, Mac</t>
  </si>
  <si>
    <r>
      <t>S</t>
    </r>
    <r>
      <rPr>
        <sz val="10"/>
        <rFont val="Arial"/>
        <family val="2"/>
      </rPr>
      <t xml:space="preserve"> Lift</t>
    </r>
  </si>
  <si>
    <t>Thrust and Drag (lb)</t>
  </si>
  <si>
    <t>Engine Propulsive Thrust (all engines, lbf)</t>
  </si>
  <si>
    <t>Wing Induced Drag, (lbf)</t>
  </si>
  <si>
    <r>
      <t>S</t>
    </r>
    <r>
      <rPr>
        <sz val="10"/>
        <rFont val="Arial"/>
        <family val="2"/>
      </rPr>
      <t xml:space="preserve"> Forces in Z direction</t>
    </r>
  </si>
  <si>
    <t>Longitudinal Trim Calculations</t>
  </si>
  <si>
    <t>Center of Gravity</t>
  </si>
  <si>
    <t>xcg</t>
  </si>
  <si>
    <t>Center of Lift</t>
  </si>
  <si>
    <t>xcl</t>
  </si>
  <si>
    <t>Static Margin = (xcl-xcg)/cmac</t>
  </si>
  <si>
    <t>Parasite Drag</t>
  </si>
  <si>
    <t>Wing Induced Drag</t>
  </si>
  <si>
    <t>Di</t>
  </si>
  <si>
    <t>Trim Drag</t>
  </si>
  <si>
    <t>Dtrim</t>
  </si>
  <si>
    <t>Dtot</t>
  </si>
  <si>
    <t>See Corke Equation 11.63, page 279.</t>
  </si>
  <si>
    <t>Percentage of Total Drag due to Trim</t>
  </si>
  <si>
    <t>Dtrim/Dmin</t>
  </si>
  <si>
    <t>Longitudinal Trim Results</t>
  </si>
  <si>
    <t>Center of</t>
  </si>
  <si>
    <t>Static</t>
  </si>
  <si>
    <t>Center of Lift, xcl/l</t>
  </si>
  <si>
    <t>Gravity, xcg/l</t>
  </si>
  <si>
    <t>Margin</t>
  </si>
  <si>
    <t>H-Stab Lift</t>
  </si>
  <si>
    <r>
      <t>C</t>
    </r>
    <r>
      <rPr>
        <u/>
        <sz val="8"/>
        <rFont val="Arial"/>
        <family val="2"/>
      </rPr>
      <t>M</t>
    </r>
    <r>
      <rPr>
        <u/>
        <sz val="8"/>
        <rFont val="Symbol"/>
        <family val="1"/>
        <charset val="2"/>
      </rPr>
      <t>a</t>
    </r>
  </si>
  <si>
    <r>
      <t>C</t>
    </r>
    <r>
      <rPr>
        <u/>
        <sz val="8"/>
        <rFont val="Arial"/>
        <family val="2"/>
      </rPr>
      <t>n</t>
    </r>
    <r>
      <rPr>
        <u/>
        <sz val="8"/>
        <rFont val="Symbol"/>
        <family val="1"/>
        <charset val="2"/>
      </rPr>
      <t>b</t>
    </r>
  </si>
  <si>
    <r>
      <t>C</t>
    </r>
    <r>
      <rPr>
        <u/>
        <sz val="8"/>
        <rFont val="Arial"/>
        <family val="2"/>
      </rPr>
      <t>L</t>
    </r>
    <r>
      <rPr>
        <u/>
        <sz val="8"/>
        <rFont val="Symbol"/>
        <family val="1"/>
        <charset val="2"/>
      </rPr>
      <t>b</t>
    </r>
  </si>
  <si>
    <t>Longitudinal Stability Effect on Performance (Section 11.2.6)</t>
  </si>
  <si>
    <t xml:space="preserve"> -Copy and paste Trim Results for a number of values of Static Margin</t>
  </si>
  <si>
    <t>Longitudinal Trim Results for W=Wo</t>
  </si>
  <si>
    <t>Dtrim/Dtotal</t>
  </si>
  <si>
    <t>Longitudinal Trim Results for W=We</t>
  </si>
  <si>
    <t>(lb)
Wing</t>
  </si>
  <si>
    <t>(lb)
H-Stab</t>
  </si>
  <si>
    <r>
      <t>2) Longitudinal Stability Coefficient, C</t>
    </r>
    <r>
      <rPr>
        <b/>
        <sz val="8"/>
        <rFont val="Arial"/>
        <family val="2"/>
      </rPr>
      <t>M</t>
    </r>
    <r>
      <rPr>
        <b/>
        <sz val="8"/>
        <rFont val="Symbol"/>
        <family val="1"/>
        <charset val="2"/>
      </rPr>
      <t>a</t>
    </r>
  </si>
  <si>
    <t>3D Lift Curve Slope, Wing</t>
  </si>
  <si>
    <t>Claw</t>
  </si>
  <si>
    <t>Moment Arm = xcg - xcl</t>
  </si>
  <si>
    <t>xw</t>
  </si>
  <si>
    <t>Wing Lift Term (see Equ. 11.21)</t>
  </si>
  <si>
    <t>Claw*(xw/cmac)</t>
  </si>
  <si>
    <t>3D Lift Curve Slope, Hstab</t>
  </si>
  <si>
    <r>
      <t>C</t>
    </r>
    <r>
      <rPr>
        <vertAlign val="subscript"/>
        <sz val="10"/>
        <rFont val="Arial"/>
        <family val="2"/>
      </rPr>
      <t>la hs</t>
    </r>
  </si>
  <si>
    <t>Distance from Wing c/4 to Stabilizer c/4</t>
  </si>
  <si>
    <t>Chapter 6</t>
  </si>
  <si>
    <t>H-Stab Height above Main Wing Centerline</t>
  </si>
  <si>
    <t>Fig. 11.3 Parameter1</t>
  </si>
  <si>
    <t>r=L/(b/2)</t>
  </si>
  <si>
    <t>Fig. 11.3 Parameter2</t>
  </si>
  <si>
    <t>m=H/(b/2)</t>
  </si>
  <si>
    <r>
      <t xml:space="preserve">Effect of Wing downwash on Hstab </t>
    </r>
    <r>
      <rPr>
        <sz val="10"/>
        <rFont val="Symbol"/>
        <family val="1"/>
        <charset val="2"/>
      </rPr>
      <t>a</t>
    </r>
  </si>
  <si>
    <r>
      <t>de/d</t>
    </r>
    <r>
      <rPr>
        <sz val="10"/>
        <rFont val="Symbol"/>
        <family val="1"/>
        <charset val="2"/>
      </rPr>
      <t>a</t>
    </r>
  </si>
  <si>
    <t>Figure 11.3, pg. 265</t>
  </si>
  <si>
    <t>Wing Lift Coefficient</t>
  </si>
  <si>
    <t>Wing Angle-of-Attck</t>
  </si>
  <si>
    <t>Horizontal Stabilizer Angle-of-Attack</t>
  </si>
  <si>
    <r>
      <rPr>
        <sz val="10"/>
        <rFont val="Symbol"/>
        <family val="1"/>
        <charset val="2"/>
      </rPr>
      <t>a</t>
    </r>
    <r>
      <rPr>
        <vertAlign val="subscript"/>
        <sz val="10"/>
        <rFont val="Arial"/>
        <family val="2"/>
      </rPr>
      <t>HT</t>
    </r>
  </si>
  <si>
    <t>See Equ. 11.13</t>
  </si>
  <si>
    <t>Horizontal Stabilizer Lift Coefficient</t>
  </si>
  <si>
    <r>
      <t>CL</t>
    </r>
    <r>
      <rPr>
        <vertAlign val="subscript"/>
        <sz val="10"/>
        <rFont val="Arial"/>
        <family val="2"/>
      </rPr>
      <t>HT</t>
    </r>
  </si>
  <si>
    <t>See Equ. 11.12</t>
  </si>
  <si>
    <t>Horizontal Stabilizer Dynamic Pressure</t>
  </si>
  <si>
    <r>
      <t>q</t>
    </r>
    <r>
      <rPr>
        <vertAlign val="subscript"/>
        <sz val="10"/>
        <rFont val="Arial"/>
        <family val="2"/>
      </rPr>
      <t>HT</t>
    </r>
  </si>
  <si>
    <r>
      <t>Tail Efficiency = q</t>
    </r>
    <r>
      <rPr>
        <sz val="8"/>
        <rFont val="Arial"/>
        <family val="2"/>
      </rPr>
      <t>HT</t>
    </r>
    <r>
      <rPr>
        <sz val="10"/>
        <rFont val="Arial"/>
        <family val="2"/>
      </rPr>
      <t>/qwing</t>
    </r>
  </si>
  <si>
    <r>
      <rPr>
        <sz val="10"/>
        <rFont val="Symbol"/>
        <family val="1"/>
        <charset val="2"/>
      </rPr>
      <t>h</t>
    </r>
    <r>
      <rPr>
        <sz val="10"/>
        <rFont val="Arial"/>
        <family val="2"/>
      </rPr>
      <t>ht</t>
    </r>
  </si>
  <si>
    <t>Moment Arm = xcg-xht</t>
  </si>
  <si>
    <t>lht</t>
  </si>
  <si>
    <t>H-Stab Reference area</t>
  </si>
  <si>
    <t>Sht</t>
  </si>
  <si>
    <t>H-Stab volume coefficient = lht*Sht/Sref*cmac</t>
  </si>
  <si>
    <t>Vbar,hstab</t>
  </si>
  <si>
    <r>
      <t>H-Stab Term (see Equ. 11.21)
Cla,hs*(1-d</t>
    </r>
    <r>
      <rPr>
        <sz val="10"/>
        <rFont val="Symbol"/>
        <family val="1"/>
        <charset val="2"/>
      </rPr>
      <t>e</t>
    </r>
    <r>
      <rPr>
        <sz val="10"/>
        <rFont val="Arial"/>
        <family val="2"/>
      </rPr>
      <t>/da)*</t>
    </r>
    <r>
      <rPr>
        <sz val="10"/>
        <rFont val="Symbol"/>
        <family val="1"/>
        <charset val="2"/>
      </rPr>
      <t>h</t>
    </r>
    <r>
      <rPr>
        <sz val="10"/>
        <rFont val="Arial"/>
        <family val="2"/>
      </rPr>
      <t>ht*Vbar,hs</t>
    </r>
  </si>
  <si>
    <t>Inlet Flow Angle change with aircraft angle-of-attack</t>
  </si>
  <si>
    <r>
      <t>d</t>
    </r>
    <r>
      <rPr>
        <sz val="10"/>
        <rFont val="Symbol"/>
        <family val="1"/>
        <charset val="2"/>
      </rPr>
      <t>b/</t>
    </r>
    <r>
      <rPr>
        <sz val="10"/>
        <rFont val="Arial"/>
        <family val="2"/>
      </rPr>
      <t>d</t>
    </r>
    <r>
      <rPr>
        <sz val="10"/>
        <rFont val="Symbol"/>
        <family val="1"/>
        <charset val="2"/>
      </rPr>
      <t>a</t>
    </r>
  </si>
  <si>
    <t>rad/rad</t>
  </si>
  <si>
    <t>Equ 11.23, Equ. 11.24 or Figure 11.5</t>
  </si>
  <si>
    <t>Moment Arm = xcg-xpp</t>
  </si>
  <si>
    <t>lpp</t>
  </si>
  <si>
    <t>Moment Coefficient derivative with angle-of-attck due to turning of Engine inlet airflow.  See Equ. 11.22</t>
  </si>
  <si>
    <r>
      <t>(dCmcg/d</t>
    </r>
    <r>
      <rPr>
        <sz val="10"/>
        <rFont val="Symbol"/>
        <family val="1"/>
        <charset val="2"/>
      </rPr>
      <t>a</t>
    </r>
    <r>
      <rPr>
        <sz val="10"/>
        <rFont val="Arial"/>
        <family val="2"/>
      </rPr>
      <t>)I</t>
    </r>
  </si>
  <si>
    <t>Longitudinal Stability Coefficient</t>
  </si>
  <si>
    <r>
      <t>C</t>
    </r>
    <r>
      <rPr>
        <sz val="8"/>
        <rFont val="Arial"/>
        <family val="2"/>
      </rPr>
      <t>M</t>
    </r>
    <r>
      <rPr>
        <sz val="8"/>
        <rFont val="Symbol"/>
        <family val="1"/>
        <charset val="2"/>
      </rPr>
      <t>a</t>
    </r>
  </si>
  <si>
    <r>
      <t>3) Directional Stability Coefficient, C</t>
    </r>
    <r>
      <rPr>
        <b/>
        <sz val="8"/>
        <rFont val="Arial"/>
        <family val="2"/>
      </rPr>
      <t>N</t>
    </r>
    <r>
      <rPr>
        <b/>
        <sz val="8"/>
        <rFont val="Symbol"/>
        <family val="1"/>
        <charset val="2"/>
      </rPr>
      <t>b</t>
    </r>
  </si>
  <si>
    <t xml:space="preserve">Start  </t>
  </si>
  <si>
    <t>of Cruise</t>
  </si>
  <si>
    <t>Wing Parameters:</t>
  </si>
  <si>
    <t>A_w</t>
  </si>
  <si>
    <t>Reference wing area</t>
  </si>
  <si>
    <t>f^2</t>
  </si>
  <si>
    <t>wing span</t>
  </si>
  <si>
    <t>f</t>
  </si>
  <si>
    <t>Height of wing root chord relative to fuselage centerline</t>
  </si>
  <si>
    <t>z_w</t>
  </si>
  <si>
    <t>Lift coefficient</t>
  </si>
  <si>
    <t>C_L (cruise)</t>
  </si>
  <si>
    <t>Fuselage Parameters:</t>
  </si>
  <si>
    <t>Max height of fuselage</t>
  </si>
  <si>
    <t>Max width of fusealge</t>
  </si>
  <si>
    <t>Total volume of fuselage</t>
  </si>
  <si>
    <t>Vol_f</t>
  </si>
  <si>
    <t>f^3</t>
  </si>
  <si>
    <t>Vertical Tail Parameters:</t>
  </si>
  <si>
    <t>Lift curve slope of vertical stabilizer</t>
  </si>
  <si>
    <r>
      <t>(C_L_</t>
    </r>
    <r>
      <rPr>
        <sz val="10"/>
        <rFont val="Symbol"/>
        <family val="1"/>
        <charset val="2"/>
      </rPr>
      <t>a</t>
    </r>
    <r>
      <rPr>
        <sz val="10"/>
        <rFont val="Arial"/>
        <family val="2"/>
      </rPr>
      <t>)_vs</t>
    </r>
  </si>
  <si>
    <t>(deg)^-1</t>
  </si>
  <si>
    <t>Moment arm of the vertical stabilizer relative to the a/c c.g.</t>
  </si>
  <si>
    <t>l_vs</t>
  </si>
  <si>
    <t>Vertical Stabilizer sizing coefficient</t>
  </si>
  <si>
    <t>Cvt</t>
  </si>
  <si>
    <t>Vertical Stabilizer moment arm</t>
  </si>
  <si>
    <t>Vertical Stabilizer leading edge sweep</t>
  </si>
  <si>
    <r>
      <t>L_</t>
    </r>
    <r>
      <rPr>
        <sz val="10"/>
        <rFont val="Arial"/>
        <family val="2"/>
      </rPr>
      <t>vsle</t>
    </r>
  </si>
  <si>
    <t>Vertical Stabilizer max thickness</t>
  </si>
  <si>
    <t>Vertical Stabilizer taper ratio</t>
  </si>
  <si>
    <r>
      <t>l_</t>
    </r>
    <r>
      <rPr>
        <sz val="10"/>
        <rFont val="Arial"/>
        <family val="2"/>
      </rPr>
      <t>vs</t>
    </r>
  </si>
  <si>
    <t>Vertical Stabilizer aspect ratio</t>
  </si>
  <si>
    <t>Avt</t>
  </si>
  <si>
    <t>Vertical Stabilizer reference area</t>
  </si>
  <si>
    <t>S_vs</t>
  </si>
  <si>
    <r>
      <t>ft</t>
    </r>
    <r>
      <rPr>
        <vertAlign val="superscript"/>
        <sz val="8"/>
        <rFont val="Arial"/>
        <family val="2"/>
      </rPr>
      <t>2</t>
    </r>
  </si>
  <si>
    <t>Vertical Stabilizer span</t>
  </si>
  <si>
    <t>bvt</t>
  </si>
  <si>
    <t>Vertical Stabilizer root chord</t>
  </si>
  <si>
    <t>cr_vs</t>
  </si>
  <si>
    <t>Vertical Stabilizer tip chord</t>
  </si>
  <si>
    <t>ct_vs</t>
  </si>
  <si>
    <t>Vertical Stabilizer mean aero chord</t>
  </si>
  <si>
    <t>m.a.c._vs</t>
  </si>
  <si>
    <t>Vertical Stabilizer trailing edge sweep</t>
  </si>
  <si>
    <r>
      <t>L_</t>
    </r>
    <r>
      <rPr>
        <sz val="10"/>
        <rFont val="Arial"/>
        <family val="2"/>
      </rPr>
      <t>vste</t>
    </r>
  </si>
  <si>
    <t>Vertical Stabilizer volume coefficient (Equ. 11.41)</t>
  </si>
  <si>
    <t>V_bar_vs</t>
  </si>
  <si>
    <t>L.H.S. of Corke Equ. 11.42</t>
  </si>
  <si>
    <r>
      <t>(1+d</t>
    </r>
    <r>
      <rPr>
        <sz val="10"/>
        <rFont val="Symbol"/>
        <family val="1"/>
        <charset val="2"/>
      </rPr>
      <t>s/</t>
    </r>
    <r>
      <rPr>
        <sz val="10"/>
        <rFont val="Arial"/>
        <family val="2"/>
      </rPr>
      <t>d</t>
    </r>
    <r>
      <rPr>
        <sz val="10"/>
        <rFont val="Symbol"/>
        <family val="1"/>
        <charset val="2"/>
      </rPr>
      <t>b</t>
    </r>
    <r>
      <rPr>
        <sz val="10"/>
        <rFont val="Arial"/>
        <family val="2"/>
      </rPr>
      <t>)q/q</t>
    </r>
  </si>
  <si>
    <t>Eq[11.42]</t>
  </si>
  <si>
    <t>L.H.S. of Corke Equ. 11.40</t>
  </si>
  <si>
    <t>v. tail effect</t>
  </si>
  <si>
    <t>Eq[11.40]</t>
  </si>
  <si>
    <t>L.H.S. of Corke Equ. 11.44</t>
  </si>
  <si>
    <t>fuse. effect</t>
  </si>
  <si>
    <t>Eq[11.44]</t>
  </si>
  <si>
    <t>L.H.S. of Corke Equ. 11.43</t>
  </si>
  <si>
    <t>wing effect</t>
  </si>
  <si>
    <t>Eq[11.43]</t>
  </si>
  <si>
    <t>Directional stability coefficient</t>
  </si>
  <si>
    <r>
      <t>C</t>
    </r>
    <r>
      <rPr>
        <sz val="8"/>
        <rFont val="Arial"/>
        <family val="2"/>
      </rPr>
      <t>n</t>
    </r>
    <r>
      <rPr>
        <sz val="8"/>
        <rFont val="Symbol"/>
        <family val="1"/>
        <charset val="2"/>
      </rPr>
      <t>b</t>
    </r>
  </si>
  <si>
    <t>Lateral stability coefficient</t>
  </si>
  <si>
    <r>
      <t>C</t>
    </r>
    <r>
      <rPr>
        <sz val="8"/>
        <rFont val="Arial"/>
        <family val="2"/>
      </rPr>
      <t>L</t>
    </r>
    <r>
      <rPr>
        <sz val="8"/>
        <rFont val="Symbol"/>
        <family val="1"/>
        <charset val="2"/>
      </rPr>
      <t>b</t>
    </r>
  </si>
  <si>
    <r>
      <t xml:space="preserve">4) Rudder Sizing </t>
    </r>
    <r>
      <rPr>
        <sz val="12"/>
        <rFont val="Arial"/>
        <family val="2"/>
      </rPr>
      <t>(Review Corke Section 11.2.5, pgs. 274-276)</t>
    </r>
  </si>
  <si>
    <t>Input Parameters</t>
  </si>
  <si>
    <t>Rudder Flap Deflection Angle</t>
  </si>
  <si>
    <r>
      <t>d</t>
    </r>
    <r>
      <rPr>
        <sz val="10"/>
        <rFont val="Arial"/>
        <family val="2"/>
      </rPr>
      <t>_r</t>
    </r>
  </si>
  <si>
    <t>Side Slip Angle for Critical Scenario #2</t>
  </si>
  <si>
    <t>Fixed per Regulations (see Section 11.2.5)</t>
  </si>
  <si>
    <t>Asymmetric Thrust</t>
  </si>
  <si>
    <t>Asym. T</t>
  </si>
  <si>
    <t>Coefficient of directional stability</t>
  </si>
  <si>
    <r>
      <t>C_n_</t>
    </r>
    <r>
      <rPr>
        <sz val="10"/>
        <rFont val="Symbol"/>
        <family val="1"/>
        <charset val="2"/>
      </rPr>
      <t>b</t>
    </r>
  </si>
  <si>
    <t>Engine Max Diameter</t>
  </si>
  <si>
    <t>diam_e</t>
  </si>
  <si>
    <t>Takeoff Speed = 1.2*Vstall</t>
  </si>
  <si>
    <t>V_T-O</t>
  </si>
  <si>
    <r>
      <t>Ambient Density, use 5K/ISA+30C (</t>
    </r>
    <r>
      <rPr>
        <sz val="10"/>
        <rFont val="Symbol"/>
        <family val="1"/>
        <charset val="2"/>
      </rPr>
      <t>r</t>
    </r>
    <r>
      <rPr>
        <sz val="10"/>
        <rFont val="Arial"/>
        <family val="2"/>
      </rPr>
      <t>=0.059 lbm/f^3)</t>
    </r>
  </si>
  <si>
    <t>rho_T-O</t>
  </si>
  <si>
    <t>lbm/f^3</t>
  </si>
  <si>
    <t>Fixed.  Typical extreme case: Hot Day, Denver Takeoff</t>
  </si>
  <si>
    <t>Required airspeed for Critical Scenario #1</t>
  </si>
  <si>
    <t>1.2V_T-O</t>
  </si>
  <si>
    <t>Required airspeed for Critical Scenario #2</t>
  </si>
  <si>
    <t>0.2V_T-O</t>
  </si>
  <si>
    <t>lbs/f^2</t>
  </si>
  <si>
    <t>Drag of failed engine</t>
  </si>
  <si>
    <t>D_e</t>
  </si>
  <si>
    <r>
      <t>Step 1 - Solve for Rudder Control Power = C_n_</t>
    </r>
    <r>
      <rPr>
        <b/>
        <sz val="10"/>
        <rFont val="Symbol"/>
        <family val="1"/>
        <charset val="2"/>
      </rPr>
      <t>d</t>
    </r>
    <r>
      <rPr>
        <b/>
        <sz val="10"/>
        <rFont val="Arial"/>
        <family val="2"/>
      </rPr>
      <t>R</t>
    </r>
  </si>
  <si>
    <t>Critical Scenario #1: OEI asymmetrical power</t>
  </si>
  <si>
    <r>
      <t>C_n_</t>
    </r>
    <r>
      <rPr>
        <sz val="10"/>
        <rFont val="Symbol"/>
        <family val="1"/>
        <charset val="2"/>
      </rPr>
      <t>d</t>
    </r>
    <r>
      <rPr>
        <sz val="10"/>
        <rFont val="Arial"/>
        <family val="2"/>
      </rPr>
      <t>R #1</t>
    </r>
  </si>
  <si>
    <t>[rad]^-1</t>
  </si>
  <si>
    <t>Eq[11.47]</t>
  </si>
  <si>
    <t>Critical Scenario #2: Take-off/Landing Cross Wind</t>
  </si>
  <si>
    <r>
      <t>C_n_</t>
    </r>
    <r>
      <rPr>
        <sz val="10"/>
        <rFont val="Symbol"/>
        <family val="1"/>
        <charset val="2"/>
      </rPr>
      <t>d</t>
    </r>
    <r>
      <rPr>
        <sz val="10"/>
        <rFont val="Arial"/>
        <family val="2"/>
      </rPr>
      <t>R #2</t>
    </r>
  </si>
  <si>
    <t>Eq[11.50]</t>
  </si>
  <si>
    <r>
      <t>Step 2 - Solve for d</t>
    </r>
    <r>
      <rPr>
        <b/>
        <sz val="10"/>
        <rFont val="Symbol"/>
        <family val="1"/>
        <charset val="2"/>
      </rPr>
      <t>a</t>
    </r>
    <r>
      <rPr>
        <b/>
        <sz val="10"/>
        <rFont val="Arial"/>
        <family val="2"/>
      </rPr>
      <t>_0L/d</t>
    </r>
    <r>
      <rPr>
        <b/>
        <sz val="10"/>
        <rFont val="Symbol"/>
        <family val="1"/>
        <charset val="2"/>
      </rPr>
      <t>d</t>
    </r>
    <r>
      <rPr>
        <b/>
        <sz val="10"/>
        <rFont val="Arial"/>
        <family val="2"/>
      </rPr>
      <t>_r (Equ. 11.51)</t>
    </r>
  </si>
  <si>
    <t>Change in zero lift angle-of-attack due to rudder deflection</t>
  </si>
  <si>
    <r>
      <t>d</t>
    </r>
    <r>
      <rPr>
        <sz val="10"/>
        <rFont val="Symbol"/>
        <family val="1"/>
        <charset val="2"/>
      </rPr>
      <t>a</t>
    </r>
    <r>
      <rPr>
        <sz val="10"/>
        <rFont val="Arial"/>
        <family val="2"/>
      </rPr>
      <t>_0L/d</t>
    </r>
    <r>
      <rPr>
        <sz val="10"/>
        <rFont val="Symbol"/>
        <family val="1"/>
        <charset val="2"/>
      </rPr>
      <t>d</t>
    </r>
    <r>
      <rPr>
        <sz val="10"/>
        <rFont val="Arial"/>
        <family val="2"/>
      </rPr>
      <t>_r</t>
    </r>
  </si>
  <si>
    <t>Eq[11.51]</t>
  </si>
  <si>
    <t>Step 3 - Read Corke Figure 11.9</t>
  </si>
  <si>
    <t>Ratio of Rudder Chord (or Area) to V-Stab Chord (or Area)</t>
  </si>
  <si>
    <t>C_R/C_VS</t>
  </si>
  <si>
    <t>Use Fig. 11.9 with Step 2 value</t>
  </si>
  <si>
    <t>Reference area of the vertical stabilizer</t>
  </si>
  <si>
    <t>Rudder Area</t>
  </si>
  <si>
    <t>Sr</t>
  </si>
  <si>
    <t>Plotting</t>
  </si>
  <si>
    <t>Corke Guidelines:  3%&lt;SM&lt;10% (Equ. 10.39, page 224) and Dtrim/Dtot&lt;10% (Equ. 11.61, page 279)</t>
  </si>
  <si>
    <t>Stability</t>
  </si>
  <si>
    <t>X/L</t>
  </si>
  <si>
    <t>D/Dtot</t>
  </si>
  <si>
    <t>Coeff</t>
  </si>
  <si>
    <t>Force Plotting</t>
  </si>
  <si>
    <t>Center-of-Gravity</t>
  </si>
  <si>
    <t>Cost Estimate</t>
  </si>
  <si>
    <t xml:space="preserve"> -Corke Chapter 12, pgs. 298-313</t>
  </si>
  <si>
    <t>Cost Analysis</t>
  </si>
  <si>
    <t>Cost Estimate Summary</t>
  </si>
  <si>
    <t>1970 CER</t>
  </si>
  <si>
    <t>1986 CER</t>
  </si>
  <si>
    <t>Input Parameters:</t>
  </si>
  <si>
    <t>Constants:</t>
  </si>
  <si>
    <t>Year</t>
  </si>
  <si>
    <t>Number of Development Aircraft</t>
  </si>
  <si>
    <t>W_s</t>
  </si>
  <si>
    <t>CPI (70-98)</t>
  </si>
  <si>
    <t>Number of Production Aircraft</t>
  </si>
  <si>
    <t>V_max</t>
  </si>
  <si>
    <t>CPI (86-98)</t>
  </si>
  <si>
    <t>RTD&amp;E Production Rate (per year)</t>
  </si>
  <si>
    <t>N_D</t>
  </si>
  <si>
    <t>aircraft</t>
  </si>
  <si>
    <t>CPI (98-current)</t>
  </si>
  <si>
    <t>Acquisition Production Rate (per year)</t>
  </si>
  <si>
    <t>N_P</t>
  </si>
  <si>
    <t>Amortization Period (# of ac)</t>
  </si>
  <si>
    <t>N_am</t>
  </si>
  <si>
    <t>Initial Unit Cost</t>
  </si>
  <si>
    <t>R_D</t>
  </si>
  <si>
    <t>aircraft/mo.</t>
  </si>
  <si>
    <t>Final Unit Cost</t>
  </si>
  <si>
    <t>R_P</t>
  </si>
  <si>
    <t>aircraft/mo</t>
  </si>
  <si>
    <t>Initial Price Markup</t>
  </si>
  <si>
    <t>year</t>
  </si>
  <si>
    <t>Profit (%)</t>
  </si>
  <si>
    <t>Cargo Flag</t>
  </si>
  <si>
    <t>O</t>
  </si>
  <si>
    <t>Engine Flag</t>
  </si>
  <si>
    <t>"TJ" or "TF" or "TP"</t>
  </si>
  <si>
    <t>Engine Thrust</t>
  </si>
  <si>
    <t>lbs/eng (for ""TJ" or "TF" only)</t>
  </si>
  <si>
    <t>Engine Weight</t>
  </si>
  <si>
    <t>lbs/eng (for "TP" only)</t>
  </si>
  <si>
    <t>Engine Cost</t>
  </si>
  <si>
    <t>$/lb (for "TP" only)</t>
  </si>
  <si>
    <t>Profit</t>
  </si>
  <si>
    <t>CR_E</t>
  </si>
  <si>
    <t>$/hr (labor rate)</t>
  </si>
  <si>
    <t>CR_T</t>
  </si>
  <si>
    <t>CR_ML</t>
  </si>
  <si>
    <t>CR_QC</t>
  </si>
  <si>
    <t>Research, Development, Test and Evaluation</t>
  </si>
  <si>
    <t>Based on 1970</t>
  </si>
  <si>
    <t>Based on 1986</t>
  </si>
  <si>
    <t>Airframe Engineering:</t>
  </si>
  <si>
    <t>H_E (hrs)</t>
  </si>
  <si>
    <t>C_E ($)</t>
  </si>
  <si>
    <t>Development Support:</t>
  </si>
  <si>
    <t>C_D ($)</t>
  </si>
  <si>
    <t>Link: http://www.bls.gov/cpi/cpid1606.pdf</t>
  </si>
  <si>
    <t>Manufacturing Labor:</t>
  </si>
  <si>
    <t>H_ML (hrs)</t>
  </si>
  <si>
    <t>C_ML ($)</t>
  </si>
  <si>
    <t>Manufacturing Materials:</t>
  </si>
  <si>
    <t>C_MM</t>
  </si>
  <si>
    <t>Tooling:</t>
  </si>
  <si>
    <t>H_T (hrs)</t>
  </si>
  <si>
    <t>C_T ($)</t>
  </si>
  <si>
    <t>Quality Control:</t>
  </si>
  <si>
    <t>(C or O)</t>
  </si>
  <si>
    <t>H_QC</t>
  </si>
  <si>
    <t>C_QC</t>
  </si>
  <si>
    <t>Flight Test:</t>
  </si>
  <si>
    <t>C_FT</t>
  </si>
  <si>
    <t>Engine:</t>
  </si>
  <si>
    <r>
      <t>T_max</t>
    </r>
    <r>
      <rPr>
        <sz val="10"/>
        <rFont val="Arial"/>
        <family val="2"/>
      </rPr>
      <t xml:space="preserve"> (lbs/ac)</t>
    </r>
  </si>
  <si>
    <t>(TJ or TF)</t>
  </si>
  <si>
    <t>N_eng</t>
  </si>
  <si>
    <t>C_EN ($)</t>
  </si>
  <si>
    <t>Subtotal (RDT&amp;E):</t>
  </si>
  <si>
    <t>Profit:</t>
  </si>
  <si>
    <t>Percent</t>
  </si>
  <si>
    <t>C_P</t>
  </si>
  <si>
    <t>Total (RDT&amp;E):</t>
  </si>
  <si>
    <t>Acquisition:</t>
  </si>
  <si>
    <t xml:space="preserve">  </t>
  </si>
  <si>
    <r>
      <t>T_max</t>
    </r>
    <r>
      <rPr>
        <sz val="10"/>
        <rFont val="Arial"/>
        <family val="2"/>
      </rPr>
      <t xml:space="preserve"> (lbs)</t>
    </r>
  </si>
  <si>
    <t>Subtotal (A):</t>
  </si>
  <si>
    <t>Total (A):</t>
  </si>
  <si>
    <t>Total Profit:</t>
  </si>
  <si>
    <t>Aircraft Unit Cost:</t>
  </si>
  <si>
    <t>RDT&amp;E amortized</t>
  </si>
  <si>
    <t xml:space="preserve">unit no.: </t>
  </si>
  <si>
    <t>Cost / Prod. Aircraft</t>
  </si>
  <si>
    <t>Unit cost:</t>
  </si>
  <si>
    <t>Summary Totals:</t>
  </si>
  <si>
    <t>Engineering</t>
  </si>
  <si>
    <t>Development</t>
  </si>
  <si>
    <t>Manufacturing Labor</t>
  </si>
  <si>
    <t>Manufacturing Material</t>
  </si>
  <si>
    <t>C_MM ($)</t>
  </si>
  <si>
    <t>Tooling</t>
  </si>
  <si>
    <t>Quality Control</t>
  </si>
  <si>
    <t>C_QC ($)</t>
  </si>
  <si>
    <t>C_P ($)</t>
  </si>
  <si>
    <t>Chapter 9 - CL,max w/flaps</t>
  </si>
  <si>
    <t>Structure FLAG</t>
  </si>
  <si>
    <t>See Fig 11.2, incl. "(-1)" in formulae for low wing, "(+1)" for high wing.</t>
  </si>
  <si>
    <t>Use 20 deg, per Figure 11.9</t>
  </si>
  <si>
    <t xml:space="preserve">Chapter 7. </t>
  </si>
  <si>
    <t>Chapter 8</t>
  </si>
  <si>
    <t>Center-of-lift</t>
  </si>
  <si>
    <t>Dtrim/Dtot</t>
  </si>
  <si>
    <t>Cma</t>
  </si>
  <si>
    <t>cma low</t>
  </si>
  <si>
    <t>cma hi</t>
  </si>
  <si>
    <t>Delta ($)</t>
  </si>
  <si>
    <t>Fuselage Load Summary</t>
  </si>
  <si>
    <t>Homebuilt:  +5/-2</t>
  </si>
  <si>
    <t>cp=0.5</t>
  </si>
  <si>
    <t>0.65&lt;eta&lt;0.93</t>
  </si>
  <si>
    <t>CL,max=1.7</t>
  </si>
  <si>
    <t>0.30&lt;T/W&lt;0.45  Short Range</t>
  </si>
  <si>
    <t>T/W=850/2050=0.39</t>
  </si>
  <si>
    <t>T/Tref=1.16</t>
  </si>
  <si>
    <t>Mtip=0.85</t>
  </si>
  <si>
    <t>need 3d solid model</t>
  </si>
  <si>
    <t>VTO=1.1</t>
  </si>
  <si>
    <t>VCL=1.1</t>
  </si>
  <si>
    <t>Vy=2,142 fpm</t>
  </si>
  <si>
    <t>Hobs=50 ft</t>
  </si>
  <si>
    <t>F,sto=1.0</t>
  </si>
  <si>
    <t>mu,r=0.05</t>
  </si>
  <si>
    <t>mn,b=0.10</t>
  </si>
  <si>
    <t>VSC=1.30</t>
  </si>
  <si>
    <t>VTD=1.15</t>
  </si>
  <si>
    <t>50 ft</t>
  </si>
  <si>
    <t>F,sl=1.0</t>
  </si>
  <si>
    <t>g=3% (FAR Part 25)</t>
  </si>
  <si>
    <t>g=0.5% (FAR Part 25)</t>
  </si>
  <si>
    <t>(CL,start-CL,end) &gt; DCL drag bucket</t>
  </si>
  <si>
    <t>Lc/4 = specify (for Mdesign)</t>
  </si>
  <si>
    <t>agrazing&gt;30 deg</t>
  </si>
  <si>
    <t>aupsweep &lt; 24 deg</t>
  </si>
  <si>
    <t>adivergence &lt; 12 deg</t>
  </si>
  <si>
    <t>35 deg &lt; (LLE)vt &lt; 55 deg</t>
  </si>
  <si>
    <t>Solve for (LLE)vt such that MLE &lt; 1</t>
  </si>
  <si>
    <t>(LLE)ht = (LLE)wing +2 deg</t>
  </si>
  <si>
    <t>Choose HHT to avoid stall</t>
  </si>
  <si>
    <t xml:space="preserve"> -10 deg &lt; (LTE)vt 10 deg (rudder effectiveness)</t>
  </si>
  <si>
    <t>Composite Spar, Longeron and Skin</t>
  </si>
  <si>
    <t>Yes (Engine in Fuselage ok)</t>
  </si>
  <si>
    <t>Need Ftech=0.52, not realistic</t>
  </si>
  <si>
    <t>aHT = (1-de/da)*awing</t>
  </si>
  <si>
    <t>db/da=f(Li/mac)  for M&lt;1 and upstream inlets</t>
  </si>
  <si>
    <t xml:space="preserve"> -1.5&lt;Cma&lt;-1.2</t>
  </si>
  <si>
    <r>
      <t xml:space="preserve"> -0.096 &lt; Cl</t>
    </r>
    <r>
      <rPr>
        <sz val="11"/>
        <color theme="1"/>
        <rFont val="Symbol"/>
        <family val="1"/>
        <charset val="2"/>
      </rPr>
      <t xml:space="preserve">b </t>
    </r>
    <r>
      <rPr>
        <sz val="10"/>
        <rFont val="Arial"/>
        <family val="2"/>
      </rPr>
      <t>&lt; -0.092</t>
    </r>
  </si>
  <si>
    <r>
      <t xml:space="preserve"> 0.092 &lt; Cl</t>
    </r>
    <r>
      <rPr>
        <sz val="11"/>
        <color theme="1"/>
        <rFont val="Symbol"/>
        <family val="1"/>
        <charset val="2"/>
      </rPr>
      <t xml:space="preserve">b </t>
    </r>
    <r>
      <rPr>
        <sz val="10"/>
        <rFont val="Arial"/>
        <family val="2"/>
      </rPr>
      <t>&lt; 0.096</t>
    </r>
  </si>
  <si>
    <t>Dtrim=4.4%</t>
  </si>
  <si>
    <t>Dtrim=6.4%</t>
  </si>
  <si>
    <t>Both</t>
  </si>
  <si>
    <t>Use 2016 CPI</t>
  </si>
  <si>
    <t>2016 CPI</t>
  </si>
  <si>
    <t>taper = 0.4 optimum</t>
  </si>
  <si>
    <t>10.6 deg</t>
  </si>
  <si>
    <t>I'm not buying Equ. 4.18</t>
  </si>
  <si>
    <t>Increased to 0.7 for spin recovery.</t>
  </si>
  <si>
    <t>Description</t>
  </si>
  <si>
    <t>IF(C60&lt;0,(E122*(180/PI())*(1-E129)*E135*E138),((-1)*(E122*(180/PI())*(1-E129)*E135*E138)))</t>
  </si>
  <si>
    <r>
      <t>Miscellaneous Delta Drag Coefficient (</t>
    </r>
    <r>
      <rPr>
        <b/>
        <sz val="10"/>
        <rFont val="Symbol"/>
        <family val="1"/>
        <charset val="2"/>
      </rPr>
      <t>D</t>
    </r>
    <r>
      <rPr>
        <b/>
        <sz val="10"/>
        <rFont val="Arial"/>
        <family val="2"/>
      </rPr>
      <t>Cdo)</t>
    </r>
  </si>
  <si>
    <t xml:space="preserve"> (Wo/S and To/Wo or Pao/Wo)</t>
  </si>
  <si>
    <t>Max value:</t>
  </si>
  <si>
    <t>Min value:</t>
  </si>
  <si>
    <t>Average value:</t>
  </si>
  <si>
    <r>
      <t>C</t>
    </r>
    <r>
      <rPr>
        <vertAlign val="subscript"/>
        <sz val="10"/>
        <rFont val="Arial"/>
        <family val="2"/>
      </rPr>
      <t>L Start</t>
    </r>
  </si>
  <si>
    <t>at W Start</t>
  </si>
  <si>
    <t>at W End</t>
  </si>
  <si>
    <r>
      <t>C</t>
    </r>
    <r>
      <rPr>
        <vertAlign val="subscript"/>
        <sz val="10"/>
        <rFont val="Arial"/>
        <family val="2"/>
      </rPr>
      <t>L End</t>
    </r>
  </si>
  <si>
    <t>Drag Bucket:</t>
  </si>
  <si>
    <t>Average CL:</t>
  </si>
  <si>
    <t>Max CL:</t>
  </si>
  <si>
    <t>Min CL:</t>
  </si>
  <si>
    <r>
      <t xml:space="preserve">Extent of Bucket, </t>
    </r>
    <r>
      <rPr>
        <sz val="10"/>
        <rFont val="Symbol"/>
        <family val="1"/>
        <charset val="2"/>
      </rPr>
      <t>D</t>
    </r>
    <r>
      <rPr>
        <sz val="10"/>
        <rFont val="Arial"/>
        <family val="2"/>
      </rPr>
      <t>CL:</t>
    </r>
  </si>
  <si>
    <t>Chapter 7c - Propeller Design</t>
  </si>
  <si>
    <t>Cruise 1 - Rubber Propeller Model</t>
  </si>
  <si>
    <t>Loiter 1 - Rubber Propeller Model</t>
  </si>
  <si>
    <t>Loiter 2 - Rubber Propeller Model</t>
  </si>
  <si>
    <t>Cruise2 - Rubber Propeller Model</t>
  </si>
  <si>
    <t>Loiter 3 - Rubber Propeller Model</t>
  </si>
  <si>
    <t>Takeoff - Rubber Propeller Model</t>
  </si>
  <si>
    <t>Chapter 10a - Structural Design and Material Selection (Design Load Factor)</t>
  </si>
  <si>
    <t>Chapter 10b - Structural Design and Material Selection (Wing Shear and Bending Moment Diagrams)</t>
  </si>
  <si>
    <t>Wing Shear and Bending Moment Calculations</t>
  </si>
  <si>
    <t>Fuselage Sear and Bending Moment Calculations</t>
  </si>
  <si>
    <t>Chapter 10c - Structural Design and Material Selection (Fuselage Shear and Bending Moment Diagrams)</t>
  </si>
  <si>
    <t>Chapter 10d - Structural Design and Material Selection (Wing Spar and Fuselage Longeron Sizing/Material Selection)</t>
  </si>
  <si>
    <t>IC Engine</t>
  </si>
  <si>
    <t>Batteries</t>
  </si>
  <si>
    <t>Consumable</t>
  </si>
  <si>
    <t>Battery</t>
  </si>
  <si>
    <t>Generator</t>
  </si>
  <si>
    <t>Energy Source</t>
  </si>
  <si>
    <t>For Structural Analysis (Chapter 10) select 1=Fighter, 2=Transport or</t>
  </si>
  <si>
    <t xml:space="preserve"> 3=General Aviation</t>
  </si>
  <si>
    <t>Chapter 11b - Static Stability and Control</t>
  </si>
  <si>
    <t>Propulsion System</t>
  </si>
  <si>
    <t>Bare Propulsion Sytem Weight</t>
  </si>
  <si>
    <t>lbs/ac</t>
  </si>
  <si>
    <t>Fuel Burned</t>
  </si>
  <si>
    <t>Cell font/color</t>
  </si>
  <si>
    <t>White cell shading</t>
  </si>
  <si>
    <t>White (or no shade at all) indicates a calculated value via formulae and ALL parameters in the formulae come from the current worksheet.  Also variable names and units have no shading.</t>
  </si>
  <si>
    <t>Blue cell shading</t>
  </si>
  <si>
    <r>
      <t xml:space="preserve">Blue indicates number inputs.  These cells contain user inputs.  Black type inputs are defined in the text and are identical to those found in the original Corke spreadsheets. </t>
    </r>
    <r>
      <rPr>
        <sz val="10"/>
        <color rgb="FFFF0000"/>
        <rFont val="Arial"/>
        <family val="2"/>
      </rPr>
      <t xml:space="preserve"> Red type input are either self explanatory or will have some description via comments.</t>
    </r>
  </si>
  <si>
    <t>Green cell shading</t>
  </si>
  <si>
    <t>Green indicates a calculated value via formulae AND at least one of the parameters in the formulae comes from another worksheet.</t>
  </si>
  <si>
    <t>Yellow cell shading</t>
  </si>
  <si>
    <t>Yellow indicates a particularly important result or input.</t>
  </si>
  <si>
    <t>Trim Drag /Total Drag</t>
  </si>
  <si>
    <t>per Chap11</t>
  </si>
  <si>
    <r>
      <t>W</t>
    </r>
    <r>
      <rPr>
        <u/>
        <vertAlign val="subscript"/>
        <sz val="10"/>
        <rFont val="Arial"/>
        <family val="2"/>
      </rPr>
      <t>NE</t>
    </r>
  </si>
  <si>
    <r>
      <t>Wf or W</t>
    </r>
    <r>
      <rPr>
        <u/>
        <vertAlign val="subscript"/>
        <sz val="10"/>
        <rFont val="Arial"/>
        <family val="2"/>
      </rPr>
      <t>CE</t>
    </r>
  </si>
  <si>
    <t>Non-Consumable Energy Weight (Batteries)</t>
  </si>
  <si>
    <r>
      <t>W</t>
    </r>
    <r>
      <rPr>
        <vertAlign val="subscript"/>
        <sz val="10"/>
        <rFont val="Arial"/>
        <family val="2"/>
      </rPr>
      <t>NE</t>
    </r>
  </si>
  <si>
    <t>Consumable Energy, Fuel Load (lb)</t>
  </si>
  <si>
    <t>Non-consumable Energy, Batteries (lb)</t>
  </si>
  <si>
    <r>
      <t>Wf or W</t>
    </r>
    <r>
      <rPr>
        <vertAlign val="subscript"/>
        <sz val="10"/>
        <rFont val="Arial"/>
        <family val="2"/>
      </rPr>
      <t>CE</t>
    </r>
  </si>
  <si>
    <t>Battery Wt.</t>
  </si>
  <si>
    <t>Height, down</t>
  </si>
  <si>
    <t>Propeller (front view)</t>
  </si>
  <si>
    <t>Propeller (side view)</t>
  </si>
  <si>
    <t>Propeller (top view)</t>
  </si>
  <si>
    <t>Propulsion</t>
  </si>
  <si>
    <t>Reference Engine Model</t>
  </si>
  <si>
    <t>Reference Engine Manufacturer</t>
  </si>
  <si>
    <t>Stall Speed (ktas)</t>
  </si>
  <si>
    <t>Inputs</t>
  </si>
  <si>
    <t>Macro</t>
  </si>
  <si>
    <t>Train</t>
  </si>
  <si>
    <t>Lpt</t>
  </si>
  <si>
    <t>Path #1</t>
  </si>
  <si>
    <t>Path #2</t>
  </si>
  <si>
    <t>Specific Energy (energy per unit mass)</t>
  </si>
  <si>
    <t>W-hr/kg</t>
  </si>
  <si>
    <t>btu/lbm</t>
  </si>
  <si>
    <t>Energy Transfer Device (ETD) Efficiencies</t>
  </si>
  <si>
    <t>Thermal Efficiency of Engine (converting stored energy to shaft power)</t>
  </si>
  <si>
    <t>Uninstalled</t>
  </si>
  <si>
    <t>Ducted</t>
  </si>
  <si>
    <t>Scale</t>
  </si>
  <si>
    <r>
      <rPr>
        <sz val="10"/>
        <rFont val="Symbol"/>
        <family val="1"/>
        <charset val="2"/>
      </rPr>
      <t>b</t>
    </r>
    <r>
      <rPr>
        <sz val="10"/>
        <rFont val="Arial"/>
        <family val="2"/>
      </rPr>
      <t>=W/Wo</t>
    </r>
  </si>
  <si>
    <t>Engine Power Fraction Factor</t>
  </si>
  <si>
    <t>Supplemental Power Fraction Factor</t>
  </si>
  <si>
    <r>
      <t xml:space="preserve">t </t>
    </r>
    <r>
      <rPr>
        <sz val="10"/>
        <rFont val="Tahoma"/>
        <family val="2"/>
      </rPr>
      <t>engine</t>
    </r>
  </si>
  <si>
    <r>
      <t xml:space="preserve">t </t>
    </r>
    <r>
      <rPr>
        <sz val="10"/>
        <rFont val="Tahoma"/>
        <family val="2"/>
      </rPr>
      <t>supp</t>
    </r>
  </si>
  <si>
    <t>Power Train Losses (ETD)</t>
  </si>
  <si>
    <r>
      <rPr>
        <sz val="10"/>
        <rFont val="Symbol"/>
        <family val="1"/>
        <charset val="2"/>
      </rPr>
      <t>Ph</t>
    </r>
    <r>
      <rPr>
        <sz val="10"/>
        <rFont val="Arial"/>
        <family val="2"/>
      </rPr>
      <t>i</t>
    </r>
  </si>
  <si>
    <t>Internal Combustion Engine(s)</t>
  </si>
  <si>
    <t>Engine Throttle Setting (Rating)</t>
  </si>
  <si>
    <t>Supplemental Power Unit (SPU)</t>
  </si>
  <si>
    <t>For IC Engine(s)</t>
  </si>
  <si>
    <t>For Supplemental Power Unit (SPU)</t>
  </si>
  <si>
    <t>Constraint Lines</t>
  </si>
  <si>
    <t>Upper Y-Value for Limit Lines</t>
  </si>
  <si>
    <t>Constraint Diagram (Matching Chart)</t>
  </si>
  <si>
    <t>Number of SPU's</t>
  </si>
  <si>
    <t>Nspu</t>
  </si>
  <si>
    <t>AEO Uninstalled ENGINE Thrust-to-Weight Ratio</t>
  </si>
  <si>
    <t>AEO Uninstalled ENGINE Thrust, SLS ISA Max</t>
  </si>
  <si>
    <t>Uninstalled ENGINE Thrust, SLS ISA Max</t>
  </si>
  <si>
    <t>ENGINE</t>
  </si>
  <si>
    <t>AEO Uninstalled SPU Thrust-to-Weight Ratio</t>
  </si>
  <si>
    <t>AEO Uninstalled SPU Thrust, SLS ISA Max</t>
  </si>
  <si>
    <t>Uninstalled SPU Thrust, SLS ISA Max</t>
  </si>
  <si>
    <t>SPU Scale Factor</t>
  </si>
  <si>
    <t>lb/spu</t>
  </si>
  <si>
    <t>Scaled</t>
  </si>
  <si>
    <t>Rated</t>
  </si>
  <si>
    <t>Hybrid</t>
  </si>
  <si>
    <t>Max Thrust</t>
  </si>
  <si>
    <t>(For Part</t>
  </si>
  <si>
    <t>Power TSFC</t>
  </si>
  <si>
    <t>Calc's)</t>
  </si>
  <si>
    <t>SPU</t>
  </si>
  <si>
    <t>REFERENCE Supplemental Power Unit (SPU) Data</t>
  </si>
  <si>
    <t>SPU Manufacturer</t>
  </si>
  <si>
    <t>Model</t>
  </si>
  <si>
    <t>Bare SPU Weight</t>
  </si>
  <si>
    <t>Weng,ref</t>
  </si>
  <si>
    <t>Wspu,ref</t>
  </si>
  <si>
    <t>Uninstalled Power</t>
  </si>
  <si>
    <t>shp/lb</t>
  </si>
  <si>
    <t>Reference ENGINE Data</t>
  </si>
  <si>
    <t>Specific Energy (installed)</t>
  </si>
  <si>
    <t>T/P</t>
  </si>
  <si>
    <t>lb/hp</t>
  </si>
  <si>
    <t>Uninstalled SPU Power, SLS ISA Max</t>
  </si>
  <si>
    <t>Po,ref</t>
  </si>
  <si>
    <t>hp/spu</t>
  </si>
  <si>
    <t>FLAG</t>
  </si>
  <si>
    <t>(1=ON, 0=OFF)</t>
  </si>
  <si>
    <t>Thrust specific fuel consumption (TSFC), SLS ISA Max  Uninstalled</t>
  </si>
  <si>
    <t>Power specific fuel consumption (SFC), SLS ISA Max  Uninstalled</t>
  </si>
  <si>
    <t>Hb</t>
  </si>
  <si>
    <t>Overall Efficiency</t>
  </si>
  <si>
    <t>Hf or Hb</t>
  </si>
  <si>
    <t>Propulsive Efficiency (converting shaft power to propulsive thrust)</t>
  </si>
  <si>
    <r>
      <t>h</t>
    </r>
    <r>
      <rPr>
        <vertAlign val="subscript"/>
        <sz val="12"/>
        <rFont val="Arial"/>
        <family val="2"/>
      </rPr>
      <t>t</t>
    </r>
  </si>
  <si>
    <r>
      <rPr>
        <sz val="12"/>
        <rFont val="Symbol"/>
        <family val="1"/>
        <charset val="2"/>
      </rPr>
      <t>P</t>
    </r>
    <r>
      <rPr>
        <vertAlign val="subscript"/>
        <sz val="12"/>
        <rFont val="Symbol"/>
        <family val="1"/>
        <charset val="2"/>
      </rPr>
      <t>h</t>
    </r>
    <r>
      <rPr>
        <vertAlign val="subscript"/>
        <sz val="12"/>
        <rFont val="Cambria"/>
        <family val="1"/>
      </rPr>
      <t>i</t>
    </r>
  </si>
  <si>
    <r>
      <t>h</t>
    </r>
    <r>
      <rPr>
        <vertAlign val="subscript"/>
        <sz val="12"/>
        <rFont val="Arial"/>
        <family val="2"/>
      </rPr>
      <t>g</t>
    </r>
  </si>
  <si>
    <r>
      <t>h</t>
    </r>
    <r>
      <rPr>
        <vertAlign val="subscript"/>
        <sz val="12"/>
        <rFont val="Arial"/>
        <family val="2"/>
      </rPr>
      <t>em</t>
    </r>
  </si>
  <si>
    <r>
      <t>h</t>
    </r>
    <r>
      <rPr>
        <vertAlign val="subscript"/>
        <sz val="12"/>
        <rFont val="Arial"/>
        <family val="2"/>
      </rPr>
      <t>c</t>
    </r>
  </si>
  <si>
    <r>
      <t>h</t>
    </r>
    <r>
      <rPr>
        <vertAlign val="subscript"/>
        <sz val="12"/>
        <rFont val="Arial"/>
        <family val="2"/>
      </rPr>
      <t>w</t>
    </r>
  </si>
  <si>
    <r>
      <t>h</t>
    </r>
    <r>
      <rPr>
        <vertAlign val="subscript"/>
        <sz val="12"/>
        <rFont val="Arial"/>
        <family val="2"/>
      </rPr>
      <t>gr</t>
    </r>
  </si>
  <si>
    <r>
      <t>h</t>
    </r>
    <r>
      <rPr>
        <vertAlign val="subscript"/>
        <sz val="12"/>
        <rFont val="Arial"/>
        <family val="2"/>
      </rPr>
      <t>p</t>
    </r>
  </si>
  <si>
    <t>Electric Motor Efficiency (shaft power to electricity)</t>
  </si>
  <si>
    <t>Generator Efficiency (shaft power to stored energy)</t>
  </si>
  <si>
    <t>Wires (Electricity to Electricity))</t>
  </si>
  <si>
    <t>Speed Reduction (shaft power to shaft power)</t>
  </si>
  <si>
    <t>AC / DC Controller Efficiency (Electricty to Electricity)</t>
  </si>
  <si>
    <r>
      <t>h</t>
    </r>
    <r>
      <rPr>
        <vertAlign val="subscript"/>
        <sz val="12"/>
        <rFont val="Symbol"/>
        <family val="1"/>
        <charset val="2"/>
      </rPr>
      <t>o</t>
    </r>
  </si>
  <si>
    <t>lb/hr/shp</t>
  </si>
  <si>
    <t>lb/hr/lb</t>
  </si>
  <si>
    <t>Efficiency and Specific Fuel Consumption @ Sea Level, ISA, Max Power</t>
  </si>
  <si>
    <t>Power-to-Weight Ratio's of Propulsion System Components</t>
  </si>
  <si>
    <t>Electric Motor</t>
  </si>
  <si>
    <t>Wires</t>
  </si>
  <si>
    <t>Speed Reduction Gearbox</t>
  </si>
  <si>
    <t>Propeller or Propulsor</t>
  </si>
  <si>
    <t>hp/lb</t>
  </si>
  <si>
    <t>AC / DC Controller</t>
  </si>
  <si>
    <t>lb/eng or lb/spu</t>
  </si>
  <si>
    <t>Total Propulsion System</t>
  </si>
  <si>
    <t>Propulsion System Component Weights</t>
  </si>
  <si>
    <t>Disk</t>
  </si>
  <si>
    <t>(psf)</t>
  </si>
  <si>
    <t>to Power</t>
  </si>
  <si>
    <t>(lb/hp)</t>
  </si>
  <si>
    <t>Error</t>
  </si>
  <si>
    <t>Reference SPU Manufacturer</t>
  </si>
  <si>
    <t>Reference SPU Model</t>
  </si>
  <si>
    <t>Wpp</t>
  </si>
  <si>
    <t>Uninstalled specific energy</t>
  </si>
  <si>
    <t>SPU weight</t>
  </si>
  <si>
    <t>Wspu</t>
  </si>
  <si>
    <t>Total Propulsion system (engine + spu) weight</t>
  </si>
  <si>
    <t>Static shaft power to propulsive thrust conversion</t>
  </si>
  <si>
    <t>Teng</t>
  </si>
  <si>
    <t>Teng avl</t>
  </si>
  <si>
    <t>Teng/Teng,avl</t>
  </si>
  <si>
    <t>T/Tmax</t>
  </si>
  <si>
    <t>Tspu</t>
  </si>
  <si>
    <t>Tps</t>
  </si>
  <si>
    <t>System</t>
  </si>
  <si>
    <t xml:space="preserve">D </t>
  </si>
  <si>
    <t>(Teng+Tspu)/Tps</t>
  </si>
  <si>
    <t>Pspu</t>
  </si>
  <si>
    <t>Non</t>
  </si>
  <si>
    <t>Engine and SPU Selection Summary</t>
  </si>
  <si>
    <t>Chapter 7a - Engine and SPU Selection (TurboFan or TurboJet)</t>
  </si>
  <si>
    <t>Chapter 7b - Engine and SPU Selection (TurboProp or Reciprocating Piston )</t>
  </si>
  <si>
    <t>Turboprop or Reciprocating Piston</t>
  </si>
  <si>
    <t>AEO Uninstalled ENGINE Power-to-Weight Ratio</t>
  </si>
  <si>
    <t>AEO Uninstalled ENGINE Power, SLS ISA Max</t>
  </si>
  <si>
    <t>Uninstalled ENGINE Power, SLS ISA Max</t>
  </si>
  <si>
    <t>hp/eng</t>
  </si>
  <si>
    <t>AEO Uninstalled SPU Power-to-Weight Ratio</t>
  </si>
  <si>
    <t>AEO Uninstalled SPU Power, SLS ISA Max</t>
  </si>
  <si>
    <t>shp/spu</t>
  </si>
  <si>
    <t>KW/spu</t>
  </si>
  <si>
    <t>Supercharger or Turbocharger (option for Recip. Piston engines ONLY)</t>
  </si>
  <si>
    <t>Peng avl</t>
  </si>
  <si>
    <t>Unducted</t>
  </si>
  <si>
    <t>Propulsor</t>
  </si>
  <si>
    <r>
      <rPr>
        <sz val="10"/>
        <rFont val="Symbol"/>
        <family val="1"/>
        <charset val="2"/>
      </rPr>
      <t>h</t>
    </r>
    <r>
      <rPr>
        <vertAlign val="subscript"/>
        <sz val="14"/>
        <rFont val="Arial"/>
        <family val="2"/>
      </rPr>
      <t>p</t>
    </r>
  </si>
  <si>
    <t>Pr</t>
  </si>
  <si>
    <t>TOTAL</t>
  </si>
  <si>
    <t>(Peng+Pspu)/Pps</t>
  </si>
  <si>
    <t>Pps</t>
  </si>
  <si>
    <t>High Performance Kit Aircraft</t>
  </si>
  <si>
    <t>NACA 63(3)-018</t>
  </si>
  <si>
    <t>Overall</t>
  </si>
  <si>
    <r>
      <rPr>
        <u/>
        <sz val="10"/>
        <rFont val="Symbol"/>
        <family val="1"/>
        <charset val="2"/>
      </rPr>
      <t>h</t>
    </r>
    <r>
      <rPr>
        <u/>
        <sz val="10"/>
        <rFont val="Arial"/>
        <family val="2"/>
      </rPr>
      <t>o</t>
    </r>
  </si>
  <si>
    <t>Peng/TPeng,avl</t>
  </si>
  <si>
    <t>P/Pmax</t>
  </si>
  <si>
    <t>Max Power</t>
  </si>
  <si>
    <t>2) Landing</t>
  </si>
  <si>
    <t>Make sure scales are dimensionally the SAME!</t>
  </si>
  <si>
    <t>Propulsion System FLAG</t>
  </si>
  <si>
    <t>1 to 6</t>
  </si>
  <si>
    <t>Single</t>
  </si>
  <si>
    <t>Make sure X-Scale / Y-Scale ~3.0!</t>
  </si>
  <si>
    <t>L/D (Nicolai's Correlation)</t>
  </si>
  <si>
    <t>L/D nic</t>
  </si>
  <si>
    <t>L/D (fixed user input)</t>
  </si>
  <si>
    <t xml:space="preserve">L/D  </t>
  </si>
  <si>
    <t>Vbr</t>
  </si>
  <si>
    <t>Based</t>
  </si>
  <si>
    <t>Best</t>
  </si>
  <si>
    <t>Loiter</t>
  </si>
  <si>
    <t>TP</t>
  </si>
  <si>
    <t>For Chap 11 Calcs, (x/L)</t>
  </si>
  <si>
    <t>(x/L)start</t>
  </si>
  <si>
    <t>(x/L)end</t>
  </si>
  <si>
    <t>H-Tail</t>
  </si>
  <si>
    <t>V-Tail</t>
  </si>
  <si>
    <t xml:space="preserve">Fuel </t>
  </si>
  <si>
    <t>Merlin S-1X</t>
  </si>
  <si>
    <t>Merlin KS-1X</t>
  </si>
  <si>
    <t>Cl</t>
  </si>
  <si>
    <t>clmin</t>
  </si>
  <si>
    <t>clmax</t>
  </si>
  <si>
    <t>NACA 65(4)-021</t>
  </si>
  <si>
    <t>Lycoming</t>
  </si>
  <si>
    <t>IO-360-C1C6</t>
  </si>
  <si>
    <t>plain</t>
  </si>
  <si>
    <t>diameter Calc</t>
  </si>
  <si>
    <t>wheel diameter</t>
  </si>
  <si>
    <t>corke Eq 5.5</t>
  </si>
  <si>
    <t>Prop diameter</t>
  </si>
  <si>
    <t>Takeoff Flaps</t>
  </si>
  <si>
    <t>Landing Flaps</t>
  </si>
  <si>
    <t>climb rate</t>
  </si>
  <si>
    <t>gamma calc (corke eq 3.10)</t>
  </si>
  <si>
    <t>ft/min</t>
  </si>
  <si>
    <t>TO inlcuding flaps and LG</t>
  </si>
  <si>
    <t xml:space="preserve"> inlcuding flaps and LG</t>
  </si>
  <si>
    <t>8-10 percent is reasonable</t>
  </si>
  <si>
    <t>O-340-A1A</t>
  </si>
  <si>
    <t>Changed from E12 to 3</t>
  </si>
  <si>
    <t>Based on Cessna weight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</si>
</sst>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43" formatCode="_(* #,##0.00_);_(* \(#,##0.00\);_(* &quot;-&quot;??_);_(@_)"/>
    <numFmt numFmtId="164" formatCode="#,##0.0"/>
    <numFmt numFmtId="165" formatCode="#,##0.000"/>
    <numFmt numFmtId="166" formatCode="#,##0.0000"/>
    <numFmt numFmtId="167" formatCode="0.0"/>
    <numFmt numFmtId="168" formatCode="0.000000"/>
    <numFmt numFmtId="169" formatCode="0.0000"/>
    <numFmt numFmtId="170" formatCode="0.000"/>
    <numFmt numFmtId="171" formatCode="0.000E+00"/>
    <numFmt numFmtId="172" formatCode="0.0000000000"/>
    <numFmt numFmtId="173" formatCode="0.00000"/>
    <numFmt numFmtId="174" formatCode="0.0000000"/>
    <numFmt numFmtId="175" formatCode="0.0%"/>
    <numFmt numFmtId="176" formatCode="#,##0.00000"/>
    <numFmt numFmtId="177" formatCode="0.000%"/>
    <numFmt numFmtId="178" formatCode="0.00000000"/>
    <numFmt numFmtId="179" formatCode="&quot;$&quot;#,##0;[Red]&quot;$&quot;#,##0"/>
    <numFmt numFmtId="180" formatCode="&quot;$&quot;#,##0"/>
    <numFmt numFmtId="181" formatCode="&quot;$&quot;#,##0.00;[Red]&quot;$&quot;#,##0.00"/>
  </numFmts>
  <fonts count="12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name val="Arial"/>
      <family val="2"/>
    </font>
    <font>
      <sz val="10"/>
      <color rgb="FF000000"/>
      <name val="Arial"/>
      <family val="2"/>
    </font>
    <font>
      <u/>
      <sz val="10"/>
      <name val="Symbol"/>
      <family val="1"/>
      <charset val="2"/>
    </font>
    <font>
      <b/>
      <sz val="10"/>
      <name val="Arial"/>
      <family val="2"/>
    </font>
    <font>
      <b/>
      <sz val="12"/>
      <name val="Arial"/>
      <family val="2"/>
    </font>
    <font>
      <b/>
      <sz val="11"/>
      <color rgb="FF000000"/>
      <name val="Tahoma"/>
      <family val="2"/>
    </font>
    <font>
      <sz val="9"/>
      <color rgb="FF000000"/>
      <name val="Tahoma"/>
      <family val="2"/>
    </font>
    <font>
      <b/>
      <sz val="9"/>
      <color rgb="FF000000"/>
      <name val="Tahoma"/>
      <family val="2"/>
    </font>
    <font>
      <sz val="9"/>
      <color indexed="81"/>
      <name val="Tahoma"/>
      <family val="2"/>
    </font>
    <font>
      <b/>
      <sz val="9"/>
      <color indexed="81"/>
      <name val="Tahoma"/>
      <family val="2"/>
    </font>
    <font>
      <b/>
      <sz val="16"/>
      <name val="Arial"/>
      <family val="2"/>
    </font>
    <font>
      <sz val="12"/>
      <name val="Arial"/>
      <family val="2"/>
    </font>
    <font>
      <sz val="9"/>
      <color indexed="81"/>
      <name val="Symbol"/>
      <family val="1"/>
      <charset val="2"/>
    </font>
    <font>
      <b/>
      <sz val="14"/>
      <name val="Arial"/>
      <family val="2"/>
    </font>
    <font>
      <vertAlign val="subscript"/>
      <sz val="10"/>
      <name val="Arial"/>
      <family val="2"/>
    </font>
    <font>
      <vertAlign val="subscript"/>
      <sz val="10"/>
      <name val="Symbol"/>
      <family val="1"/>
      <charset val="2"/>
    </font>
    <font>
      <sz val="10"/>
      <name val="Symbol"/>
      <family val="1"/>
      <charset val="2"/>
    </font>
    <font>
      <vertAlign val="subscript"/>
      <sz val="9"/>
      <color rgb="FF000000"/>
      <name val="Tahoma"/>
      <family val="2"/>
    </font>
    <font>
      <sz val="9"/>
      <color rgb="FF000000"/>
      <name val="Symbol"/>
      <family val="1"/>
      <charset val="2"/>
    </font>
    <font>
      <b/>
      <sz val="9"/>
      <color indexed="81"/>
      <name val="Symbol"/>
      <family val="1"/>
      <charset val="2"/>
    </font>
    <font>
      <sz val="14"/>
      <name val="Arial"/>
      <family val="2"/>
    </font>
    <font>
      <u/>
      <vertAlign val="subscript"/>
      <sz val="10"/>
      <name val="Arial"/>
      <family val="2"/>
    </font>
    <font>
      <sz val="11"/>
      <color rgb="FF000000"/>
      <name val="Calibri"/>
      <family val="2"/>
    </font>
    <font>
      <sz val="11"/>
      <color rgb="FF000000"/>
      <name val="Arial"/>
      <family val="2"/>
    </font>
    <font>
      <vertAlign val="superscript"/>
      <sz val="10"/>
      <name val="Arial"/>
      <family val="2"/>
    </font>
    <font>
      <u/>
      <sz val="11"/>
      <color rgb="FF000000"/>
      <name val="Arial"/>
      <family val="2"/>
    </font>
    <font>
      <b/>
      <sz val="10"/>
      <color rgb="FF000000"/>
      <name val="Arial"/>
      <family val="2"/>
    </font>
    <font>
      <b/>
      <sz val="11"/>
      <color rgb="FF000000"/>
      <name val="Arial"/>
      <family val="2"/>
    </font>
    <font>
      <sz val="11"/>
      <name val="Arial"/>
      <family val="2"/>
    </font>
    <font>
      <u/>
      <sz val="10"/>
      <color rgb="FF000000"/>
      <name val="Arial"/>
      <family val="2"/>
    </font>
    <font>
      <b/>
      <sz val="10"/>
      <color rgb="FF000000"/>
      <name val="Tahoma"/>
      <family val="2"/>
    </font>
    <font>
      <b/>
      <u/>
      <sz val="10"/>
      <color rgb="FF000000"/>
      <name val="Tahoma"/>
      <family val="2"/>
    </font>
    <font>
      <sz val="8"/>
      <color rgb="FF000000"/>
      <name val="Tahoma"/>
      <family val="2"/>
    </font>
    <font>
      <b/>
      <sz val="8"/>
      <color rgb="FF000000"/>
      <name val="Tahoma"/>
      <family val="2"/>
    </font>
    <font>
      <sz val="10"/>
      <color rgb="FF000000"/>
      <name val="Calibri"/>
      <family val="2"/>
    </font>
    <font>
      <sz val="10"/>
      <name val="Arial"/>
      <family val="2"/>
    </font>
    <font>
      <sz val="11"/>
      <color rgb="FF000000"/>
      <name val="Tahoma"/>
      <family val="2"/>
    </font>
    <font>
      <b/>
      <sz val="9"/>
      <color rgb="FF000000"/>
      <name val="Symbol"/>
      <family val="1"/>
      <charset val="2"/>
    </font>
    <font>
      <b/>
      <vertAlign val="subscript"/>
      <sz val="9"/>
      <color rgb="FF000000"/>
      <name val="Tahoma"/>
      <family val="2"/>
    </font>
    <font>
      <u/>
      <sz val="9"/>
      <color rgb="FF000000"/>
      <name val="Tahoma"/>
      <family val="2"/>
    </font>
    <font>
      <u/>
      <sz val="14"/>
      <name val="Symbol"/>
      <family val="1"/>
      <charset val="2"/>
    </font>
    <font>
      <u/>
      <vertAlign val="subscript"/>
      <sz val="14"/>
      <name val="Arial"/>
      <family val="2"/>
    </font>
    <font>
      <vertAlign val="subscript"/>
      <sz val="12"/>
      <name val="Arial"/>
      <family val="2"/>
    </font>
    <font>
      <b/>
      <sz val="12"/>
      <color indexed="81"/>
      <name val="Tahoma"/>
      <family val="2"/>
    </font>
    <font>
      <b/>
      <u/>
      <sz val="11"/>
      <color rgb="FF000000"/>
      <name val="Tahoma"/>
      <family val="2"/>
    </font>
    <font>
      <b/>
      <sz val="12"/>
      <color rgb="FF000000"/>
      <name val="Tahoma"/>
      <family val="2"/>
    </font>
    <font>
      <sz val="12"/>
      <color rgb="FF000000"/>
      <name val="Tahoma"/>
      <family val="2"/>
    </font>
    <font>
      <sz val="10"/>
      <color theme="1"/>
      <name val="Arial"/>
      <family val="2"/>
    </font>
    <font>
      <b/>
      <u/>
      <sz val="10"/>
      <name val="Arial"/>
      <family val="2"/>
    </font>
    <font>
      <sz val="10"/>
      <color theme="1"/>
      <name val="Calibri"/>
      <family val="2"/>
      <scheme val="minor"/>
    </font>
    <font>
      <b/>
      <u/>
      <sz val="10"/>
      <color theme="1"/>
      <name val="Arial"/>
      <family val="2"/>
    </font>
    <font>
      <sz val="10"/>
      <name val="Arial"/>
      <family val="1"/>
      <charset val="2"/>
    </font>
    <font>
      <b/>
      <sz val="11"/>
      <color indexed="81"/>
      <name val="Tahoma"/>
      <family val="2"/>
    </font>
    <font>
      <sz val="10"/>
      <color indexed="81"/>
      <name val="Tahoma"/>
      <family val="2"/>
    </font>
    <font>
      <sz val="11"/>
      <name val="Symbol"/>
      <family val="1"/>
      <charset val="2"/>
    </font>
    <font>
      <sz val="10"/>
      <color rgb="FF000000"/>
      <name val="Symbol"/>
      <family val="1"/>
      <charset val="2"/>
    </font>
    <font>
      <sz val="9.9499999999999993"/>
      <color rgb="FF000000"/>
      <name val="Arial"/>
      <family val="2"/>
    </font>
    <font>
      <b/>
      <sz val="14"/>
      <color rgb="FF000000"/>
      <name val="Tahoma"/>
      <family val="2"/>
    </font>
    <font>
      <b/>
      <u/>
      <sz val="14"/>
      <color rgb="FF000000"/>
      <name val="Tahoma"/>
      <family val="2"/>
    </font>
    <font>
      <sz val="14"/>
      <color rgb="FF000000"/>
      <name val="Tahoma"/>
      <family val="2"/>
    </font>
    <font>
      <b/>
      <u/>
      <sz val="12"/>
      <color rgb="FF000000"/>
      <name val="Tahoma"/>
      <family val="2"/>
    </font>
    <font>
      <b/>
      <sz val="12"/>
      <color rgb="FF000000"/>
      <name val="Arial"/>
      <family val="2"/>
    </font>
    <font>
      <b/>
      <u/>
      <sz val="12"/>
      <color rgb="FF000000"/>
      <name val="Arial"/>
      <family val="2"/>
    </font>
    <font>
      <i/>
      <sz val="10"/>
      <name val="Arial"/>
      <family val="2"/>
    </font>
    <font>
      <sz val="10"/>
      <color rgb="FFFF0000"/>
      <name val="Arial"/>
      <family val="2"/>
    </font>
    <font>
      <b/>
      <sz val="14"/>
      <color indexed="81"/>
      <name val="Tahoma"/>
      <family val="2"/>
    </font>
    <font>
      <sz val="14"/>
      <color indexed="81"/>
      <name val="Tahoma"/>
      <family val="2"/>
    </font>
    <font>
      <sz val="12"/>
      <color indexed="81"/>
      <name val="Tahoma"/>
      <family val="2"/>
    </font>
    <font>
      <b/>
      <sz val="11"/>
      <color theme="1"/>
      <name val="Calibri"/>
      <family val="2"/>
      <scheme val="minor"/>
    </font>
    <font>
      <sz val="11"/>
      <color theme="1"/>
      <name val="Symbol"/>
      <family val="1"/>
      <charset val="2"/>
    </font>
    <font>
      <u/>
      <sz val="11"/>
      <color theme="1"/>
      <name val="Calibri"/>
      <family val="2"/>
      <scheme val="minor"/>
    </font>
    <font>
      <sz val="11"/>
      <color rgb="FFFF0000"/>
      <name val="Calibri"/>
      <family val="2"/>
      <scheme val="minor"/>
    </font>
    <font>
      <b/>
      <sz val="16"/>
      <color theme="1"/>
      <name val="Calibri"/>
      <family val="2"/>
      <scheme val="minor"/>
    </font>
    <font>
      <sz val="14"/>
      <color theme="1"/>
      <name val="Calibri"/>
      <family val="2"/>
      <scheme val="minor"/>
    </font>
    <font>
      <b/>
      <sz val="12"/>
      <color theme="1"/>
      <name val="Calibri"/>
      <family val="2"/>
      <scheme val="minor"/>
    </font>
    <font>
      <sz val="11"/>
      <color rgb="FFFF0000"/>
      <name val="Symbol"/>
      <family val="1"/>
      <charset val="2"/>
    </font>
    <font>
      <vertAlign val="subscript"/>
      <sz val="11"/>
      <color theme="1"/>
      <name val="Calibri"/>
      <family val="2"/>
      <scheme val="minor"/>
    </font>
    <font>
      <sz val="11"/>
      <name val="Calibri"/>
      <family val="2"/>
      <scheme val="minor"/>
    </font>
    <font>
      <sz val="8"/>
      <name val="Arial"/>
      <family val="2"/>
    </font>
    <font>
      <sz val="11"/>
      <color theme="1"/>
      <name val="Arial"/>
      <family val="2"/>
    </font>
    <font>
      <b/>
      <sz val="12"/>
      <color indexed="8"/>
      <name val="Arial"/>
      <family val="2"/>
    </font>
    <font>
      <b/>
      <sz val="11"/>
      <name val="Arial"/>
      <family val="2"/>
    </font>
    <font>
      <b/>
      <sz val="10"/>
      <name val="Symbol"/>
      <family val="1"/>
      <charset val="2"/>
    </font>
    <font>
      <b/>
      <sz val="11"/>
      <name val="Symbol"/>
      <family val="1"/>
      <charset val="2"/>
    </font>
    <font>
      <i/>
      <u/>
      <sz val="10"/>
      <name val="Arial"/>
      <family val="2"/>
    </font>
    <font>
      <sz val="10"/>
      <color indexed="8"/>
      <name val="Arial"/>
      <family val="2"/>
    </font>
    <font>
      <sz val="12"/>
      <name val="Symbol"/>
      <family val="1"/>
      <charset val="2"/>
    </font>
    <font>
      <vertAlign val="superscript"/>
      <sz val="12"/>
      <name val="Symbol"/>
      <family val="1"/>
      <charset val="2"/>
    </font>
    <font>
      <u/>
      <sz val="14"/>
      <name val="Arial"/>
      <family val="2"/>
    </font>
    <font>
      <sz val="8"/>
      <name val="Symbol"/>
      <family val="1"/>
      <charset val="2"/>
    </font>
    <font>
      <sz val="8"/>
      <name val="Cambria"/>
      <family val="1"/>
    </font>
    <font>
      <u/>
      <sz val="8"/>
      <name val="Arial"/>
      <family val="2"/>
    </font>
    <font>
      <u/>
      <sz val="8"/>
      <name val="Symbol"/>
      <family val="1"/>
      <charset val="2"/>
    </font>
    <font>
      <b/>
      <sz val="8"/>
      <name val="Arial"/>
      <family val="2"/>
    </font>
    <font>
      <b/>
      <sz val="8"/>
      <name val="Symbol"/>
      <family val="1"/>
      <charset val="2"/>
    </font>
    <font>
      <vertAlign val="superscript"/>
      <sz val="8"/>
      <name val="Arial"/>
      <family val="2"/>
    </font>
    <font>
      <sz val="9"/>
      <color rgb="FFFF0000"/>
      <name val="Arial"/>
      <family val="2"/>
    </font>
    <font>
      <b/>
      <i/>
      <sz val="9"/>
      <color indexed="81"/>
      <name val="Tahoma"/>
      <family val="2"/>
    </font>
    <font>
      <u/>
      <sz val="9"/>
      <color indexed="81"/>
      <name val="Tahoma"/>
      <family val="2"/>
    </font>
    <font>
      <sz val="11"/>
      <color rgb="FFFF0000"/>
      <name val="Calibri"/>
      <family val="2"/>
    </font>
    <font>
      <sz val="11"/>
      <color theme="1"/>
      <name val="Calibri"/>
      <family val="1"/>
      <charset val="2"/>
    </font>
    <font>
      <b/>
      <vertAlign val="subscript"/>
      <sz val="9"/>
      <color rgb="FF000000"/>
      <name val="Symbol"/>
      <family val="1"/>
      <charset val="2"/>
    </font>
    <font>
      <b/>
      <sz val="14"/>
      <color rgb="FF000000"/>
      <name val="Arial"/>
      <family val="2"/>
    </font>
    <font>
      <b/>
      <sz val="10"/>
      <color rgb="FFFF0000"/>
      <name val="Arial"/>
      <family val="2"/>
    </font>
    <font>
      <sz val="10"/>
      <name val="Tahoma"/>
      <family val="2"/>
    </font>
    <font>
      <u/>
      <sz val="10"/>
      <name val="Arial"/>
      <family val="1"/>
      <charset val="2"/>
    </font>
    <font>
      <vertAlign val="subscript"/>
      <sz val="14"/>
      <name val="Arial"/>
      <family val="2"/>
    </font>
    <font>
      <sz val="12"/>
      <name val="Arial"/>
      <family val="1"/>
      <charset val="2"/>
    </font>
    <font>
      <vertAlign val="subscript"/>
      <sz val="12"/>
      <name val="Symbol"/>
      <family val="1"/>
      <charset val="2"/>
    </font>
    <font>
      <vertAlign val="subscript"/>
      <sz val="12"/>
      <name val="Cambria"/>
      <family val="1"/>
    </font>
    <font>
      <sz val="18"/>
      <color rgb="FFFF0000"/>
      <name val="Arial"/>
      <family val="2"/>
    </font>
    <font>
      <sz val="8"/>
      <name val="Arial"/>
      <family val="2"/>
    </font>
    <font>
      <b/>
      <sz val="14"/>
      <color rgb="FF000000"/>
      <name val="Symbol"/>
      <family val="1"/>
      <charset val="2"/>
    </font>
    <font>
      <sz val="14"/>
      <color rgb="FF000000"/>
      <name val="Symbol"/>
      <family val="1"/>
      <charset val="2"/>
    </font>
    <font>
      <b/>
      <u/>
      <sz val="9"/>
      <color rgb="FF000000"/>
      <name val="Tahoma"/>
      <family val="2"/>
    </font>
  </fonts>
  <fills count="9">
    <fill>
      <patternFill patternType="none"/>
    </fill>
    <fill>
      <patternFill patternType="gray125"/>
    </fill>
    <fill>
      <patternFill patternType="solid">
        <fgColor rgb="FFCCFFFF"/>
        <bgColor indexed="64"/>
      </patternFill>
    </fill>
    <fill>
      <patternFill patternType="solid">
        <fgColor rgb="FFFFFFCC"/>
        <bgColor indexed="64"/>
      </patternFill>
    </fill>
    <fill>
      <patternFill patternType="solid">
        <fgColor rgb="FFCCFFFF"/>
        <bgColor rgb="FF000000"/>
      </patternFill>
    </fill>
    <fill>
      <patternFill patternType="solid">
        <fgColor rgb="FFFFFFCC"/>
        <bgColor rgb="FF000000"/>
      </patternFill>
    </fill>
    <fill>
      <patternFill patternType="solid">
        <fgColor rgb="FFCCFFCC"/>
        <bgColor indexed="64"/>
      </patternFill>
    </fill>
    <fill>
      <patternFill patternType="solid">
        <fgColor rgb="FFCCFFCC"/>
        <bgColor rgb="FF000000"/>
      </patternFill>
    </fill>
    <fill>
      <patternFill patternType="solid">
        <fgColor theme="0"/>
        <bgColor indexed="64"/>
      </patternFill>
    </fill>
  </fills>
  <borders count="39">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bottom/>
      <diagonal/>
    </border>
    <border>
      <left style="double">
        <color indexed="64"/>
      </left>
      <right style="thin">
        <color indexed="64"/>
      </right>
      <top/>
      <bottom/>
      <diagonal/>
    </border>
    <border>
      <left style="medium">
        <color indexed="64"/>
      </left>
      <right style="thin">
        <color indexed="64"/>
      </right>
      <top/>
      <bottom style="thin">
        <color indexed="64"/>
      </bottom>
      <diagonal/>
    </border>
    <border>
      <left style="double">
        <color indexed="64"/>
      </left>
      <right style="thin">
        <color indexed="64"/>
      </right>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s>
  <cellStyleXfs count="19">
    <xf numFmtId="0" fontId="0" fillId="0" borderId="0"/>
    <xf numFmtId="0" fontId="11" fillId="0" borderId="0"/>
    <xf numFmtId="0" fontId="10" fillId="0" borderId="0"/>
    <xf numFmtId="0" fontId="10" fillId="0" borderId="0"/>
    <xf numFmtId="9" fontId="11" fillId="0" borderId="0" applyFont="0" applyFill="0" applyBorder="0" applyAlignment="0" applyProtection="0"/>
    <xf numFmtId="0" fontId="9" fillId="0" borderId="0"/>
    <xf numFmtId="9" fontId="9" fillId="0" borderId="0" applyFont="0" applyFill="0" applyBorder="0" applyAlignment="0" applyProtection="0"/>
    <xf numFmtId="9" fontId="47" fillId="0" borderId="0" applyFont="0" applyFill="0" applyBorder="0" applyAlignment="0" applyProtection="0"/>
    <xf numFmtId="0" fontId="8" fillId="0" borderId="0"/>
    <xf numFmtId="0" fontId="7" fillId="0" borderId="0"/>
    <xf numFmtId="0" fontId="6" fillId="0" borderId="0"/>
    <xf numFmtId="9" fontId="6" fillId="0" borderId="0" applyFont="0" applyFill="0" applyBorder="0" applyAlignment="0" applyProtection="0"/>
    <xf numFmtId="0" fontId="91" fillId="0" borderId="0"/>
    <xf numFmtId="0" fontId="5" fillId="0" borderId="0"/>
    <xf numFmtId="43" fontId="11" fillId="0" borderId="0" applyFont="0" applyFill="0" applyBorder="0" applyAlignment="0" applyProtection="0"/>
    <xf numFmtId="0" fontId="11" fillId="0" borderId="0"/>
    <xf numFmtId="0" fontId="11" fillId="0" borderId="0"/>
    <xf numFmtId="0" fontId="2" fillId="0" borderId="0"/>
    <xf numFmtId="0" fontId="2" fillId="0" borderId="0"/>
  </cellStyleXfs>
  <cellXfs count="1375">
    <xf numFmtId="0" fontId="0" fillId="0" borderId="0" xfId="0"/>
    <xf numFmtId="0" fontId="12" fillId="0" borderId="0" xfId="0" applyFont="1"/>
    <xf numFmtId="0" fontId="11" fillId="0" borderId="0" xfId="0" applyFont="1"/>
    <xf numFmtId="167" fontId="13" fillId="0" borderId="0" xfId="0" applyNumberFormat="1" applyFont="1" applyFill="1" applyBorder="1"/>
    <xf numFmtId="168" fontId="13" fillId="0" borderId="0" xfId="0" applyNumberFormat="1" applyFont="1" applyFill="1" applyBorder="1"/>
    <xf numFmtId="164" fontId="13" fillId="0" borderId="0" xfId="0" applyNumberFormat="1" applyFont="1" applyFill="1" applyBorder="1"/>
    <xf numFmtId="0" fontId="11" fillId="0" borderId="0" xfId="0" applyFont="1" applyFill="1" applyBorder="1"/>
    <xf numFmtId="1" fontId="11" fillId="4" borderId="0" xfId="0" applyNumberFormat="1" applyFont="1" applyFill="1" applyBorder="1"/>
    <xf numFmtId="169" fontId="11" fillId="4" borderId="0" xfId="0" applyNumberFormat="1" applyFont="1" applyFill="1" applyBorder="1"/>
    <xf numFmtId="0" fontId="16" fillId="5" borderId="3" xfId="0" applyFont="1" applyFill="1" applyBorder="1"/>
    <xf numFmtId="0" fontId="11" fillId="5" borderId="4" xfId="0" applyFont="1" applyFill="1" applyBorder="1"/>
    <xf numFmtId="0" fontId="11" fillId="5" borderId="6" xfId="0" applyFont="1" applyFill="1" applyBorder="1"/>
    <xf numFmtId="0" fontId="11" fillId="5" borderId="0" xfId="0" applyFont="1" applyFill="1" applyBorder="1"/>
    <xf numFmtId="0" fontId="11" fillId="5" borderId="7" xfId="0" applyFont="1" applyFill="1" applyBorder="1" applyAlignment="1">
      <alignment horizontal="center"/>
    </xf>
    <xf numFmtId="0" fontId="15" fillId="5" borderId="6" xfId="0" applyFont="1" applyFill="1" applyBorder="1"/>
    <xf numFmtId="0" fontId="12" fillId="5" borderId="0" xfId="0" applyFont="1" applyFill="1" applyBorder="1"/>
    <xf numFmtId="164" fontId="11" fillId="5" borderId="0" xfId="0" applyNumberFormat="1" applyFont="1" applyFill="1" applyBorder="1"/>
    <xf numFmtId="4" fontId="11" fillId="5" borderId="0" xfId="0" applyNumberFormat="1" applyFont="1" applyFill="1" applyBorder="1"/>
    <xf numFmtId="0" fontId="11" fillId="5" borderId="8" xfId="0" applyFont="1" applyFill="1" applyBorder="1"/>
    <xf numFmtId="0" fontId="11" fillId="5" borderId="9" xfId="0" applyFont="1" applyFill="1" applyBorder="1"/>
    <xf numFmtId="0" fontId="22" fillId="0" borderId="0" xfId="1" applyFont="1" applyFill="1" applyBorder="1" applyAlignment="1"/>
    <xf numFmtId="0" fontId="10" fillId="0" borderId="0" xfId="2"/>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11" fillId="0" borderId="0" xfId="0" applyFont="1" applyBorder="1"/>
    <xf numFmtId="0" fontId="11" fillId="0" borderId="7" xfId="0" applyFont="1" applyBorder="1"/>
    <xf numFmtId="0" fontId="11" fillId="0" borderId="0" xfId="0" applyFont="1" applyBorder="1" applyAlignment="1">
      <alignment horizontal="left"/>
    </xf>
    <xf numFmtId="0" fontId="12" fillId="0" borderId="0" xfId="0" applyFont="1" applyBorder="1" applyAlignment="1">
      <alignment horizontal="left"/>
    </xf>
    <xf numFmtId="0" fontId="12" fillId="0" borderId="0" xfId="0" applyFont="1" applyBorder="1"/>
    <xf numFmtId="169" fontId="0" fillId="2" borderId="0" xfId="0" applyNumberFormat="1" applyFill="1" applyBorder="1"/>
    <xf numFmtId="169" fontId="0" fillId="0" borderId="0" xfId="0" applyNumberFormat="1" applyBorder="1" applyAlignment="1"/>
    <xf numFmtId="169" fontId="0" fillId="0" borderId="0" xfId="0" applyNumberFormat="1" applyBorder="1"/>
    <xf numFmtId="2" fontId="0" fillId="0" borderId="0" xfId="0" applyNumberFormat="1" applyBorder="1"/>
    <xf numFmtId="169" fontId="0" fillId="0" borderId="0" xfId="0" applyNumberFormat="1" applyFill="1" applyBorder="1"/>
    <xf numFmtId="0" fontId="11" fillId="4" borderId="0" xfId="0" applyFont="1" applyFill="1" applyBorder="1"/>
    <xf numFmtId="167" fontId="11" fillId="4" borderId="0" xfId="0" applyNumberFormat="1" applyFont="1" applyFill="1" applyBorder="1"/>
    <xf numFmtId="0" fontId="12" fillId="0" borderId="0" xfId="0" applyFont="1" applyFill="1" applyBorder="1"/>
    <xf numFmtId="0" fontId="0" fillId="0" borderId="0" xfId="0" applyFill="1" applyBorder="1" applyAlignment="1">
      <alignment horizontal="right"/>
    </xf>
    <xf numFmtId="164" fontId="0" fillId="0" borderId="0" xfId="0" applyNumberFormat="1" applyFill="1" applyBorder="1"/>
    <xf numFmtId="164" fontId="15" fillId="0" borderId="0" xfId="0" applyNumberFormat="1" applyFont="1" applyFill="1" applyBorder="1"/>
    <xf numFmtId="0" fontId="0" fillId="0" borderId="0" xfId="0" applyFill="1" applyBorder="1"/>
    <xf numFmtId="0" fontId="0" fillId="2" borderId="0" xfId="0" applyFill="1" applyBorder="1"/>
    <xf numFmtId="164" fontId="0" fillId="2" borderId="0" xfId="0" applyNumberFormat="1" applyFill="1" applyBorder="1"/>
    <xf numFmtId="167" fontId="0" fillId="2" borderId="0" xfId="0" applyNumberFormat="1" applyFill="1" applyBorder="1"/>
    <xf numFmtId="3" fontId="0" fillId="2" borderId="0" xfId="0" applyNumberFormat="1" applyFill="1" applyBorder="1"/>
    <xf numFmtId="0" fontId="14" fillId="0" borderId="0" xfId="0" applyFont="1" applyBorder="1"/>
    <xf numFmtId="167" fontId="0" fillId="0" borderId="0" xfId="0" applyNumberFormat="1" applyFill="1" applyBorder="1"/>
    <xf numFmtId="167" fontId="0" fillId="0" borderId="0" xfId="0" applyNumberFormat="1" applyBorder="1"/>
    <xf numFmtId="165" fontId="11" fillId="0" borderId="0" xfId="0" applyNumberFormat="1" applyFont="1" applyBorder="1" applyAlignment="1">
      <alignment horizontal="right"/>
    </xf>
    <xf numFmtId="164" fontId="0" fillId="0" borderId="0" xfId="0" applyNumberFormat="1" applyBorder="1"/>
    <xf numFmtId="3" fontId="0" fillId="0" borderId="0" xfId="0" applyNumberFormat="1" applyFill="1" applyBorder="1"/>
    <xf numFmtId="166" fontId="0" fillId="0" borderId="0" xfId="0" applyNumberFormat="1" applyFill="1" applyBorder="1"/>
    <xf numFmtId="169" fontId="11" fillId="0" borderId="0" xfId="0" applyNumberFormat="1" applyFont="1" applyBorder="1"/>
    <xf numFmtId="4" fontId="0" fillId="0" borderId="0" xfId="0" applyNumberFormat="1" applyBorder="1" applyAlignment="1">
      <alignment horizontal="right"/>
    </xf>
    <xf numFmtId="0" fontId="11" fillId="0" borderId="0" xfId="0" applyFont="1" applyBorder="1" applyAlignment="1">
      <alignment horizontal="right"/>
    </xf>
    <xf numFmtId="3" fontId="0" fillId="0" borderId="0" xfId="0" applyNumberFormat="1" applyBorder="1"/>
    <xf numFmtId="166" fontId="0" fillId="0" borderId="0" xfId="0" applyNumberFormat="1" applyBorder="1"/>
    <xf numFmtId="0" fontId="0" fillId="0" borderId="8" xfId="0" applyBorder="1"/>
    <xf numFmtId="0" fontId="11" fillId="0" borderId="9" xfId="0" applyFont="1" applyBorder="1"/>
    <xf numFmtId="0" fontId="0" fillId="0" borderId="9" xfId="0" applyBorder="1"/>
    <xf numFmtId="0" fontId="0" fillId="0" borderId="10" xfId="0" applyBorder="1"/>
    <xf numFmtId="0" fontId="25" fillId="0" borderId="3" xfId="0" applyFont="1" applyBorder="1"/>
    <xf numFmtId="167" fontId="11" fillId="0" borderId="0" xfId="0" applyNumberFormat="1" applyFont="1" applyFill="1" applyBorder="1"/>
    <xf numFmtId="0" fontId="15" fillId="0" borderId="0" xfId="0" applyFont="1" applyFill="1" applyBorder="1"/>
    <xf numFmtId="169" fontId="11" fillId="0" borderId="0" xfId="0" applyNumberFormat="1" applyFont="1" applyFill="1" applyBorder="1"/>
    <xf numFmtId="0" fontId="0" fillId="3" borderId="0" xfId="0" applyFill="1" applyBorder="1"/>
    <xf numFmtId="0" fontId="0" fillId="3" borderId="9" xfId="0" applyFill="1" applyBorder="1"/>
    <xf numFmtId="164" fontId="11" fillId="5" borderId="7" xfId="0" applyNumberFormat="1" applyFont="1" applyFill="1" applyBorder="1"/>
    <xf numFmtId="164" fontId="0" fillId="3" borderId="7" xfId="0" applyNumberFormat="1" applyFill="1" applyBorder="1"/>
    <xf numFmtId="0" fontId="11" fillId="0" borderId="0" xfId="0" applyFont="1" applyFill="1" applyBorder="1" applyAlignment="1">
      <alignment horizontal="right"/>
    </xf>
    <xf numFmtId="0" fontId="11" fillId="0" borderId="0" xfId="0" applyFont="1" applyFill="1" applyBorder="1" applyAlignment="1">
      <alignment horizontal="left"/>
    </xf>
    <xf numFmtId="0" fontId="11" fillId="4" borderId="0" xfId="0" applyFont="1" applyFill="1" applyBorder="1" applyAlignment="1">
      <alignment horizontal="right"/>
    </xf>
    <xf numFmtId="2" fontId="11" fillId="0" borderId="0" xfId="0" applyNumberFormat="1" applyFont="1" applyFill="1" applyBorder="1"/>
    <xf numFmtId="0" fontId="28" fillId="0" borderId="0" xfId="0" applyFont="1" applyFill="1" applyBorder="1"/>
    <xf numFmtId="170" fontId="11" fillId="0" borderId="0" xfId="0" applyNumberFormat="1" applyFont="1" applyFill="1" applyBorder="1"/>
    <xf numFmtId="172" fontId="11" fillId="0" borderId="0" xfId="0" applyNumberFormat="1" applyFont="1" applyFill="1" applyBorder="1"/>
    <xf numFmtId="0" fontId="14" fillId="0" borderId="0" xfId="0" applyFont="1" applyFill="1" applyBorder="1"/>
    <xf numFmtId="167" fontId="15" fillId="0" borderId="0" xfId="0" applyNumberFormat="1" applyFont="1" applyFill="1" applyBorder="1"/>
    <xf numFmtId="169" fontId="15" fillId="0" borderId="0" xfId="0" applyNumberFormat="1" applyFont="1" applyFill="1" applyBorder="1"/>
    <xf numFmtId="0" fontId="0" fillId="0" borderId="0" xfId="0" applyFont="1" applyFill="1" applyBorder="1"/>
    <xf numFmtId="2" fontId="12" fillId="0" borderId="0" xfId="0" applyNumberFormat="1" applyFont="1" applyFill="1" applyBorder="1"/>
    <xf numFmtId="0" fontId="15" fillId="0" borderId="6" xfId="0" applyFont="1" applyBorder="1"/>
    <xf numFmtId="0" fontId="15" fillId="0" borderId="0" xfId="0" applyFont="1" applyBorder="1"/>
    <xf numFmtId="0" fontId="11" fillId="0" borderId="6" xfId="0" applyFont="1" applyFill="1" applyBorder="1"/>
    <xf numFmtId="4" fontId="0" fillId="0" borderId="0" xfId="0" applyNumberFormat="1" applyBorder="1"/>
    <xf numFmtId="170" fontId="0" fillId="0" borderId="0" xfId="0" applyNumberFormat="1" applyBorder="1"/>
    <xf numFmtId="0" fontId="11" fillId="0" borderId="7" xfId="0" applyFont="1" applyFill="1" applyBorder="1"/>
    <xf numFmtId="0" fontId="12" fillId="0" borderId="7" xfId="0" applyFont="1" applyFill="1" applyBorder="1"/>
    <xf numFmtId="171" fontId="0" fillId="0" borderId="0" xfId="0" applyNumberFormat="1" applyBorder="1"/>
    <xf numFmtId="164" fontId="11" fillId="0" borderId="7" xfId="0" applyNumberFormat="1" applyFont="1" applyFill="1" applyBorder="1"/>
    <xf numFmtId="0" fontId="0" fillId="0" borderId="7" xfId="0" applyFill="1" applyBorder="1"/>
    <xf numFmtId="0" fontId="11" fillId="0" borderId="0" xfId="1" applyFont="1" applyFill="1" applyBorder="1"/>
    <xf numFmtId="2" fontId="11" fillId="4" borderId="0" xfId="0" applyNumberFormat="1" applyFont="1" applyFill="1" applyBorder="1"/>
    <xf numFmtId="0" fontId="15" fillId="0" borderId="0" xfId="1" applyFont="1" applyFill="1" applyBorder="1"/>
    <xf numFmtId="0" fontId="34" fillId="0" borderId="0" xfId="2" applyFont="1" applyFill="1" applyBorder="1"/>
    <xf numFmtId="0" fontId="12" fillId="0" borderId="0" xfId="1" applyFont="1" applyFill="1" applyBorder="1"/>
    <xf numFmtId="167" fontId="11" fillId="0" borderId="0" xfId="1" applyNumberFormat="1" applyFont="1" applyFill="1" applyBorder="1"/>
    <xf numFmtId="164" fontId="11" fillId="0" borderId="0" xfId="1" applyNumberFormat="1" applyFont="1" applyFill="1" applyBorder="1"/>
    <xf numFmtId="2" fontId="11" fillId="0" borderId="0" xfId="1" applyNumberFormat="1" applyFont="1" applyFill="1" applyBorder="1"/>
    <xf numFmtId="2" fontId="11" fillId="0" borderId="0" xfId="1" applyNumberFormat="1" applyFont="1" applyFill="1" applyBorder="1" applyAlignment="1">
      <alignment horizontal="right"/>
    </xf>
    <xf numFmtId="0" fontId="12" fillId="3" borderId="0" xfId="0" applyFont="1" applyFill="1" applyBorder="1"/>
    <xf numFmtId="0" fontId="11" fillId="3" borderId="0" xfId="0" applyFont="1" applyFill="1" applyBorder="1"/>
    <xf numFmtId="2" fontId="28" fillId="3" borderId="0" xfId="0" applyNumberFormat="1" applyFont="1" applyFill="1" applyBorder="1"/>
    <xf numFmtId="0" fontId="0" fillId="3" borderId="4" xfId="0" applyFill="1" applyBorder="1"/>
    <xf numFmtId="0" fontId="0" fillId="3" borderId="5" xfId="0" applyFill="1" applyBorder="1"/>
    <xf numFmtId="0" fontId="0" fillId="3" borderId="7" xfId="0" applyFill="1" applyBorder="1"/>
    <xf numFmtId="0" fontId="0" fillId="3" borderId="6" xfId="0" applyFill="1" applyBorder="1"/>
    <xf numFmtId="0" fontId="15" fillId="3" borderId="6" xfId="0" applyFont="1" applyFill="1" applyBorder="1"/>
    <xf numFmtId="0" fontId="12" fillId="3" borderId="7" xfId="0" applyFont="1" applyFill="1" applyBorder="1"/>
    <xf numFmtId="0" fontId="11" fillId="3" borderId="6" xfId="0" applyFont="1" applyFill="1" applyBorder="1"/>
    <xf numFmtId="2" fontId="11" fillId="3" borderId="6" xfId="0" applyNumberFormat="1" applyFont="1" applyFill="1" applyBorder="1"/>
    <xf numFmtId="4" fontId="0" fillId="3" borderId="7" xfId="0" applyNumberFormat="1" applyFill="1" applyBorder="1"/>
    <xf numFmtId="0" fontId="11" fillId="3" borderId="8" xfId="0" applyFont="1" applyFill="1" applyBorder="1"/>
    <xf numFmtId="0" fontId="11" fillId="3" borderId="9" xfId="0" applyFont="1" applyFill="1" applyBorder="1"/>
    <xf numFmtId="164" fontId="11" fillId="3" borderId="10" xfId="0" applyNumberFormat="1" applyFont="1" applyFill="1" applyBorder="1"/>
    <xf numFmtId="170" fontId="11" fillId="4" borderId="7" xfId="0" applyNumberFormat="1" applyFont="1" applyFill="1" applyBorder="1"/>
    <xf numFmtId="167" fontId="11" fillId="4" borderId="7" xfId="0" applyNumberFormat="1" applyFont="1" applyFill="1" applyBorder="1"/>
    <xf numFmtId="2" fontId="13" fillId="0" borderId="0" xfId="2" applyNumberFormat="1" applyFont="1" applyFill="1" applyBorder="1"/>
    <xf numFmtId="0" fontId="37" fillId="0" borderId="0" xfId="2" applyFont="1" applyFill="1" applyBorder="1"/>
    <xf numFmtId="0" fontId="11" fillId="3" borderId="0" xfId="1" applyFont="1" applyFill="1" applyBorder="1"/>
    <xf numFmtId="0" fontId="35" fillId="3" borderId="0" xfId="2" applyFont="1" applyFill="1" applyBorder="1"/>
    <xf numFmtId="0" fontId="34" fillId="3" borderId="0" xfId="2" applyFont="1" applyFill="1" applyBorder="1"/>
    <xf numFmtId="1" fontId="11" fillId="3" borderId="0" xfId="1" applyNumberFormat="1" applyFont="1" applyFill="1" applyBorder="1"/>
    <xf numFmtId="0" fontId="15" fillId="3" borderId="3" xfId="1" applyFont="1" applyFill="1" applyBorder="1"/>
    <xf numFmtId="0" fontId="12" fillId="3" borderId="4" xfId="1" applyFont="1" applyFill="1" applyBorder="1"/>
    <xf numFmtId="0" fontId="12" fillId="3" borderId="5" xfId="1" applyFont="1" applyFill="1" applyBorder="1"/>
    <xf numFmtId="0" fontId="11" fillId="3" borderId="6" xfId="1" applyFont="1" applyFill="1" applyBorder="1"/>
    <xf numFmtId="167" fontId="11" fillId="3" borderId="6" xfId="1" applyNumberFormat="1" applyFont="1" applyFill="1" applyBorder="1"/>
    <xf numFmtId="169" fontId="11" fillId="3" borderId="7" xfId="1" applyNumberFormat="1" applyFont="1" applyFill="1" applyBorder="1"/>
    <xf numFmtId="0" fontId="13" fillId="3" borderId="6" xfId="2" applyFont="1" applyFill="1" applyBorder="1"/>
    <xf numFmtId="167" fontId="11" fillId="3" borderId="7" xfId="1" applyNumberFormat="1" applyFont="1" applyFill="1" applyBorder="1"/>
    <xf numFmtId="167" fontId="13" fillId="3" borderId="7" xfId="2" applyNumberFormat="1" applyFont="1" applyFill="1" applyBorder="1"/>
    <xf numFmtId="0" fontId="34" fillId="3" borderId="6" xfId="2" applyFont="1" applyFill="1" applyBorder="1"/>
    <xf numFmtId="0" fontId="34" fillId="3" borderId="8" xfId="2" applyFont="1" applyFill="1" applyBorder="1"/>
    <xf numFmtId="0" fontId="11" fillId="3" borderId="9" xfId="1" applyFont="1" applyFill="1" applyBorder="1"/>
    <xf numFmtId="164" fontId="11" fillId="3" borderId="7" xfId="1" applyNumberFormat="1" applyFont="1" applyFill="1" applyBorder="1"/>
    <xf numFmtId="164" fontId="11" fillId="3" borderId="10" xfId="1" applyNumberFormat="1" applyFont="1" applyFill="1" applyBorder="1"/>
    <xf numFmtId="0" fontId="13" fillId="0" borderId="0" xfId="3" applyFont="1" applyFill="1" applyBorder="1"/>
    <xf numFmtId="0" fontId="34" fillId="0" borderId="0" xfId="3" applyFont="1" applyFill="1" applyBorder="1"/>
    <xf numFmtId="0" fontId="38" fillId="5" borderId="0" xfId="3" applyFont="1" applyFill="1" applyBorder="1" applyAlignment="1">
      <alignment horizontal="center"/>
    </xf>
    <xf numFmtId="0" fontId="35" fillId="5" borderId="6" xfId="3" applyFont="1" applyFill="1" applyBorder="1"/>
    <xf numFmtId="0" fontId="11" fillId="0" borderId="0" xfId="3" applyFont="1" applyFill="1" applyBorder="1"/>
    <xf numFmtId="0" fontId="13" fillId="0" borderId="0" xfId="3" applyFont="1" applyFill="1" applyBorder="1" applyAlignment="1">
      <alignment wrapText="1"/>
    </xf>
    <xf numFmtId="0" fontId="13" fillId="5" borderId="0" xfId="3" applyFont="1" applyFill="1" applyBorder="1"/>
    <xf numFmtId="0" fontId="41" fillId="0" borderId="0" xfId="3" applyFont="1" applyFill="1" applyBorder="1"/>
    <xf numFmtId="0" fontId="41" fillId="0" borderId="0" xfId="1" applyFont="1" applyFill="1" applyBorder="1"/>
    <xf numFmtId="0" fontId="41" fillId="0" borderId="0" xfId="3" applyFont="1" applyFill="1" applyBorder="1" applyAlignment="1">
      <alignment wrapText="1"/>
    </xf>
    <xf numFmtId="0" fontId="35" fillId="0" borderId="0" xfId="3" applyFont="1" applyFill="1" applyBorder="1"/>
    <xf numFmtId="167" fontId="35" fillId="0" borderId="0" xfId="3" applyNumberFormat="1" applyFont="1" applyFill="1" applyBorder="1"/>
    <xf numFmtId="167" fontId="35" fillId="0" borderId="0" xfId="3" applyNumberFormat="1" applyFont="1" applyFill="1" applyBorder="1" applyAlignment="1">
      <alignment wrapText="1"/>
    </xf>
    <xf numFmtId="0" fontId="12" fillId="0" borderId="0" xfId="3" applyFont="1" applyFill="1" applyBorder="1"/>
    <xf numFmtId="0" fontId="35" fillId="0" borderId="6" xfId="3" applyFont="1" applyFill="1" applyBorder="1"/>
    <xf numFmtId="3" fontId="35" fillId="0" borderId="0" xfId="3" applyNumberFormat="1" applyFont="1" applyFill="1" applyBorder="1"/>
    <xf numFmtId="0" fontId="13" fillId="4" borderId="0" xfId="3" applyFont="1" applyFill="1" applyBorder="1" applyAlignment="1">
      <alignment horizontal="right"/>
    </xf>
    <xf numFmtId="2" fontId="13" fillId="0" borderId="0" xfId="3" applyNumberFormat="1" applyFont="1" applyFill="1" applyBorder="1"/>
    <xf numFmtId="2" fontId="34" fillId="0" borderId="0" xfId="3" applyNumberFormat="1" applyFont="1" applyFill="1" applyBorder="1" applyAlignment="1">
      <alignment wrapText="1"/>
    </xf>
    <xf numFmtId="0" fontId="13" fillId="4" borderId="0" xfId="3" applyFont="1" applyFill="1" applyBorder="1"/>
    <xf numFmtId="167" fontId="13" fillId="0" borderId="0" xfId="3" applyNumberFormat="1" applyFont="1" applyFill="1" applyBorder="1"/>
    <xf numFmtId="169" fontId="13" fillId="0" borderId="0" xfId="3" applyNumberFormat="1" applyFont="1" applyFill="1" applyBorder="1" applyAlignment="1">
      <alignment horizontal="center"/>
    </xf>
    <xf numFmtId="170" fontId="13" fillId="4" borderId="0" xfId="3" applyNumberFormat="1" applyFont="1" applyFill="1" applyBorder="1"/>
    <xf numFmtId="170" fontId="13" fillId="0" borderId="0" xfId="3" applyNumberFormat="1" applyFont="1" applyFill="1" applyBorder="1"/>
    <xf numFmtId="167" fontId="35" fillId="0" borderId="0" xfId="3" applyNumberFormat="1" applyFont="1" applyFill="1" applyBorder="1" applyAlignment="1"/>
    <xf numFmtId="167" fontId="13" fillId="4" borderId="0" xfId="3" applyNumberFormat="1" applyFont="1" applyFill="1" applyBorder="1"/>
    <xf numFmtId="164" fontId="13" fillId="0" borderId="0" xfId="3" applyNumberFormat="1" applyFont="1" applyFill="1" applyBorder="1"/>
    <xf numFmtId="4" fontId="13" fillId="0" borderId="0" xfId="3" applyNumberFormat="1" applyFont="1" applyFill="1" applyBorder="1"/>
    <xf numFmtId="0" fontId="46" fillId="0" borderId="0" xfId="3" applyFont="1" applyFill="1" applyBorder="1"/>
    <xf numFmtId="1" fontId="13" fillId="4" borderId="0" xfId="3" applyNumberFormat="1" applyFont="1" applyFill="1" applyBorder="1"/>
    <xf numFmtId="2" fontId="13" fillId="5" borderId="0" xfId="3" applyNumberFormat="1" applyFont="1" applyFill="1" applyBorder="1"/>
    <xf numFmtId="2" fontId="13" fillId="5" borderId="0" xfId="3" applyNumberFormat="1" applyFont="1" applyFill="1" applyBorder="1" applyAlignment="1">
      <alignment horizontal="right"/>
    </xf>
    <xf numFmtId="169" fontId="11" fillId="2" borderId="0" xfId="0" applyNumberFormat="1" applyFont="1" applyFill="1" applyBorder="1" applyAlignment="1">
      <alignment horizontal="right"/>
    </xf>
    <xf numFmtId="0" fontId="15" fillId="0" borderId="0" xfId="0" applyFont="1" applyFill="1" applyBorder="1" applyAlignment="1">
      <alignment horizontal="left"/>
    </xf>
    <xf numFmtId="3" fontId="15" fillId="0" borderId="0" xfId="0" applyNumberFormat="1" applyFont="1" applyFill="1" applyBorder="1"/>
    <xf numFmtId="164" fontId="11" fillId="0" borderId="0" xfId="0" applyNumberFormat="1" applyFont="1" applyFill="1" applyBorder="1"/>
    <xf numFmtId="2" fontId="28" fillId="5" borderId="0" xfId="0" applyNumberFormat="1" applyFont="1" applyFill="1" applyBorder="1"/>
    <xf numFmtId="170" fontId="11" fillId="4" borderId="0" xfId="1" applyNumberFormat="1" applyFont="1" applyFill="1" applyBorder="1"/>
    <xf numFmtId="0" fontId="16" fillId="3" borderId="0" xfId="0" applyFont="1" applyFill="1" applyBorder="1"/>
    <xf numFmtId="164" fontId="0" fillId="3" borderId="0" xfId="0" applyNumberFormat="1" applyFill="1" applyBorder="1"/>
    <xf numFmtId="4" fontId="0" fillId="3" borderId="0" xfId="0" applyNumberFormat="1" applyFill="1" applyBorder="1"/>
    <xf numFmtId="0" fontId="11" fillId="2" borderId="0" xfId="0" applyFont="1" applyFill="1" applyBorder="1" applyAlignment="1">
      <alignment horizontal="left"/>
    </xf>
    <xf numFmtId="0" fontId="12" fillId="0" borderId="0" xfId="0" applyFont="1" applyBorder="1" applyAlignment="1">
      <alignment horizontal="right"/>
    </xf>
    <xf numFmtId="2" fontId="52" fillId="0" borderId="0" xfId="0" applyNumberFormat="1" applyFont="1" applyFill="1" applyBorder="1" applyAlignment="1">
      <alignment horizontal="right"/>
    </xf>
    <xf numFmtId="2" fontId="11" fillId="2" borderId="0" xfId="0" applyNumberFormat="1" applyFont="1" applyFill="1" applyBorder="1"/>
    <xf numFmtId="170" fontId="11" fillId="3" borderId="0" xfId="0" applyNumberFormat="1" applyFont="1" applyFill="1" applyBorder="1" applyAlignment="1">
      <alignment horizontal="right"/>
    </xf>
    <xf numFmtId="1" fontId="11" fillId="3" borderId="0" xfId="0" applyNumberFormat="1" applyFont="1" applyFill="1" applyBorder="1" applyAlignment="1">
      <alignment horizontal="right"/>
    </xf>
    <xf numFmtId="0" fontId="11" fillId="3" borderId="0" xfId="0" applyFont="1" applyFill="1" applyBorder="1" applyAlignment="1">
      <alignment horizontal="right"/>
    </xf>
    <xf numFmtId="0" fontId="25" fillId="0" borderId="0" xfId="0" applyFont="1" applyBorder="1" applyAlignment="1">
      <alignment horizontal="center"/>
    </xf>
    <xf numFmtId="171" fontId="11" fillId="0" borderId="0" xfId="0" applyNumberFormat="1" applyFont="1" applyFill="1" applyBorder="1" applyAlignment="1">
      <alignment horizontal="left"/>
    </xf>
    <xf numFmtId="0" fontId="11" fillId="2" borderId="0" xfId="1" applyFont="1" applyFill="1" applyBorder="1"/>
    <xf numFmtId="169" fontId="11" fillId="0" borderId="0" xfId="1" applyNumberFormat="1" applyFont="1" applyFill="1" applyBorder="1"/>
    <xf numFmtId="0" fontId="0" fillId="0" borderId="0" xfId="0" applyFill="1"/>
    <xf numFmtId="173" fontId="0" fillId="0" borderId="0" xfId="0" applyNumberFormat="1" applyBorder="1"/>
    <xf numFmtId="2" fontId="0" fillId="0" borderId="0" xfId="0" applyNumberFormat="1" applyFill="1" applyBorder="1"/>
    <xf numFmtId="170" fontId="11" fillId="0" borderId="0" xfId="1" applyNumberFormat="1" applyFont="1" applyFill="1" applyBorder="1"/>
    <xf numFmtId="3" fontId="11" fillId="4" borderId="0" xfId="0" applyNumberFormat="1" applyFont="1" applyFill="1" applyBorder="1"/>
    <xf numFmtId="0" fontId="15" fillId="3" borderId="3" xfId="8" applyFont="1" applyFill="1" applyBorder="1"/>
    <xf numFmtId="0" fontId="59" fillId="3" borderId="4" xfId="8" applyFont="1" applyFill="1" applyBorder="1"/>
    <xf numFmtId="0" fontId="59" fillId="3" borderId="6" xfId="8" applyFont="1" applyFill="1" applyBorder="1"/>
    <xf numFmtId="0" fontId="59" fillId="3" borderId="0" xfId="8" applyFont="1" applyFill="1" applyBorder="1"/>
    <xf numFmtId="0" fontId="62" fillId="3" borderId="6" xfId="8" applyFont="1" applyFill="1" applyBorder="1"/>
    <xf numFmtId="0" fontId="60" fillId="3" borderId="0" xfId="8" applyFont="1" applyFill="1" applyBorder="1"/>
    <xf numFmtId="0" fontId="60" fillId="3" borderId="7" xfId="8" applyFont="1" applyFill="1" applyBorder="1"/>
    <xf numFmtId="169" fontId="61" fillId="0" borderId="0" xfId="8" applyNumberFormat="1" applyFont="1" applyFill="1" applyBorder="1"/>
    <xf numFmtId="0" fontId="11" fillId="3" borderId="0" xfId="8" applyFont="1" applyFill="1" applyBorder="1"/>
    <xf numFmtId="3" fontId="11" fillId="3" borderId="7" xfId="8" applyNumberFormat="1" applyFont="1" applyFill="1" applyBorder="1"/>
    <xf numFmtId="3" fontId="11" fillId="3" borderId="7" xfId="8" applyNumberFormat="1" applyFont="1" applyFill="1" applyBorder="1" applyAlignment="1">
      <alignment horizontal="right"/>
    </xf>
    <xf numFmtId="0" fontId="11" fillId="2" borderId="0" xfId="1" applyFill="1" applyBorder="1" applyAlignment="1">
      <alignment horizontal="right"/>
    </xf>
    <xf numFmtId="0" fontId="11" fillId="2" borderId="0" xfId="1" applyFill="1" applyBorder="1"/>
    <xf numFmtId="0" fontId="11" fillId="2" borderId="0" xfId="1" applyFont="1" applyFill="1" applyBorder="1" applyAlignment="1">
      <alignment horizontal="right"/>
    </xf>
    <xf numFmtId="3" fontId="11" fillId="3" borderId="7" xfId="1" applyNumberFormat="1" applyFont="1" applyFill="1" applyBorder="1"/>
    <xf numFmtId="2" fontId="11" fillId="2" borderId="0" xfId="1" applyNumberFormat="1" applyFont="1" applyFill="1" applyBorder="1"/>
    <xf numFmtId="2" fontId="11" fillId="2" borderId="0" xfId="1" applyNumberFormat="1" applyFont="1" applyFill="1" applyBorder="1" applyAlignment="1">
      <alignment horizontal="right"/>
    </xf>
    <xf numFmtId="0" fontId="11" fillId="3" borderId="6" xfId="8" applyFont="1" applyFill="1" applyBorder="1"/>
    <xf numFmtId="0" fontId="11" fillId="3" borderId="7" xfId="1" applyFont="1" applyFill="1" applyBorder="1"/>
    <xf numFmtId="0" fontId="11" fillId="3" borderId="6" xfId="1" applyFill="1" applyBorder="1"/>
    <xf numFmtId="0" fontId="11" fillId="3" borderId="0" xfId="1" applyFill="1" applyBorder="1"/>
    <xf numFmtId="0" fontId="11" fillId="3" borderId="7" xfId="1" applyFill="1" applyBorder="1"/>
    <xf numFmtId="167" fontId="13" fillId="0" borderId="0" xfId="8" applyNumberFormat="1" applyFont="1" applyFill="1" applyBorder="1"/>
    <xf numFmtId="168" fontId="13" fillId="0" borderId="0" xfId="8" applyNumberFormat="1" applyFont="1" applyFill="1" applyBorder="1"/>
    <xf numFmtId="0" fontId="15" fillId="3" borderId="6" xfId="1" applyFont="1" applyFill="1" applyBorder="1"/>
    <xf numFmtId="0" fontId="11" fillId="2" borderId="7" xfId="1" applyFont="1" applyFill="1" applyBorder="1"/>
    <xf numFmtId="0" fontId="11" fillId="0" borderId="0" xfId="1" applyFont="1" applyBorder="1"/>
    <xf numFmtId="0" fontId="11" fillId="3" borderId="8" xfId="1" applyFill="1" applyBorder="1"/>
    <xf numFmtId="0" fontId="11" fillId="3" borderId="9" xfId="1" applyFill="1" applyBorder="1"/>
    <xf numFmtId="3" fontId="11" fillId="3" borderId="10" xfId="1" applyNumberFormat="1" applyFill="1" applyBorder="1"/>
    <xf numFmtId="167" fontId="11" fillId="0" borderId="0" xfId="1" applyNumberFormat="1" applyBorder="1"/>
    <xf numFmtId="167" fontId="11" fillId="0" borderId="0" xfId="1" applyNumberFormat="1" applyFill="1" applyBorder="1"/>
    <xf numFmtId="0" fontId="11" fillId="0" borderId="4" xfId="1" applyBorder="1"/>
    <xf numFmtId="0" fontId="23" fillId="0" borderId="6" xfId="1" applyFont="1" applyFill="1" applyBorder="1" applyAlignment="1"/>
    <xf numFmtId="0" fontId="11" fillId="0" borderId="0" xfId="1" applyBorder="1"/>
    <xf numFmtId="0" fontId="15" fillId="0" borderId="6" xfId="1" applyFont="1" applyBorder="1"/>
    <xf numFmtId="0" fontId="12" fillId="0" borderId="0" xfId="1" applyFont="1" applyBorder="1"/>
    <xf numFmtId="0" fontId="59" fillId="2" borderId="0" xfId="8" applyFont="1" applyFill="1" applyBorder="1"/>
    <xf numFmtId="0" fontId="11" fillId="0" borderId="6" xfId="1" applyBorder="1"/>
    <xf numFmtId="0" fontId="28" fillId="0" borderId="0" xfId="1" applyFont="1" applyBorder="1"/>
    <xf numFmtId="164" fontId="11" fillId="0" borderId="0" xfId="1" applyNumberFormat="1" applyFill="1" applyBorder="1"/>
    <xf numFmtId="0" fontId="11" fillId="0" borderId="6" xfId="1" applyFill="1" applyBorder="1"/>
    <xf numFmtId="0" fontId="11" fillId="0" borderId="0" xfId="1" applyFill="1" applyBorder="1"/>
    <xf numFmtId="169" fontId="11" fillId="0" borderId="0" xfId="1" applyNumberFormat="1" applyFill="1" applyBorder="1" applyAlignment="1">
      <alignment horizontal="right"/>
    </xf>
    <xf numFmtId="0" fontId="63" fillId="0" borderId="0" xfId="1" applyFont="1" applyBorder="1"/>
    <xf numFmtId="167" fontId="11" fillId="2" borderId="0" xfId="1" applyNumberFormat="1" applyFill="1" applyBorder="1" applyAlignment="1">
      <alignment horizontal="right"/>
    </xf>
    <xf numFmtId="2" fontId="11" fillId="2" borderId="0" xfId="1" applyNumberFormat="1" applyFill="1" applyBorder="1" applyAlignment="1">
      <alignment horizontal="right"/>
    </xf>
    <xf numFmtId="173" fontId="11" fillId="0" borderId="0" xfId="1" applyNumberFormat="1" applyBorder="1"/>
    <xf numFmtId="167" fontId="59" fillId="0" borderId="0" xfId="8" applyNumberFormat="1" applyFont="1" applyFill="1" applyBorder="1"/>
    <xf numFmtId="0" fontId="11" fillId="0" borderId="6" xfId="1" applyFont="1" applyBorder="1"/>
    <xf numFmtId="0" fontId="11" fillId="0" borderId="0" xfId="1" applyBorder="1" applyAlignment="1">
      <alignment horizontal="right"/>
    </xf>
    <xf numFmtId="169" fontId="11" fillId="0" borderId="0" xfId="1" applyNumberFormat="1" applyBorder="1"/>
    <xf numFmtId="0" fontId="11" fillId="0" borderId="6" xfId="1" applyFont="1" applyFill="1" applyBorder="1"/>
    <xf numFmtId="0" fontId="11" fillId="0" borderId="0" xfId="1" applyFill="1" applyBorder="1" applyAlignment="1">
      <alignment horizontal="right"/>
    </xf>
    <xf numFmtId="2" fontId="11" fillId="0" borderId="0" xfId="1" applyNumberFormat="1" applyBorder="1"/>
    <xf numFmtId="0" fontId="11" fillId="0" borderId="0" xfId="1" quotePrefix="1" applyBorder="1"/>
    <xf numFmtId="0" fontId="11" fillId="0" borderId="0" xfId="1" applyBorder="1" applyAlignment="1">
      <alignment horizontal="center"/>
    </xf>
    <xf numFmtId="0" fontId="11" fillId="0" borderId="8" xfId="1" applyBorder="1"/>
    <xf numFmtId="0" fontId="11" fillId="0" borderId="9" xfId="1" applyBorder="1"/>
    <xf numFmtId="167" fontId="11" fillId="0" borderId="0" xfId="1" applyNumberFormat="1" applyFill="1" applyBorder="1" applyAlignment="1">
      <alignment horizontal="right"/>
    </xf>
    <xf numFmtId="2" fontId="0" fillId="0" borderId="6" xfId="0" applyNumberFormat="1" applyBorder="1"/>
    <xf numFmtId="164" fontId="11" fillId="4" borderId="0" xfId="0" applyNumberFormat="1" applyFont="1" applyFill="1" applyBorder="1"/>
    <xf numFmtId="0" fontId="11" fillId="0" borderId="0" xfId="1" applyBorder="1" applyAlignment="1">
      <alignment horizontal="left"/>
    </xf>
    <xf numFmtId="170" fontId="11" fillId="2" borderId="7" xfId="1" applyNumberFormat="1" applyFont="1" applyFill="1" applyBorder="1"/>
    <xf numFmtId="2" fontId="66" fillId="0" borderId="0" xfId="0" applyNumberFormat="1" applyFont="1" applyFill="1" applyBorder="1" applyAlignment="1">
      <alignment horizontal="left"/>
    </xf>
    <xf numFmtId="2" fontId="11" fillId="0" borderId="0" xfId="1" applyNumberFormat="1" applyBorder="1" applyAlignment="1">
      <alignment horizontal="right"/>
    </xf>
    <xf numFmtId="2" fontId="0" fillId="4" borderId="0" xfId="0" applyNumberFormat="1" applyFont="1" applyFill="1" applyBorder="1"/>
    <xf numFmtId="164" fontId="0" fillId="0" borderId="0" xfId="0" applyNumberFormat="1" applyFont="1" applyFill="1" applyBorder="1"/>
    <xf numFmtId="0" fontId="0" fillId="3" borderId="0" xfId="0" applyFont="1" applyFill="1" applyBorder="1"/>
    <xf numFmtId="170" fontId="0" fillId="3" borderId="0" xfId="0" applyNumberFormat="1" applyFill="1" applyBorder="1"/>
    <xf numFmtId="0" fontId="11" fillId="0" borderId="0" xfId="0" applyFont="1" applyFill="1" applyBorder="1" applyAlignment="1"/>
    <xf numFmtId="0" fontId="0" fillId="0" borderId="0" xfId="0" applyBorder="1" applyAlignment="1">
      <alignment horizontal="left"/>
    </xf>
    <xf numFmtId="0" fontId="12" fillId="3" borderId="0" xfId="0" applyFont="1" applyFill="1" applyBorder="1" applyAlignment="1">
      <alignment horizontal="right"/>
    </xf>
    <xf numFmtId="0" fontId="28" fillId="0" borderId="0" xfId="0" applyFont="1" applyBorder="1"/>
    <xf numFmtId="0" fontId="0" fillId="2" borderId="0" xfId="0" applyFill="1"/>
    <xf numFmtId="0" fontId="11" fillId="5" borderId="0" xfId="0" applyFont="1" applyFill="1" applyBorder="1" applyAlignment="1">
      <alignment horizontal="center"/>
    </xf>
    <xf numFmtId="0" fontId="41" fillId="5" borderId="0" xfId="0" applyFont="1" applyFill="1" applyBorder="1" applyAlignment="1">
      <alignment horizontal="center"/>
    </xf>
    <xf numFmtId="0" fontId="11" fillId="0" borderId="4" xfId="1" applyFont="1" applyFill="1" applyBorder="1"/>
    <xf numFmtId="0" fontId="15" fillId="0" borderId="6" xfId="1" applyFont="1" applyFill="1" applyBorder="1" applyAlignment="1">
      <alignment wrapText="1"/>
    </xf>
    <xf numFmtId="0" fontId="12" fillId="0" borderId="6" xfId="1" applyFont="1" applyFill="1" applyBorder="1" applyAlignment="1">
      <alignment wrapText="1"/>
    </xf>
    <xf numFmtId="0" fontId="41" fillId="5" borderId="7" xfId="0" applyFont="1" applyFill="1" applyBorder="1" applyAlignment="1">
      <alignment horizontal="center"/>
    </xf>
    <xf numFmtId="0" fontId="11" fillId="0" borderId="6" xfId="1" applyFont="1" applyFill="1" applyBorder="1" applyAlignment="1">
      <alignment wrapText="1"/>
    </xf>
    <xf numFmtId="170" fontId="46" fillId="0" borderId="0" xfId="3" applyNumberFormat="1" applyFont="1" applyFill="1" applyBorder="1"/>
    <xf numFmtId="0" fontId="40" fillId="0" borderId="6" xfId="0" applyFont="1" applyBorder="1"/>
    <xf numFmtId="0" fontId="40" fillId="0" borderId="6" xfId="1" applyFont="1" applyFill="1" applyBorder="1" applyAlignment="1"/>
    <xf numFmtId="0" fontId="39" fillId="0" borderId="6" xfId="1" applyFont="1" applyFill="1" applyBorder="1"/>
    <xf numFmtId="0" fontId="39" fillId="0" borderId="6" xfId="3" applyFont="1" applyFill="1" applyBorder="1"/>
    <xf numFmtId="0" fontId="25" fillId="3" borderId="0" xfId="1" applyFont="1" applyFill="1" applyBorder="1" applyAlignment="1">
      <alignment horizontal="center"/>
    </xf>
    <xf numFmtId="0" fontId="32" fillId="0" borderId="0" xfId="0" applyFont="1" applyBorder="1" applyAlignment="1">
      <alignment horizontal="center"/>
    </xf>
    <xf numFmtId="0" fontId="34" fillId="0" borderId="6" xfId="2" applyFont="1" applyFill="1" applyBorder="1"/>
    <xf numFmtId="0" fontId="15" fillId="0" borderId="6" xfId="1" applyFont="1" applyFill="1" applyBorder="1"/>
    <xf numFmtId="11" fontId="0" fillId="0" borderId="0" xfId="0" applyNumberFormat="1" applyBorder="1"/>
    <xf numFmtId="0" fontId="11" fillId="0" borderId="6" xfId="1" applyFont="1" applyFill="1" applyBorder="1" applyAlignment="1">
      <alignment horizontal="right"/>
    </xf>
    <xf numFmtId="0" fontId="11" fillId="0" borderId="6" xfId="1" applyFont="1" applyFill="1" applyBorder="1" applyAlignment="1">
      <alignment horizontal="left"/>
    </xf>
    <xf numFmtId="11" fontId="11" fillId="0" borderId="6" xfId="1" applyNumberFormat="1" applyFont="1" applyFill="1" applyBorder="1" applyAlignment="1">
      <alignment horizontal="left"/>
    </xf>
    <xf numFmtId="0" fontId="11" fillId="3" borderId="7" xfId="0" applyFont="1" applyFill="1" applyBorder="1" applyAlignment="1">
      <alignment horizontal="right"/>
    </xf>
    <xf numFmtId="3" fontId="0" fillId="3" borderId="0" xfId="0" applyNumberFormat="1" applyFill="1" applyBorder="1"/>
    <xf numFmtId="0" fontId="39" fillId="5" borderId="0" xfId="3" applyFont="1" applyFill="1" applyBorder="1" applyAlignment="1">
      <alignment horizontal="center"/>
    </xf>
    <xf numFmtId="164" fontId="13" fillId="5" borderId="0" xfId="3" applyNumberFormat="1" applyFont="1" applyFill="1" applyBorder="1"/>
    <xf numFmtId="2" fontId="13" fillId="3" borderId="0" xfId="3" applyNumberFormat="1" applyFont="1" applyFill="1" applyBorder="1"/>
    <xf numFmtId="0" fontId="13" fillId="0" borderId="9" xfId="3" applyFont="1" applyFill="1" applyBorder="1"/>
    <xf numFmtId="2" fontId="73" fillId="5" borderId="20" xfId="3" applyNumberFormat="1" applyFont="1" applyFill="1" applyBorder="1"/>
    <xf numFmtId="0" fontId="35" fillId="5" borderId="6" xfId="3" applyFont="1" applyFill="1" applyBorder="1" applyAlignment="1">
      <alignment horizontal="right"/>
    </xf>
    <xf numFmtId="0" fontId="73" fillId="5" borderId="0" xfId="3" applyFont="1" applyFill="1" applyBorder="1" applyAlignment="1">
      <alignment horizontal="center"/>
    </xf>
    <xf numFmtId="0" fontId="74" fillId="5" borderId="0" xfId="3" applyFont="1" applyFill="1" applyBorder="1" applyAlignment="1">
      <alignment horizontal="center"/>
    </xf>
    <xf numFmtId="167" fontId="13" fillId="5" borderId="0" xfId="3" applyNumberFormat="1" applyFont="1" applyFill="1" applyBorder="1" applyAlignment="1">
      <alignment horizontal="right"/>
    </xf>
    <xf numFmtId="0" fontId="11" fillId="0" borderId="0" xfId="1"/>
    <xf numFmtId="0" fontId="23" fillId="0" borderId="0" xfId="1" applyFont="1" applyFill="1" applyBorder="1" applyAlignment="1"/>
    <xf numFmtId="0" fontId="75" fillId="0" borderId="0" xfId="1" applyFont="1" applyFill="1" applyBorder="1" applyAlignment="1">
      <alignment horizontal="right"/>
    </xf>
    <xf numFmtId="0" fontId="11" fillId="2" borderId="11" xfId="1" applyFill="1" applyBorder="1"/>
    <xf numFmtId="0" fontId="15" fillId="0" borderId="0" xfId="1" applyFont="1"/>
    <xf numFmtId="2" fontId="15" fillId="0" borderId="0" xfId="1" applyNumberFormat="1" applyFont="1" applyFill="1" applyBorder="1"/>
    <xf numFmtId="2" fontId="11" fillId="0" borderId="0" xfId="1" applyNumberFormat="1" applyFill="1" applyBorder="1"/>
    <xf numFmtId="2" fontId="11" fillId="2" borderId="11" xfId="1" applyNumberFormat="1" applyFill="1" applyBorder="1"/>
    <xf numFmtId="2" fontId="75" fillId="0" borderId="0" xfId="1" applyNumberFormat="1" applyFont="1" applyFill="1" applyBorder="1"/>
    <xf numFmtId="3" fontId="11" fillId="0" borderId="0" xfId="1" applyNumberFormat="1" applyFill="1" applyBorder="1"/>
    <xf numFmtId="0" fontId="76" fillId="0" borderId="0" xfId="1" applyFont="1" applyFill="1" applyBorder="1"/>
    <xf numFmtId="0" fontId="11" fillId="0" borderId="11" xfId="1" applyBorder="1"/>
    <xf numFmtId="0" fontId="11" fillId="0" borderId="11" xfId="1" applyFont="1" applyBorder="1"/>
    <xf numFmtId="0" fontId="11" fillId="0" borderId="11" xfId="1" applyFill="1" applyBorder="1"/>
    <xf numFmtId="2" fontId="11" fillId="0" borderId="11" xfId="1" applyNumberFormat="1" applyFill="1" applyBorder="1"/>
    <xf numFmtId="0" fontId="11" fillId="0" borderId="0" xfId="1" applyFont="1" applyFill="1" applyBorder="1" applyAlignment="1">
      <alignment horizontal="left"/>
    </xf>
    <xf numFmtId="0" fontId="11" fillId="0" borderId="11" xfId="1" applyFont="1" applyFill="1" applyBorder="1"/>
    <xf numFmtId="0" fontId="11" fillId="0" borderId="0" xfId="1" applyAlignment="1">
      <alignment horizontal="left"/>
    </xf>
    <xf numFmtId="0" fontId="11" fillId="0" borderId="0" xfId="1" applyFont="1" applyFill="1" applyBorder="1" applyAlignment="1">
      <alignment horizontal="right"/>
    </xf>
    <xf numFmtId="2" fontId="11" fillId="0" borderId="11" xfId="1" applyNumberFormat="1" applyBorder="1"/>
    <xf numFmtId="0" fontId="11" fillId="0" borderId="0" xfId="1" applyFill="1"/>
    <xf numFmtId="2" fontId="11" fillId="0" borderId="0" xfId="1" applyNumberFormat="1"/>
    <xf numFmtId="167" fontId="11" fillId="0" borderId="11" xfId="1" applyNumberFormat="1" applyFont="1" applyFill="1" applyBorder="1" applyAlignment="1">
      <alignment horizontal="left"/>
    </xf>
    <xf numFmtId="167" fontId="11" fillId="0" borderId="0" xfId="1" applyNumberFormat="1" applyAlignment="1">
      <alignment horizontal="left"/>
    </xf>
    <xf numFmtId="0" fontId="11" fillId="0" borderId="22" xfId="1" applyFont="1" applyFill="1" applyBorder="1"/>
    <xf numFmtId="0" fontId="11" fillId="0" borderId="22" xfId="1" applyFill="1" applyBorder="1"/>
    <xf numFmtId="0" fontId="11" fillId="0" borderId="22" xfId="1" applyBorder="1"/>
    <xf numFmtId="169" fontId="11" fillId="0" borderId="11" xfId="1" applyNumberFormat="1" applyFont="1" applyFill="1" applyBorder="1"/>
    <xf numFmtId="169" fontId="11" fillId="0" borderId="0" xfId="1" applyNumberFormat="1"/>
    <xf numFmtId="170" fontId="11" fillId="0" borderId="0" xfId="1" applyNumberFormat="1"/>
    <xf numFmtId="170" fontId="11" fillId="0" borderId="0" xfId="1" applyNumberFormat="1" applyAlignment="1">
      <alignment horizontal="left"/>
    </xf>
    <xf numFmtId="170" fontId="11" fillId="0" borderId="0" xfId="1" applyNumberFormat="1" applyFill="1" applyBorder="1"/>
    <xf numFmtId="0" fontId="11" fillId="0" borderId="0" xfId="1" applyFont="1"/>
    <xf numFmtId="0" fontId="15" fillId="0" borderId="11" xfId="1" applyFont="1" applyFill="1" applyBorder="1"/>
    <xf numFmtId="0" fontId="28" fillId="0" borderId="11" xfId="1" applyFont="1" applyFill="1" applyBorder="1"/>
    <xf numFmtId="0" fontId="28" fillId="0" borderId="0" xfId="1" applyFont="1" applyFill="1" applyBorder="1"/>
    <xf numFmtId="170" fontId="11" fillId="0" borderId="11" xfId="1" applyNumberFormat="1" applyFill="1" applyBorder="1"/>
    <xf numFmtId="170" fontId="11" fillId="0" borderId="11" xfId="1" applyNumberFormat="1" applyFont="1" applyFill="1" applyBorder="1"/>
    <xf numFmtId="0" fontId="11" fillId="0" borderId="11" xfId="1" applyFont="1" applyBorder="1" applyAlignment="1">
      <alignment horizontal="center"/>
    </xf>
    <xf numFmtId="2" fontId="11" fillId="0" borderId="11" xfId="1" applyNumberFormat="1" applyFont="1" applyFill="1" applyBorder="1"/>
    <xf numFmtId="0" fontId="75" fillId="0" borderId="0" xfId="1" applyFont="1" applyFill="1" applyBorder="1"/>
    <xf numFmtId="170" fontId="35" fillId="0" borderId="0" xfId="3" applyNumberFormat="1" applyFont="1" applyFill="1" applyBorder="1"/>
    <xf numFmtId="2" fontId="35" fillId="0" borderId="0" xfId="3" applyNumberFormat="1" applyFont="1" applyFill="1" applyBorder="1"/>
    <xf numFmtId="1" fontId="35" fillId="0" borderId="0" xfId="3" applyNumberFormat="1" applyFont="1" applyFill="1" applyBorder="1"/>
    <xf numFmtId="0" fontId="35" fillId="0" borderId="0" xfId="3" applyFont="1" applyFill="1" applyBorder="1" applyAlignment="1">
      <alignment horizontal="right"/>
    </xf>
    <xf numFmtId="0" fontId="11" fillId="0" borderId="0" xfId="3" applyFont="1" applyFill="1" applyBorder="1" applyAlignment="1">
      <alignment horizontal="right"/>
    </xf>
    <xf numFmtId="17" fontId="11" fillId="0" borderId="0" xfId="3" applyNumberFormat="1" applyFont="1" applyFill="1" applyBorder="1" applyAlignment="1">
      <alignment horizontal="right"/>
    </xf>
    <xf numFmtId="0" fontId="13" fillId="0" borderId="0" xfId="3" applyFont="1" applyFill="1" applyBorder="1" applyAlignment="1">
      <alignment horizontal="right"/>
    </xf>
    <xf numFmtId="16" fontId="13" fillId="0" borderId="0" xfId="3" applyNumberFormat="1" applyFont="1" applyFill="1" applyBorder="1" applyAlignment="1">
      <alignment horizontal="right"/>
    </xf>
    <xf numFmtId="169" fontId="13" fillId="0" borderId="0" xfId="3" applyNumberFormat="1" applyFont="1" applyFill="1" applyBorder="1" applyAlignment="1">
      <alignment horizontal="right"/>
    </xf>
    <xf numFmtId="170" fontId="13" fillId="0" borderId="0" xfId="3" applyNumberFormat="1" applyFont="1" applyFill="1" applyBorder="1" applyAlignment="1">
      <alignment horizontal="right"/>
    </xf>
    <xf numFmtId="0" fontId="12" fillId="0" borderId="0" xfId="0" applyFont="1" applyFill="1" applyBorder="1" applyAlignment="1">
      <alignment horizontal="left"/>
    </xf>
    <xf numFmtId="169" fontId="0" fillId="0" borderId="0" xfId="0" applyNumberFormat="1" applyFont="1" applyFill="1" applyBorder="1"/>
    <xf numFmtId="169" fontId="0" fillId="0" borderId="0" xfId="0" applyNumberFormat="1" applyFont="1" applyFill="1" applyBorder="1" applyAlignment="1"/>
    <xf numFmtId="2" fontId="0" fillId="0" borderId="0" xfId="0" applyNumberFormat="1" applyFont="1" applyFill="1" applyBorder="1" applyAlignment="1"/>
    <xf numFmtId="0" fontId="16" fillId="0" borderId="0" xfId="0" applyFont="1" applyFill="1" applyBorder="1"/>
    <xf numFmtId="0" fontId="6" fillId="0" borderId="0" xfId="10" applyAlignment="1">
      <alignment horizontal="center" vertical="top"/>
    </xf>
    <xf numFmtId="0" fontId="6" fillId="0" borderId="0" xfId="10" applyAlignment="1">
      <alignment vertical="top"/>
    </xf>
    <xf numFmtId="0" fontId="6" fillId="0" borderId="0" xfId="10" applyAlignment="1">
      <alignment horizontal="center" vertical="top" wrapText="1"/>
    </xf>
    <xf numFmtId="0" fontId="6" fillId="0" borderId="0" xfId="10" applyAlignment="1">
      <alignment horizontal="left" vertical="top"/>
    </xf>
    <xf numFmtId="0" fontId="85" fillId="0" borderId="0" xfId="10" applyFont="1" applyAlignment="1">
      <alignment vertical="top" wrapText="1"/>
    </xf>
    <xf numFmtId="0" fontId="80" fillId="3" borderId="3" xfId="10" applyFont="1" applyFill="1" applyBorder="1" applyAlignment="1">
      <alignment vertical="top"/>
    </xf>
    <xf numFmtId="0" fontId="6" fillId="3" borderId="4" xfId="10" applyFill="1" applyBorder="1" applyAlignment="1">
      <alignment vertical="top"/>
    </xf>
    <xf numFmtId="0" fontId="6" fillId="3" borderId="5" xfId="10" applyFill="1" applyBorder="1" applyAlignment="1">
      <alignment vertical="top"/>
    </xf>
    <xf numFmtId="0" fontId="6" fillId="0" borderId="0" xfId="10" applyAlignment="1">
      <alignment vertical="top" wrapText="1"/>
    </xf>
    <xf numFmtId="0" fontId="82" fillId="3" borderId="6" xfId="10" applyFont="1" applyFill="1" applyBorder="1" applyAlignment="1">
      <alignment vertical="top"/>
    </xf>
    <xf numFmtId="0" fontId="82" fillId="3" borderId="0" xfId="10" applyFont="1" applyFill="1" applyBorder="1" applyAlignment="1">
      <alignment vertical="top"/>
    </xf>
    <xf numFmtId="0" fontId="82" fillId="3" borderId="7" xfId="10" applyFont="1" applyFill="1" applyBorder="1" applyAlignment="1">
      <alignment vertical="top"/>
    </xf>
    <xf numFmtId="0" fontId="6" fillId="3" borderId="6" xfId="10" applyFill="1" applyBorder="1" applyAlignment="1">
      <alignment horizontal="center" vertical="top"/>
    </xf>
    <xf numFmtId="0" fontId="6" fillId="3" borderId="0" xfId="10" applyFill="1" applyBorder="1" applyAlignment="1">
      <alignment horizontal="center" vertical="top"/>
    </xf>
    <xf numFmtId="9" fontId="0" fillId="3" borderId="0" xfId="11" applyFont="1" applyFill="1" applyBorder="1" applyAlignment="1">
      <alignment horizontal="center" vertical="top"/>
    </xf>
    <xf numFmtId="9" fontId="0" fillId="3" borderId="7" xfId="11" applyFont="1" applyFill="1" applyBorder="1" applyAlignment="1">
      <alignment horizontal="right" vertical="top"/>
    </xf>
    <xf numFmtId="0" fontId="86" fillId="0" borderId="0" xfId="10" applyFont="1" applyAlignment="1">
      <alignment vertical="top" wrapText="1"/>
    </xf>
    <xf numFmtId="0" fontId="83" fillId="0" borderId="0" xfId="10" applyFont="1" applyAlignment="1">
      <alignment vertical="top"/>
    </xf>
    <xf numFmtId="0" fontId="82" fillId="0" borderId="0" xfId="10" applyFont="1" applyAlignment="1">
      <alignment horizontal="center" vertical="top"/>
    </xf>
    <xf numFmtId="0" fontId="82" fillId="0" borderId="0" xfId="10" applyFont="1" applyAlignment="1">
      <alignment vertical="top" wrapText="1"/>
    </xf>
    <xf numFmtId="0" fontId="82" fillId="0" borderId="0" xfId="10" applyFont="1" applyAlignment="1">
      <alignment vertical="top"/>
    </xf>
    <xf numFmtId="0" fontId="82" fillId="0" borderId="0" xfId="10" applyFont="1" applyAlignment="1">
      <alignment horizontal="center" vertical="top" wrapText="1"/>
    </xf>
    <xf numFmtId="0" fontId="82" fillId="0" borderId="0" xfId="10" applyFont="1" applyAlignment="1">
      <alignment horizontal="left" vertical="top"/>
    </xf>
    <xf numFmtId="0" fontId="6" fillId="2" borderId="0" xfId="10" applyFill="1" applyAlignment="1">
      <alignment horizontal="left" vertical="top"/>
    </xf>
    <xf numFmtId="0" fontId="6" fillId="3" borderId="6" xfId="10" applyFill="1" applyBorder="1" applyAlignment="1">
      <alignment vertical="top"/>
    </xf>
    <xf numFmtId="0" fontId="6" fillId="3" borderId="0" xfId="10" applyFill="1" applyBorder="1" applyAlignment="1">
      <alignment vertical="top"/>
    </xf>
    <xf numFmtId="0" fontId="6" fillId="3" borderId="8" xfId="10" applyFill="1" applyBorder="1" applyAlignment="1">
      <alignment vertical="top"/>
    </xf>
    <xf numFmtId="0" fontId="6" fillId="3" borderId="9" xfId="10" applyFill="1" applyBorder="1" applyAlignment="1">
      <alignment horizontal="center" vertical="top"/>
    </xf>
    <xf numFmtId="9" fontId="0" fillId="3" borderId="9" xfId="11" applyFont="1" applyFill="1" applyBorder="1" applyAlignment="1">
      <alignment vertical="top"/>
    </xf>
    <xf numFmtId="9" fontId="0" fillId="3" borderId="10" xfId="11" applyFont="1" applyFill="1" applyBorder="1" applyAlignment="1">
      <alignment horizontal="right" vertical="top"/>
    </xf>
    <xf numFmtId="0" fontId="83" fillId="0" borderId="0" xfId="10" applyFont="1" applyAlignment="1">
      <alignment horizontal="center" vertical="top"/>
    </xf>
    <xf numFmtId="0" fontId="83" fillId="0" borderId="0" xfId="10" applyFont="1" applyAlignment="1">
      <alignment vertical="top" wrapText="1"/>
    </xf>
    <xf numFmtId="0" fontId="83" fillId="0" borderId="0" xfId="10" applyFont="1" applyAlignment="1">
      <alignment horizontal="center" vertical="top" wrapText="1"/>
    </xf>
    <xf numFmtId="0" fontId="83" fillId="2" borderId="0" xfId="10" applyFont="1" applyFill="1" applyAlignment="1">
      <alignment horizontal="left" vertical="top"/>
    </xf>
    <xf numFmtId="0" fontId="83" fillId="2" borderId="0" xfId="10" applyFont="1" applyFill="1" applyAlignment="1">
      <alignment vertical="top"/>
    </xf>
    <xf numFmtId="0" fontId="83" fillId="2" borderId="0" xfId="10" applyFont="1" applyFill="1" applyAlignment="1">
      <alignment horizontal="left" vertical="top" wrapText="1"/>
    </xf>
    <xf numFmtId="0" fontId="89" fillId="2" borderId="0" xfId="10" applyFont="1" applyFill="1" applyAlignment="1">
      <alignment horizontal="left" vertical="top"/>
    </xf>
    <xf numFmtId="0" fontId="89" fillId="2" borderId="0" xfId="10" applyFont="1" applyFill="1" applyAlignment="1">
      <alignment vertical="top"/>
    </xf>
    <xf numFmtId="0" fontId="89" fillId="2" borderId="0" xfId="10" applyFont="1" applyFill="1" applyAlignment="1">
      <alignment horizontal="left" vertical="top" wrapText="1"/>
    </xf>
    <xf numFmtId="0" fontId="6" fillId="2" borderId="0" xfId="10" applyFill="1" applyAlignment="1">
      <alignment horizontal="left" vertical="top" wrapText="1"/>
    </xf>
    <xf numFmtId="167" fontId="11" fillId="0" borderId="0" xfId="1" applyNumberFormat="1" applyFont="1"/>
    <xf numFmtId="167" fontId="11" fillId="0" borderId="0" xfId="1" applyNumberFormat="1" applyFill="1"/>
    <xf numFmtId="0" fontId="25" fillId="3" borderId="3" xfId="1" applyFont="1" applyFill="1" applyBorder="1"/>
    <xf numFmtId="0" fontId="11" fillId="3" borderId="4" xfId="1" applyFill="1" applyBorder="1"/>
    <xf numFmtId="0" fontId="11" fillId="3" borderId="5" xfId="1" applyFill="1" applyBorder="1"/>
    <xf numFmtId="0" fontId="60" fillId="3" borderId="6" xfId="1" applyFont="1" applyFill="1" applyBorder="1"/>
    <xf numFmtId="0" fontId="60" fillId="3" borderId="0" xfId="1" applyFont="1" applyFill="1" applyBorder="1"/>
    <xf numFmtId="0" fontId="60" fillId="3" borderId="7" xfId="1" applyFont="1" applyFill="1" applyBorder="1"/>
    <xf numFmtId="3" fontId="59" fillId="0" borderId="0" xfId="12" applyNumberFormat="1" applyFont="1" applyFill="1" applyAlignment="1">
      <alignment horizontal="right"/>
    </xf>
    <xf numFmtId="167" fontId="11" fillId="3" borderId="7" xfId="1" applyNumberFormat="1" applyFill="1" applyBorder="1"/>
    <xf numFmtId="170" fontId="59" fillId="0" borderId="0" xfId="12" applyNumberFormat="1" applyFont="1" applyFill="1" applyAlignment="1">
      <alignment horizontal="right"/>
    </xf>
    <xf numFmtId="167" fontId="59" fillId="0" borderId="0" xfId="12" applyNumberFormat="1" applyFont="1" applyFill="1" applyAlignment="1">
      <alignment horizontal="right"/>
    </xf>
    <xf numFmtId="169" fontId="11" fillId="3" borderId="7" xfId="1" applyNumberFormat="1" applyFill="1" applyBorder="1"/>
    <xf numFmtId="2" fontId="59" fillId="0" borderId="0" xfId="12" applyNumberFormat="1" applyFont="1" applyFill="1" applyAlignment="1">
      <alignment horizontal="right"/>
    </xf>
    <xf numFmtId="3" fontId="11" fillId="3" borderId="7" xfId="1" applyNumberFormat="1" applyFill="1" applyBorder="1"/>
    <xf numFmtId="3" fontId="11" fillId="0" borderId="0" xfId="1" applyNumberFormat="1"/>
    <xf numFmtId="0" fontId="28" fillId="3" borderId="6" xfId="1" applyFont="1" applyFill="1" applyBorder="1"/>
    <xf numFmtId="0" fontId="11" fillId="3" borderId="8" xfId="1" applyFont="1" applyFill="1" applyBorder="1"/>
    <xf numFmtId="0" fontId="59" fillId="0" borderId="0" xfId="12" applyFont="1" applyFill="1" applyBorder="1" applyAlignment="1">
      <alignment horizontal="left" vertical="center"/>
    </xf>
    <xf numFmtId="0" fontId="59" fillId="0" borderId="0" xfId="12" applyFont="1" applyFill="1" applyBorder="1" applyAlignment="1">
      <alignment horizontal="center" vertical="center"/>
    </xf>
    <xf numFmtId="3" fontId="59" fillId="0" borderId="0" xfId="12" applyNumberFormat="1" applyFont="1" applyFill="1" applyBorder="1" applyAlignment="1">
      <alignment horizontal="right" vertical="center"/>
    </xf>
    <xf numFmtId="2" fontId="59" fillId="0" borderId="0" xfId="12" applyNumberFormat="1" applyFont="1" applyFill="1" applyBorder="1" applyAlignment="1">
      <alignment horizontal="right" vertical="center"/>
    </xf>
    <xf numFmtId="170" fontId="59" fillId="0" borderId="0" xfId="12" applyNumberFormat="1" applyFont="1" applyFill="1" applyBorder="1" applyAlignment="1">
      <alignment horizontal="right" vertical="center"/>
    </xf>
    <xf numFmtId="169" fontId="59" fillId="0" borderId="0" xfId="12" applyNumberFormat="1" applyFont="1" applyFill="1" applyBorder="1" applyAlignment="1">
      <alignment horizontal="right" vertical="center"/>
    </xf>
    <xf numFmtId="0" fontId="11" fillId="0" borderId="0" xfId="1" applyFont="1" applyFill="1"/>
    <xf numFmtId="0" fontId="11" fillId="2" borderId="0" xfId="1" applyFill="1"/>
    <xf numFmtId="3" fontId="11" fillId="6" borderId="0" xfId="1" applyNumberFormat="1" applyFill="1"/>
    <xf numFmtId="0" fontId="93" fillId="3" borderId="0" xfId="1" applyFont="1" applyFill="1" applyBorder="1"/>
    <xf numFmtId="164" fontId="11" fillId="6" borderId="0" xfId="1" applyNumberFormat="1" applyFill="1"/>
    <xf numFmtId="0" fontId="0" fillId="6" borderId="0" xfId="0" applyFill="1" applyBorder="1"/>
    <xf numFmtId="0" fontId="16" fillId="0" borderId="3" xfId="1" applyFont="1" applyBorder="1"/>
    <xf numFmtId="0" fontId="11" fillId="0" borderId="5" xfId="1" applyBorder="1"/>
    <xf numFmtId="0" fontId="76" fillId="0" borderId="0" xfId="1" applyFont="1" applyBorder="1"/>
    <xf numFmtId="4" fontId="11" fillId="2" borderId="0" xfId="1" applyNumberFormat="1" applyFill="1" applyBorder="1"/>
    <xf numFmtId="0" fontId="11" fillId="0" borderId="7" xfId="1" applyBorder="1"/>
    <xf numFmtId="2" fontId="11" fillId="2" borderId="0" xfId="1" applyNumberFormat="1" applyFill="1" applyBorder="1"/>
    <xf numFmtId="169" fontId="11" fillId="2" borderId="0" xfId="1" applyNumberFormat="1" applyFill="1" applyBorder="1"/>
    <xf numFmtId="174" fontId="11" fillId="0" borderId="0" xfId="1" applyNumberFormat="1" applyBorder="1"/>
    <xf numFmtId="170" fontId="11" fillId="0" borderId="0" xfId="1" applyNumberFormat="1" applyBorder="1"/>
    <xf numFmtId="0" fontId="16" fillId="3" borderId="3" xfId="1" applyFont="1" applyFill="1" applyBorder="1"/>
    <xf numFmtId="164" fontId="11" fillId="3" borderId="7" xfId="1" applyNumberFormat="1" applyFill="1" applyBorder="1"/>
    <xf numFmtId="0" fontId="15" fillId="0" borderId="0" xfId="1" applyFont="1" applyBorder="1"/>
    <xf numFmtId="3" fontId="11" fillId="3" borderId="7" xfId="1" applyNumberFormat="1" applyFill="1" applyBorder="1" applyAlignment="1">
      <alignment horizontal="right"/>
    </xf>
    <xf numFmtId="164" fontId="93" fillId="3" borderId="0" xfId="1" applyNumberFormat="1" applyFont="1" applyFill="1" applyBorder="1"/>
    <xf numFmtId="167" fontId="15" fillId="0" borderId="0" xfId="1" applyNumberFormat="1" applyFont="1" applyFill="1" applyBorder="1"/>
    <xf numFmtId="0" fontId="11" fillId="0" borderId="8" xfId="1" applyFill="1" applyBorder="1"/>
    <xf numFmtId="0" fontId="11" fillId="0" borderId="9" xfId="1" applyFill="1" applyBorder="1"/>
    <xf numFmtId="0" fontId="11" fillId="0" borderId="10" xfId="1" applyBorder="1"/>
    <xf numFmtId="0" fontId="15" fillId="0" borderId="0" xfId="1" applyFont="1" applyFill="1"/>
    <xf numFmtId="167" fontId="15" fillId="0" borderId="0" xfId="1" applyNumberFormat="1" applyFont="1" applyFill="1"/>
    <xf numFmtId="0" fontId="11" fillId="0" borderId="4" xfId="1" applyFill="1" applyBorder="1"/>
    <xf numFmtId="169" fontId="11" fillId="3" borderId="0" xfId="1" applyNumberFormat="1" applyFill="1" applyBorder="1"/>
    <xf numFmtId="3" fontId="11" fillId="0" borderId="0" xfId="1" applyNumberFormat="1" applyBorder="1"/>
    <xf numFmtId="167" fontId="11" fillId="0" borderId="7" xfId="1" applyNumberFormat="1" applyBorder="1"/>
    <xf numFmtId="2" fontId="11" fillId="0" borderId="7" xfId="1" applyNumberFormat="1" applyBorder="1"/>
    <xf numFmtId="0" fontId="11" fillId="2" borderId="7" xfId="1" applyFill="1" applyBorder="1"/>
    <xf numFmtId="170" fontId="11" fillId="0" borderId="7" xfId="1" applyNumberFormat="1" applyBorder="1"/>
    <xf numFmtId="168" fontId="11" fillId="0" borderId="7" xfId="1" applyNumberFormat="1" applyBorder="1"/>
    <xf numFmtId="164" fontId="11" fillId="0" borderId="7" xfId="1" applyNumberFormat="1" applyBorder="1"/>
    <xf numFmtId="0" fontId="15" fillId="0" borderId="9" xfId="1" applyFont="1" applyBorder="1"/>
    <xf numFmtId="164" fontId="15" fillId="3" borderId="10" xfId="1" applyNumberFormat="1" applyFont="1" applyFill="1" applyBorder="1"/>
    <xf numFmtId="0" fontId="11" fillId="0" borderId="7" xfId="1" applyFont="1" applyBorder="1"/>
    <xf numFmtId="170" fontId="11" fillId="0" borderId="0" xfId="1" applyNumberFormat="1" applyBorder="1" applyAlignment="1">
      <alignment horizontal="right"/>
    </xf>
    <xf numFmtId="164" fontId="11" fillId="0" borderId="0" xfId="1" applyNumberFormat="1" applyBorder="1"/>
    <xf numFmtId="0" fontId="11" fillId="0" borderId="8" xfId="1" applyFont="1" applyBorder="1"/>
    <xf numFmtId="0" fontId="11" fillId="0" borderId="10" xfId="1" applyFont="1" applyBorder="1"/>
    <xf numFmtId="0" fontId="93" fillId="0" borderId="11" xfId="1" applyFont="1" applyBorder="1"/>
    <xf numFmtId="0" fontId="93" fillId="0" borderId="11" xfId="1" applyFont="1" applyFill="1" applyBorder="1"/>
    <xf numFmtId="0" fontId="16" fillId="5" borderId="3" xfId="1" applyFont="1" applyFill="1" applyBorder="1"/>
    <xf numFmtId="0" fontId="11" fillId="5" borderId="4" xfId="1" applyFont="1" applyFill="1" applyBorder="1"/>
    <xf numFmtId="0" fontId="11" fillId="3" borderId="4" xfId="1" applyFont="1" applyFill="1" applyBorder="1"/>
    <xf numFmtId="0" fontId="11" fillId="4" borderId="11" xfId="1" applyFont="1" applyFill="1" applyBorder="1" applyAlignment="1">
      <alignment horizontal="right"/>
    </xf>
    <xf numFmtId="2" fontId="11" fillId="0" borderId="11" xfId="1" applyNumberFormat="1" applyFont="1" applyFill="1" applyBorder="1" applyAlignment="1">
      <alignment horizontal="right"/>
    </xf>
    <xf numFmtId="0" fontId="11" fillId="5" borderId="6" xfId="1" applyFont="1" applyFill="1" applyBorder="1"/>
    <xf numFmtId="0" fontId="11" fillId="5" borderId="0" xfId="1" applyFont="1" applyFill="1" applyBorder="1"/>
    <xf numFmtId="0" fontId="28" fillId="0" borderId="11" xfId="1" applyFont="1" applyBorder="1"/>
    <xf numFmtId="2" fontId="11" fillId="4" borderId="11" xfId="1" applyNumberFormat="1" applyFont="1" applyFill="1" applyBorder="1"/>
    <xf numFmtId="0" fontId="60" fillId="5" borderId="6" xfId="1" applyFont="1" applyFill="1" applyBorder="1" applyAlignment="1">
      <alignment horizontal="right"/>
    </xf>
    <xf numFmtId="0" fontId="60" fillId="5" borderId="0" xfId="1" applyFont="1" applyFill="1" applyBorder="1"/>
    <xf numFmtId="0" fontId="60" fillId="5" borderId="0" xfId="1" applyFont="1" applyFill="1" applyBorder="1" applyAlignment="1">
      <alignment horizontal="center"/>
    </xf>
    <xf numFmtId="0" fontId="60" fillId="3" borderId="0" xfId="1" applyFont="1" applyFill="1" applyBorder="1" applyAlignment="1">
      <alignment horizontal="center"/>
    </xf>
    <xf numFmtId="167" fontId="60" fillId="5" borderId="0" xfId="1" applyNumberFormat="1" applyFont="1" applyFill="1" applyBorder="1"/>
    <xf numFmtId="3" fontId="60" fillId="5" borderId="7" xfId="1" applyNumberFormat="1" applyFont="1" applyFill="1" applyBorder="1" applyAlignment="1">
      <alignment horizontal="center"/>
    </xf>
    <xf numFmtId="0" fontId="11" fillId="5" borderId="0" xfId="1" applyFont="1" applyFill="1" applyBorder="1" applyAlignment="1">
      <alignment horizontal="right"/>
    </xf>
    <xf numFmtId="0" fontId="11" fillId="3" borderId="0" xfId="1" applyFill="1" applyBorder="1" applyAlignment="1">
      <alignment horizontal="right"/>
    </xf>
    <xf numFmtId="164" fontId="11" fillId="5" borderId="7" xfId="1" applyNumberFormat="1" applyFont="1" applyFill="1" applyBorder="1" applyAlignment="1">
      <alignment horizontal="center"/>
    </xf>
    <xf numFmtId="3" fontId="11" fillId="5" borderId="6" xfId="1" applyNumberFormat="1" applyFont="1" applyFill="1" applyBorder="1"/>
    <xf numFmtId="2" fontId="11" fillId="3" borderId="0" xfId="1" applyNumberFormat="1" applyFill="1" applyBorder="1"/>
    <xf numFmtId="2" fontId="15" fillId="0" borderId="0" xfId="1" applyNumberFormat="1" applyFont="1" applyBorder="1"/>
    <xf numFmtId="2" fontId="28" fillId="0" borderId="11" xfId="1" applyNumberFormat="1" applyFont="1" applyBorder="1"/>
    <xf numFmtId="170" fontId="11" fillId="5" borderId="0" xfId="1" applyNumberFormat="1" applyFont="1" applyFill="1" applyBorder="1" applyAlignment="1">
      <alignment horizontal="right"/>
    </xf>
    <xf numFmtId="170" fontId="15" fillId="3" borderId="0" xfId="1" applyNumberFormat="1" applyFont="1" applyFill="1" applyBorder="1"/>
    <xf numFmtId="165" fontId="11" fillId="5" borderId="7" xfId="1" applyNumberFormat="1" applyFont="1" applyFill="1" applyBorder="1" applyAlignment="1">
      <alignment horizontal="center"/>
    </xf>
    <xf numFmtId="166" fontId="11" fillId="5" borderId="0" xfId="1" applyNumberFormat="1" applyFont="1" applyFill="1" applyBorder="1" applyAlignment="1">
      <alignment horizontal="right"/>
    </xf>
    <xf numFmtId="169" fontId="15" fillId="3" borderId="0" xfId="1" applyNumberFormat="1" applyFont="1" applyFill="1" applyBorder="1"/>
    <xf numFmtId="170" fontId="11" fillId="5" borderId="7" xfId="1" applyNumberFormat="1" applyFont="1" applyFill="1" applyBorder="1" applyAlignment="1">
      <alignment horizontal="center"/>
    </xf>
    <xf numFmtId="0" fontId="11" fillId="5" borderId="8" xfId="1" applyFont="1" applyFill="1" applyBorder="1"/>
    <xf numFmtId="3" fontId="11" fillId="5" borderId="9" xfId="1" applyNumberFormat="1" applyFont="1" applyFill="1" applyBorder="1"/>
    <xf numFmtId="164" fontId="11" fillId="5" borderId="9" xfId="1" applyNumberFormat="1" applyFont="1" applyFill="1" applyBorder="1"/>
    <xf numFmtId="0" fontId="11" fillId="5" borderId="9" xfId="1" applyFont="1" applyFill="1" applyBorder="1"/>
    <xf numFmtId="9" fontId="11" fillId="3" borderId="9" xfId="4" applyFont="1" applyFill="1" applyBorder="1"/>
    <xf numFmtId="0" fontId="11" fillId="3" borderId="10" xfId="1" applyFill="1" applyBorder="1"/>
    <xf numFmtId="3" fontId="11" fillId="0" borderId="0" xfId="1" applyNumberFormat="1" applyFont="1" applyFill="1" applyBorder="1"/>
    <xf numFmtId="165" fontId="11" fillId="0" borderId="0" xfId="1" applyNumberFormat="1" applyFont="1" applyFill="1" applyBorder="1"/>
    <xf numFmtId="9" fontId="11" fillId="0" borderId="0" xfId="4" applyFont="1" applyFill="1" applyBorder="1"/>
    <xf numFmtId="0" fontId="96" fillId="0" borderId="0" xfId="1" applyFont="1" applyFill="1" applyBorder="1"/>
    <xf numFmtId="2" fontId="11" fillId="2" borderId="11" xfId="1" applyNumberFormat="1" applyFont="1" applyFill="1" applyBorder="1"/>
    <xf numFmtId="0" fontId="75" fillId="0" borderId="11" xfId="1" applyFont="1" applyBorder="1"/>
    <xf numFmtId="0" fontId="11" fillId="4" borderId="11" xfId="1" applyFont="1" applyFill="1" applyBorder="1"/>
    <xf numFmtId="170" fontId="11" fillId="2" borderId="11" xfId="1" applyNumberFormat="1" applyFont="1" applyFill="1" applyBorder="1"/>
    <xf numFmtId="0" fontId="11" fillId="0" borderId="23" xfId="1" applyFont="1" applyBorder="1"/>
    <xf numFmtId="0" fontId="11" fillId="0" borderId="23" xfId="1" applyBorder="1"/>
    <xf numFmtId="167" fontId="11" fillId="4" borderId="11" xfId="1" applyNumberFormat="1" applyFont="1" applyFill="1" applyBorder="1"/>
    <xf numFmtId="167" fontId="11" fillId="0" borderId="11" xfId="1" applyNumberFormat="1" applyFill="1" applyBorder="1"/>
    <xf numFmtId="0" fontId="16" fillId="3" borderId="23" xfId="1" applyFont="1" applyFill="1" applyBorder="1" applyAlignment="1">
      <alignment horizontal="center" vertical="center"/>
    </xf>
    <xf numFmtId="0" fontId="11" fillId="0" borderId="11" xfId="1" applyFont="1" applyBorder="1" applyAlignment="1">
      <alignment wrapText="1"/>
    </xf>
    <xf numFmtId="2" fontId="11" fillId="0" borderId="0" xfId="1" applyNumberFormat="1" applyFont="1" applyBorder="1"/>
    <xf numFmtId="169" fontId="11" fillId="0" borderId="11" xfId="1" applyNumberFormat="1" applyBorder="1"/>
    <xf numFmtId="0" fontId="11" fillId="0" borderId="11" xfId="1" applyFont="1" applyFill="1" applyBorder="1" applyAlignment="1">
      <alignment horizontal="right"/>
    </xf>
    <xf numFmtId="0" fontId="11" fillId="0" borderId="11" xfId="1" applyFont="1" applyBorder="1" applyAlignment="1">
      <alignment horizontal="right"/>
    </xf>
    <xf numFmtId="0" fontId="15" fillId="0" borderId="11" xfId="1" applyFont="1" applyBorder="1"/>
    <xf numFmtId="167" fontId="11" fillId="0" borderId="11" xfId="1" applyNumberFormat="1" applyFont="1" applyBorder="1"/>
    <xf numFmtId="2" fontId="11" fillId="4" borderId="24" xfId="1" applyNumberFormat="1" applyFont="1" applyFill="1" applyBorder="1"/>
    <xf numFmtId="170" fontId="11" fillId="0" borderId="11" xfId="1" applyNumberFormat="1" applyBorder="1"/>
    <xf numFmtId="169" fontId="11" fillId="0" borderId="0" xfId="1" applyNumberFormat="1" applyFill="1" applyBorder="1"/>
    <xf numFmtId="164" fontId="11" fillId="0" borderId="0" xfId="1" applyNumberFormat="1" applyFont="1"/>
    <xf numFmtId="0" fontId="28" fillId="0" borderId="11" xfId="1" applyFont="1" applyBorder="1" applyAlignment="1">
      <alignment horizontal="center"/>
    </xf>
    <xf numFmtId="0" fontId="11" fillId="0" borderId="11" xfId="1" applyBorder="1" applyAlignment="1">
      <alignment horizontal="center"/>
    </xf>
    <xf numFmtId="0" fontId="28" fillId="0" borderId="0" xfId="1" applyFont="1" applyBorder="1" applyAlignment="1">
      <alignment horizontal="center"/>
    </xf>
    <xf numFmtId="0" fontId="11" fillId="0" borderId="25" xfId="1" applyBorder="1"/>
    <xf numFmtId="170" fontId="11" fillId="0" borderId="25" xfId="1" applyNumberFormat="1" applyBorder="1"/>
    <xf numFmtId="167" fontId="11" fillId="0" borderId="11" xfId="1" applyNumberFormat="1" applyBorder="1"/>
    <xf numFmtId="0" fontId="11" fillId="7" borderId="11" xfId="1" applyFont="1" applyFill="1" applyBorder="1" applyAlignment="1">
      <alignment horizontal="right"/>
    </xf>
    <xf numFmtId="2" fontId="11" fillId="7" borderId="11" xfId="1" applyNumberFormat="1" applyFont="1" applyFill="1" applyBorder="1"/>
    <xf numFmtId="170" fontId="11" fillId="7" borderId="11" xfId="1" applyNumberFormat="1" applyFont="1" applyFill="1" applyBorder="1"/>
    <xf numFmtId="0" fontId="11" fillId="6" borderId="0" xfId="1" applyFill="1" applyBorder="1"/>
    <xf numFmtId="3" fontId="11" fillId="6" borderId="0" xfId="1" applyNumberFormat="1" applyFill="1" applyBorder="1"/>
    <xf numFmtId="170" fontId="11" fillId="6" borderId="0" xfId="1" applyNumberFormat="1" applyFill="1" applyBorder="1"/>
    <xf numFmtId="164" fontId="11" fillId="6" borderId="0" xfId="1" applyNumberFormat="1" applyFill="1" applyBorder="1"/>
    <xf numFmtId="176" fontId="11" fillId="6" borderId="0" xfId="1" applyNumberFormat="1" applyFill="1" applyBorder="1"/>
    <xf numFmtId="169" fontId="11" fillId="6" borderId="0" xfId="1" applyNumberFormat="1" applyFill="1" applyBorder="1"/>
    <xf numFmtId="166" fontId="11" fillId="6" borderId="0" xfId="1" applyNumberFormat="1" applyFill="1" applyBorder="1"/>
    <xf numFmtId="0" fontId="11" fillId="6" borderId="0" xfId="1" applyFill="1" applyBorder="1" applyAlignment="1">
      <alignment horizontal="right"/>
    </xf>
    <xf numFmtId="0" fontId="11" fillId="0" borderId="0" xfId="1" applyAlignment="1">
      <alignment horizontal="right"/>
    </xf>
    <xf numFmtId="0" fontId="11" fillId="0" borderId="0" xfId="1" applyFill="1" applyAlignment="1">
      <alignment wrapText="1"/>
    </xf>
    <xf numFmtId="0" fontId="11" fillId="0" borderId="0" xfId="1" applyAlignment="1">
      <alignment horizontal="center"/>
    </xf>
    <xf numFmtId="0" fontId="11" fillId="5" borderId="5" xfId="1" applyFont="1" applyFill="1" applyBorder="1"/>
    <xf numFmtId="0" fontId="12" fillId="0" borderId="0" xfId="1" applyFont="1" applyFill="1" applyBorder="1" applyAlignment="1">
      <alignment wrapText="1"/>
    </xf>
    <xf numFmtId="0" fontId="11" fillId="5" borderId="7" xfId="1" applyFont="1" applyFill="1" applyBorder="1" applyAlignment="1">
      <alignment horizontal="center"/>
    </xf>
    <xf numFmtId="2" fontId="11" fillId="0" borderId="0" xfId="1" applyNumberFormat="1" applyFont="1" applyAlignment="1">
      <alignment horizontal="right"/>
    </xf>
    <xf numFmtId="0" fontId="12" fillId="5" borderId="6" xfId="1" applyFont="1" applyFill="1" applyBorder="1"/>
    <xf numFmtId="0" fontId="12" fillId="5" borderId="0" xfId="1" applyFont="1" applyFill="1" applyBorder="1"/>
    <xf numFmtId="0" fontId="12" fillId="5" borderId="7" xfId="1" applyFont="1" applyFill="1" applyBorder="1" applyAlignment="1">
      <alignment horizontal="center"/>
    </xf>
    <xf numFmtId="3" fontId="11" fillId="5" borderId="0" xfId="1" applyNumberFormat="1" applyFont="1" applyFill="1" applyBorder="1"/>
    <xf numFmtId="170" fontId="11" fillId="5" borderId="7" xfId="1" applyNumberFormat="1" applyFont="1" applyFill="1" applyBorder="1"/>
    <xf numFmtId="2" fontId="11" fillId="0" borderId="0" xfId="1" applyNumberFormat="1" applyFill="1" applyAlignment="1">
      <alignment wrapText="1"/>
    </xf>
    <xf numFmtId="2" fontId="11" fillId="0" borderId="0" xfId="1" applyNumberFormat="1" applyFill="1"/>
    <xf numFmtId="2" fontId="11" fillId="0" borderId="0" xfId="1" applyNumberFormat="1" applyFont="1" applyFill="1" applyBorder="1" applyAlignment="1">
      <alignment wrapText="1"/>
    </xf>
    <xf numFmtId="164" fontId="11" fillId="2" borderId="0" xfId="1" applyNumberFormat="1" applyFill="1"/>
    <xf numFmtId="0" fontId="11" fillId="2" borderId="0" xfId="1" applyFont="1" applyFill="1" applyAlignment="1">
      <alignment horizontal="right"/>
    </xf>
    <xf numFmtId="0" fontId="11" fillId="5" borderId="7" xfId="1" applyFont="1" applyFill="1" applyBorder="1"/>
    <xf numFmtId="0" fontId="16" fillId="5" borderId="8" xfId="1" applyFont="1" applyFill="1" applyBorder="1"/>
    <xf numFmtId="170" fontId="16" fillId="5" borderId="10" xfId="1" applyNumberFormat="1" applyFont="1" applyFill="1" applyBorder="1" applyAlignment="1">
      <alignment horizontal="right"/>
    </xf>
    <xf numFmtId="0" fontId="11" fillId="0" borderId="0" xfId="1" applyFill="1" applyBorder="1" applyAlignment="1">
      <alignment horizontal="right" wrapText="1"/>
    </xf>
    <xf numFmtId="0" fontId="12" fillId="0" borderId="0" xfId="1" applyFont="1" applyFill="1" applyBorder="1" applyAlignment="1">
      <alignment vertical="top"/>
    </xf>
    <xf numFmtId="0" fontId="11" fillId="0" borderId="0" xfId="1" applyFill="1" applyAlignment="1">
      <alignment horizontal="left"/>
    </xf>
    <xf numFmtId="0" fontId="11" fillId="0" borderId="3" xfId="1" applyBorder="1"/>
    <xf numFmtId="0" fontId="11" fillId="0" borderId="4" xfId="1" applyFont="1" applyBorder="1" applyAlignment="1">
      <alignment horizontal="center"/>
    </xf>
    <xf numFmtId="0" fontId="11" fillId="0" borderId="4" xfId="1" applyFont="1" applyBorder="1" applyAlignment="1">
      <alignment horizontal="center" wrapText="1"/>
    </xf>
    <xf numFmtId="0" fontId="11" fillId="0" borderId="0" xfId="1" applyFont="1" applyBorder="1" applyAlignment="1">
      <alignment horizontal="center" wrapText="1"/>
    </xf>
    <xf numFmtId="0" fontId="11" fillId="0" borderId="0" xfId="1" applyFont="1" applyBorder="1" applyAlignment="1">
      <alignment horizontal="center"/>
    </xf>
    <xf numFmtId="0" fontId="11" fillId="0" borderId="7" xfId="1" applyFont="1" applyBorder="1" applyAlignment="1">
      <alignment horizontal="center"/>
    </xf>
    <xf numFmtId="0" fontId="12" fillId="0" borderId="0" xfId="1" applyFont="1" applyFill="1" applyBorder="1" applyAlignment="1">
      <alignment horizontal="center"/>
    </xf>
    <xf numFmtId="0" fontId="12" fillId="0" borderId="0" xfId="1" applyFont="1" applyFill="1" applyBorder="1" applyAlignment="1">
      <alignment horizontal="center" wrapText="1"/>
    </xf>
    <xf numFmtId="0" fontId="12" fillId="0" borderId="7" xfId="1" applyFont="1" applyFill="1" applyBorder="1" applyAlignment="1">
      <alignment horizontal="center"/>
    </xf>
    <xf numFmtId="0" fontId="11" fillId="0" borderId="0" xfId="1" applyFont="1" applyBorder="1" applyAlignment="1">
      <alignment horizontal="left"/>
    </xf>
    <xf numFmtId="1" fontId="11" fillId="0" borderId="0" xfId="1" applyNumberFormat="1" applyFill="1" applyBorder="1" applyAlignment="1">
      <alignment horizontal="right"/>
    </xf>
    <xf numFmtId="1" fontId="11" fillId="0" borderId="0" xfId="1" applyNumberFormat="1" applyFill="1" applyBorder="1" applyAlignment="1">
      <alignment horizontal="right" wrapText="1"/>
    </xf>
    <xf numFmtId="1" fontId="11" fillId="0" borderId="7" xfId="1" applyNumberFormat="1" applyFill="1" applyBorder="1" applyAlignment="1">
      <alignment horizontal="right"/>
    </xf>
    <xf numFmtId="167" fontId="11" fillId="0" borderId="7" xfId="1" applyNumberFormat="1" applyFill="1" applyBorder="1" applyAlignment="1">
      <alignment horizontal="right"/>
    </xf>
    <xf numFmtId="0" fontId="11" fillId="0" borderId="9" xfId="1" applyFont="1" applyBorder="1"/>
    <xf numFmtId="0" fontId="11" fillId="0" borderId="9" xfId="1" applyFont="1" applyBorder="1" applyAlignment="1">
      <alignment horizontal="left"/>
    </xf>
    <xf numFmtId="1" fontId="11" fillId="0" borderId="9" xfId="1" applyNumberFormat="1" applyFill="1" applyBorder="1" applyAlignment="1">
      <alignment horizontal="right"/>
    </xf>
    <xf numFmtId="1" fontId="11" fillId="0" borderId="9" xfId="1" applyNumberFormat="1" applyFill="1" applyBorder="1" applyAlignment="1">
      <alignment horizontal="right" wrapText="1"/>
    </xf>
    <xf numFmtId="1" fontId="11" fillId="0" borderId="10" xfId="1" applyNumberFormat="1" applyFill="1" applyBorder="1" applyAlignment="1">
      <alignment horizontal="right"/>
    </xf>
    <xf numFmtId="2" fontId="11" fillId="0" borderId="0" xfId="1" applyNumberFormat="1" applyFont="1"/>
    <xf numFmtId="2" fontId="28" fillId="0" borderId="0" xfId="1" applyNumberFormat="1" applyFont="1" applyBorder="1"/>
    <xf numFmtId="0" fontId="11" fillId="2" borderId="0" xfId="1" applyFont="1" applyFill="1"/>
    <xf numFmtId="167" fontId="11" fillId="0" borderId="0" xfId="1" applyNumberFormat="1" applyFont="1" applyBorder="1"/>
    <xf numFmtId="2" fontId="11" fillId="0" borderId="0" xfId="1" applyNumberFormat="1" applyFont="1" applyBorder="1" applyAlignment="1">
      <alignment horizontal="center"/>
    </xf>
    <xf numFmtId="0" fontId="11" fillId="4" borderId="0" xfId="1" applyFont="1" applyFill="1" applyBorder="1" applyAlignment="1">
      <alignment horizontal="center"/>
    </xf>
    <xf numFmtId="167" fontId="11" fillId="4" borderId="0" xfId="1" applyNumberFormat="1" applyFont="1" applyFill="1" applyBorder="1"/>
    <xf numFmtId="0" fontId="11" fillId="4" borderId="0" xfId="1" applyFont="1" applyFill="1" applyBorder="1"/>
    <xf numFmtId="0" fontId="11" fillId="3" borderId="5" xfId="1" applyFont="1" applyFill="1" applyBorder="1"/>
    <xf numFmtId="0" fontId="12" fillId="3" borderId="6" xfId="1" applyFont="1" applyFill="1" applyBorder="1"/>
    <xf numFmtId="0" fontId="12" fillId="3" borderId="0" xfId="1" applyFont="1" applyFill="1" applyBorder="1"/>
    <xf numFmtId="0" fontId="12" fillId="3" borderId="7" xfId="1" applyFont="1" applyFill="1" applyBorder="1" applyAlignment="1">
      <alignment horizontal="center"/>
    </xf>
    <xf numFmtId="2" fontId="11" fillId="3" borderId="7" xfId="1" applyNumberFormat="1" applyFont="1" applyFill="1" applyBorder="1"/>
    <xf numFmtId="0" fontId="15" fillId="0" borderId="0" xfId="1" applyFont="1" applyAlignment="1">
      <alignment horizontal="center"/>
    </xf>
    <xf numFmtId="3" fontId="15" fillId="3" borderId="7" xfId="1" applyNumberFormat="1" applyFont="1" applyFill="1" applyBorder="1"/>
    <xf numFmtId="2" fontId="11" fillId="3" borderId="10" xfId="1" applyNumberFormat="1" applyFont="1" applyFill="1" applyBorder="1"/>
    <xf numFmtId="167" fontId="11" fillId="0" borderId="0" xfId="1" applyNumberFormat="1" applyFont="1" applyFill="1"/>
    <xf numFmtId="4" fontId="11" fillId="0" borderId="0" xfId="1" applyNumberFormat="1" applyFont="1" applyBorder="1"/>
    <xf numFmtId="2" fontId="11" fillId="4" borderId="0" xfId="1" applyNumberFormat="1" applyFont="1" applyFill="1" applyBorder="1"/>
    <xf numFmtId="164" fontId="11" fillId="0" borderId="0" xfId="1" applyNumberFormat="1" applyFont="1" applyBorder="1"/>
    <xf numFmtId="0" fontId="28" fillId="0" borderId="0" xfId="1" applyFont="1" applyFill="1" applyBorder="1" applyAlignment="1">
      <alignment horizontal="right"/>
    </xf>
    <xf numFmtId="4" fontId="11" fillId="0" borderId="0" xfId="1" applyNumberFormat="1" applyFont="1" applyFill="1" applyBorder="1"/>
    <xf numFmtId="4" fontId="28" fillId="0" borderId="0" xfId="1" applyNumberFormat="1" applyFont="1" applyFill="1" applyBorder="1" applyAlignment="1">
      <alignment horizontal="right"/>
    </xf>
    <xf numFmtId="0" fontId="11" fillId="3" borderId="6" xfId="1" applyFont="1" applyFill="1" applyBorder="1" applyAlignment="1">
      <alignment horizontal="left"/>
    </xf>
    <xf numFmtId="2" fontId="11" fillId="3" borderId="0" xfId="1" applyNumberFormat="1" applyFont="1" applyFill="1" applyBorder="1" applyAlignment="1">
      <alignment horizontal="right"/>
    </xf>
    <xf numFmtId="0" fontId="11" fillId="3" borderId="7" xfId="1" applyFont="1" applyFill="1" applyBorder="1" applyAlignment="1">
      <alignment horizontal="centerContinuous"/>
    </xf>
    <xf numFmtId="170" fontId="11" fillId="3" borderId="0" xfId="1" applyNumberFormat="1" applyFont="1" applyFill="1" applyBorder="1" applyAlignment="1">
      <alignment horizontal="right"/>
    </xf>
    <xf numFmtId="0" fontId="15" fillId="3" borderId="7" xfId="1" applyFont="1" applyFill="1" applyBorder="1" applyAlignment="1">
      <alignment horizontal="centerContinuous"/>
    </xf>
    <xf numFmtId="3" fontId="11" fillId="3" borderId="0" xfId="1" applyNumberFormat="1" applyFont="1" applyFill="1" applyBorder="1"/>
    <xf numFmtId="0" fontId="15" fillId="3" borderId="8" xfId="1" applyFont="1" applyFill="1" applyBorder="1"/>
    <xf numFmtId="0" fontId="15" fillId="3" borderId="9" xfId="1" applyFont="1" applyFill="1" applyBorder="1"/>
    <xf numFmtId="3" fontId="15" fillId="3" borderId="9" xfId="1" applyNumberFormat="1" applyFont="1" applyFill="1" applyBorder="1"/>
    <xf numFmtId="0" fontId="16" fillId="0" borderId="0" xfId="1" applyFont="1"/>
    <xf numFmtId="0" fontId="11" fillId="0" borderId="0" xfId="1" applyFont="1" applyFill="1" applyBorder="1" applyAlignment="1">
      <alignment horizontal="center"/>
    </xf>
    <xf numFmtId="11" fontId="11" fillId="0" borderId="0" xfId="1" applyNumberFormat="1" applyFont="1" applyFill="1" applyBorder="1"/>
    <xf numFmtId="48" fontId="11" fillId="0" borderId="0" xfId="1" applyNumberFormat="1" applyFont="1" applyFill="1" applyBorder="1"/>
    <xf numFmtId="0" fontId="15" fillId="3" borderId="4" xfId="1" applyFont="1" applyFill="1" applyBorder="1" applyAlignment="1">
      <alignment horizontal="center"/>
    </xf>
    <xf numFmtId="0" fontId="15" fillId="3" borderId="5" xfId="1" applyFont="1" applyFill="1" applyBorder="1" applyAlignment="1">
      <alignment horizontal="center"/>
    </xf>
    <xf numFmtId="0" fontId="25" fillId="0" borderId="0" xfId="1" applyFont="1"/>
    <xf numFmtId="0" fontId="32" fillId="0" borderId="0" xfId="1" applyFont="1" applyFill="1" applyBorder="1"/>
    <xf numFmtId="0" fontId="60" fillId="3" borderId="7" xfId="1" applyFont="1" applyFill="1" applyBorder="1" applyAlignment="1">
      <alignment horizontal="center"/>
    </xf>
    <xf numFmtId="0" fontId="11" fillId="3" borderId="0" xfId="1" applyFill="1" applyBorder="1" applyAlignment="1">
      <alignment horizontal="center"/>
    </xf>
    <xf numFmtId="0" fontId="11" fillId="3" borderId="7" xfId="1" applyFill="1" applyBorder="1" applyAlignment="1">
      <alignment horizontal="center"/>
    </xf>
    <xf numFmtId="0" fontId="12" fillId="0" borderId="0" xfId="1" applyFont="1" applyFill="1" applyBorder="1" applyAlignment="1">
      <alignment horizontal="left"/>
    </xf>
    <xf numFmtId="170" fontId="11" fillId="3" borderId="0" xfId="1" applyNumberFormat="1" applyFill="1" applyBorder="1" applyAlignment="1">
      <alignment horizontal="center"/>
    </xf>
    <xf numFmtId="170" fontId="11" fillId="3" borderId="7" xfId="1" applyNumberFormat="1" applyFill="1" applyBorder="1" applyAlignment="1">
      <alignment horizontal="center"/>
    </xf>
    <xf numFmtId="1" fontId="11" fillId="3" borderId="0" xfId="1" applyNumberFormat="1" applyFont="1" applyFill="1" applyBorder="1" applyAlignment="1">
      <alignment horizontal="center"/>
    </xf>
    <xf numFmtId="3" fontId="11" fillId="3" borderId="0" xfId="1" applyNumberFormat="1" applyFill="1" applyBorder="1" applyAlignment="1">
      <alignment horizontal="center"/>
    </xf>
    <xf numFmtId="3" fontId="11" fillId="3" borderId="0" xfId="1" applyNumberFormat="1" applyFont="1" applyFill="1" applyBorder="1" applyAlignment="1">
      <alignment horizontal="center"/>
    </xf>
    <xf numFmtId="3" fontId="11" fillId="3" borderId="7" xfId="1" applyNumberFormat="1" applyFont="1" applyFill="1" applyBorder="1" applyAlignment="1">
      <alignment horizontal="center"/>
    </xf>
    <xf numFmtId="0" fontId="11" fillId="3" borderId="0" xfId="1" applyFont="1" applyFill="1" applyBorder="1" applyAlignment="1">
      <alignment horizontal="center"/>
    </xf>
    <xf numFmtId="0" fontId="11" fillId="3" borderId="7" xfId="1" applyFont="1" applyFill="1" applyBorder="1" applyAlignment="1">
      <alignment horizontal="center"/>
    </xf>
    <xf numFmtId="1" fontId="11" fillId="3" borderId="7" xfId="1" applyNumberFormat="1" applyFill="1" applyBorder="1" applyAlignment="1">
      <alignment horizontal="center"/>
    </xf>
    <xf numFmtId="167" fontId="11" fillId="3" borderId="7" xfId="1" applyNumberFormat="1" applyFill="1" applyBorder="1" applyAlignment="1">
      <alignment horizontal="center"/>
    </xf>
    <xf numFmtId="0" fontId="11" fillId="3" borderId="9" xfId="1" applyFont="1" applyFill="1" applyBorder="1" applyAlignment="1">
      <alignment horizontal="center"/>
    </xf>
    <xf numFmtId="0" fontId="11" fillId="3" borderId="10" xfId="1" applyFill="1" applyBorder="1" applyAlignment="1">
      <alignment horizontal="center"/>
    </xf>
    <xf numFmtId="173" fontId="12" fillId="0" borderId="0" xfId="1" applyNumberFormat="1" applyFont="1" applyFill="1" applyBorder="1" applyAlignment="1">
      <alignment horizontal="left"/>
    </xf>
    <xf numFmtId="0" fontId="11" fillId="4" borderId="0" xfId="1" applyFont="1" applyFill="1" applyBorder="1" applyAlignment="1">
      <alignment horizontal="right"/>
    </xf>
    <xf numFmtId="1" fontId="11" fillId="0" borderId="0" xfId="4" applyNumberFormat="1" applyFont="1" applyFill="1" applyBorder="1" applyAlignment="1">
      <alignment horizontal="left"/>
    </xf>
    <xf numFmtId="3" fontId="11" fillId="0" borderId="0" xfId="1" applyNumberFormat="1" applyFill="1" applyBorder="1" applyAlignment="1">
      <alignment horizontal="left"/>
    </xf>
    <xf numFmtId="0" fontId="28" fillId="0" borderId="0" xfId="1" applyFont="1" applyFill="1" applyBorder="1" applyAlignment="1">
      <alignment horizontal="left"/>
    </xf>
    <xf numFmtId="165" fontId="11" fillId="0" borderId="0" xfId="1" applyNumberFormat="1" applyFill="1" applyBorder="1" applyAlignment="1">
      <alignment horizontal="left"/>
    </xf>
    <xf numFmtId="167" fontId="11" fillId="0" borderId="0" xfId="1" applyNumberFormat="1" applyFont="1" applyFill="1" applyBorder="1" applyAlignment="1">
      <alignment horizontal="left"/>
    </xf>
    <xf numFmtId="170" fontId="11" fillId="0" borderId="7" xfId="1" applyNumberFormat="1" applyFont="1" applyFill="1" applyBorder="1"/>
    <xf numFmtId="170" fontId="11" fillId="0" borderId="0" xfId="1" applyNumberFormat="1" applyFill="1" applyBorder="1" applyAlignment="1">
      <alignment horizontal="left"/>
    </xf>
    <xf numFmtId="169" fontId="11" fillId="0" borderId="0" xfId="1" applyNumberFormat="1" applyFill="1" applyBorder="1" applyAlignment="1">
      <alignment horizontal="left"/>
    </xf>
    <xf numFmtId="170" fontId="15" fillId="0" borderId="0" xfId="1" applyNumberFormat="1" applyFont="1" applyFill="1" applyBorder="1" applyAlignment="1">
      <alignment horizontal="left"/>
    </xf>
    <xf numFmtId="0" fontId="11" fillId="0" borderId="7" xfId="1" applyFont="1" applyFill="1" applyBorder="1"/>
    <xf numFmtId="0" fontId="11" fillId="0" borderId="0" xfId="1" applyFill="1" applyBorder="1" applyAlignment="1">
      <alignment horizontal="left"/>
    </xf>
    <xf numFmtId="0" fontId="11" fillId="0" borderId="8" xfId="1" applyFont="1" applyFill="1" applyBorder="1"/>
    <xf numFmtId="0" fontId="11" fillId="0" borderId="9" xfId="1" applyFont="1" applyFill="1" applyBorder="1"/>
    <xf numFmtId="2" fontId="11" fillId="4" borderId="0" xfId="4" applyNumberFormat="1" applyFont="1" applyFill="1" applyBorder="1" applyAlignment="1">
      <alignment horizontal="right"/>
    </xf>
    <xf numFmtId="2" fontId="11" fillId="0" borderId="0" xfId="4" applyNumberFormat="1" applyFont="1" applyFill="1" applyBorder="1" applyAlignment="1">
      <alignment horizontal="right"/>
    </xf>
    <xf numFmtId="2" fontId="0" fillId="0" borderId="0" xfId="4" applyNumberFormat="1" applyFont="1" applyFill="1" applyBorder="1" applyAlignment="1">
      <alignment horizontal="left"/>
    </xf>
    <xf numFmtId="170" fontId="0" fillId="0" borderId="0" xfId="4" applyNumberFormat="1" applyFont="1" applyFill="1" applyBorder="1" applyAlignment="1">
      <alignment horizontal="left"/>
    </xf>
    <xf numFmtId="171" fontId="11" fillId="0" borderId="0" xfId="1" applyNumberFormat="1" applyFont="1" applyFill="1" applyBorder="1"/>
    <xf numFmtId="171" fontId="11" fillId="0" borderId="0" xfId="1" applyNumberFormat="1" applyFill="1" applyBorder="1" applyAlignment="1">
      <alignment horizontal="left"/>
    </xf>
    <xf numFmtId="167" fontId="11" fillId="0" borderId="0" xfId="1" applyNumberFormat="1" applyFont="1" applyFill="1" applyBorder="1" applyAlignment="1">
      <alignment horizontal="right"/>
    </xf>
    <xf numFmtId="2" fontId="11" fillId="0" borderId="0" xfId="1" applyNumberFormat="1" applyFont="1" applyFill="1" applyBorder="1" applyAlignment="1">
      <alignment horizontal="left"/>
    </xf>
    <xf numFmtId="1" fontId="11" fillId="0" borderId="0" xfId="1" applyNumberFormat="1"/>
    <xf numFmtId="3" fontId="11" fillId="3" borderId="0" xfId="1" applyNumberFormat="1" applyFill="1" applyBorder="1"/>
    <xf numFmtId="0" fontId="12" fillId="3" borderId="7" xfId="15" applyFont="1" applyFill="1" applyBorder="1"/>
    <xf numFmtId="165" fontId="11" fillId="4" borderId="11" xfId="1" applyNumberFormat="1" applyFont="1" applyFill="1" applyBorder="1"/>
    <xf numFmtId="165" fontId="11" fillId="2" borderId="11" xfId="1" applyNumberFormat="1" applyFont="1" applyFill="1" applyBorder="1"/>
    <xf numFmtId="169" fontId="15" fillId="2" borderId="20" xfId="1" applyNumberFormat="1" applyFont="1" applyFill="1" applyBorder="1"/>
    <xf numFmtId="175" fontId="11" fillId="3" borderId="0" xfId="4" applyNumberFormat="1" applyFont="1" applyFill="1" applyBorder="1"/>
    <xf numFmtId="0" fontId="15" fillId="3" borderId="0" xfId="1" applyFont="1" applyFill="1" applyBorder="1"/>
    <xf numFmtId="166" fontId="11" fillId="0" borderId="11" xfId="1" applyNumberFormat="1" applyFont="1" applyFill="1" applyBorder="1"/>
    <xf numFmtId="166" fontId="11" fillId="0" borderId="11" xfId="1" applyNumberFormat="1" applyFont="1" applyFill="1" applyBorder="1" applyAlignment="1">
      <alignment horizontal="right"/>
    </xf>
    <xf numFmtId="2" fontId="28" fillId="0" borderId="11" xfId="1" applyNumberFormat="1" applyFont="1" applyFill="1" applyBorder="1"/>
    <xf numFmtId="4" fontId="11" fillId="0" borderId="11" xfId="1" applyNumberFormat="1" applyFont="1" applyFill="1" applyBorder="1"/>
    <xf numFmtId="167" fontId="11" fillId="3" borderId="0" xfId="1" applyNumberFormat="1" applyFill="1" applyBorder="1"/>
    <xf numFmtId="0" fontId="11" fillId="0" borderId="11" xfId="1" applyFont="1" applyFill="1" applyBorder="1" applyAlignment="1">
      <alignment horizontal="left"/>
    </xf>
    <xf numFmtId="167" fontId="11" fillId="3" borderId="9" xfId="1" applyNumberFormat="1" applyFill="1" applyBorder="1"/>
    <xf numFmtId="0" fontId="11" fillId="3" borderId="10" xfId="1" applyFont="1" applyFill="1" applyBorder="1"/>
    <xf numFmtId="0" fontId="11" fillId="2" borderId="11" xfId="1" applyFont="1" applyFill="1" applyBorder="1"/>
    <xf numFmtId="0" fontId="11" fillId="0" borderId="0" xfId="1" applyFill="1" applyBorder="1" applyAlignment="1">
      <alignment wrapText="1"/>
    </xf>
    <xf numFmtId="0" fontId="12" fillId="0" borderId="0" xfId="15" applyFont="1" applyFill="1" applyBorder="1"/>
    <xf numFmtId="168" fontId="11" fillId="0" borderId="11" xfId="15" applyNumberFormat="1" applyFont="1" applyFill="1" applyBorder="1"/>
    <xf numFmtId="0" fontId="11" fillId="0" borderId="0" xfId="15" applyFont="1" applyFill="1" applyBorder="1"/>
    <xf numFmtId="0" fontId="15" fillId="0" borderId="3" xfId="1" applyFont="1" applyFill="1" applyBorder="1" applyAlignment="1">
      <alignment wrapText="1"/>
    </xf>
    <xf numFmtId="3" fontId="11" fillId="0" borderId="4" xfId="1" applyNumberFormat="1" applyFont="1" applyFill="1" applyBorder="1"/>
    <xf numFmtId="0" fontId="11" fillId="0" borderId="4" xfId="1" applyFont="1" applyFill="1" applyBorder="1" applyAlignment="1">
      <alignment horizontal="center"/>
    </xf>
    <xf numFmtId="0" fontId="11" fillId="0" borderId="5" xfId="1" applyFont="1" applyFill="1" applyBorder="1"/>
    <xf numFmtId="0" fontId="11" fillId="0" borderId="6" xfId="1" applyBorder="1" applyAlignment="1">
      <alignment horizontal="right" wrapText="1"/>
    </xf>
    <xf numFmtId="0" fontId="28" fillId="0" borderId="0" xfId="15" applyFont="1" applyFill="1" applyBorder="1"/>
    <xf numFmtId="169" fontId="11" fillId="0" borderId="0" xfId="15" applyNumberFormat="1" applyFont="1" applyFill="1" applyBorder="1"/>
    <xf numFmtId="0" fontId="11" fillId="0" borderId="6" xfId="1" applyBorder="1" applyAlignment="1">
      <alignment wrapText="1"/>
    </xf>
    <xf numFmtId="2" fontId="11" fillId="0" borderId="0" xfId="1" applyNumberFormat="1" applyFont="1" applyFill="1" applyBorder="1" applyAlignment="1">
      <alignment horizontal="center"/>
    </xf>
    <xf numFmtId="0" fontId="11" fillId="0" borderId="7" xfId="1" applyFill="1" applyBorder="1"/>
    <xf numFmtId="164" fontId="11" fillId="2" borderId="0" xfId="1" applyNumberFormat="1" applyFont="1" applyFill="1" applyBorder="1"/>
    <xf numFmtId="3" fontId="11" fillId="0" borderId="7" xfId="1" applyNumberFormat="1" applyFill="1" applyBorder="1"/>
    <xf numFmtId="167" fontId="11" fillId="0" borderId="0" xfId="15" applyNumberFormat="1" applyFont="1" applyFill="1" applyBorder="1"/>
    <xf numFmtId="0" fontId="28" fillId="0" borderId="6" xfId="1" applyFont="1" applyFill="1" applyBorder="1" applyAlignment="1">
      <alignment horizontal="right" wrapText="1"/>
    </xf>
    <xf numFmtId="165" fontId="15" fillId="3" borderId="0" xfId="1" applyNumberFormat="1" applyFont="1" applyFill="1" applyBorder="1"/>
    <xf numFmtId="169" fontId="11" fillId="2" borderId="0" xfId="1" applyNumberFormat="1" applyFont="1" applyFill="1" applyBorder="1"/>
    <xf numFmtId="0" fontId="15" fillId="0" borderId="6" xfId="1" applyFont="1" applyBorder="1" applyAlignment="1">
      <alignment wrapText="1"/>
    </xf>
    <xf numFmtId="169" fontId="11" fillId="0" borderId="0" xfId="1" applyNumberFormat="1" applyBorder="1" applyAlignment="1">
      <alignment horizontal="left"/>
    </xf>
    <xf numFmtId="166" fontId="11" fillId="0" borderId="0" xfId="1" applyNumberFormat="1" applyBorder="1" applyAlignment="1">
      <alignment horizontal="left"/>
    </xf>
    <xf numFmtId="175" fontId="15" fillId="3" borderId="0" xfId="4" applyNumberFormat="1" applyFont="1" applyFill="1" applyBorder="1"/>
    <xf numFmtId="167" fontId="11" fillId="0" borderId="0" xfId="4" applyNumberFormat="1" applyFont="1" applyBorder="1"/>
    <xf numFmtId="167" fontId="11" fillId="0" borderId="0" xfId="1" applyNumberFormat="1" applyBorder="1" applyAlignment="1">
      <alignment wrapText="1"/>
    </xf>
    <xf numFmtId="0" fontId="12" fillId="0" borderId="6" xfId="1" applyFont="1" applyBorder="1" applyAlignment="1">
      <alignment wrapText="1"/>
    </xf>
    <xf numFmtId="167" fontId="12" fillId="0" borderId="0" xfId="1" applyNumberFormat="1" applyFont="1" applyBorder="1"/>
    <xf numFmtId="0" fontId="12" fillId="0" borderId="7" xfId="1" applyFont="1" applyBorder="1"/>
    <xf numFmtId="169" fontId="15" fillId="3" borderId="8" xfId="1" applyNumberFormat="1" applyFont="1" applyFill="1" applyBorder="1" applyAlignment="1">
      <alignment wrapText="1"/>
    </xf>
    <xf numFmtId="169" fontId="15" fillId="3" borderId="9" xfId="1" applyNumberFormat="1" applyFont="1" applyFill="1" applyBorder="1"/>
    <xf numFmtId="9" fontId="15" fillId="3" borderId="9" xfId="4" applyFont="1" applyFill="1" applyBorder="1"/>
    <xf numFmtId="164" fontId="15" fillId="3" borderId="9" xfId="1" applyNumberFormat="1" applyFont="1" applyFill="1" applyBorder="1"/>
    <xf numFmtId="169" fontId="15" fillId="3" borderId="10" xfId="1" applyNumberFormat="1" applyFont="1" applyFill="1" applyBorder="1"/>
    <xf numFmtId="0" fontId="11" fillId="0" borderId="0" xfId="1" applyBorder="1" applyAlignment="1">
      <alignment wrapText="1"/>
    </xf>
    <xf numFmtId="0" fontId="15" fillId="0" borderId="3" xfId="1" applyFont="1" applyBorder="1" applyAlignment="1"/>
    <xf numFmtId="167" fontId="11" fillId="0" borderId="4" xfId="1" applyNumberFormat="1" applyBorder="1"/>
    <xf numFmtId="0" fontId="11" fillId="0" borderId="5" xfId="1" applyFill="1" applyBorder="1"/>
    <xf numFmtId="0" fontId="11" fillId="0" borderId="6" xfId="1" applyBorder="1" applyAlignment="1"/>
    <xf numFmtId="169" fontId="11" fillId="2" borderId="6" xfId="1" applyNumberFormat="1" applyFill="1" applyBorder="1" applyAlignment="1">
      <alignment wrapText="1"/>
    </xf>
    <xf numFmtId="0" fontId="16" fillId="0" borderId="3" xfId="1" applyFont="1" applyBorder="1" applyAlignment="1"/>
    <xf numFmtId="0" fontId="11" fillId="0" borderId="21" xfId="1" applyFont="1" applyBorder="1" applyAlignment="1">
      <alignment wrapText="1"/>
    </xf>
    <xf numFmtId="0" fontId="11" fillId="0" borderId="11" xfId="1" applyFont="1" applyBorder="1" applyAlignment="1">
      <alignment horizontal="left"/>
    </xf>
    <xf numFmtId="165" fontId="11" fillId="0" borderId="11" xfId="1" applyNumberFormat="1" applyFill="1" applyBorder="1"/>
    <xf numFmtId="0" fontId="11" fillId="0" borderId="21" xfId="1" applyBorder="1" applyAlignment="1">
      <alignment wrapText="1"/>
    </xf>
    <xf numFmtId="0" fontId="11" fillId="0" borderId="21" xfId="1" applyFont="1" applyFill="1" applyBorder="1" applyAlignment="1">
      <alignment wrapText="1"/>
    </xf>
    <xf numFmtId="4" fontId="11" fillId="0" borderId="11" xfId="1" applyNumberFormat="1" applyFill="1" applyBorder="1"/>
    <xf numFmtId="0" fontId="11" fillId="0" borderId="21" xfId="1" applyFill="1" applyBorder="1" applyAlignment="1">
      <alignment wrapText="1"/>
    </xf>
    <xf numFmtId="169" fontId="11" fillId="0" borderId="11" xfId="1" applyNumberFormat="1" applyFill="1" applyBorder="1"/>
    <xf numFmtId="169" fontId="11" fillId="2" borderId="11" xfId="1" applyNumberFormat="1" applyFill="1" applyBorder="1"/>
    <xf numFmtId="2" fontId="16" fillId="3" borderId="1" xfId="1" applyNumberFormat="1" applyFont="1" applyFill="1" applyBorder="1"/>
    <xf numFmtId="0" fontId="16" fillId="3" borderId="2" xfId="1" applyFont="1" applyFill="1" applyBorder="1"/>
    <xf numFmtId="0" fontId="11" fillId="3" borderId="2" xfId="1" applyFill="1" applyBorder="1"/>
    <xf numFmtId="0" fontId="11" fillId="0" borderId="8" xfId="1" applyBorder="1" applyAlignment="1">
      <alignment wrapText="1"/>
    </xf>
    <xf numFmtId="0" fontId="15" fillId="0" borderId="4" xfId="1" applyFont="1" applyBorder="1"/>
    <xf numFmtId="0" fontId="11" fillId="0" borderId="4" xfId="1" applyBorder="1" applyAlignment="1">
      <alignment horizontal="center"/>
    </xf>
    <xf numFmtId="0" fontId="11" fillId="0" borderId="4" xfId="1" applyFill="1" applyBorder="1" applyAlignment="1">
      <alignment horizontal="center"/>
    </xf>
    <xf numFmtId="0" fontId="11" fillId="0" borderId="0" xfId="1" applyFill="1" applyBorder="1" applyAlignment="1">
      <alignment horizontal="center"/>
    </xf>
    <xf numFmtId="4" fontId="11" fillId="0" borderId="11" xfId="1" applyNumberFormat="1" applyBorder="1"/>
    <xf numFmtId="4" fontId="11" fillId="0" borderId="0" xfId="1" applyNumberFormat="1" applyFill="1" applyBorder="1"/>
    <xf numFmtId="0" fontId="15" fillId="0" borderId="21" xfId="1" applyFont="1" applyBorder="1" applyAlignment="1">
      <alignment wrapText="1"/>
    </xf>
    <xf numFmtId="178" fontId="11" fillId="0" borderId="7" xfId="1" applyNumberFormat="1" applyBorder="1"/>
    <xf numFmtId="169" fontId="15" fillId="0" borderId="0" xfId="1" applyNumberFormat="1" applyFont="1" applyFill="1" applyBorder="1"/>
    <xf numFmtId="169" fontId="16" fillId="3" borderId="1" xfId="1" applyNumberFormat="1" applyFont="1" applyFill="1" applyBorder="1"/>
    <xf numFmtId="169" fontId="16" fillId="3" borderId="2" xfId="1" applyNumberFormat="1" applyFont="1" applyFill="1" applyBorder="1"/>
    <xf numFmtId="169" fontId="11" fillId="0" borderId="0" xfId="1" applyNumberFormat="1" applyFont="1" applyBorder="1"/>
    <xf numFmtId="0" fontId="11" fillId="0" borderId="6" xfId="1" applyFont="1" applyBorder="1" applyAlignment="1">
      <alignment wrapText="1"/>
    </xf>
    <xf numFmtId="0" fontId="15" fillId="0" borderId="6" xfId="1" applyFont="1" applyBorder="1" applyAlignment="1"/>
    <xf numFmtId="167" fontId="11" fillId="0" borderId="9" xfId="1" applyNumberFormat="1" applyBorder="1"/>
    <xf numFmtId="0" fontId="16" fillId="0" borderId="3" xfId="1" applyFont="1" applyBorder="1" applyAlignment="1">
      <alignment wrapText="1"/>
    </xf>
    <xf numFmtId="0" fontId="11" fillId="0" borderId="21" xfId="1" applyFont="1" applyFill="1" applyBorder="1" applyAlignment="1">
      <alignment horizontal="right" wrapText="1"/>
    </xf>
    <xf numFmtId="0" fontId="11" fillId="0" borderId="25" xfId="1" applyFont="1" applyFill="1" applyBorder="1"/>
    <xf numFmtId="169" fontId="11" fillId="0" borderId="26" xfId="1" applyNumberFormat="1" applyFont="1" applyFill="1" applyBorder="1" applyAlignment="1">
      <alignment wrapText="1"/>
    </xf>
    <xf numFmtId="170" fontId="11" fillId="0" borderId="27" xfId="1" applyNumberFormat="1" applyFont="1" applyFill="1" applyBorder="1"/>
    <xf numFmtId="169" fontId="11" fillId="0" borderId="28" xfId="1" applyNumberFormat="1" applyFont="1" applyFill="1" applyBorder="1" applyAlignment="1">
      <alignment wrapText="1"/>
    </xf>
    <xf numFmtId="170" fontId="11" fillId="0" borderId="29" xfId="1" applyNumberFormat="1" applyFont="1" applyFill="1" applyBorder="1"/>
    <xf numFmtId="0" fontId="11" fillId="0" borderId="21" xfId="1" applyFont="1" applyFill="1" applyBorder="1" applyAlignment="1">
      <alignment horizontal="right"/>
    </xf>
    <xf numFmtId="0" fontId="11" fillId="0" borderId="21" xfId="1" applyFont="1" applyFill="1" applyBorder="1"/>
    <xf numFmtId="170" fontId="11" fillId="0" borderId="25" xfId="1" applyNumberFormat="1" applyFont="1" applyFill="1" applyBorder="1"/>
    <xf numFmtId="0" fontId="11" fillId="0" borderId="30" xfId="1" applyFont="1" applyFill="1" applyBorder="1"/>
    <xf numFmtId="170" fontId="11" fillId="0" borderId="21" xfId="1" applyNumberFormat="1" applyBorder="1"/>
    <xf numFmtId="0" fontId="11" fillId="0" borderId="3" xfId="1" applyFont="1" applyBorder="1"/>
    <xf numFmtId="0" fontId="11" fillId="0" borderId="6" xfId="1" applyFont="1" applyBorder="1" applyAlignment="1">
      <alignment horizontal="right"/>
    </xf>
    <xf numFmtId="9" fontId="11" fillId="0" borderId="0" xfId="1" applyNumberFormat="1" applyBorder="1"/>
    <xf numFmtId="0" fontId="16" fillId="0" borderId="3" xfId="1" applyFont="1" applyFill="1" applyBorder="1" applyAlignment="1">
      <alignment wrapText="1"/>
    </xf>
    <xf numFmtId="0" fontId="11" fillId="0" borderId="3" xfId="1" applyFont="1" applyFill="1" applyBorder="1" applyAlignment="1">
      <alignment wrapText="1"/>
    </xf>
    <xf numFmtId="0" fontId="11" fillId="0" borderId="25" xfId="1" applyFont="1" applyFill="1" applyBorder="1" applyAlignment="1">
      <alignment horizontal="right"/>
    </xf>
    <xf numFmtId="169" fontId="11" fillId="0" borderId="21" xfId="1" applyNumberFormat="1" applyFont="1" applyFill="1" applyBorder="1" applyAlignment="1">
      <alignment wrapText="1"/>
    </xf>
    <xf numFmtId="174" fontId="11" fillId="0" borderId="11" xfId="1" applyNumberFormat="1" applyFont="1" applyFill="1" applyBorder="1"/>
    <xf numFmtId="169" fontId="11" fillId="0" borderId="21" xfId="1" applyNumberFormat="1" applyFont="1" applyFill="1" applyBorder="1"/>
    <xf numFmtId="174" fontId="11" fillId="0" borderId="25" xfId="1" applyNumberFormat="1" applyFont="1" applyFill="1" applyBorder="1"/>
    <xf numFmtId="169" fontId="11" fillId="0" borderId="30" xfId="1" applyNumberFormat="1" applyFont="1" applyFill="1" applyBorder="1"/>
    <xf numFmtId="169" fontId="15" fillId="0" borderId="6" xfId="1" applyNumberFormat="1" applyFont="1" applyFill="1" applyBorder="1"/>
    <xf numFmtId="169" fontId="11" fillId="0" borderId="31" xfId="1" applyNumberFormat="1" applyFont="1" applyFill="1" applyBorder="1"/>
    <xf numFmtId="174" fontId="11" fillId="0" borderId="32" xfId="1" applyNumberFormat="1" applyFont="1" applyFill="1" applyBorder="1"/>
    <xf numFmtId="0" fontId="11" fillId="0" borderId="10" xfId="1" applyFont="1" applyFill="1" applyBorder="1"/>
    <xf numFmtId="169" fontId="11" fillId="0" borderId="6" xfId="1" applyNumberFormat="1" applyFont="1" applyFill="1" applyBorder="1"/>
    <xf numFmtId="174" fontId="11" fillId="0" borderId="0" xfId="1" applyNumberFormat="1" applyFont="1" applyFill="1" applyBorder="1"/>
    <xf numFmtId="170" fontId="11" fillId="5" borderId="0" xfId="1" applyNumberFormat="1" applyFont="1" applyFill="1" applyBorder="1"/>
    <xf numFmtId="0" fontId="12" fillId="3" borderId="7" xfId="1" applyFont="1" applyFill="1" applyBorder="1"/>
    <xf numFmtId="3" fontId="11" fillId="2" borderId="0" xfId="1" applyNumberFormat="1" applyFill="1"/>
    <xf numFmtId="0" fontId="108" fillId="0" borderId="0" xfId="1" applyFont="1"/>
    <xf numFmtId="1" fontId="11" fillId="3" borderId="0" xfId="1" applyNumberFormat="1" applyFill="1" applyBorder="1"/>
    <xf numFmtId="1" fontId="11" fillId="3" borderId="7" xfId="1" applyNumberFormat="1" applyFill="1" applyBorder="1"/>
    <xf numFmtId="179" fontId="15" fillId="3" borderId="0" xfId="1" applyNumberFormat="1" applyFont="1" applyFill="1" applyBorder="1"/>
    <xf numFmtId="179" fontId="15" fillId="3" borderId="7" xfId="1" applyNumberFormat="1" applyFont="1" applyFill="1" applyBorder="1"/>
    <xf numFmtId="9" fontId="0" fillId="3" borderId="0" xfId="4" applyFont="1" applyFill="1" applyBorder="1"/>
    <xf numFmtId="9" fontId="0" fillId="3" borderId="7" xfId="4" applyFont="1" applyFill="1" applyBorder="1"/>
    <xf numFmtId="3" fontId="11" fillId="3" borderId="9" xfId="1" applyNumberFormat="1" applyFill="1" applyBorder="1"/>
    <xf numFmtId="3" fontId="11" fillId="2" borderId="0" xfId="1" applyNumberFormat="1" applyFont="1" applyFill="1" applyAlignment="1">
      <alignment horizontal="right"/>
    </xf>
    <xf numFmtId="4" fontId="11" fillId="0" borderId="0" xfId="1" applyNumberFormat="1"/>
    <xf numFmtId="0" fontId="15" fillId="0" borderId="22" xfId="1" applyFont="1" applyBorder="1" applyAlignment="1">
      <alignment horizontal="center"/>
    </xf>
    <xf numFmtId="0" fontId="11" fillId="0" borderId="33" xfId="1" applyBorder="1"/>
    <xf numFmtId="0" fontId="11" fillId="0" borderId="15" xfId="1" applyBorder="1"/>
    <xf numFmtId="0" fontId="11" fillId="0" borderId="16" xfId="1" applyBorder="1"/>
    <xf numFmtId="0" fontId="11" fillId="0" borderId="17" xfId="1" applyBorder="1"/>
    <xf numFmtId="4" fontId="11" fillId="0" borderId="33" xfId="1" applyNumberFormat="1" applyBorder="1"/>
    <xf numFmtId="6" fontId="11" fillId="0" borderId="33" xfId="1" applyNumberFormat="1" applyBorder="1"/>
    <xf numFmtId="0" fontId="11" fillId="0" borderId="18" xfId="1" applyBorder="1"/>
    <xf numFmtId="0" fontId="11" fillId="0" borderId="19" xfId="1" applyBorder="1"/>
    <xf numFmtId="0" fontId="11" fillId="0" borderId="34" xfId="1" applyBorder="1"/>
    <xf numFmtId="0" fontId="11" fillId="0" borderId="15" xfId="1" applyFont="1" applyBorder="1"/>
    <xf numFmtId="0" fontId="11" fillId="0" borderId="33" xfId="1" applyFill="1" applyBorder="1" applyAlignment="1">
      <alignment horizontal="right"/>
    </xf>
    <xf numFmtId="0" fontId="15" fillId="0" borderId="0" xfId="1" applyFont="1" applyBorder="1" applyAlignment="1">
      <alignment horizontal="right"/>
    </xf>
    <xf numFmtId="3" fontId="11" fillId="0" borderId="33" xfId="1" applyNumberFormat="1" applyFill="1" applyBorder="1"/>
    <xf numFmtId="0" fontId="108" fillId="0" borderId="33" xfId="1" applyFont="1" applyBorder="1"/>
    <xf numFmtId="0" fontId="11" fillId="0" borderId="33" xfId="1" applyFill="1" applyBorder="1"/>
    <xf numFmtId="179" fontId="11" fillId="0" borderId="33" xfId="1" applyNumberFormat="1" applyBorder="1"/>
    <xf numFmtId="0" fontId="15" fillId="0" borderId="15" xfId="1" applyFont="1" applyBorder="1"/>
    <xf numFmtId="6" fontId="11" fillId="0" borderId="22" xfId="1" applyNumberFormat="1" applyBorder="1"/>
    <xf numFmtId="0" fontId="15" fillId="0" borderId="35" xfId="1" applyFont="1" applyBorder="1"/>
    <xf numFmtId="0" fontId="11" fillId="0" borderId="36" xfId="1" applyBorder="1"/>
    <xf numFmtId="6" fontId="15" fillId="0" borderId="11" xfId="1" applyNumberFormat="1" applyFont="1" applyBorder="1"/>
    <xf numFmtId="3" fontId="11" fillId="0" borderId="33" xfId="1" applyNumberFormat="1" applyFill="1" applyBorder="1" applyAlignment="1">
      <alignment horizontal="right"/>
    </xf>
    <xf numFmtId="6" fontId="15" fillId="0" borderId="0" xfId="1" applyNumberFormat="1" applyFont="1"/>
    <xf numFmtId="0" fontId="11" fillId="0" borderId="13" xfId="1" applyBorder="1"/>
    <xf numFmtId="0" fontId="11" fillId="0" borderId="18" xfId="1" applyFill="1" applyBorder="1"/>
    <xf numFmtId="0" fontId="11" fillId="0" borderId="14" xfId="1" applyBorder="1"/>
    <xf numFmtId="180" fontId="11" fillId="0" borderId="15" xfId="1" applyNumberFormat="1" applyBorder="1"/>
    <xf numFmtId="180" fontId="11" fillId="0" borderId="13" xfId="1" applyNumberFormat="1" applyBorder="1"/>
    <xf numFmtId="0" fontId="11" fillId="0" borderId="17" xfId="1" applyFill="1" applyBorder="1"/>
    <xf numFmtId="179" fontId="15" fillId="0" borderId="17" xfId="1" applyNumberFormat="1" applyFont="1" applyBorder="1"/>
    <xf numFmtId="179" fontId="15" fillId="0" borderId="12" xfId="1" applyNumberFormat="1" applyFont="1" applyBorder="1"/>
    <xf numFmtId="0" fontId="11" fillId="0" borderId="19" xfId="1" applyFill="1" applyBorder="1"/>
    <xf numFmtId="179" fontId="15" fillId="0" borderId="18" xfId="1" applyNumberFormat="1" applyFont="1" applyBorder="1"/>
    <xf numFmtId="179" fontId="15" fillId="0" borderId="14" xfId="1" applyNumberFormat="1" applyFont="1" applyBorder="1"/>
    <xf numFmtId="0" fontId="15" fillId="0" borderId="22" xfId="1" applyFont="1" applyBorder="1"/>
    <xf numFmtId="180" fontId="11" fillId="0" borderId="33" xfId="1" applyNumberFormat="1" applyBorder="1"/>
    <xf numFmtId="9" fontId="0" fillId="0" borderId="22" xfId="4" applyFont="1" applyBorder="1" applyAlignment="1">
      <alignment horizontal="left"/>
    </xf>
    <xf numFmtId="9" fontId="0" fillId="0" borderId="33" xfId="4" applyFont="1" applyBorder="1" applyAlignment="1">
      <alignment horizontal="left"/>
    </xf>
    <xf numFmtId="9" fontId="0" fillId="0" borderId="34" xfId="4" applyFont="1" applyBorder="1" applyAlignment="1">
      <alignment horizontal="left"/>
    </xf>
    <xf numFmtId="167" fontId="11" fillId="7" borderId="0" xfId="1" applyNumberFormat="1" applyFont="1" applyFill="1" applyBorder="1"/>
    <xf numFmtId="170" fontId="11" fillId="4" borderId="0" xfId="4" applyNumberFormat="1" applyFont="1" applyFill="1" applyBorder="1" applyAlignment="1">
      <alignment horizontal="right"/>
    </xf>
    <xf numFmtId="4" fontId="11" fillId="7" borderId="11" xfId="1" applyNumberFormat="1" applyFont="1" applyFill="1" applyBorder="1"/>
    <xf numFmtId="2" fontId="11" fillId="6" borderId="11" xfId="1" applyNumberFormat="1" applyFill="1" applyBorder="1"/>
    <xf numFmtId="2" fontId="11" fillId="6" borderId="11" xfId="1" applyNumberFormat="1" applyFont="1" applyFill="1" applyBorder="1"/>
    <xf numFmtId="165" fontId="11" fillId="7" borderId="11" xfId="1" applyNumberFormat="1" applyFont="1" applyFill="1" applyBorder="1"/>
    <xf numFmtId="166" fontId="11" fillId="6" borderId="11" xfId="1" applyNumberFormat="1" applyFont="1" applyFill="1" applyBorder="1"/>
    <xf numFmtId="164" fontId="11" fillId="6" borderId="11" xfId="1" applyNumberFormat="1" applyFill="1" applyBorder="1"/>
    <xf numFmtId="4" fontId="11" fillId="6" borderId="11" xfId="1" applyNumberFormat="1" applyFill="1" applyBorder="1"/>
    <xf numFmtId="3" fontId="11" fillId="6" borderId="11" xfId="1" applyNumberFormat="1" applyFill="1" applyBorder="1"/>
    <xf numFmtId="4" fontId="11" fillId="6" borderId="11" xfId="1" applyNumberFormat="1" applyFont="1" applyFill="1" applyBorder="1"/>
    <xf numFmtId="4" fontId="11" fillId="2" borderId="11" xfId="1" applyNumberFormat="1" applyFont="1" applyFill="1" applyBorder="1"/>
    <xf numFmtId="3" fontId="11" fillId="7" borderId="11" xfId="15" applyNumberFormat="1" applyFont="1" applyFill="1" applyBorder="1"/>
    <xf numFmtId="173" fontId="11" fillId="6" borderId="11" xfId="1" applyNumberFormat="1" applyFill="1" applyBorder="1"/>
    <xf numFmtId="169" fontId="11" fillId="6" borderId="11" xfId="1" applyNumberFormat="1" applyFill="1" applyBorder="1"/>
    <xf numFmtId="167" fontId="11" fillId="6" borderId="11" xfId="1" applyNumberFormat="1" applyFill="1" applyBorder="1"/>
    <xf numFmtId="170" fontId="11" fillId="2" borderId="11" xfId="1" applyNumberFormat="1" applyFill="1" applyBorder="1"/>
    <xf numFmtId="164" fontId="11" fillId="0" borderId="11" xfId="1" applyNumberFormat="1" applyFill="1" applyBorder="1"/>
    <xf numFmtId="164" fontId="11" fillId="6" borderId="0" xfId="1" applyNumberFormat="1" applyFont="1" applyFill="1" applyBorder="1"/>
    <xf numFmtId="0" fontId="11" fillId="6" borderId="11" xfId="1" applyFill="1" applyBorder="1"/>
    <xf numFmtId="170" fontId="11" fillId="6" borderId="11" xfId="1" applyNumberFormat="1" applyFill="1" applyBorder="1"/>
    <xf numFmtId="167" fontId="11" fillId="6" borderId="0" xfId="1" applyNumberFormat="1" applyFill="1" applyBorder="1"/>
    <xf numFmtId="167" fontId="11" fillId="6" borderId="0" xfId="1" applyNumberFormat="1" applyFont="1" applyFill="1" applyAlignment="1">
      <alignment horizontal="right"/>
    </xf>
    <xf numFmtId="175" fontId="11" fillId="3" borderId="0" xfId="7" applyNumberFormat="1" applyFont="1" applyFill="1" applyBorder="1"/>
    <xf numFmtId="4" fontId="11" fillId="6" borderId="0" xfId="1" applyNumberFormat="1" applyFont="1" applyFill="1" applyBorder="1"/>
    <xf numFmtId="0" fontId="11" fillId="6" borderId="0" xfId="1" applyFont="1" applyFill="1" applyAlignment="1">
      <alignment horizontal="right"/>
    </xf>
    <xf numFmtId="180" fontId="11" fillId="0" borderId="33" xfId="1" applyNumberFormat="1" applyBorder="1" applyAlignment="1">
      <alignment horizontal="right"/>
    </xf>
    <xf numFmtId="6" fontId="11" fillId="0" borderId="33" xfId="1" applyNumberFormat="1" applyBorder="1" applyAlignment="1">
      <alignment horizontal="right"/>
    </xf>
    <xf numFmtId="179" fontId="11" fillId="0" borderId="33" xfId="1" applyNumberFormat="1" applyBorder="1" applyAlignment="1">
      <alignment horizontal="right"/>
    </xf>
    <xf numFmtId="6" fontId="11" fillId="0" borderId="34" xfId="1" applyNumberFormat="1" applyBorder="1" applyAlignment="1">
      <alignment horizontal="right"/>
    </xf>
    <xf numFmtId="180" fontId="11" fillId="0" borderId="34" xfId="1" applyNumberFormat="1" applyBorder="1"/>
    <xf numFmtId="0" fontId="34" fillId="4" borderId="0" xfId="0" applyFont="1" applyFill="1" applyBorder="1" applyAlignment="1">
      <alignment vertical="top"/>
    </xf>
    <xf numFmtId="0" fontId="34" fillId="4" borderId="0" xfId="0" applyFont="1" applyFill="1" applyBorder="1" applyAlignment="1">
      <alignment horizontal="left" vertical="top"/>
    </xf>
    <xf numFmtId="0" fontId="34" fillId="0" borderId="0" xfId="0" applyFont="1" applyFill="1" applyBorder="1" applyAlignment="1">
      <alignment vertical="top"/>
    </xf>
    <xf numFmtId="0" fontId="34" fillId="0" borderId="0" xfId="0" applyFont="1" applyFill="1" applyBorder="1" applyAlignment="1">
      <alignment horizontal="left" vertical="top"/>
    </xf>
    <xf numFmtId="0" fontId="34" fillId="0" borderId="0" xfId="0" applyFont="1" applyFill="1" applyBorder="1" applyAlignment="1">
      <alignment vertical="top" wrapText="1"/>
    </xf>
    <xf numFmtId="0" fontId="111" fillId="0" borderId="0" xfId="0" applyFont="1" applyFill="1" applyBorder="1" applyAlignment="1">
      <alignment vertical="top"/>
    </xf>
    <xf numFmtId="0" fontId="111" fillId="4" borderId="0" xfId="0" applyFont="1" applyFill="1" applyBorder="1" applyAlignment="1">
      <alignment horizontal="left" vertical="top"/>
    </xf>
    <xf numFmtId="0" fontId="111" fillId="4" borderId="0" xfId="0" applyFont="1" applyFill="1" applyBorder="1" applyAlignment="1">
      <alignment vertical="top"/>
    </xf>
    <xf numFmtId="0" fontId="111" fillId="0" borderId="0" xfId="0" applyFont="1" applyFill="1" applyBorder="1" applyAlignment="1">
      <alignment horizontal="left" vertical="top"/>
    </xf>
    <xf numFmtId="0" fontId="34" fillId="4" borderId="0" xfId="0" applyFont="1" applyFill="1" applyBorder="1" applyAlignment="1">
      <alignment vertical="top" wrapText="1"/>
    </xf>
    <xf numFmtId="9" fontId="34" fillId="4" borderId="0" xfId="0" applyNumberFormat="1" applyFont="1" applyFill="1" applyBorder="1" applyAlignment="1">
      <alignment horizontal="left" vertical="top"/>
    </xf>
    <xf numFmtId="0" fontId="4" fillId="0" borderId="0" xfId="10" applyFont="1" applyAlignment="1">
      <alignment vertical="top" wrapText="1"/>
    </xf>
    <xf numFmtId="0" fontId="4" fillId="0" borderId="0" xfId="10" applyFont="1" applyAlignment="1">
      <alignment vertical="top"/>
    </xf>
    <xf numFmtId="0" fontId="4" fillId="2" borderId="0" xfId="10" applyFont="1" applyFill="1" applyAlignment="1">
      <alignment vertical="top"/>
    </xf>
    <xf numFmtId="0" fontId="112" fillId="0" borderId="0" xfId="10" applyFont="1" applyAlignment="1">
      <alignment vertical="top" wrapText="1"/>
    </xf>
    <xf numFmtId="0" fontId="4" fillId="2" borderId="0" xfId="10" applyFont="1" applyFill="1" applyAlignment="1">
      <alignment horizontal="left" vertical="top"/>
    </xf>
    <xf numFmtId="0" fontId="4" fillId="2" borderId="0" xfId="10" applyFont="1" applyFill="1" applyAlignment="1">
      <alignment horizontal="left" vertical="top" wrapText="1"/>
    </xf>
    <xf numFmtId="0" fontId="3" fillId="0" borderId="0" xfId="10" applyFont="1" applyAlignment="1">
      <alignment vertical="top"/>
    </xf>
    <xf numFmtId="0" fontId="3" fillId="0" borderId="0" xfId="10" applyFont="1" applyAlignment="1">
      <alignment vertical="top" wrapText="1"/>
    </xf>
    <xf numFmtId="0" fontId="25" fillId="0" borderId="0" xfId="1" applyFont="1" applyFill="1" applyBorder="1" applyAlignment="1"/>
    <xf numFmtId="0" fontId="25" fillId="0" borderId="0" xfId="0" applyFont="1" applyBorder="1"/>
    <xf numFmtId="0" fontId="11" fillId="0" borderId="0" xfId="8" applyFont="1" applyBorder="1"/>
    <xf numFmtId="167" fontId="11" fillId="3" borderId="0" xfId="0" applyNumberFormat="1" applyFont="1" applyFill="1" applyBorder="1"/>
    <xf numFmtId="170" fontId="0" fillId="0" borderId="0" xfId="0" applyNumberFormat="1" applyFill="1" applyBorder="1"/>
    <xf numFmtId="0" fontId="15" fillId="0" borderId="3" xfId="0" applyFont="1" applyBorder="1"/>
    <xf numFmtId="0" fontId="12" fillId="0" borderId="6" xfId="0" applyFont="1" applyBorder="1" applyAlignment="1">
      <alignment horizontal="right"/>
    </xf>
    <xf numFmtId="2" fontId="0" fillId="0" borderId="6" xfId="0" applyNumberFormat="1" applyFill="1" applyBorder="1"/>
    <xf numFmtId="0" fontId="28" fillId="0" borderId="6" xfId="0" applyFont="1" applyBorder="1"/>
    <xf numFmtId="170" fontId="0" fillId="0" borderId="6" xfId="0" applyNumberFormat="1" applyBorder="1"/>
    <xf numFmtId="170" fontId="0" fillId="0" borderId="7" xfId="0" applyNumberFormat="1" applyFill="1" applyBorder="1"/>
    <xf numFmtId="170" fontId="0" fillId="0" borderId="8" xfId="0" applyNumberFormat="1" applyBorder="1"/>
    <xf numFmtId="170" fontId="0" fillId="0" borderId="9" xfId="0" applyNumberFormat="1" applyBorder="1"/>
    <xf numFmtId="170" fontId="0" fillId="0" borderId="10" xfId="0" applyNumberFormat="1" applyBorder="1"/>
    <xf numFmtId="169" fontId="0" fillId="0" borderId="6" xfId="0" applyNumberFormat="1" applyBorder="1"/>
    <xf numFmtId="0" fontId="13" fillId="0" borderId="0" xfId="3" applyFont="1" applyFill="1" applyBorder="1" applyAlignment="1">
      <alignment horizontal="center"/>
    </xf>
    <xf numFmtId="2" fontId="11" fillId="0" borderId="6" xfId="0" applyNumberFormat="1" applyFont="1" applyFill="1" applyBorder="1"/>
    <xf numFmtId="169" fontId="0" fillId="3" borderId="7" xfId="0" applyNumberFormat="1" applyFill="1" applyBorder="1"/>
    <xf numFmtId="0" fontId="0" fillId="3" borderId="8" xfId="0" applyFill="1" applyBorder="1"/>
    <xf numFmtId="0" fontId="11" fillId="3" borderId="9" xfId="0" applyFont="1" applyFill="1" applyBorder="1" applyAlignment="1">
      <alignment horizontal="right"/>
    </xf>
    <xf numFmtId="169" fontId="0" fillId="3" borderId="10" xfId="0" applyNumberFormat="1" applyFill="1" applyBorder="1"/>
    <xf numFmtId="0" fontId="15" fillId="3" borderId="3" xfId="0" applyFont="1" applyFill="1" applyBorder="1" applyAlignment="1">
      <alignment horizontal="left"/>
    </xf>
    <xf numFmtId="0" fontId="35" fillId="7" borderId="6" xfId="3" applyFont="1" applyFill="1" applyBorder="1"/>
    <xf numFmtId="0" fontId="11" fillId="7" borderId="6" xfId="0" applyFont="1" applyFill="1" applyBorder="1"/>
    <xf numFmtId="164" fontId="0" fillId="6" borderId="7" xfId="0" applyNumberFormat="1" applyFill="1" applyBorder="1"/>
    <xf numFmtId="167" fontId="0" fillId="6" borderId="7" xfId="0" applyNumberFormat="1" applyFill="1" applyBorder="1"/>
    <xf numFmtId="0" fontId="114" fillId="5" borderId="3" xfId="3" applyFont="1" applyFill="1" applyBorder="1"/>
    <xf numFmtId="0" fontId="38" fillId="5" borderId="4" xfId="3" applyFont="1" applyFill="1" applyBorder="1" applyAlignment="1">
      <alignment horizontal="center"/>
    </xf>
    <xf numFmtId="0" fontId="39" fillId="5" borderId="4" xfId="3" applyFont="1" applyFill="1" applyBorder="1" applyAlignment="1">
      <alignment horizontal="center"/>
    </xf>
    <xf numFmtId="0" fontId="13" fillId="3" borderId="5" xfId="3" applyFont="1" applyFill="1" applyBorder="1"/>
    <xf numFmtId="0" fontId="13" fillId="3" borderId="7" xfId="3" applyFont="1" applyFill="1" applyBorder="1"/>
    <xf numFmtId="0" fontId="73" fillId="3" borderId="7" xfId="3" applyFont="1" applyFill="1" applyBorder="1" applyAlignment="1">
      <alignment horizontal="center"/>
    </xf>
    <xf numFmtId="0" fontId="74" fillId="3" borderId="7" xfId="3" applyFont="1" applyFill="1" applyBorder="1" applyAlignment="1">
      <alignment horizontal="right"/>
    </xf>
    <xf numFmtId="0" fontId="13" fillId="3" borderId="7" xfId="3" applyFont="1" applyFill="1" applyBorder="1" applyAlignment="1">
      <alignment horizontal="right"/>
    </xf>
    <xf numFmtId="2" fontId="13" fillId="3" borderId="7" xfId="3" applyNumberFormat="1" applyFont="1" applyFill="1" applyBorder="1"/>
    <xf numFmtId="0" fontId="35" fillId="5" borderId="8" xfId="3" applyFont="1" applyFill="1" applyBorder="1" applyAlignment="1">
      <alignment horizontal="right"/>
    </xf>
    <xf numFmtId="9" fontId="13" fillId="5" borderId="9" xfId="7" applyFont="1" applyFill="1" applyBorder="1" applyAlignment="1">
      <alignment horizontal="right"/>
    </xf>
    <xf numFmtId="9" fontId="13" fillId="5" borderId="9" xfId="7" applyFont="1" applyFill="1" applyBorder="1"/>
    <xf numFmtId="9" fontId="13" fillId="5" borderId="10" xfId="7" applyFont="1" applyFill="1" applyBorder="1"/>
    <xf numFmtId="0" fontId="15" fillId="0" borderId="3" xfId="3" applyFont="1" applyFill="1" applyBorder="1"/>
    <xf numFmtId="0" fontId="12" fillId="0" borderId="4" xfId="3" applyFont="1" applyFill="1" applyBorder="1"/>
    <xf numFmtId="0" fontId="13" fillId="0" borderId="4" xfId="3" applyFont="1" applyFill="1" applyBorder="1"/>
    <xf numFmtId="0" fontId="13" fillId="0" borderId="5" xfId="3" applyFont="1" applyFill="1" applyBorder="1"/>
    <xf numFmtId="0" fontId="15" fillId="0" borderId="6" xfId="3" applyFont="1" applyFill="1" applyBorder="1"/>
    <xf numFmtId="2" fontId="12" fillId="0" borderId="7" xfId="3" applyNumberFormat="1" applyFont="1" applyFill="1" applyBorder="1"/>
    <xf numFmtId="2" fontId="11" fillId="0" borderId="7" xfId="3" applyNumberFormat="1" applyFont="1" applyFill="1" applyBorder="1" applyAlignment="1">
      <alignment horizontal="right"/>
    </xf>
    <xf numFmtId="0" fontId="13" fillId="0" borderId="7" xfId="3" applyFont="1" applyFill="1" applyBorder="1" applyAlignment="1">
      <alignment horizontal="right"/>
    </xf>
    <xf numFmtId="0" fontId="35" fillId="0" borderId="8" xfId="3" applyFont="1" applyFill="1" applyBorder="1"/>
    <xf numFmtId="0" fontId="35" fillId="0" borderId="9" xfId="3" applyFont="1" applyFill="1" applyBorder="1"/>
    <xf numFmtId="0" fontId="13" fillId="0" borderId="9" xfId="3" applyFont="1" applyFill="1" applyBorder="1" applyAlignment="1">
      <alignment horizontal="right"/>
    </xf>
    <xf numFmtId="0" fontId="13" fillId="0" borderId="10" xfId="3" applyFont="1" applyFill="1" applyBorder="1" applyAlignment="1">
      <alignment horizontal="right"/>
    </xf>
    <xf numFmtId="0" fontId="38" fillId="0" borderId="3" xfId="3" applyFont="1" applyFill="1" applyBorder="1"/>
    <xf numFmtId="0" fontId="38" fillId="0" borderId="6" xfId="3" applyFont="1" applyFill="1" applyBorder="1"/>
    <xf numFmtId="0" fontId="13" fillId="0" borderId="7" xfId="3" applyFont="1" applyFill="1" applyBorder="1"/>
    <xf numFmtId="0" fontId="13" fillId="0" borderId="6" xfId="3" applyFont="1" applyFill="1" applyBorder="1"/>
    <xf numFmtId="0" fontId="13" fillId="0" borderId="8" xfId="3" applyFont="1" applyFill="1" applyBorder="1"/>
    <xf numFmtId="0" fontId="13" fillId="0" borderId="10" xfId="3" applyFont="1" applyFill="1" applyBorder="1"/>
    <xf numFmtId="0" fontId="41" fillId="0" borderId="7" xfId="3" applyFont="1" applyFill="1" applyBorder="1"/>
    <xf numFmtId="0" fontId="34" fillId="0" borderId="7" xfId="3" applyFont="1" applyFill="1" applyBorder="1" applyAlignment="1">
      <alignment horizontal="center"/>
    </xf>
    <xf numFmtId="0" fontId="13" fillId="0" borderId="7" xfId="3" applyFont="1" applyFill="1" applyBorder="1" applyAlignment="1">
      <alignment horizontal="center"/>
    </xf>
    <xf numFmtId="170" fontId="13" fillId="0" borderId="7" xfId="3" applyNumberFormat="1" applyFont="1" applyFill="1" applyBorder="1"/>
    <xf numFmtId="170" fontId="13" fillId="0" borderId="9" xfId="3" applyNumberFormat="1" applyFont="1" applyFill="1" applyBorder="1"/>
    <xf numFmtId="170" fontId="13" fillId="0" borderId="10" xfId="3" applyNumberFormat="1" applyFont="1" applyFill="1" applyBorder="1"/>
    <xf numFmtId="0" fontId="13" fillId="0" borderId="9" xfId="3" applyFont="1" applyFill="1" applyBorder="1" applyAlignment="1">
      <alignment wrapText="1"/>
    </xf>
    <xf numFmtId="0" fontId="35" fillId="0" borderId="6" xfId="3" applyFont="1" applyFill="1" applyBorder="1" applyAlignment="1">
      <alignment wrapText="1"/>
    </xf>
    <xf numFmtId="0" fontId="16" fillId="3" borderId="3" xfId="0" applyFont="1" applyFill="1" applyBorder="1"/>
    <xf numFmtId="0" fontId="16" fillId="3" borderId="4" xfId="0" applyFont="1" applyFill="1" applyBorder="1"/>
    <xf numFmtId="0" fontId="16" fillId="3" borderId="5" xfId="0" applyFont="1" applyFill="1" applyBorder="1"/>
    <xf numFmtId="0" fontId="16" fillId="3" borderId="7" xfId="0" applyFont="1" applyFill="1" applyBorder="1"/>
    <xf numFmtId="0" fontId="15" fillId="3" borderId="7" xfId="0" applyFont="1" applyFill="1" applyBorder="1"/>
    <xf numFmtId="0" fontId="12" fillId="5" borderId="7" xfId="0" applyFont="1" applyFill="1" applyBorder="1"/>
    <xf numFmtId="1" fontId="11" fillId="4" borderId="7" xfId="0" applyNumberFormat="1" applyFont="1" applyFill="1" applyBorder="1"/>
    <xf numFmtId="170" fontId="11" fillId="4" borderId="7" xfId="1" applyNumberFormat="1" applyFont="1" applyFill="1" applyBorder="1"/>
    <xf numFmtId="2" fontId="11" fillId="4" borderId="7" xfId="0" applyNumberFormat="1" applyFont="1" applyFill="1" applyBorder="1"/>
    <xf numFmtId="2" fontId="11" fillId="2" borderId="7" xfId="0" applyNumberFormat="1" applyFont="1" applyFill="1" applyBorder="1"/>
    <xf numFmtId="0" fontId="11" fillId="3" borderId="9" xfId="0" applyFont="1" applyFill="1" applyBorder="1" applyAlignment="1">
      <alignment vertical="center"/>
    </xf>
    <xf numFmtId="0" fontId="11" fillId="2" borderId="9" xfId="1" applyFont="1" applyFill="1" applyBorder="1"/>
    <xf numFmtId="0" fontId="11" fillId="2" borderId="10" xfId="1" applyFont="1" applyFill="1" applyBorder="1"/>
    <xf numFmtId="0" fontId="15" fillId="5" borderId="3" xfId="0" applyFont="1" applyFill="1" applyBorder="1"/>
    <xf numFmtId="0" fontId="11" fillId="3" borderId="5" xfId="0" applyFont="1" applyFill="1" applyBorder="1"/>
    <xf numFmtId="1" fontId="11" fillId="3" borderId="7" xfId="0" applyNumberFormat="1" applyFont="1" applyFill="1" applyBorder="1" applyAlignment="1">
      <alignment horizontal="right"/>
    </xf>
    <xf numFmtId="170" fontId="11" fillId="3" borderId="7" xfId="0" applyNumberFormat="1" applyFont="1" applyFill="1" applyBorder="1" applyAlignment="1">
      <alignment horizontal="right"/>
    </xf>
    <xf numFmtId="2" fontId="11" fillId="5" borderId="6" xfId="0" applyNumberFormat="1" applyFont="1" applyFill="1" applyBorder="1"/>
    <xf numFmtId="4" fontId="11" fillId="3" borderId="9" xfId="0" applyNumberFormat="1" applyFont="1" applyFill="1" applyBorder="1"/>
    <xf numFmtId="4" fontId="11" fillId="3" borderId="10" xfId="0" applyNumberFormat="1" applyFont="1" applyFill="1" applyBorder="1"/>
    <xf numFmtId="2" fontId="0" fillId="0" borderId="8" xfId="0" applyNumberFormat="1" applyBorder="1"/>
    <xf numFmtId="2" fontId="0" fillId="0" borderId="9" xfId="0" applyNumberFormat="1" applyBorder="1"/>
    <xf numFmtId="0" fontId="15" fillId="0" borderId="3" xfId="1" applyFont="1" applyFill="1" applyBorder="1"/>
    <xf numFmtId="170" fontId="11" fillId="0" borderId="9" xfId="1" applyNumberFormat="1" applyFont="1" applyFill="1" applyBorder="1"/>
    <xf numFmtId="170" fontId="11" fillId="0" borderId="10" xfId="1" applyNumberFormat="1" applyFont="1" applyFill="1" applyBorder="1"/>
    <xf numFmtId="0" fontId="25" fillId="0" borderId="3" xfId="1" applyFont="1" applyFill="1" applyBorder="1" applyAlignment="1"/>
    <xf numFmtId="0" fontId="11" fillId="0" borderId="6" xfId="0" applyFont="1" applyFill="1" applyBorder="1" applyAlignment="1"/>
    <xf numFmtId="0" fontId="25" fillId="0" borderId="6" xfId="0" applyFont="1" applyFill="1" applyBorder="1" applyAlignment="1"/>
    <xf numFmtId="0" fontId="0" fillId="0" borderId="0" xfId="0" applyAlignment="1"/>
    <xf numFmtId="0" fontId="11" fillId="0" borderId="4" xfId="1" applyFont="1" applyFill="1" applyBorder="1" applyAlignment="1"/>
    <xf numFmtId="0" fontId="11" fillId="0" borderId="4" xfId="0" applyFont="1" applyFill="1" applyBorder="1" applyAlignment="1"/>
    <xf numFmtId="0" fontId="11" fillId="0" borderId="5" xfId="0" applyFont="1" applyFill="1" applyBorder="1" applyAlignment="1"/>
    <xf numFmtId="0" fontId="11" fillId="0" borderId="0" xfId="1" applyFont="1" applyFill="1" applyBorder="1" applyAlignment="1"/>
    <xf numFmtId="0" fontId="11" fillId="0" borderId="7" xfId="0" applyFont="1" applyFill="1" applyBorder="1" applyAlignment="1"/>
    <xf numFmtId="0" fontId="15" fillId="0" borderId="6" xfId="1" applyFont="1" applyFill="1" applyBorder="1" applyAlignment="1"/>
    <xf numFmtId="0" fontId="11" fillId="5" borderId="0" xfId="0" applyFont="1" applyFill="1" applyBorder="1" applyAlignment="1"/>
    <xf numFmtId="0" fontId="12" fillId="0" borderId="6" xfId="1" applyFont="1" applyFill="1" applyBorder="1" applyAlignment="1"/>
    <xf numFmtId="0" fontId="12" fillId="0" borderId="0" xfId="1" applyFont="1" applyFill="1" applyBorder="1" applyAlignment="1"/>
    <xf numFmtId="0" fontId="41" fillId="0" borderId="0" xfId="0" applyFont="1" applyFill="1" applyBorder="1" applyAlignment="1"/>
    <xf numFmtId="0" fontId="12" fillId="5" borderId="0" xfId="0" applyFont="1" applyFill="1" applyBorder="1" applyAlignment="1"/>
    <xf numFmtId="0" fontId="11" fillId="0" borderId="6" xfId="1" applyFont="1" applyFill="1" applyBorder="1" applyAlignment="1"/>
    <xf numFmtId="0" fontId="13" fillId="0" borderId="0" xfId="0" applyFont="1" applyFill="1" applyBorder="1" applyAlignment="1"/>
    <xf numFmtId="165" fontId="13" fillId="0" borderId="0" xfId="0" applyNumberFormat="1" applyFont="1" applyFill="1" applyBorder="1" applyAlignment="1"/>
    <xf numFmtId="169" fontId="13" fillId="0" borderId="0" xfId="0" applyNumberFormat="1" applyFont="1" applyFill="1" applyBorder="1" applyAlignment="1"/>
    <xf numFmtId="0" fontId="13" fillId="5" borderId="0" xfId="0" applyFont="1" applyFill="1" applyBorder="1" applyAlignment="1"/>
    <xf numFmtId="3" fontId="13" fillId="5" borderId="0" xfId="0" applyNumberFormat="1" applyFont="1" applyFill="1" applyBorder="1" applyAlignment="1"/>
    <xf numFmtId="3" fontId="13" fillId="5" borderId="7" xfId="0" applyNumberFormat="1" applyFont="1" applyFill="1" applyBorder="1" applyAlignment="1"/>
    <xf numFmtId="165" fontId="13" fillId="4" borderId="0" xfId="0" applyNumberFormat="1" applyFont="1" applyFill="1" applyBorder="1" applyAlignment="1"/>
    <xf numFmtId="165" fontId="13" fillId="7" borderId="0" xfId="0" applyNumberFormat="1" applyFont="1" applyFill="1" applyBorder="1" applyAlignment="1"/>
    <xf numFmtId="164" fontId="13" fillId="0" borderId="0" xfId="0" applyNumberFormat="1" applyFont="1" applyFill="1" applyBorder="1" applyAlignment="1"/>
    <xf numFmtId="3" fontId="11" fillId="5" borderId="0" xfId="0" applyNumberFormat="1" applyFont="1" applyFill="1" applyBorder="1" applyAlignment="1"/>
    <xf numFmtId="3" fontId="11" fillId="5" borderId="7" xfId="0" applyNumberFormat="1" applyFont="1" applyFill="1" applyBorder="1" applyAlignment="1"/>
    <xf numFmtId="0" fontId="38" fillId="5" borderId="0" xfId="0" applyFont="1" applyFill="1" applyBorder="1" applyAlignment="1"/>
    <xf numFmtId="3" fontId="38" fillId="5" borderId="0" xfId="0" applyNumberFormat="1" applyFont="1" applyFill="1" applyBorder="1" applyAlignment="1"/>
    <xf numFmtId="3" fontId="38" fillId="5" borderId="7" xfId="0" applyNumberFormat="1" applyFont="1" applyFill="1" applyBorder="1" applyAlignment="1"/>
    <xf numFmtId="0" fontId="67" fillId="0" borderId="0" xfId="0" applyFont="1" applyFill="1" applyBorder="1" applyAlignment="1"/>
    <xf numFmtId="0" fontId="11" fillId="2" borderId="0" xfId="0" applyFont="1" applyFill="1" applyBorder="1" applyAlignment="1"/>
    <xf numFmtId="170" fontId="13" fillId="0" borderId="0" xfId="0" applyNumberFormat="1" applyFont="1" applyFill="1" applyBorder="1" applyAlignment="1"/>
    <xf numFmtId="170" fontId="13" fillId="4" borderId="0" xfId="0" applyNumberFormat="1" applyFont="1" applyFill="1" applyBorder="1" applyAlignment="1"/>
    <xf numFmtId="167" fontId="13" fillId="0" borderId="0" xfId="0" applyNumberFormat="1" applyFont="1" applyFill="1" applyBorder="1" applyAlignment="1"/>
    <xf numFmtId="167" fontId="13" fillId="4" borderId="0" xfId="0" applyNumberFormat="1" applyFont="1" applyFill="1" applyBorder="1" applyAlignment="1"/>
    <xf numFmtId="169" fontId="13" fillId="4" borderId="0" xfId="0" applyNumberFormat="1" applyFont="1" applyFill="1" applyBorder="1" applyAlignment="1"/>
    <xf numFmtId="2" fontId="13" fillId="4" borderId="0" xfId="0" applyNumberFormat="1" applyFont="1" applyFill="1" applyBorder="1" applyAlignment="1"/>
    <xf numFmtId="1" fontId="13" fillId="0" borderId="0" xfId="0" applyNumberFormat="1" applyFont="1" applyFill="1" applyBorder="1" applyAlignment="1"/>
    <xf numFmtId="0" fontId="0" fillId="0" borderId="6" xfId="0" applyBorder="1" applyAlignment="1"/>
    <xf numFmtId="0" fontId="0" fillId="0" borderId="0"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10" xfId="0" applyBorder="1" applyAlignment="1"/>
    <xf numFmtId="0" fontId="84" fillId="0" borderId="0" xfId="10" applyFont="1" applyAlignment="1">
      <alignment vertical="top"/>
    </xf>
    <xf numFmtId="0" fontId="85" fillId="0" borderId="0" xfId="10" applyFont="1" applyAlignment="1">
      <alignment vertical="top"/>
    </xf>
    <xf numFmtId="0" fontId="12" fillId="3" borderId="0" xfId="1" applyFont="1" applyFill="1" applyBorder="1" applyAlignment="1">
      <alignment horizontal="center"/>
    </xf>
    <xf numFmtId="0" fontId="12" fillId="0" borderId="0" xfId="1" applyFont="1" applyBorder="1" applyAlignment="1">
      <alignment horizontal="center"/>
    </xf>
    <xf numFmtId="0" fontId="11" fillId="0" borderId="4" xfId="0" applyFont="1" applyBorder="1"/>
    <xf numFmtId="0" fontId="0" fillId="2" borderId="4" xfId="0" applyFill="1" applyBorder="1"/>
    <xf numFmtId="0" fontId="16" fillId="0" borderId="0" xfId="0" applyFont="1" applyBorder="1"/>
    <xf numFmtId="0" fontId="12" fillId="0" borderId="6" xfId="1" applyFont="1" applyBorder="1"/>
    <xf numFmtId="3" fontId="0" fillId="6" borderId="0" xfId="0" applyNumberFormat="1" applyFill="1" applyBorder="1"/>
    <xf numFmtId="167" fontId="0" fillId="6" borderId="0" xfId="0" applyNumberFormat="1" applyFill="1" applyBorder="1"/>
    <xf numFmtId="174" fontId="0" fillId="0" borderId="0" xfId="0" applyNumberFormat="1" applyBorder="1"/>
    <xf numFmtId="168" fontId="0" fillId="0" borderId="0" xfId="0" applyNumberFormat="1" applyBorder="1"/>
    <xf numFmtId="166" fontId="11" fillId="2" borderId="0" xfId="1" applyNumberFormat="1" applyFill="1" applyBorder="1"/>
    <xf numFmtId="166" fontId="11" fillId="0" borderId="0" xfId="1" applyNumberFormat="1" applyFill="1" applyBorder="1"/>
    <xf numFmtId="170" fontId="11" fillId="2" borderId="0" xfId="1" applyNumberFormat="1" applyFill="1" applyBorder="1"/>
    <xf numFmtId="174" fontId="11" fillId="2" borderId="0" xfId="1" applyNumberFormat="1" applyFill="1" applyBorder="1"/>
    <xf numFmtId="2" fontId="0" fillId="3" borderId="0" xfId="0" applyNumberFormat="1" applyFill="1" applyBorder="1"/>
    <xf numFmtId="167" fontId="0" fillId="3" borderId="0" xfId="0" applyNumberFormat="1" applyFill="1" applyBorder="1"/>
    <xf numFmtId="169" fontId="0" fillId="3" borderId="0" xfId="0" applyNumberFormat="1" applyFill="1" applyBorder="1"/>
    <xf numFmtId="0" fontId="95" fillId="3" borderId="6" xfId="1" applyFont="1" applyFill="1" applyBorder="1"/>
    <xf numFmtId="175" fontId="93" fillId="3" borderId="0" xfId="7" applyNumberFormat="1" applyFont="1" applyFill="1" applyBorder="1"/>
    <xf numFmtId="175" fontId="93" fillId="3" borderId="0" xfId="0" applyNumberFormat="1" applyFont="1" applyFill="1" applyBorder="1"/>
    <xf numFmtId="0" fontId="11" fillId="0" borderId="6" xfId="0" applyFont="1" applyBorder="1"/>
    <xf numFmtId="0" fontId="22" fillId="0" borderId="6" xfId="1" applyFont="1" applyBorder="1"/>
    <xf numFmtId="0" fontId="90" fillId="0" borderId="6" xfId="1" applyFont="1" applyBorder="1" applyAlignment="1"/>
    <xf numFmtId="0" fontId="32" fillId="0" borderId="6" xfId="1" applyFont="1" applyBorder="1"/>
    <xf numFmtId="0" fontId="40" fillId="0" borderId="6" xfId="1" applyFont="1" applyBorder="1" applyAlignment="1"/>
    <xf numFmtId="170" fontId="11" fillId="0" borderId="0" xfId="1" applyNumberFormat="1" applyFont="1" applyBorder="1"/>
    <xf numFmtId="173" fontId="11" fillId="0" borderId="0" xfId="1" applyNumberFormat="1" applyFont="1" applyBorder="1"/>
    <xf numFmtId="0" fontId="92" fillId="0" borderId="0" xfId="12" applyFont="1" applyFill="1" applyBorder="1" applyAlignment="1">
      <alignment horizontal="left"/>
    </xf>
    <xf numFmtId="0" fontId="59" fillId="0" borderId="0" xfId="12" applyFont="1" applyFill="1" applyBorder="1" applyAlignment="1">
      <alignment horizontal="right"/>
    </xf>
    <xf numFmtId="0" fontId="59" fillId="0" borderId="7" xfId="12" applyFont="1" applyFill="1" applyBorder="1" applyAlignment="1">
      <alignment horizontal="left"/>
    </xf>
    <xf numFmtId="0" fontId="59" fillId="0" borderId="0" xfId="12" applyFont="1" applyFill="1" applyBorder="1" applyAlignment="1">
      <alignment horizontal="left"/>
    </xf>
    <xf numFmtId="9" fontId="0" fillId="0" borderId="0" xfId="4" applyFont="1" applyBorder="1"/>
    <xf numFmtId="0" fontId="59" fillId="0" borderId="9" xfId="12" applyFont="1" applyFill="1" applyBorder="1" applyAlignment="1">
      <alignment horizontal="left" vertical="center"/>
    </xf>
    <xf numFmtId="0" fontId="59" fillId="0" borderId="9" xfId="12" applyFont="1" applyFill="1" applyBorder="1" applyAlignment="1">
      <alignment horizontal="center" vertical="center"/>
    </xf>
    <xf numFmtId="2" fontId="59" fillId="0" borderId="9" xfId="12" applyNumberFormat="1" applyFont="1" applyFill="1" applyBorder="1" applyAlignment="1">
      <alignment horizontal="right" vertical="center"/>
    </xf>
    <xf numFmtId="0" fontId="25" fillId="0" borderId="0" xfId="1" applyFont="1" applyFill="1" applyBorder="1"/>
    <xf numFmtId="0" fontId="25" fillId="0" borderId="3" xfId="1" applyFont="1" applyFill="1" applyBorder="1"/>
    <xf numFmtId="0" fontId="11" fillId="0" borderId="4" xfId="1" applyFill="1" applyBorder="1" applyAlignment="1">
      <alignment wrapText="1"/>
    </xf>
    <xf numFmtId="0" fontId="12" fillId="0" borderId="6" xfId="1" applyFont="1" applyFill="1" applyBorder="1"/>
    <xf numFmtId="1" fontId="11" fillId="2" borderId="0" xfId="1" applyNumberFormat="1" applyFill="1" applyBorder="1"/>
    <xf numFmtId="2" fontId="11" fillId="6" borderId="0" xfId="1" applyNumberFormat="1" applyFill="1" applyBorder="1" applyAlignment="1">
      <alignment horizontal="right"/>
    </xf>
    <xf numFmtId="2" fontId="11" fillId="0" borderId="0" xfId="1" applyNumberFormat="1" applyFill="1" applyBorder="1" applyAlignment="1">
      <alignment wrapText="1"/>
    </xf>
    <xf numFmtId="170" fontId="11" fillId="0" borderId="0" xfId="1" applyNumberFormat="1" applyFill="1" applyBorder="1" applyAlignment="1">
      <alignment wrapText="1"/>
    </xf>
    <xf numFmtId="2" fontId="11" fillId="0" borderId="0" xfId="1" applyNumberFormat="1" applyFill="1" applyBorder="1" applyAlignment="1">
      <alignment horizontal="left" wrapText="1"/>
    </xf>
    <xf numFmtId="0" fontId="11" fillId="0" borderId="0" xfId="1" applyFont="1" applyFill="1" applyBorder="1" applyAlignment="1">
      <alignment horizontal="right" wrapText="1"/>
    </xf>
    <xf numFmtId="0" fontId="11" fillId="0" borderId="6" xfId="1" applyBorder="1" applyAlignment="1">
      <alignment vertical="top"/>
    </xf>
    <xf numFmtId="0" fontId="11" fillId="0" borderId="0" xfId="1" applyFont="1" applyBorder="1" applyAlignment="1">
      <alignment vertical="top"/>
    </xf>
    <xf numFmtId="0" fontId="11" fillId="0" borderId="0" xfId="1" applyBorder="1" applyAlignment="1">
      <alignment vertical="top"/>
    </xf>
    <xf numFmtId="3" fontId="11" fillId="2" borderId="0" xfId="1" applyNumberFormat="1" applyFill="1" applyBorder="1" applyAlignment="1">
      <alignment vertical="top"/>
    </xf>
    <xf numFmtId="0" fontId="11" fillId="0" borderId="0" xfId="1" applyFill="1" applyBorder="1" applyAlignment="1">
      <alignment vertical="top" wrapText="1"/>
    </xf>
    <xf numFmtId="169" fontId="11" fillId="6" borderId="0" xfId="1" applyNumberFormat="1" applyFill="1" applyBorder="1" applyAlignment="1">
      <alignment vertical="top"/>
    </xf>
    <xf numFmtId="0" fontId="11" fillId="6" borderId="0" xfId="1" applyFill="1" applyBorder="1" applyAlignment="1">
      <alignment vertical="top"/>
    </xf>
    <xf numFmtId="0" fontId="11" fillId="0" borderId="0" xfId="1" applyBorder="1" applyAlignment="1">
      <alignment vertical="top" wrapText="1"/>
    </xf>
    <xf numFmtId="0" fontId="28" fillId="0" borderId="0" xfId="1" applyFont="1" applyBorder="1" applyAlignment="1">
      <alignment vertical="top"/>
    </xf>
    <xf numFmtId="168" fontId="97" fillId="0" borderId="0" xfId="1" applyNumberFormat="1" applyFont="1" applyBorder="1"/>
    <xf numFmtId="2" fontId="11" fillId="0" borderId="0" xfId="1" applyNumberFormat="1" applyBorder="1" applyAlignment="1">
      <alignment vertical="top"/>
    </xf>
    <xf numFmtId="0" fontId="15" fillId="0" borderId="0" xfId="1" applyFont="1" applyBorder="1" applyAlignment="1">
      <alignment vertical="top"/>
    </xf>
    <xf numFmtId="170" fontId="15" fillId="0" borderId="0" xfId="1" applyNumberFormat="1" applyFont="1" applyBorder="1" applyAlignment="1">
      <alignment vertical="top"/>
    </xf>
    <xf numFmtId="0" fontId="15" fillId="0" borderId="6" xfId="1" applyFont="1" applyBorder="1" applyAlignment="1">
      <alignment vertical="top"/>
    </xf>
    <xf numFmtId="0" fontId="12" fillId="0" borderId="0" xfId="1" applyFont="1" applyFill="1" applyBorder="1" applyAlignment="1">
      <alignment vertical="top" wrapText="1"/>
    </xf>
    <xf numFmtId="3" fontId="11" fillId="6" borderId="0" xfId="1" applyNumberFormat="1" applyFill="1" applyBorder="1" applyAlignment="1">
      <alignment vertical="top"/>
    </xf>
    <xf numFmtId="2" fontId="11" fillId="6" borderId="0" xfId="1" applyNumberFormat="1" applyFill="1" applyBorder="1" applyAlignment="1">
      <alignment vertical="top"/>
    </xf>
    <xf numFmtId="170" fontId="11" fillId="0" borderId="0" xfId="1" applyNumberFormat="1" applyFont="1" applyFill="1" applyBorder="1" applyAlignment="1">
      <alignment horizontal="right"/>
    </xf>
    <xf numFmtId="170" fontId="11" fillId="0" borderId="0" xfId="1" applyNumberFormat="1" applyFill="1" applyBorder="1" applyAlignment="1">
      <alignment horizontal="right"/>
    </xf>
    <xf numFmtId="168" fontId="11" fillId="0" borderId="0" xfId="1" applyNumberFormat="1" applyFill="1" applyBorder="1"/>
    <xf numFmtId="170" fontId="15" fillId="0" borderId="0" xfId="1" applyNumberFormat="1" applyFont="1" applyBorder="1"/>
    <xf numFmtId="167" fontId="11" fillId="6" borderId="0" xfId="1" applyNumberFormat="1" applyFill="1" applyBorder="1" applyAlignment="1">
      <alignment vertical="top"/>
    </xf>
    <xf numFmtId="169" fontId="11" fillId="0" borderId="0" xfId="1" applyNumberFormat="1" applyBorder="1" applyAlignment="1">
      <alignment vertical="top"/>
    </xf>
    <xf numFmtId="169" fontId="11" fillId="6" borderId="0" xfId="1" applyNumberFormat="1" applyFont="1" applyFill="1" applyBorder="1" applyAlignment="1">
      <alignment vertical="top"/>
    </xf>
    <xf numFmtId="3" fontId="11" fillId="6" borderId="0" xfId="1" applyNumberFormat="1" applyFont="1" applyFill="1" applyBorder="1" applyAlignment="1">
      <alignment vertical="top"/>
    </xf>
    <xf numFmtId="170" fontId="11" fillId="6" borderId="0" xfId="1" applyNumberFormat="1" applyFont="1" applyFill="1" applyBorder="1" applyAlignment="1">
      <alignment vertical="top"/>
    </xf>
    <xf numFmtId="2" fontId="11" fillId="6" borderId="0" xfId="1" applyNumberFormat="1" applyFont="1" applyFill="1" applyBorder="1" applyAlignment="1">
      <alignment vertical="top"/>
    </xf>
    <xf numFmtId="167" fontId="11" fillId="6" borderId="0" xfId="1" applyNumberFormat="1" applyFont="1" applyFill="1" applyBorder="1" applyAlignment="1">
      <alignment vertical="top"/>
    </xf>
    <xf numFmtId="167" fontId="11" fillId="0" borderId="0" xfId="1" applyNumberFormat="1" applyFont="1" applyFill="1" applyBorder="1" applyAlignment="1">
      <alignment vertical="top"/>
    </xf>
    <xf numFmtId="2" fontId="11" fillId="0" borderId="0" xfId="1" applyNumberFormat="1" applyFont="1" applyFill="1" applyBorder="1" applyAlignment="1">
      <alignment vertical="top"/>
    </xf>
    <xf numFmtId="0" fontId="11" fillId="0" borderId="0" xfId="1" applyFont="1" applyBorder="1" applyAlignment="1">
      <alignment vertical="top" wrapText="1"/>
    </xf>
    <xf numFmtId="3" fontId="11" fillId="0" borderId="0" xfId="1" applyNumberFormat="1" applyFont="1" applyFill="1" applyBorder="1" applyAlignment="1">
      <alignment vertical="top"/>
    </xf>
    <xf numFmtId="169" fontId="11" fillId="0" borderId="0" xfId="1" applyNumberFormat="1" applyFont="1" applyFill="1" applyBorder="1" applyAlignment="1">
      <alignment vertical="top"/>
    </xf>
    <xf numFmtId="167" fontId="11" fillId="0" borderId="0" xfId="1" applyNumberFormat="1" applyFont="1" applyBorder="1" applyAlignment="1">
      <alignment vertical="top"/>
    </xf>
    <xf numFmtId="0" fontId="11" fillId="0" borderId="6" xfId="1" applyFont="1" applyBorder="1" applyAlignment="1">
      <alignment vertical="top"/>
    </xf>
    <xf numFmtId="2" fontId="11" fillId="0" borderId="0" xfId="1" applyNumberFormat="1" applyFill="1" applyBorder="1" applyAlignment="1">
      <alignment horizontal="right" vertical="top"/>
    </xf>
    <xf numFmtId="2" fontId="11" fillId="0" borderId="0" xfId="1" applyNumberFormat="1" applyFont="1" applyBorder="1" applyAlignment="1">
      <alignment horizontal="right"/>
    </xf>
    <xf numFmtId="2" fontId="11" fillId="0" borderId="0" xfId="1" applyNumberFormat="1" applyFill="1" applyBorder="1" applyAlignment="1">
      <alignment horizontal="right"/>
    </xf>
    <xf numFmtId="0" fontId="11" fillId="0" borderId="9" xfId="1" applyFill="1" applyBorder="1" applyAlignment="1">
      <alignment horizontal="left"/>
    </xf>
    <xf numFmtId="2" fontId="11" fillId="0" borderId="9" xfId="1" applyNumberFormat="1" applyFill="1" applyBorder="1" applyAlignment="1">
      <alignment horizontal="right"/>
    </xf>
    <xf numFmtId="2" fontId="11" fillId="0" borderId="9" xfId="1" applyNumberFormat="1" applyFill="1" applyBorder="1" applyAlignment="1">
      <alignment horizontal="right" wrapText="1"/>
    </xf>
    <xf numFmtId="2" fontId="11" fillId="0" borderId="9" xfId="1" applyNumberFormat="1" applyFont="1" applyBorder="1" applyAlignment="1">
      <alignment horizontal="right"/>
    </xf>
    <xf numFmtId="0" fontId="11" fillId="0" borderId="4" xfId="1" applyFont="1" applyBorder="1"/>
    <xf numFmtId="0" fontId="11" fillId="0" borderId="5" xfId="1" applyFont="1" applyBorder="1"/>
    <xf numFmtId="0" fontId="23" fillId="0" borderId="6" xfId="1" applyFont="1" applyFill="1" applyBorder="1"/>
    <xf numFmtId="167" fontId="11" fillId="6" borderId="0" xfId="1" applyNumberFormat="1" applyFont="1" applyFill="1" applyBorder="1"/>
    <xf numFmtId="2" fontId="11" fillId="6" borderId="0" xfId="1" applyNumberFormat="1" applyFont="1" applyFill="1" applyBorder="1"/>
    <xf numFmtId="2" fontId="11" fillId="0" borderId="7" xfId="1" applyNumberFormat="1" applyFont="1" applyBorder="1"/>
    <xf numFmtId="2" fontId="15" fillId="0" borderId="6" xfId="1" applyNumberFormat="1" applyFont="1" applyBorder="1"/>
    <xf numFmtId="167" fontId="11" fillId="0" borderId="7" xfId="1" applyNumberFormat="1" applyFont="1" applyBorder="1"/>
    <xf numFmtId="0" fontId="15" fillId="0" borderId="4" xfId="1" applyFont="1" applyBorder="1" applyAlignment="1">
      <alignment horizontal="center"/>
    </xf>
    <xf numFmtId="0" fontId="15" fillId="0" borderId="0" xfId="1" applyFont="1" applyBorder="1" applyAlignment="1">
      <alignment horizontal="center"/>
    </xf>
    <xf numFmtId="0" fontId="16" fillId="0" borderId="6" xfId="1" applyFont="1" applyBorder="1"/>
    <xf numFmtId="0" fontId="15" fillId="0" borderId="0" xfId="1" applyFont="1" applyFill="1" applyBorder="1" applyAlignment="1">
      <alignment horizontal="center"/>
    </xf>
    <xf numFmtId="0" fontId="15" fillId="0" borderId="6" xfId="1" applyFont="1" applyBorder="1" applyAlignment="1">
      <alignment horizontal="right"/>
    </xf>
    <xf numFmtId="167" fontId="15" fillId="0" borderId="0" xfId="1" applyNumberFormat="1" applyFont="1" applyBorder="1" applyAlignment="1">
      <alignment horizontal="center"/>
    </xf>
    <xf numFmtId="167" fontId="15" fillId="0" borderId="0" xfId="1" applyNumberFormat="1" applyFont="1" applyFill="1" applyBorder="1" applyAlignment="1">
      <alignment horizontal="center"/>
    </xf>
    <xf numFmtId="0" fontId="15" fillId="0" borderId="7" xfId="1" applyFont="1" applyBorder="1" applyAlignment="1">
      <alignment horizontal="center"/>
    </xf>
    <xf numFmtId="0" fontId="94" fillId="0" borderId="0" xfId="1" applyFont="1" applyBorder="1" applyAlignment="1">
      <alignment horizontal="center"/>
    </xf>
    <xf numFmtId="0" fontId="94" fillId="0" borderId="0" xfId="1" applyFont="1" applyBorder="1"/>
    <xf numFmtId="0" fontId="15" fillId="0" borderId="7" xfId="1" applyFont="1" applyBorder="1"/>
    <xf numFmtId="2" fontId="11" fillId="0" borderId="6" xfId="1" applyNumberFormat="1" applyFont="1" applyBorder="1"/>
    <xf numFmtId="2" fontId="11" fillId="0" borderId="6" xfId="1" applyNumberFormat="1" applyFont="1" applyFill="1" applyBorder="1"/>
    <xf numFmtId="177" fontId="11" fillId="0" borderId="0" xfId="1" applyNumberFormat="1" applyFont="1" applyFill="1" applyBorder="1"/>
    <xf numFmtId="177" fontId="11" fillId="0" borderId="0" xfId="1" applyNumberFormat="1" applyFont="1" applyBorder="1"/>
    <xf numFmtId="0" fontId="11" fillId="2" borderId="4" xfId="1" applyFill="1" applyBorder="1"/>
    <xf numFmtId="0" fontId="12" fillId="0" borderId="6" xfId="1" applyFont="1" applyFill="1" applyBorder="1" applyAlignment="1">
      <alignment horizontal="right"/>
    </xf>
    <xf numFmtId="2" fontId="12" fillId="0" borderId="0" xfId="1" applyNumberFormat="1" applyFont="1" applyFill="1" applyBorder="1" applyAlignment="1">
      <alignment horizontal="center"/>
    </xf>
    <xf numFmtId="0" fontId="15" fillId="0" borderId="6" xfId="1" applyFont="1" applyFill="1" applyBorder="1" applyAlignment="1">
      <alignment horizontal="right"/>
    </xf>
    <xf numFmtId="167" fontId="11" fillId="0" borderId="6" xfId="1" applyNumberFormat="1" applyFont="1" applyFill="1" applyBorder="1"/>
    <xf numFmtId="2" fontId="11" fillId="0" borderId="6" xfId="1" applyNumberFormat="1" applyFont="1" applyFill="1" applyBorder="1" applyAlignment="1">
      <alignment horizontal="right"/>
    </xf>
    <xf numFmtId="0" fontId="11" fillId="0" borderId="9" xfId="1" applyFill="1" applyBorder="1" applyAlignment="1">
      <alignment wrapText="1"/>
    </xf>
    <xf numFmtId="0" fontId="16" fillId="0" borderId="0" xfId="1" applyFont="1" applyFill="1" applyBorder="1"/>
    <xf numFmtId="2" fontId="16" fillId="0" borderId="6" xfId="1" applyNumberFormat="1" applyFont="1" applyBorder="1"/>
    <xf numFmtId="0" fontId="11" fillId="0" borderId="4" xfId="1" applyFill="1" applyBorder="1" applyAlignment="1">
      <alignment horizontal="left"/>
    </xf>
    <xf numFmtId="0" fontId="11" fillId="0" borderId="0" xfId="1" applyFont="1" applyBorder="1" applyAlignment="1">
      <alignment horizontal="right"/>
    </xf>
    <xf numFmtId="167" fontId="11" fillId="6" borderId="0" xfId="1" applyNumberFormat="1" applyFill="1" applyBorder="1" applyAlignment="1">
      <alignment horizontal="right"/>
    </xf>
    <xf numFmtId="164" fontId="11" fillId="0" borderId="0" xfId="1" applyNumberFormat="1" applyFont="1" applyFill="1" applyBorder="1" applyAlignment="1">
      <alignment horizontal="right"/>
    </xf>
    <xf numFmtId="4" fontId="11" fillId="6" borderId="0" xfId="1" applyNumberFormat="1" applyFont="1" applyFill="1" applyBorder="1" applyAlignment="1">
      <alignment horizontal="right"/>
    </xf>
    <xf numFmtId="4" fontId="11" fillId="6" borderId="0" xfId="1" applyNumberFormat="1" applyFill="1" applyBorder="1" applyAlignment="1">
      <alignment horizontal="right"/>
    </xf>
    <xf numFmtId="2" fontId="0" fillId="2" borderId="0" xfId="4" applyNumberFormat="1" applyFont="1" applyFill="1" applyBorder="1" applyAlignment="1">
      <alignment horizontal="right"/>
    </xf>
    <xf numFmtId="2" fontId="0" fillId="6" borderId="0" xfId="4" applyNumberFormat="1" applyFont="1" applyFill="1" applyBorder="1" applyAlignment="1">
      <alignment horizontal="right"/>
    </xf>
    <xf numFmtId="2" fontId="11" fillId="3" borderId="0" xfId="1" applyNumberFormat="1" applyFill="1" applyBorder="1" applyAlignment="1">
      <alignment horizontal="center"/>
    </xf>
    <xf numFmtId="2" fontId="11" fillId="6" borderId="0" xfId="1" applyNumberFormat="1" applyFill="1" applyBorder="1"/>
    <xf numFmtId="3" fontId="0" fillId="0" borderId="0" xfId="14" applyNumberFormat="1" applyFont="1" applyFill="1" applyBorder="1" applyAlignment="1">
      <alignment horizontal="left"/>
    </xf>
    <xf numFmtId="0" fontId="98" fillId="0" borderId="0" xfId="1" applyFont="1" applyFill="1" applyBorder="1"/>
    <xf numFmtId="0" fontId="100" fillId="0" borderId="0" xfId="1" applyFont="1" applyBorder="1" applyAlignment="1">
      <alignment horizontal="center"/>
    </xf>
    <xf numFmtId="1" fontId="11" fillId="0" borderId="0" xfId="1" applyNumberFormat="1" applyBorder="1"/>
    <xf numFmtId="0" fontId="23" fillId="0" borderId="0" xfId="1" applyFont="1" applyBorder="1" applyAlignment="1">
      <alignment horizontal="center"/>
    </xf>
    <xf numFmtId="167" fontId="11" fillId="0" borderId="0" xfId="1" applyNumberFormat="1" applyFill="1" applyBorder="1" applyAlignment="1">
      <alignment horizontal="left"/>
    </xf>
    <xf numFmtId="175" fontId="0" fillId="0" borderId="0" xfId="4" applyNumberFormat="1" applyFont="1" applyFill="1" applyBorder="1"/>
    <xf numFmtId="166" fontId="11" fillId="0" borderId="0" xfId="1" applyNumberFormat="1" applyBorder="1"/>
    <xf numFmtId="168" fontId="0" fillId="0" borderId="0" xfId="4" applyNumberFormat="1" applyFont="1" applyFill="1" applyBorder="1"/>
    <xf numFmtId="174" fontId="0" fillId="0" borderId="0" xfId="4" applyNumberFormat="1" applyFont="1" applyFill="1" applyBorder="1"/>
    <xf numFmtId="167" fontId="15" fillId="0" borderId="0" xfId="1" applyNumberFormat="1" applyFont="1" applyFill="1" applyBorder="1" applyAlignment="1">
      <alignment horizontal="left"/>
    </xf>
    <xf numFmtId="170" fontId="15" fillId="0" borderId="0" xfId="1" applyNumberFormat="1" applyFont="1" applyFill="1" applyBorder="1"/>
    <xf numFmtId="2" fontId="11" fillId="0" borderId="0" xfId="1" applyNumberFormat="1" applyFill="1" applyBorder="1" applyAlignment="1">
      <alignment horizontal="left"/>
    </xf>
    <xf numFmtId="170" fontId="0" fillId="0" borderId="0" xfId="4" applyNumberFormat="1" applyFont="1" applyFill="1" applyBorder="1"/>
    <xf numFmtId="171" fontId="0" fillId="0" borderId="0" xfId="4" applyNumberFormat="1" applyFont="1" applyFill="1" applyBorder="1"/>
    <xf numFmtId="0" fontId="11" fillId="0" borderId="9" xfId="1" applyBorder="1" applyAlignment="1">
      <alignment horizontal="left"/>
    </xf>
    <xf numFmtId="16" fontId="11" fillId="0" borderId="0" xfId="1" applyNumberFormat="1" applyFill="1" applyBorder="1" applyAlignment="1">
      <alignment horizontal="left"/>
    </xf>
    <xf numFmtId="0" fontId="25" fillId="0" borderId="3" xfId="1" applyFont="1" applyBorder="1"/>
    <xf numFmtId="170" fontId="11" fillId="0" borderId="9" xfId="1" applyNumberFormat="1" applyFill="1" applyBorder="1"/>
    <xf numFmtId="2" fontId="11" fillId="0" borderId="9" xfId="1" applyNumberFormat="1" applyFill="1" applyBorder="1"/>
    <xf numFmtId="0" fontId="12" fillId="0" borderId="6" xfId="1" applyFont="1" applyBorder="1" applyAlignment="1">
      <alignment horizontal="center"/>
    </xf>
    <xf numFmtId="0" fontId="98" fillId="0" borderId="7" xfId="1" applyFont="1" applyFill="1" applyBorder="1"/>
    <xf numFmtId="169" fontId="11" fillId="0" borderId="7" xfId="1" applyNumberFormat="1" applyFill="1" applyBorder="1"/>
    <xf numFmtId="1" fontId="11" fillId="0" borderId="9" xfId="1" applyNumberFormat="1" applyBorder="1"/>
    <xf numFmtId="2" fontId="11" fillId="0" borderId="9" xfId="1" applyNumberFormat="1" applyBorder="1"/>
    <xf numFmtId="169" fontId="11" fillId="0" borderId="10" xfId="1" applyNumberFormat="1" applyFill="1" applyBorder="1"/>
    <xf numFmtId="171" fontId="11" fillId="0" borderId="9" xfId="1" applyNumberFormat="1" applyFill="1" applyBorder="1"/>
    <xf numFmtId="0" fontId="16" fillId="0" borderId="0" xfId="1" applyFont="1" applyBorder="1"/>
    <xf numFmtId="173" fontId="12" fillId="0" borderId="0" xfId="1" applyNumberFormat="1" applyFont="1" applyFill="1" applyBorder="1"/>
    <xf numFmtId="1" fontId="11" fillId="4" borderId="0" xfId="4" applyNumberFormat="1" applyFont="1" applyFill="1" applyBorder="1" applyAlignment="1">
      <alignment horizontal="right"/>
    </xf>
    <xf numFmtId="170" fontId="15" fillId="5" borderId="0" xfId="1" applyNumberFormat="1" applyFont="1" applyFill="1" applyBorder="1"/>
    <xf numFmtId="1" fontId="11" fillId="0" borderId="0" xfId="1" applyNumberFormat="1" applyFont="1" applyFill="1" applyBorder="1"/>
    <xf numFmtId="169" fontId="11" fillId="4" borderId="0" xfId="1" applyNumberFormat="1" applyFont="1" applyFill="1" applyBorder="1" applyAlignment="1">
      <alignment horizontal="right"/>
    </xf>
    <xf numFmtId="167" fontId="11" fillId="4" borderId="0" xfId="1" applyNumberFormat="1" applyFont="1" applyFill="1" applyBorder="1" applyAlignment="1">
      <alignment horizontal="right"/>
    </xf>
    <xf numFmtId="0" fontId="22" fillId="0" borderId="4" xfId="1" applyFont="1" applyFill="1" applyBorder="1"/>
    <xf numFmtId="167" fontId="11" fillId="0" borderId="0" xfId="1" applyNumberFormat="1" applyBorder="1" applyAlignment="1">
      <alignment horizontal="left"/>
    </xf>
    <xf numFmtId="167" fontId="11" fillId="0" borderId="9" xfId="1" applyNumberFormat="1" applyBorder="1" applyAlignment="1">
      <alignment horizontal="left"/>
    </xf>
    <xf numFmtId="170" fontId="11" fillId="0" borderId="9" xfId="1" applyNumberFormat="1" applyBorder="1"/>
    <xf numFmtId="165" fontId="11" fillId="0" borderId="0" xfId="1" applyNumberFormat="1" applyFill="1" applyBorder="1" applyAlignment="1">
      <alignment horizontal="right"/>
    </xf>
    <xf numFmtId="3" fontId="0" fillId="0" borderId="0" xfId="14" applyNumberFormat="1" applyFont="1" applyFill="1" applyBorder="1" applyAlignment="1">
      <alignment horizontal="right"/>
    </xf>
    <xf numFmtId="169" fontId="0" fillId="0" borderId="8" xfId="0" applyNumberFormat="1" applyBorder="1"/>
    <xf numFmtId="169" fontId="0" fillId="0" borderId="9" xfId="0" applyNumberFormat="1" applyBorder="1"/>
    <xf numFmtId="164" fontId="11" fillId="0" borderId="10" xfId="0" applyNumberFormat="1" applyFont="1" applyFill="1" applyBorder="1"/>
    <xf numFmtId="3" fontId="11" fillId="0" borderId="0" xfId="0" applyNumberFormat="1" applyFont="1" applyFill="1" applyBorder="1"/>
    <xf numFmtId="0" fontId="16" fillId="5" borderId="0" xfId="0" applyFont="1" applyFill="1" applyBorder="1"/>
    <xf numFmtId="0" fontId="15" fillId="5" borderId="0" xfId="0" applyFont="1" applyFill="1" applyBorder="1"/>
    <xf numFmtId="170" fontId="0" fillId="6" borderId="0" xfId="0" applyNumberFormat="1" applyFill="1" applyBorder="1"/>
    <xf numFmtId="0" fontId="11" fillId="3" borderId="0" xfId="0" applyFont="1" applyFill="1" applyBorder="1" applyAlignment="1">
      <alignment horizontal="left"/>
    </xf>
    <xf numFmtId="0" fontId="23" fillId="0" borderId="6" xfId="1" applyFont="1" applyFill="1" applyBorder="1" applyAlignment="1">
      <alignment wrapText="1"/>
    </xf>
    <xf numFmtId="2" fontId="16" fillId="0" borderId="6" xfId="1" applyNumberFormat="1" applyFont="1" applyFill="1" applyBorder="1" applyAlignment="1">
      <alignment wrapText="1"/>
    </xf>
    <xf numFmtId="0" fontId="11" fillId="0" borderId="6" xfId="1" applyFill="1" applyBorder="1" applyAlignment="1">
      <alignment wrapText="1"/>
    </xf>
    <xf numFmtId="0" fontId="28" fillId="0" borderId="21" xfId="1" applyFont="1" applyBorder="1" applyAlignment="1">
      <alignment wrapText="1"/>
    </xf>
    <xf numFmtId="9" fontId="11" fillId="0" borderId="0" xfId="4" applyFont="1" applyBorder="1"/>
    <xf numFmtId="165" fontId="11" fillId="0" borderId="11" xfId="1" applyNumberFormat="1" applyFont="1" applyFill="1" applyBorder="1"/>
    <xf numFmtId="166" fontId="15" fillId="0" borderId="0" xfId="0" applyNumberFormat="1" applyFont="1" applyFill="1" applyBorder="1"/>
    <xf numFmtId="0" fontId="25" fillId="5" borderId="3" xfId="1" applyFont="1" applyFill="1" applyBorder="1" applyAlignment="1"/>
    <xf numFmtId="0" fontId="15" fillId="5" borderId="4" xfId="1" applyFont="1" applyFill="1" applyBorder="1" applyAlignment="1"/>
    <xf numFmtId="0" fontId="38" fillId="5" borderId="4" xfId="0" applyFont="1" applyFill="1" applyBorder="1" applyAlignment="1"/>
    <xf numFmtId="0" fontId="11" fillId="5" borderId="4" xfId="0" applyFont="1" applyFill="1" applyBorder="1" applyAlignment="1"/>
    <xf numFmtId="0" fontId="11" fillId="5" borderId="5" xfId="0" applyFont="1" applyFill="1" applyBorder="1" applyAlignment="1"/>
    <xf numFmtId="0" fontId="11" fillId="5" borderId="6" xfId="0" applyFont="1" applyFill="1" applyBorder="1" applyAlignment="1"/>
    <xf numFmtId="0" fontId="12" fillId="5" borderId="6" xfId="0" applyFont="1" applyFill="1" applyBorder="1" applyAlignment="1"/>
    <xf numFmtId="0" fontId="13" fillId="5" borderId="6" xfId="0" applyFont="1" applyFill="1" applyBorder="1" applyAlignment="1"/>
    <xf numFmtId="0" fontId="38" fillId="5" borderId="6" xfId="0" applyFont="1" applyFill="1" applyBorder="1" applyAlignment="1"/>
    <xf numFmtId="0" fontId="38" fillId="5" borderId="8" xfId="0" applyFont="1" applyFill="1" applyBorder="1" applyAlignment="1"/>
    <xf numFmtId="0" fontId="15" fillId="5" borderId="9" xfId="0" applyFont="1" applyFill="1" applyBorder="1" applyAlignment="1"/>
    <xf numFmtId="165" fontId="15" fillId="5" borderId="9" xfId="0" applyNumberFormat="1" applyFont="1" applyFill="1" applyBorder="1" applyAlignment="1"/>
    <xf numFmtId="165" fontId="15" fillId="5" borderId="10" xfId="0" applyNumberFormat="1" applyFont="1" applyFill="1" applyBorder="1" applyAlignment="1"/>
    <xf numFmtId="164" fontId="11" fillId="6" borderId="0" xfId="0" applyNumberFormat="1" applyFont="1" applyFill="1" applyBorder="1" applyAlignment="1"/>
    <xf numFmtId="0" fontId="12" fillId="0" borderId="0" xfId="1" applyFont="1"/>
    <xf numFmtId="0" fontId="12" fillId="0" borderId="0" xfId="1" applyFont="1" applyFill="1" applyAlignment="1">
      <alignment wrapText="1"/>
    </xf>
    <xf numFmtId="0" fontId="11" fillId="0" borderId="0" xfId="1" applyAlignment="1">
      <alignment vertical="top"/>
    </xf>
    <xf numFmtId="0" fontId="11" fillId="0" borderId="0" xfId="1" applyAlignment="1">
      <alignment vertical="top" wrapText="1"/>
    </xf>
    <xf numFmtId="0" fontId="11" fillId="0" borderId="0" xfId="1" applyFont="1" applyAlignment="1">
      <alignment vertical="top"/>
    </xf>
    <xf numFmtId="0" fontId="11" fillId="0" borderId="0" xfId="1" applyFont="1" applyAlignment="1">
      <alignment vertical="top" wrapText="1"/>
    </xf>
    <xf numFmtId="0" fontId="15" fillId="2" borderId="0" xfId="1" applyFont="1" applyFill="1" applyAlignment="1">
      <alignment vertical="top"/>
    </xf>
    <xf numFmtId="0" fontId="11" fillId="2" borderId="0" xfId="1" applyFont="1" applyFill="1" applyAlignment="1">
      <alignment vertical="top" wrapText="1"/>
    </xf>
    <xf numFmtId="0" fontId="15" fillId="6" borderId="0" xfId="1" applyFont="1" applyFill="1"/>
    <xf numFmtId="0" fontId="11" fillId="6" borderId="0" xfId="1" applyFont="1" applyFill="1" applyAlignment="1">
      <alignment wrapText="1"/>
    </xf>
    <xf numFmtId="0" fontId="11" fillId="0" borderId="0" xfId="1" applyAlignment="1">
      <alignment wrapText="1"/>
    </xf>
    <xf numFmtId="0" fontId="15" fillId="3" borderId="37" xfId="1" applyFont="1" applyFill="1" applyBorder="1"/>
    <xf numFmtId="0" fontId="11" fillId="3" borderId="38" xfId="1" applyFont="1" applyFill="1" applyBorder="1" applyAlignment="1">
      <alignment wrapText="1"/>
    </xf>
    <xf numFmtId="169" fontId="0" fillId="6" borderId="0" xfId="0" applyNumberFormat="1" applyFill="1"/>
    <xf numFmtId="170" fontId="11" fillId="7" borderId="0" xfId="1" applyNumberFormat="1" applyFont="1" applyFill="1" applyBorder="1"/>
    <xf numFmtId="169" fontId="11" fillId="0" borderId="0" xfId="1" applyNumberFormat="1" applyFont="1" applyFill="1" applyBorder="1" applyAlignment="1">
      <alignment horizontal="right"/>
    </xf>
    <xf numFmtId="0" fontId="115" fillId="0" borderId="0" xfId="0" applyFont="1" applyFill="1" applyBorder="1" applyAlignment="1">
      <alignment horizontal="left"/>
    </xf>
    <xf numFmtId="164" fontId="11" fillId="0" borderId="0" xfId="1" applyNumberFormat="1" applyBorder="1" applyAlignment="1">
      <alignment horizontal="right"/>
    </xf>
    <xf numFmtId="164" fontId="15" fillId="3" borderId="0" xfId="0" applyNumberFormat="1" applyFont="1" applyFill="1" applyBorder="1"/>
    <xf numFmtId="0" fontId="11" fillId="0" borderId="6" xfId="0" applyFont="1" applyBorder="1" applyAlignment="1"/>
    <xf numFmtId="0" fontId="0" fillId="0" borderId="0" xfId="0" applyFont="1" applyFill="1" applyBorder="1" applyAlignment="1"/>
    <xf numFmtId="167" fontId="0" fillId="6" borderId="0" xfId="0" applyNumberFormat="1" applyFill="1" applyBorder="1" applyAlignment="1"/>
    <xf numFmtId="167" fontId="11" fillId="5" borderId="0" xfId="0" applyNumberFormat="1" applyFont="1" applyFill="1" applyBorder="1"/>
    <xf numFmtId="0" fontId="12" fillId="5" borderId="0" xfId="0" applyFont="1" applyFill="1" applyBorder="1" applyAlignment="1">
      <alignment horizontal="center"/>
    </xf>
    <xf numFmtId="169" fontId="11" fillId="5" borderId="0" xfId="0" applyNumberFormat="1" applyFont="1" applyFill="1" applyBorder="1"/>
    <xf numFmtId="0" fontId="15" fillId="5" borderId="0" xfId="0" applyFont="1" applyFill="1" applyBorder="1" applyAlignment="1">
      <alignment horizontal="left"/>
    </xf>
    <xf numFmtId="0" fontId="22" fillId="0" borderId="3" xfId="1" applyFont="1" applyFill="1" applyBorder="1" applyAlignment="1"/>
    <xf numFmtId="0" fontId="32" fillId="0" borderId="6" xfId="1" applyFont="1" applyFill="1" applyBorder="1" applyAlignment="1"/>
    <xf numFmtId="0" fontId="25" fillId="0" borderId="6" xfId="0" applyFont="1" applyBorder="1"/>
    <xf numFmtId="167" fontId="15" fillId="3" borderId="0" xfId="0" applyNumberFormat="1" applyFont="1" applyFill="1" applyBorder="1"/>
    <xf numFmtId="164" fontId="11" fillId="3" borderId="10" xfId="1" applyNumberFormat="1" applyFill="1" applyBorder="1"/>
    <xf numFmtId="164" fontId="11" fillId="0" borderId="0" xfId="1" applyNumberFormat="1" applyFill="1"/>
    <xf numFmtId="167" fontId="11" fillId="2" borderId="0" xfId="1" applyNumberFormat="1" applyFill="1" applyBorder="1"/>
    <xf numFmtId="164" fontId="11" fillId="0" borderId="0" xfId="0" applyNumberFormat="1" applyFont="1"/>
    <xf numFmtId="165" fontId="11" fillId="0" borderId="0" xfId="0" applyNumberFormat="1" applyFont="1"/>
    <xf numFmtId="170" fontId="11" fillId="0" borderId="0" xfId="0" applyNumberFormat="1" applyFont="1"/>
    <xf numFmtId="165" fontId="15" fillId="0" borderId="0" xfId="0" applyNumberFormat="1" applyFont="1" applyFill="1" applyBorder="1"/>
    <xf numFmtId="11" fontId="0" fillId="0" borderId="0" xfId="0" applyNumberFormat="1" applyFont="1" applyFill="1" applyBorder="1"/>
    <xf numFmtId="169" fontId="11" fillId="2" borderId="6" xfId="1" applyNumberFormat="1" applyFont="1" applyFill="1" applyBorder="1" applyAlignment="1">
      <alignment wrapText="1"/>
    </xf>
    <xf numFmtId="9" fontId="11" fillId="2" borderId="6" xfId="1" applyNumberFormat="1" applyFont="1" applyFill="1" applyBorder="1" applyAlignment="1">
      <alignment wrapText="1"/>
    </xf>
    <xf numFmtId="164" fontId="11" fillId="2" borderId="6" xfId="1" applyNumberFormat="1" applyFont="1" applyFill="1" applyBorder="1" applyAlignment="1">
      <alignment wrapText="1"/>
    </xf>
    <xf numFmtId="9" fontId="11" fillId="2" borderId="6" xfId="1" applyNumberFormat="1" applyFill="1" applyBorder="1" applyAlignment="1">
      <alignment wrapText="1"/>
    </xf>
    <xf numFmtId="164" fontId="11" fillId="2" borderId="6" xfId="1" applyNumberFormat="1" applyFill="1" applyBorder="1" applyAlignment="1">
      <alignment wrapText="1"/>
    </xf>
    <xf numFmtId="169" fontId="11" fillId="8" borderId="0" xfId="1" applyNumberFormat="1" applyFont="1" applyFill="1" applyBorder="1" applyAlignment="1">
      <alignment wrapText="1"/>
    </xf>
    <xf numFmtId="0" fontId="12" fillId="0" borderId="0" xfId="1" applyFont="1" applyBorder="1" applyAlignment="1">
      <alignment horizontal="center"/>
    </xf>
    <xf numFmtId="169" fontId="11" fillId="7" borderId="0" xfId="0" applyNumberFormat="1" applyFont="1" applyFill="1" applyBorder="1"/>
    <xf numFmtId="169" fontId="0" fillId="6" borderId="0" xfId="0" applyNumberFormat="1" applyFill="1" applyBorder="1"/>
    <xf numFmtId="0" fontId="16" fillId="0" borderId="0" xfId="0" applyFont="1"/>
    <xf numFmtId="0" fontId="11" fillId="4" borderId="0" xfId="0" applyFont="1" applyFill="1"/>
    <xf numFmtId="0" fontId="11" fillId="4" borderId="0" xfId="1" applyFill="1"/>
    <xf numFmtId="0" fontId="28" fillId="0" borderId="0" xfId="0" applyFont="1"/>
    <xf numFmtId="164" fontId="11" fillId="4" borderId="0" xfId="0" applyNumberFormat="1" applyFont="1" applyFill="1"/>
    <xf numFmtId="169" fontId="11" fillId="4" borderId="0" xfId="0" applyNumberFormat="1" applyFont="1" applyFill="1"/>
    <xf numFmtId="169" fontId="11" fillId="4" borderId="0" xfId="1" applyNumberFormat="1" applyFill="1"/>
    <xf numFmtId="0" fontId="63" fillId="0" borderId="0" xfId="0" applyFont="1"/>
    <xf numFmtId="169" fontId="11" fillId="0" borderId="0" xfId="0" applyNumberFormat="1" applyFont="1"/>
    <xf numFmtId="167" fontId="0" fillId="0" borderId="0" xfId="0" applyNumberFormat="1"/>
    <xf numFmtId="0" fontId="0" fillId="0" borderId="0" xfId="0" applyFont="1" applyFill="1" applyBorder="1" applyAlignment="1">
      <alignment horizontal="left"/>
    </xf>
    <xf numFmtId="169" fontId="0" fillId="0" borderId="0" xfId="0" applyNumberFormat="1"/>
    <xf numFmtId="164" fontId="0" fillId="0" borderId="0" xfId="0" applyNumberFormat="1"/>
    <xf numFmtId="167" fontId="0" fillId="6" borderId="0" xfId="0" applyNumberFormat="1" applyFill="1"/>
    <xf numFmtId="170" fontId="11" fillId="2" borderId="0" xfId="1" applyNumberFormat="1" applyFill="1" applyBorder="1" applyAlignment="1">
      <alignment horizontal="right"/>
    </xf>
    <xf numFmtId="3" fontId="11" fillId="6" borderId="0" xfId="1" applyNumberFormat="1" applyFill="1" applyBorder="1" applyAlignment="1">
      <alignment horizontal="right"/>
    </xf>
    <xf numFmtId="170" fontId="11" fillId="6" borderId="0" xfId="1" applyNumberFormat="1" applyFill="1" applyBorder="1" applyAlignment="1">
      <alignment horizontal="right"/>
    </xf>
    <xf numFmtId="0" fontId="15" fillId="0" borderId="0" xfId="0" applyFont="1"/>
    <xf numFmtId="0" fontId="15" fillId="0" borderId="3" xfId="1" applyFont="1" applyBorder="1"/>
    <xf numFmtId="2" fontId="11" fillId="0" borderId="4" xfId="1" applyNumberFormat="1" applyBorder="1"/>
    <xf numFmtId="169" fontId="11" fillId="0" borderId="7" xfId="1" applyNumberFormat="1" applyBorder="1"/>
    <xf numFmtId="169" fontId="11" fillId="0" borderId="9" xfId="1" applyNumberFormat="1" applyBorder="1"/>
    <xf numFmtId="167" fontId="11" fillId="0" borderId="10" xfId="1" applyNumberFormat="1" applyBorder="1"/>
    <xf numFmtId="173" fontId="0" fillId="0" borderId="0" xfId="0" applyNumberFormat="1"/>
    <xf numFmtId="170" fontId="0" fillId="2" borderId="7" xfId="0" applyNumberFormat="1" applyFill="1" applyBorder="1"/>
    <xf numFmtId="0" fontId="8" fillId="3" borderId="0" xfId="8" applyFill="1" applyBorder="1"/>
    <xf numFmtId="0" fontId="11" fillId="2" borderId="6" xfId="8" applyFont="1" applyFill="1" applyBorder="1"/>
    <xf numFmtId="0" fontId="12" fillId="0" borderId="0" xfId="1" applyFont="1" applyBorder="1" applyAlignment="1">
      <alignment horizontal="center"/>
    </xf>
    <xf numFmtId="170" fontId="0" fillId="0" borderId="0" xfId="0" applyNumberFormat="1"/>
    <xf numFmtId="2" fontId="0" fillId="2" borderId="0" xfId="0" applyNumberFormat="1" applyFill="1"/>
    <xf numFmtId="167" fontId="0" fillId="2" borderId="0" xfId="0" applyNumberFormat="1" applyFill="1"/>
    <xf numFmtId="1" fontId="0" fillId="2" borderId="0" xfId="0" applyNumberFormat="1" applyFill="1" applyAlignment="1">
      <alignment horizontal="center"/>
    </xf>
    <xf numFmtId="0" fontId="98" fillId="0" borderId="0" xfId="0" applyFont="1"/>
    <xf numFmtId="0" fontId="119" fillId="0" borderId="0" xfId="0" applyFont="1"/>
    <xf numFmtId="0" fontId="98" fillId="0" borderId="0" xfId="0" applyFont="1" applyBorder="1"/>
    <xf numFmtId="167" fontId="11" fillId="2" borderId="0" xfId="0" applyNumberFormat="1" applyFont="1" applyFill="1" applyAlignment="1">
      <alignment horizontal="right"/>
    </xf>
    <xf numFmtId="9" fontId="0" fillId="0" borderId="0" xfId="7" applyFont="1" applyBorder="1"/>
    <xf numFmtId="0" fontId="0" fillId="3" borderId="6" xfId="0" applyFont="1" applyFill="1" applyBorder="1"/>
    <xf numFmtId="0" fontId="0" fillId="3" borderId="7" xfId="0" applyFill="1" applyBorder="1" applyAlignment="1">
      <alignment horizontal="right"/>
    </xf>
    <xf numFmtId="0" fontId="12" fillId="3" borderId="7" xfId="0" applyFont="1" applyFill="1" applyBorder="1" applyAlignment="1">
      <alignment horizontal="right"/>
    </xf>
    <xf numFmtId="0" fontId="11" fillId="6" borderId="7" xfId="0" applyFont="1" applyFill="1" applyBorder="1" applyAlignment="1">
      <alignment horizontal="right"/>
    </xf>
    <xf numFmtId="170" fontId="0" fillId="6" borderId="7" xfId="0" applyNumberFormat="1" applyFill="1" applyBorder="1"/>
    <xf numFmtId="169" fontId="15" fillId="3" borderId="7" xfId="0" applyNumberFormat="1" applyFont="1" applyFill="1" applyBorder="1" applyAlignment="1">
      <alignment horizontal="right"/>
    </xf>
    <xf numFmtId="0" fontId="0" fillId="6" borderId="7" xfId="0" applyFill="1" applyBorder="1"/>
    <xf numFmtId="167" fontId="0" fillId="3" borderId="7" xfId="0" applyNumberFormat="1" applyFill="1" applyBorder="1"/>
    <xf numFmtId="170" fontId="0" fillId="3" borderId="7" xfId="0" applyNumberFormat="1" applyFill="1" applyBorder="1"/>
    <xf numFmtId="164" fontId="0" fillId="3" borderId="7" xfId="0" applyNumberFormat="1" applyFill="1" applyBorder="1" applyAlignment="1">
      <alignment horizontal="right"/>
    </xf>
    <xf numFmtId="0" fontId="0" fillId="3" borderId="9" xfId="0" applyFont="1" applyFill="1" applyBorder="1"/>
    <xf numFmtId="167" fontId="0" fillId="0" borderId="0" xfId="0" applyNumberFormat="1" applyFill="1"/>
    <xf numFmtId="170" fontId="11" fillId="4" borderId="0" xfId="0" applyNumberFormat="1" applyFont="1" applyFill="1" applyBorder="1"/>
    <xf numFmtId="164" fontId="11" fillId="2" borderId="0" xfId="0" applyNumberFormat="1" applyFont="1" applyFill="1"/>
    <xf numFmtId="164" fontId="11" fillId="0" borderId="0" xfId="0" applyNumberFormat="1" applyFont="1" applyFill="1"/>
    <xf numFmtId="164" fontId="0" fillId="6" borderId="0" xfId="0" applyNumberFormat="1" applyFill="1"/>
    <xf numFmtId="164" fontId="0" fillId="0" borderId="0" xfId="0" applyNumberFormat="1" applyBorder="1" applyAlignment="1">
      <alignment horizontal="right"/>
    </xf>
    <xf numFmtId="164" fontId="0" fillId="6" borderId="0" xfId="0" applyNumberFormat="1" applyFill="1" applyBorder="1"/>
    <xf numFmtId="164" fontId="0" fillId="3" borderId="10" xfId="0" applyNumberFormat="1" applyFill="1" applyBorder="1"/>
    <xf numFmtId="0" fontId="0" fillId="6" borderId="7" xfId="0" applyFill="1" applyBorder="1" applyAlignment="1">
      <alignment horizontal="right"/>
    </xf>
    <xf numFmtId="1" fontId="11" fillId="0" borderId="0" xfId="0" applyNumberFormat="1" applyFont="1" applyFill="1" applyBorder="1" applyAlignment="1">
      <alignment horizontal="right"/>
    </xf>
    <xf numFmtId="0" fontId="12" fillId="0" borderId="0" xfId="0" applyFont="1" applyFill="1"/>
    <xf numFmtId="0" fontId="11" fillId="0" borderId="0" xfId="0" applyFont="1" applyFill="1"/>
    <xf numFmtId="2" fontId="0" fillId="0" borderId="0" xfId="0" applyNumberFormat="1" applyFill="1"/>
    <xf numFmtId="0" fontId="23" fillId="4" borderId="6" xfId="1" applyFont="1" applyFill="1" applyBorder="1"/>
    <xf numFmtId="167" fontId="11" fillId="4" borderId="0" xfId="0" applyNumberFormat="1" applyFont="1" applyFill="1"/>
    <xf numFmtId="3" fontId="11" fillId="4" borderId="0" xfId="0" applyNumberFormat="1" applyFont="1" applyFill="1"/>
    <xf numFmtId="1" fontId="11" fillId="4" borderId="0" xfId="0" applyNumberFormat="1" applyFont="1" applyFill="1"/>
    <xf numFmtId="0" fontId="11" fillId="0" borderId="0" xfId="0" applyFont="1" applyAlignment="1">
      <alignment wrapText="1"/>
    </xf>
    <xf numFmtId="170" fontId="11" fillId="4" borderId="0" xfId="0" applyNumberFormat="1" applyFont="1" applyFill="1"/>
    <xf numFmtId="165" fontId="11" fillId="0" borderId="0" xfId="0" applyNumberFormat="1" applyFont="1" applyAlignment="1">
      <alignment horizontal="right"/>
    </xf>
    <xf numFmtId="166" fontId="11" fillId="0" borderId="0" xfId="0" applyNumberFormat="1" applyFont="1"/>
    <xf numFmtId="166" fontId="11" fillId="4" borderId="0" xfId="0" applyNumberFormat="1" applyFont="1" applyFill="1"/>
    <xf numFmtId="169" fontId="11" fillId="6" borderId="0" xfId="1" applyNumberFormat="1" applyFill="1" applyBorder="1" applyAlignment="1">
      <alignment horizontal="right"/>
    </xf>
    <xf numFmtId="0" fontId="11" fillId="0" borderId="0" xfId="8" applyFont="1" applyFill="1"/>
    <xf numFmtId="0" fontId="34" fillId="0" borderId="0" xfId="8" applyFont="1" applyFill="1"/>
    <xf numFmtId="0" fontId="13" fillId="0" borderId="0" xfId="8" applyFont="1" applyFill="1"/>
    <xf numFmtId="3" fontId="11" fillId="0" borderId="0" xfId="1" applyNumberFormat="1" applyFill="1"/>
    <xf numFmtId="0" fontId="28" fillId="0" borderId="0" xfId="1" applyFont="1" applyFill="1"/>
    <xf numFmtId="0" fontId="11" fillId="4" borderId="7" xfId="1" applyFill="1" applyBorder="1"/>
    <xf numFmtId="2" fontId="11" fillId="4" borderId="7" xfId="1" applyNumberFormat="1" applyFill="1" applyBorder="1"/>
    <xf numFmtId="169" fontId="11" fillId="5" borderId="7" xfId="1" applyNumberFormat="1" applyFill="1" applyBorder="1"/>
    <xf numFmtId="169" fontId="11" fillId="4" borderId="7" xfId="1" applyNumberFormat="1" applyFill="1" applyBorder="1"/>
    <xf numFmtId="0" fontId="11" fillId="0" borderId="0" xfId="0" applyFont="1" applyFill="1" applyAlignment="1">
      <alignment horizontal="right"/>
    </xf>
    <xf numFmtId="0" fontId="117" fillId="0" borderId="0" xfId="0" applyFont="1"/>
    <xf numFmtId="169" fontId="15" fillId="3" borderId="7" xfId="0" applyNumberFormat="1" applyFont="1" applyFill="1" applyBorder="1"/>
    <xf numFmtId="170" fontId="11" fillId="3" borderId="0" xfId="0" applyNumberFormat="1" applyFont="1" applyFill="1"/>
    <xf numFmtId="2" fontId="11" fillId="4" borderId="0" xfId="1" applyNumberFormat="1" applyFill="1" applyAlignment="1">
      <alignment horizontal="right"/>
    </xf>
    <xf numFmtId="2" fontId="11" fillId="7" borderId="0" xfId="1" applyNumberFormat="1" applyFill="1" applyAlignment="1">
      <alignment horizontal="right"/>
    </xf>
    <xf numFmtId="0" fontId="11" fillId="4" borderId="0" xfId="1" applyFill="1" applyAlignment="1">
      <alignment horizontal="right"/>
    </xf>
    <xf numFmtId="164" fontId="15" fillId="0" borderId="0" xfId="1" applyNumberFormat="1" applyFont="1" applyFill="1" applyBorder="1"/>
    <xf numFmtId="0" fontId="122" fillId="0" borderId="0" xfId="1" applyFont="1"/>
    <xf numFmtId="170" fontId="13" fillId="7" borderId="0" xfId="3" applyNumberFormat="1" applyFont="1" applyFill="1" applyBorder="1"/>
    <xf numFmtId="1" fontId="11" fillId="0" borderId="0" xfId="0" applyNumberFormat="1" applyFont="1" applyFill="1" applyBorder="1" applyAlignment="1"/>
    <xf numFmtId="0" fontId="13" fillId="4" borderId="0" xfId="3" applyFont="1" applyFill="1"/>
    <xf numFmtId="4" fontId="11" fillId="0" borderId="0" xfId="0" applyNumberFormat="1" applyFont="1" applyBorder="1" applyAlignment="1">
      <alignment horizontal="right"/>
    </xf>
    <xf numFmtId="169" fontId="15" fillId="3" borderId="11" xfId="0" applyNumberFormat="1" applyFont="1" applyFill="1" applyBorder="1"/>
    <xf numFmtId="170" fontId="15" fillId="3" borderId="11" xfId="0" applyNumberFormat="1" applyFont="1" applyFill="1" applyBorder="1"/>
    <xf numFmtId="169" fontId="11" fillId="4" borderId="7" xfId="1" applyNumberFormat="1" applyFont="1" applyFill="1" applyBorder="1"/>
    <xf numFmtId="2" fontId="11" fillId="7" borderId="0" xfId="1" applyNumberFormat="1" applyFont="1" applyFill="1" applyBorder="1"/>
    <xf numFmtId="0" fontId="11" fillId="5" borderId="6" xfId="1" applyFont="1" applyFill="1" applyBorder="1" applyAlignment="1"/>
    <xf numFmtId="3" fontId="11" fillId="2" borderId="0" xfId="1" applyNumberFormat="1" applyFill="1" applyBorder="1" applyAlignment="1">
      <alignment horizontal="right"/>
    </xf>
    <xf numFmtId="0" fontId="13" fillId="4" borderId="7" xfId="18" applyFont="1" applyFill="1" applyBorder="1"/>
    <xf numFmtId="2" fontId="13" fillId="2" borderId="0" xfId="18" applyNumberFormat="1" applyFont="1" applyFill="1"/>
    <xf numFmtId="2" fontId="11" fillId="4" borderId="0" xfId="0" applyNumberFormat="1" applyFont="1" applyFill="1"/>
    <xf numFmtId="2" fontId="13" fillId="4" borderId="7" xfId="18" applyNumberFormat="1" applyFont="1" applyFill="1" applyBorder="1"/>
    <xf numFmtId="167" fontId="13" fillId="4" borderId="0" xfId="17" applyNumberFormat="1" applyFont="1" applyFill="1"/>
    <xf numFmtId="169" fontId="11" fillId="2" borderId="0" xfId="1" applyNumberFormat="1" applyFill="1" applyBorder="1" applyAlignment="1">
      <alignment horizontal="right"/>
    </xf>
    <xf numFmtId="174" fontId="11" fillId="0" borderId="0" xfId="1" applyNumberFormat="1" applyFill="1" applyBorder="1"/>
    <xf numFmtId="0" fontId="13" fillId="0" borderId="0" xfId="3" applyFont="1" applyFill="1" applyBorder="1" applyAlignment="1">
      <alignment horizontal="center"/>
    </xf>
    <xf numFmtId="0" fontId="34" fillId="0" borderId="0" xfId="3" applyFont="1" applyFill="1" applyBorder="1" applyAlignment="1">
      <alignment horizontal="center"/>
    </xf>
    <xf numFmtId="0" fontId="12" fillId="3" borderId="0" xfId="1" applyFont="1" applyFill="1" applyBorder="1" applyAlignment="1">
      <alignment horizontal="center"/>
    </xf>
    <xf numFmtId="0" fontId="12" fillId="0" borderId="0" xfId="1" applyFont="1" applyBorder="1" applyAlignment="1">
      <alignment horizontal="center"/>
    </xf>
    <xf numFmtId="0" fontId="12" fillId="0" borderId="7" xfId="1" applyFont="1" applyBorder="1" applyAlignment="1">
      <alignment horizontal="center"/>
    </xf>
    <xf numFmtId="181" fontId="11" fillId="0" borderId="0" xfId="1" applyNumberFormat="1"/>
  </cellXfs>
  <cellStyles count="19">
    <cellStyle name="Comma 2" xfId="14" xr:uid="{00000000-0005-0000-0000-000000000000}"/>
    <cellStyle name="Normal" xfId="0" builtinId="0"/>
    <cellStyle name="Normal 2" xfId="1" xr:uid="{00000000-0005-0000-0000-000002000000}"/>
    <cellStyle name="Normal 2 2" xfId="12" xr:uid="{00000000-0005-0000-0000-000003000000}"/>
    <cellStyle name="Normal 3" xfId="2" xr:uid="{00000000-0005-0000-0000-000004000000}"/>
    <cellStyle name="Normal 3 2" xfId="13" xr:uid="{00000000-0005-0000-0000-000005000000}"/>
    <cellStyle name="Normal 3 2 2" xfId="16" xr:uid="{00000000-0005-0000-0000-000006000000}"/>
    <cellStyle name="Normal 3 3" xfId="15" xr:uid="{00000000-0005-0000-0000-000007000000}"/>
    <cellStyle name="Normal 3 4" xfId="18" xr:uid="{A7ED3233-CF28-4B1F-9FC5-52539C4857E3}"/>
    <cellStyle name="Normal 4" xfId="3" xr:uid="{00000000-0005-0000-0000-000008000000}"/>
    <cellStyle name="Normal 4 2" xfId="17" xr:uid="{788949B3-18A4-4DDD-8690-4D0746E09C16}"/>
    <cellStyle name="Normal 5" xfId="5" xr:uid="{00000000-0005-0000-0000-000009000000}"/>
    <cellStyle name="Normal 6" xfId="8" xr:uid="{00000000-0005-0000-0000-00000A000000}"/>
    <cellStyle name="Normal 7" xfId="9" xr:uid="{00000000-0005-0000-0000-00000B000000}"/>
    <cellStyle name="Normal 8" xfId="10" xr:uid="{00000000-0005-0000-0000-00000C000000}"/>
    <cellStyle name="Percent" xfId="7" builtinId="5"/>
    <cellStyle name="Percent 2" xfId="4" xr:uid="{00000000-0005-0000-0000-00000E000000}"/>
    <cellStyle name="Percent 3" xfId="6" xr:uid="{00000000-0005-0000-0000-00000F000000}"/>
    <cellStyle name="Percent 4" xfId="11" xr:uid="{00000000-0005-0000-0000-000010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a:pPr>
            <a:r>
              <a:rPr lang="en-US" sz="1600" b="1" i="0" baseline="0">
                <a:effectLst/>
              </a:rPr>
              <a:t>Constraint Diagram </a:t>
            </a:r>
            <a:r>
              <a:rPr lang="en-US" sz="1400" b="1" i="0" baseline="0">
                <a:effectLst/>
              </a:rPr>
              <a:t>(Matching Chart)</a:t>
            </a:r>
            <a:endParaRPr lang="en-US" sz="1400">
              <a:effectLst/>
            </a:endParaRPr>
          </a:p>
          <a:p>
            <a:pPr algn="l">
              <a:defRPr sz="1600"/>
            </a:pPr>
            <a:r>
              <a:rPr lang="en-US" sz="1200" b="1" i="0" baseline="0">
                <a:effectLst/>
              </a:rPr>
              <a:t>Un-Ducted Propulsor, IC Engine</a:t>
            </a:r>
            <a:endParaRPr lang="en-US" sz="1200">
              <a:effectLst/>
            </a:endParaRPr>
          </a:p>
        </c:rich>
      </c:tx>
      <c:layout>
        <c:manualLayout>
          <c:xMode val="edge"/>
          <c:yMode val="edge"/>
          <c:x val="0.26235736320367203"/>
          <c:y val="2.6488209500550589E-2"/>
        </c:manualLayout>
      </c:layout>
      <c:overlay val="0"/>
    </c:title>
    <c:autoTitleDeleted val="0"/>
    <c:plotArea>
      <c:layout>
        <c:manualLayout>
          <c:layoutTarget val="inner"/>
          <c:xMode val="edge"/>
          <c:yMode val="edge"/>
          <c:x val="0.18438973216793592"/>
          <c:y val="0.15654517205402968"/>
          <c:w val="0.54946306383247989"/>
          <c:h val="0.64875809827833308"/>
        </c:manualLayout>
      </c:layout>
      <c:scatterChart>
        <c:scatterStyle val="lineMarker"/>
        <c:varyColors val="0"/>
        <c:ser>
          <c:idx val="0"/>
          <c:order val="0"/>
          <c:tx>
            <c:v>AEO TO Field Length</c:v>
          </c:tx>
          <c:spPr>
            <a:ln w="28575">
              <a:noFill/>
            </a:ln>
          </c:spPr>
          <c:marker>
            <c:symbol val="diamond"/>
            <c:size val="4"/>
          </c:marker>
          <c:xVal>
            <c:numRef>
              <c:f>'3'!$I$120:$I$150</c:f>
              <c:numCache>
                <c:formatCode>General</c:formatCode>
                <c:ptCount val="31"/>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numCache>
            </c:numRef>
          </c:xVal>
          <c:yVal>
            <c:numRef>
              <c:f>'3'!$J$120:$J$150</c:f>
              <c:numCache>
                <c:formatCode>0.0000</c:formatCode>
                <c:ptCount val="31"/>
                <c:pt idx="0">
                  <c:v>9.1380111069067193E-3</c:v>
                </c:pt>
                <c:pt idx="1">
                  <c:v>1.2181341348748518E-2</c:v>
                </c:pt>
                <c:pt idx="2">
                  <c:v>1.5551582927177007E-2</c:v>
                </c:pt>
                <c:pt idx="3">
                  <c:v>1.9235220640322376E-2</c:v>
                </c:pt>
                <c:pt idx="4">
                  <c:v>2.3221846898417386E-2</c:v>
                </c:pt>
                <c:pt idx="5">
                  <c:v>2.750326030061976E-2</c:v>
                </c:pt>
                <c:pt idx="6">
                  <c:v>3.2072893777008872E-2</c:v>
                </c:pt>
                <c:pt idx="7">
                  <c:v>3.6925432080466822E-2</c:v>
                </c:pt>
                <c:pt idx="8">
                  <c:v>4.2056545076552022E-2</c:v>
                </c:pt>
                <c:pt idx="9">
                  <c:v>4.7462695436838093E-2</c:v>
                </c:pt>
                <c:pt idx="10">
                  <c:v>5.3140996097304716E-2</c:v>
                </c:pt>
                <c:pt idx="11">
                  <c:v>5.9089102130331417E-2</c:v>
                </c:pt>
                <c:pt idx="12">
                  <c:v>6.5305127093515922E-2</c:v>
                </c:pt>
                <c:pt idx="13">
                  <c:v>7.1787577212205411E-2</c:v>
                </c:pt>
                <c:pt idx="14">
                  <c:v>7.8535298829644412E-2</c:v>
                </c:pt>
                <c:pt idx="15">
                  <c:v>8.554743590973099E-2</c:v>
                </c:pt>
                <c:pt idx="16">
                  <c:v>9.2823395280341378E-2</c:v>
                </c:pt>
                <c:pt idx="17">
                  <c:v>0.10036281792318562</c:v>
                </c:pt>
                <c:pt idx="18">
                  <c:v>0.10816555504813237</c:v>
                </c:pt>
                <c:pt idx="19">
                  <c:v>0.11623164799763053</c:v>
                </c:pt>
                <c:pt idx="20">
                  <c:v>0.12456131124974959</c:v>
                </c:pt>
                <c:pt idx="21">
                  <c:v>0.13315491795232051</c:v>
                </c:pt>
                <c:pt idx="22">
                  <c:v>0.14201298754295102</c:v>
                </c:pt>
                <c:pt idx="23">
                  <c:v>0.1511361751020657</c:v>
                </c:pt>
                <c:pt idx="24">
                  <c:v>0.16052526215671575</c:v>
                </c:pt>
                <c:pt idx="25">
                  <c:v>0.1701811487074312</c:v>
                </c:pt>
                <c:pt idx="26">
                  <c:v>0.18010484629292117</c:v>
                </c:pt>
                <c:pt idx="27">
                  <c:v>0.19029747194091323</c:v>
                </c:pt>
                <c:pt idx="28">
                  <c:v>0.20076024288000455</c:v>
                </c:pt>
                <c:pt idx="29">
                  <c:v>0.21149447190866816</c:v>
                </c:pt>
                <c:pt idx="30">
                  <c:v>0.22250156333470889</c:v>
                </c:pt>
              </c:numCache>
            </c:numRef>
          </c:yVal>
          <c:smooth val="0"/>
          <c:extLst>
            <c:ext xmlns:c16="http://schemas.microsoft.com/office/drawing/2014/chart" uri="{C3380CC4-5D6E-409C-BE32-E72D297353CC}">
              <c16:uniqueId val="{00000000-3F9E-4174-B326-B93D26A408E6}"/>
            </c:ext>
          </c:extLst>
        </c:ser>
        <c:ser>
          <c:idx val="1"/>
          <c:order val="1"/>
          <c:tx>
            <c:v>Landing Field Length</c:v>
          </c:tx>
          <c:spPr>
            <a:ln w="28575">
              <a:solidFill>
                <a:srgbClr val="C00000"/>
              </a:solidFill>
            </a:ln>
          </c:spPr>
          <c:marker>
            <c:symbol val="none"/>
          </c:marker>
          <c:xVal>
            <c:numRef>
              <c:f>'3'!$I$230:$I$231</c:f>
              <c:numCache>
                <c:formatCode>0.0</c:formatCode>
                <c:ptCount val="2"/>
                <c:pt idx="0">
                  <c:v>15.788168013429111</c:v>
                </c:pt>
                <c:pt idx="1">
                  <c:v>15.788168013429111</c:v>
                </c:pt>
              </c:numCache>
            </c:numRef>
          </c:xVal>
          <c:yVal>
            <c:numRef>
              <c:f>'3'!$H$230:$H$231</c:f>
              <c:numCache>
                <c:formatCode>General</c:formatCode>
                <c:ptCount val="2"/>
                <c:pt idx="0">
                  <c:v>0</c:v>
                </c:pt>
                <c:pt idx="1">
                  <c:v>6</c:v>
                </c:pt>
              </c:numCache>
            </c:numRef>
          </c:yVal>
          <c:smooth val="0"/>
          <c:extLst>
            <c:ext xmlns:c16="http://schemas.microsoft.com/office/drawing/2014/chart" uri="{C3380CC4-5D6E-409C-BE32-E72D297353CC}">
              <c16:uniqueId val="{00000001-3F9E-4174-B326-B93D26A408E6}"/>
            </c:ext>
          </c:extLst>
        </c:ser>
        <c:ser>
          <c:idx val="2"/>
          <c:order val="2"/>
          <c:tx>
            <c:v>TO Climb, AEO GU</c:v>
          </c:tx>
          <c:spPr>
            <a:ln w="28575">
              <a:noFill/>
            </a:ln>
          </c:spPr>
          <c:marker>
            <c:symbol val="triangle"/>
            <c:size val="4"/>
          </c:marker>
          <c:xVal>
            <c:numRef>
              <c:f>'3'!$I$120:$I$150</c:f>
              <c:numCache>
                <c:formatCode>General</c:formatCode>
                <c:ptCount val="31"/>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numCache>
            </c:numRef>
          </c:xVal>
          <c:yVal>
            <c:numRef>
              <c:f>'3'!$L$120:$L$150</c:f>
              <c:numCache>
                <c:formatCode>0.0000</c:formatCode>
                <c:ptCount val="31"/>
                <c:pt idx="0">
                  <c:v>3.1991878244556064E-2</c:v>
                </c:pt>
                <c:pt idx="1">
                  <c:v>3.4157053044646377E-2</c:v>
                </c:pt>
                <c:pt idx="2">
                  <c:v>3.6148136762395922E-2</c:v>
                </c:pt>
                <c:pt idx="3">
                  <c:v>3.8001392300059576E-2</c:v>
                </c:pt>
                <c:pt idx="4">
                  <c:v>3.974200795556837E-2</c:v>
                </c:pt>
                <c:pt idx="5">
                  <c:v>4.1388323175328874E-2</c:v>
                </c:pt>
                <c:pt idx="6">
                  <c:v>4.2954182760003609E-2</c:v>
                </c:pt>
                <c:pt idx="7">
                  <c:v>4.4450342742525045E-2</c:v>
                </c:pt>
                <c:pt idx="8">
                  <c:v>4.5885356831238219E-2</c:v>
                </c:pt>
                <c:pt idx="9">
                  <c:v>4.72661603399867E-2</c:v>
                </c:pt>
                <c:pt idx="10">
                  <c:v>4.8598468961768948E-2</c:v>
                </c:pt>
                <c:pt idx="11">
                  <c:v>4.9887059455893681E-2</c:v>
                </c:pt>
                <c:pt idx="12">
                  <c:v>5.1135972367764633E-2</c:v>
                </c:pt>
                <c:pt idx="13">
                  <c:v>5.2348661722793149E-2</c:v>
                </c:pt>
                <c:pt idx="14">
                  <c:v>5.3528107721526171E-2</c:v>
                </c:pt>
                <c:pt idx="15">
                  <c:v>5.4676903034519699E-2</c:v>
                </c:pt>
                <c:pt idx="16">
                  <c:v>5.5797319884058498E-2</c:v>
                </c:pt>
                <c:pt idx="17">
                  <c:v>5.6891362895938609E-2</c:v>
                </c:pt>
                <c:pt idx="18">
                  <c:v>5.7960811245483579E-2</c:v>
                </c:pt>
                <c:pt idx="19">
                  <c:v>5.9007252634700323E-2</c:v>
                </c:pt>
                <c:pt idx="20">
                  <c:v>6.0032110956218993E-2</c:v>
                </c:pt>
                <c:pt idx="21">
                  <c:v>6.1036669021154961E-2</c:v>
                </c:pt>
                <c:pt idx="22">
                  <c:v>6.2022087386491363E-2</c:v>
                </c:pt>
                <c:pt idx="23">
                  <c:v>6.298942007019942E-2</c:v>
                </c:pt>
                <c:pt idx="24">
                  <c:v>6.3939627760711409E-2</c:v>
                </c:pt>
                <c:pt idx="25">
                  <c:v>6.4873588992390471E-2</c:v>
                </c:pt>
                <c:pt idx="26">
                  <c:v>6.5792109657178952E-2</c:v>
                </c:pt>
                <c:pt idx="27">
                  <c:v>6.669593114552673E-2</c:v>
                </c:pt>
                <c:pt idx="28">
                  <c:v>6.7585737350565819E-2</c:v>
                </c:pt>
                <c:pt idx="29">
                  <c:v>6.8462160723717483E-2</c:v>
                </c:pt>
                <c:pt idx="30">
                  <c:v>6.9325787534171457E-2</c:v>
                </c:pt>
              </c:numCache>
            </c:numRef>
          </c:yVal>
          <c:smooth val="0"/>
          <c:extLst>
            <c:ext xmlns:c16="http://schemas.microsoft.com/office/drawing/2014/chart" uri="{C3380CC4-5D6E-409C-BE32-E72D297353CC}">
              <c16:uniqueId val="{00000002-3F9E-4174-B326-B93D26A408E6}"/>
            </c:ext>
          </c:extLst>
        </c:ser>
        <c:ser>
          <c:idx val="3"/>
          <c:order val="3"/>
          <c:tx>
            <c:v>TO Climb, OEI GU</c:v>
          </c:tx>
          <c:spPr>
            <a:ln w="28575">
              <a:noFill/>
            </a:ln>
          </c:spPr>
          <c:marker>
            <c:symbol val="diamond"/>
            <c:size val="4"/>
          </c:marker>
          <c:xVal>
            <c:numRef>
              <c:f>'3'!$I$120:$I$150</c:f>
              <c:numCache>
                <c:formatCode>General</c:formatCode>
                <c:ptCount val="31"/>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numCache>
            </c:numRef>
          </c:xVal>
          <c:yVal>
            <c:numRef>
              <c:f>'3'!$M$120:$M$150</c:f>
              <c:numCache>
                <c:formatCode>0.0000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3-3F9E-4174-B326-B93D26A408E6}"/>
            </c:ext>
          </c:extLst>
        </c:ser>
        <c:ser>
          <c:idx val="4"/>
          <c:order val="4"/>
          <c:tx>
            <c:v>TO Climb, OEI GD</c:v>
          </c:tx>
          <c:spPr>
            <a:ln w="28575">
              <a:noFill/>
            </a:ln>
          </c:spPr>
          <c:marker>
            <c:symbol val="square"/>
            <c:size val="2"/>
          </c:marker>
          <c:xVal>
            <c:numRef>
              <c:f>'3'!$I$120:$I$150</c:f>
              <c:numCache>
                <c:formatCode>General</c:formatCode>
                <c:ptCount val="31"/>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numCache>
            </c:numRef>
          </c:xVal>
          <c:yVal>
            <c:numRef>
              <c:f>'3'!$N$120:$N$150</c:f>
              <c:numCache>
                <c:formatCode>0.0000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4-3F9E-4174-B326-B93D26A408E6}"/>
            </c:ext>
          </c:extLst>
        </c:ser>
        <c:ser>
          <c:idx val="5"/>
          <c:order val="5"/>
          <c:tx>
            <c:v>AEO Ceiling</c:v>
          </c:tx>
          <c:spPr>
            <a:ln w="28575">
              <a:noFill/>
            </a:ln>
          </c:spPr>
          <c:marker>
            <c:symbol val="circle"/>
            <c:size val="4"/>
          </c:marker>
          <c:xVal>
            <c:numRef>
              <c:f>'3'!$I$120:$I$150</c:f>
              <c:numCache>
                <c:formatCode>General</c:formatCode>
                <c:ptCount val="31"/>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numCache>
            </c:numRef>
          </c:xVal>
          <c:yVal>
            <c:numRef>
              <c:f>'3'!$O$120:$O$150</c:f>
              <c:numCache>
                <c:formatCode>0.0000</c:formatCode>
                <c:ptCount val="31"/>
                <c:pt idx="0">
                  <c:v>5.9458588974143009E-2</c:v>
                </c:pt>
                <c:pt idx="1">
                  <c:v>5.7585304299154746E-2</c:v>
                </c:pt>
                <c:pt idx="2">
                  <c:v>5.7043758276223502E-2</c:v>
                </c:pt>
                <c:pt idx="3">
                  <c:v>5.7334548910827905E-2</c:v>
                </c:pt>
                <c:pt idx="4">
                  <c:v>5.8180230650456043E-2</c:v>
                </c:pt>
                <c:pt idx="5">
                  <c:v>5.9414336163600825E-2</c:v>
                </c:pt>
                <c:pt idx="6">
                  <c:v>6.0930931693848611E-2</c:v>
                </c:pt>
                <c:pt idx="7">
                  <c:v>6.2659394736923654E-2</c:v>
                </c:pt>
                <c:pt idx="8">
                  <c:v>6.4550832789865814E-2</c:v>
                </c:pt>
                <c:pt idx="9">
                  <c:v>6.6570322636274978E-2</c:v>
                </c:pt>
                <c:pt idx="10">
                  <c:v>6.8692253917457785E-2</c:v>
                </c:pt>
                <c:pt idx="11">
                  <c:v>7.0897418864394129E-2</c:v>
                </c:pt>
                <c:pt idx="12">
                  <c:v>7.3171129183127542E-2</c:v>
                </c:pt>
                <c:pt idx="13">
                  <c:v>7.5501960645025165E-2</c:v>
                </c:pt>
                <c:pt idx="14">
                  <c:v>7.7880894122218949E-2</c:v>
                </c:pt>
                <c:pt idx="15">
                  <c:v>8.0300714312414506E-2</c:v>
                </c:pt>
                <c:pt idx="16">
                  <c:v>8.2755580256611574E-2</c:v>
                </c:pt>
                <c:pt idx="17">
                  <c:v>8.5240712988355338E-2</c:v>
                </c:pt>
                <c:pt idx="18">
                  <c:v>8.7752164665791985E-2</c:v>
                </c:pt>
                <c:pt idx="19">
                  <c:v>9.0286645420709799E-2</c:v>
                </c:pt>
                <c:pt idx="20">
                  <c:v>9.2841391763811121E-2</c:v>
                </c:pt>
                <c:pt idx="21">
                  <c:v>9.5414065357997846E-2</c:v>
                </c:pt>
                <c:pt idx="22">
                  <c:v>9.8002674286482669E-2</c:v>
                </c:pt>
                <c:pt idx="23">
                  <c:v>0.10060551119201938</c:v>
                </c:pt>
                <c:pt idx="24">
                  <c:v>0.10322110421491297</c:v>
                </c:pt>
                <c:pt idx="25">
                  <c:v>0.10584817774342774</c:v>
                </c:pt>
                <c:pt idx="26">
                  <c:v>0.10848562076089066</c:v>
                </c:pt>
                <c:pt idx="27">
                  <c:v>0.11113246112771288</c:v>
                </c:pt>
                <c:pt idx="28">
                  <c:v>0.11378784453940714</c:v>
                </c:pt>
                <c:pt idx="29">
                  <c:v>0.11645101719789651</c:v>
                </c:pt>
                <c:pt idx="30">
                  <c:v>0.11912131145345572</c:v>
                </c:pt>
              </c:numCache>
            </c:numRef>
          </c:yVal>
          <c:smooth val="0"/>
          <c:extLst>
            <c:ext xmlns:c16="http://schemas.microsoft.com/office/drawing/2014/chart" uri="{C3380CC4-5D6E-409C-BE32-E72D297353CC}">
              <c16:uniqueId val="{00000005-3F9E-4174-B326-B93D26A408E6}"/>
            </c:ext>
          </c:extLst>
        </c:ser>
        <c:ser>
          <c:idx val="6"/>
          <c:order val="6"/>
          <c:tx>
            <c:v>OEI Ceiling</c:v>
          </c:tx>
          <c:spPr>
            <a:ln w="28575">
              <a:noFill/>
            </a:ln>
          </c:spPr>
          <c:marker>
            <c:symbol val="triangle"/>
            <c:size val="4"/>
            <c:spPr>
              <a:solidFill>
                <a:srgbClr val="00B050"/>
              </a:solidFill>
              <a:ln>
                <a:solidFill>
                  <a:srgbClr val="0070C0"/>
                </a:solidFill>
              </a:ln>
            </c:spPr>
          </c:marker>
          <c:xVal>
            <c:numRef>
              <c:f>'3'!$I$120:$I$150</c:f>
              <c:numCache>
                <c:formatCode>General</c:formatCode>
                <c:ptCount val="31"/>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numCache>
            </c:numRef>
          </c:xVal>
          <c:yVal>
            <c:numRef>
              <c:f>'3'!$P$120:$P$150</c:f>
              <c:numCache>
                <c:formatCode>0.0000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6-3F9E-4174-B326-B93D26A408E6}"/>
            </c:ext>
          </c:extLst>
        </c:ser>
        <c:ser>
          <c:idx val="7"/>
          <c:order val="7"/>
          <c:tx>
            <c:v>Max Cruise Speed</c:v>
          </c:tx>
          <c:spPr>
            <a:ln w="28575">
              <a:noFill/>
            </a:ln>
          </c:spPr>
          <c:marker>
            <c:symbol val="square"/>
            <c:size val="3"/>
            <c:spPr>
              <a:solidFill>
                <a:srgbClr val="FFFF00"/>
              </a:solidFill>
            </c:spPr>
          </c:marker>
          <c:xVal>
            <c:numRef>
              <c:f>'3'!$I$120:$I$150</c:f>
              <c:numCache>
                <c:formatCode>General</c:formatCode>
                <c:ptCount val="31"/>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numCache>
            </c:numRef>
          </c:xVal>
          <c:yVal>
            <c:numRef>
              <c:f>'3'!$Q$120:$Q$150</c:f>
              <c:numCache>
                <c:formatCode>0.0000</c:formatCode>
                <c:ptCount val="31"/>
                <c:pt idx="0">
                  <c:v>0.26440925653040676</c:v>
                </c:pt>
                <c:pt idx="1">
                  <c:v>0.22235240415112811</c:v>
                </c:pt>
                <c:pt idx="2">
                  <c:v>0.19262525354916896</c:v>
                </c:pt>
                <c:pt idx="3">
                  <c:v>0.17060416655803445</c:v>
                </c:pt>
                <c:pt idx="4">
                  <c:v>0.15372045530744974</c:v>
                </c:pt>
                <c:pt idx="5">
                  <c:v>0.14043290707524989</c:v>
                </c:pt>
                <c:pt idx="6">
                  <c:v>0.12976075012914809</c:v>
                </c:pt>
                <c:pt idx="7">
                  <c:v>0.12105013664761986</c:v>
                </c:pt>
                <c:pt idx="8">
                  <c:v>0.11384840275422513</c:v>
                </c:pt>
                <c:pt idx="9">
                  <c:v>0.10783221710864958</c:v>
                </c:pt>
                <c:pt idx="10">
                  <c:v>0.10276447006132938</c:v>
                </c:pt>
                <c:pt idx="11">
                  <c:v>9.8467329375091631E-2</c:v>
                </c:pt>
                <c:pt idx="12">
                  <c:v>9.4804805692098287E-2</c:v>
                </c:pt>
                <c:pt idx="13">
                  <c:v>9.1671129511808586E-2</c:v>
                </c:pt>
                <c:pt idx="14">
                  <c:v>8.898279859695353E-2</c:v>
                </c:pt>
                <c:pt idx="15">
                  <c:v>8.6673011157717958E-2</c:v>
                </c:pt>
                <c:pt idx="16">
                  <c:v>8.4687689554727621E-2</c:v>
                </c:pt>
                <c:pt idx="17">
                  <c:v>8.2982588446676359E-2</c:v>
                </c:pt>
                <c:pt idx="18">
                  <c:v>8.1521157334224312E-2</c:v>
                </c:pt>
                <c:pt idx="19">
                  <c:v>8.0272937467921565E-2</c:v>
                </c:pt>
                <c:pt idx="20">
                  <c:v>7.921234349823017E-2</c:v>
                </c:pt>
                <c:pt idx="21">
                  <c:v>7.8317726283233496E-2</c:v>
                </c:pt>
                <c:pt idx="22">
                  <c:v>7.7570643961298744E-2</c:v>
                </c:pt>
                <c:pt idx="23">
                  <c:v>7.6955289222455023E-2</c:v>
                </c:pt>
                <c:pt idx="24">
                  <c:v>7.6458035075348069E-2</c:v>
                </c:pt>
                <c:pt idx="25">
                  <c:v>7.6067071460804228E-2</c:v>
                </c:pt>
                <c:pt idx="26">
                  <c:v>7.5772112198252833E-2</c:v>
                </c:pt>
                <c:pt idx="27">
                  <c:v>7.5564156879694658E-2</c:v>
                </c:pt>
                <c:pt idx="28">
                  <c:v>7.5435296055675713E-2</c:v>
                </c:pt>
                <c:pt idx="29">
                  <c:v>7.5378550800207278E-2</c:v>
                </c:pt>
                <c:pt idx="30">
                  <c:v>7.5387739778842153E-2</c:v>
                </c:pt>
              </c:numCache>
            </c:numRef>
          </c:yVal>
          <c:smooth val="0"/>
          <c:extLst>
            <c:ext xmlns:c16="http://schemas.microsoft.com/office/drawing/2014/chart" uri="{C3380CC4-5D6E-409C-BE32-E72D297353CC}">
              <c16:uniqueId val="{00000007-3F9E-4174-B326-B93D26A408E6}"/>
            </c:ext>
          </c:extLst>
        </c:ser>
        <c:ser>
          <c:idx val="8"/>
          <c:order val="8"/>
          <c:tx>
            <c:v>Inst. Turn</c:v>
          </c:tx>
          <c:spPr>
            <a:ln w="28575">
              <a:solidFill>
                <a:srgbClr val="00B050"/>
              </a:solidFill>
            </a:ln>
          </c:spPr>
          <c:marker>
            <c:symbol val="none"/>
          </c:marker>
          <c:xVal>
            <c:numRef>
              <c:f>'3'!$J$230:$J$231</c:f>
              <c:numCache>
                <c:formatCode>0.0</c:formatCode>
                <c:ptCount val="2"/>
                <c:pt idx="0">
                  <c:v>10.951533247360359</c:v>
                </c:pt>
                <c:pt idx="1">
                  <c:v>10.951533247360359</c:v>
                </c:pt>
              </c:numCache>
            </c:numRef>
          </c:xVal>
          <c:yVal>
            <c:numRef>
              <c:f>'3'!$H$230:$H$231</c:f>
              <c:numCache>
                <c:formatCode>General</c:formatCode>
                <c:ptCount val="2"/>
                <c:pt idx="0">
                  <c:v>0</c:v>
                </c:pt>
                <c:pt idx="1">
                  <c:v>6</c:v>
                </c:pt>
              </c:numCache>
            </c:numRef>
          </c:yVal>
          <c:smooth val="0"/>
          <c:extLst>
            <c:ext xmlns:c16="http://schemas.microsoft.com/office/drawing/2014/chart" uri="{C3380CC4-5D6E-409C-BE32-E72D297353CC}">
              <c16:uniqueId val="{00000008-3F9E-4174-B326-B93D26A408E6}"/>
            </c:ext>
          </c:extLst>
        </c:ser>
        <c:ser>
          <c:idx val="9"/>
          <c:order val="9"/>
          <c:tx>
            <c:v>Sust. Turn</c:v>
          </c:tx>
          <c:spPr>
            <a:ln w="28575">
              <a:noFill/>
            </a:ln>
          </c:spPr>
          <c:marker>
            <c:symbol val="diamond"/>
            <c:size val="4"/>
            <c:spPr>
              <a:solidFill>
                <a:srgbClr val="FF0000"/>
              </a:solidFill>
            </c:spPr>
          </c:marker>
          <c:xVal>
            <c:numRef>
              <c:f>'3'!$I$120:$I$150</c:f>
              <c:numCache>
                <c:formatCode>General</c:formatCode>
                <c:ptCount val="31"/>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numCache>
            </c:numRef>
          </c:xVal>
          <c:yVal>
            <c:numRef>
              <c:f>'3'!$S$120:$S$150</c:f>
              <c:numCache>
                <c:formatCode>0.0000</c:formatCode>
                <c:ptCount val="31"/>
                <c:pt idx="0">
                  <c:v>7.4447986677383393E-2</c:v>
                </c:pt>
                <c:pt idx="1">
                  <c:v>8.1446907071984667E-2</c:v>
                </c:pt>
                <c:pt idx="2">
                  <c:v>8.9470590705660685E-2</c:v>
                </c:pt>
                <c:pt idx="3">
                  <c:v>9.8134751363758377E-2</c:v>
                </c:pt>
                <c:pt idx="4">
                  <c:v>0.10722589670480387</c:v>
                </c:pt>
                <c:pt idx="5">
                  <c:v>0.11661593132391285</c:v>
                </c:pt>
                <c:pt idx="6">
                  <c:v>0.1262233399634316</c:v>
                </c:pt>
                <c:pt idx="7">
                  <c:v>0.13599377911825772</c:v>
                </c:pt>
                <c:pt idx="8">
                  <c:v>0.14588962636178179</c:v>
                </c:pt>
                <c:pt idx="9">
                  <c:v>0.15588400853213996</c:v>
                </c:pt>
                <c:pt idx="10">
                  <c:v>0.1659572186439654</c:v>
                </c:pt>
                <c:pt idx="11">
                  <c:v>0.17609447645823303</c:v>
                </c:pt>
                <c:pt idx="12">
                  <c:v>0.18628447943921778</c:v>
                </c:pt>
                <c:pt idx="13">
                  <c:v>0.19651843672580002</c:v>
                </c:pt>
                <c:pt idx="14">
                  <c:v>0.20678940816446448</c:v>
                </c:pt>
                <c:pt idx="15">
                  <c:v>0.21709184163239875</c:v>
                </c:pt>
                <c:pt idx="16">
                  <c:v>0.22742124255399285</c:v>
                </c:pt>
                <c:pt idx="17">
                  <c:v>0.23777393354920237</c:v>
                </c:pt>
                <c:pt idx="18">
                  <c:v>0.24814687678233821</c:v>
                </c:pt>
                <c:pt idx="19">
                  <c:v>0.25853754072365959</c:v>
                </c:pt>
                <c:pt idx="20">
                  <c:v>0.26894379888818437</c:v>
                </c:pt>
                <c:pt idx="21">
                  <c:v>0.27936385194246588</c:v>
                </c:pt>
                <c:pt idx="22">
                  <c:v>0.28979616712097567</c:v>
                </c:pt>
                <c:pt idx="23">
                  <c:v>0.30023943062468922</c:v>
                </c:pt>
                <c:pt idx="24">
                  <c:v>0.31069250986824065</c:v>
                </c:pt>
                <c:pt idx="25">
                  <c:v>0.32115442327764615</c:v>
                </c:pt>
                <c:pt idx="26">
                  <c:v>0.33162431593362957</c:v>
                </c:pt>
                <c:pt idx="27">
                  <c:v>0.34210143978182417</c:v>
                </c:pt>
                <c:pt idx="28">
                  <c:v>0.35258513744111991</c:v>
                </c:pt>
                <c:pt idx="29">
                  <c:v>0.36307482886936082</c:v>
                </c:pt>
                <c:pt idx="30">
                  <c:v>0.37357000031492288</c:v>
                </c:pt>
              </c:numCache>
            </c:numRef>
          </c:yVal>
          <c:smooth val="0"/>
          <c:extLst>
            <c:ext xmlns:c16="http://schemas.microsoft.com/office/drawing/2014/chart" uri="{C3380CC4-5D6E-409C-BE32-E72D297353CC}">
              <c16:uniqueId val="{00000009-3F9E-4174-B326-B93D26A408E6}"/>
            </c:ext>
          </c:extLst>
        </c:ser>
        <c:ser>
          <c:idx val="10"/>
          <c:order val="10"/>
          <c:tx>
            <c:v>Glide Slope</c:v>
          </c:tx>
          <c:spPr>
            <a:ln w="28575">
              <a:solidFill>
                <a:schemeClr val="accent6"/>
              </a:solidFill>
            </a:ln>
          </c:spPr>
          <c:marker>
            <c:symbol val="none"/>
          </c:marker>
          <c:xVal>
            <c:numRef>
              <c:f>'3'!$K$230:$K$231</c:f>
              <c:numCache>
                <c:formatCode>0.0</c:formatCode>
                <c:ptCount val="2"/>
                <c:pt idx="0">
                  <c:v>30.215676379157049</c:v>
                </c:pt>
                <c:pt idx="1">
                  <c:v>30.215676379157049</c:v>
                </c:pt>
              </c:numCache>
            </c:numRef>
          </c:xVal>
          <c:yVal>
            <c:numRef>
              <c:f>'3'!$H$230:$H$231</c:f>
              <c:numCache>
                <c:formatCode>General</c:formatCode>
                <c:ptCount val="2"/>
                <c:pt idx="0">
                  <c:v>0</c:v>
                </c:pt>
                <c:pt idx="1">
                  <c:v>6</c:v>
                </c:pt>
              </c:numCache>
            </c:numRef>
          </c:yVal>
          <c:smooth val="0"/>
          <c:extLst>
            <c:ext xmlns:c16="http://schemas.microsoft.com/office/drawing/2014/chart" uri="{C3380CC4-5D6E-409C-BE32-E72D297353CC}">
              <c16:uniqueId val="{0000000A-3F9E-4174-B326-B93D26A408E6}"/>
            </c:ext>
          </c:extLst>
        </c:ser>
        <c:ser>
          <c:idx val="11"/>
          <c:order val="11"/>
          <c:tx>
            <c:v>Stall Speed</c:v>
          </c:tx>
          <c:spPr>
            <a:ln w="28575">
              <a:solidFill>
                <a:srgbClr val="7030A0"/>
              </a:solidFill>
            </a:ln>
          </c:spPr>
          <c:marker>
            <c:symbol val="none"/>
          </c:marker>
          <c:xVal>
            <c:numRef>
              <c:f>'3'!$L$230:$L$231</c:f>
              <c:numCache>
                <c:formatCode>0.0</c:formatCode>
                <c:ptCount val="2"/>
                <c:pt idx="0">
                  <c:v>12.581572669090967</c:v>
                </c:pt>
                <c:pt idx="1">
                  <c:v>12.581572669090967</c:v>
                </c:pt>
              </c:numCache>
            </c:numRef>
          </c:xVal>
          <c:yVal>
            <c:numRef>
              <c:f>'3'!$H$230:$H$231</c:f>
              <c:numCache>
                <c:formatCode>General</c:formatCode>
                <c:ptCount val="2"/>
                <c:pt idx="0">
                  <c:v>0</c:v>
                </c:pt>
                <c:pt idx="1">
                  <c:v>6</c:v>
                </c:pt>
              </c:numCache>
            </c:numRef>
          </c:yVal>
          <c:smooth val="0"/>
          <c:extLst>
            <c:ext xmlns:c16="http://schemas.microsoft.com/office/drawing/2014/chart" uri="{C3380CC4-5D6E-409C-BE32-E72D297353CC}">
              <c16:uniqueId val="{0000000B-3F9E-4174-B326-B93D26A408E6}"/>
            </c:ext>
          </c:extLst>
        </c:ser>
        <c:ser>
          <c:idx val="12"/>
          <c:order val="12"/>
          <c:tx>
            <c:v>Design Point</c:v>
          </c:tx>
          <c:spPr>
            <a:ln w="28575">
              <a:noFill/>
            </a:ln>
          </c:spPr>
          <c:marker>
            <c:symbol val="circle"/>
            <c:size val="10"/>
            <c:spPr>
              <a:solidFill>
                <a:srgbClr val="FF0000"/>
              </a:solidFill>
              <a:ln w="15875">
                <a:noFill/>
              </a:ln>
            </c:spPr>
          </c:marker>
          <c:xVal>
            <c:numRef>
              <c:f>'3'!$E$41</c:f>
              <c:numCache>
                <c:formatCode>General</c:formatCode>
                <c:ptCount val="1"/>
                <c:pt idx="0">
                  <c:v>11</c:v>
                </c:pt>
              </c:numCache>
            </c:numRef>
          </c:xVal>
          <c:yVal>
            <c:numRef>
              <c:f>'3'!$E$42</c:f>
              <c:numCache>
                <c:formatCode>0.000</c:formatCode>
                <c:ptCount val="1"/>
                <c:pt idx="0">
                  <c:v>0.13500000000000001</c:v>
                </c:pt>
              </c:numCache>
            </c:numRef>
          </c:yVal>
          <c:smooth val="0"/>
          <c:extLst>
            <c:ext xmlns:c16="http://schemas.microsoft.com/office/drawing/2014/chart" uri="{C3380CC4-5D6E-409C-BE32-E72D297353CC}">
              <c16:uniqueId val="{0000000C-3F9E-4174-B326-B93D26A408E6}"/>
            </c:ext>
          </c:extLst>
        </c:ser>
        <c:dLbls>
          <c:showLegendKey val="0"/>
          <c:showVal val="0"/>
          <c:showCatName val="0"/>
          <c:showSerName val="0"/>
          <c:showPercent val="0"/>
          <c:showBubbleSize val="0"/>
        </c:dLbls>
        <c:axId val="232422016"/>
        <c:axId val="232445056"/>
      </c:scatterChart>
      <c:valAx>
        <c:axId val="232422016"/>
        <c:scaling>
          <c:orientation val="minMax"/>
          <c:max val="50"/>
        </c:scaling>
        <c:delete val="0"/>
        <c:axPos val="b"/>
        <c:title>
          <c:tx>
            <c:rich>
              <a:bodyPr/>
              <a:lstStyle/>
              <a:p>
                <a:pPr>
                  <a:defRPr sz="1400" b="0"/>
                </a:pPr>
                <a:r>
                  <a:rPr lang="en-US" sz="1400" b="0"/>
                  <a:t>Design Wing Loading, Wo/S, (lbf/ft2)</a:t>
                </a:r>
              </a:p>
            </c:rich>
          </c:tx>
          <c:overlay val="0"/>
        </c:title>
        <c:numFmt formatCode="General" sourceLinked="1"/>
        <c:majorTickMark val="out"/>
        <c:minorTickMark val="none"/>
        <c:tickLblPos val="nextTo"/>
        <c:crossAx val="232445056"/>
        <c:crosses val="autoZero"/>
        <c:crossBetween val="midCat"/>
      </c:valAx>
      <c:valAx>
        <c:axId val="232445056"/>
        <c:scaling>
          <c:orientation val="minMax"/>
          <c:max val="0.4"/>
        </c:scaling>
        <c:delete val="0"/>
        <c:axPos val="l"/>
        <c:majorGridlines/>
        <c:title>
          <c:tx>
            <c:rich>
              <a:bodyPr rot="-5400000" vert="horz"/>
              <a:lstStyle/>
              <a:p>
                <a:pPr>
                  <a:defRPr sz="1200" b="0"/>
                </a:pPr>
                <a:r>
                  <a:rPr lang="en-US" sz="1200" b="0"/>
                  <a:t>Design Power Available-to-Weight Ratio</a:t>
                </a:r>
              </a:p>
              <a:p>
                <a:pPr>
                  <a:defRPr sz="1200" b="0"/>
                </a:pPr>
                <a:r>
                  <a:rPr lang="en-US" sz="1200" b="0"/>
                  <a:t> (Pao/Wo), (shp/lb)</a:t>
                </a:r>
              </a:p>
            </c:rich>
          </c:tx>
          <c:layout>
            <c:manualLayout>
              <c:xMode val="edge"/>
              <c:yMode val="edge"/>
              <c:x val="2.4322033123421916E-3"/>
              <c:y val="0.15654507243967913"/>
            </c:manualLayout>
          </c:layout>
          <c:overlay val="0"/>
        </c:title>
        <c:numFmt formatCode="0.00" sourceLinked="0"/>
        <c:majorTickMark val="out"/>
        <c:minorTickMark val="none"/>
        <c:tickLblPos val="nextTo"/>
        <c:crossAx val="232422016"/>
        <c:crosses val="autoZero"/>
        <c:crossBetween val="midCat"/>
      </c:valAx>
    </c:plotArea>
    <c:legend>
      <c:legendPos val="r"/>
      <c:layout>
        <c:manualLayout>
          <c:xMode val="edge"/>
          <c:yMode val="edge"/>
          <c:x val="0.7396417401766906"/>
          <c:y val="0.1614577780800899"/>
          <c:w val="0.25886213986336165"/>
          <c:h val="0.60978441518641191"/>
        </c:manualLayout>
      </c:layout>
      <c:overlay val="0"/>
      <c:txPr>
        <a:bodyPr/>
        <a:lstStyle/>
        <a:p>
          <a:pPr>
            <a:defRPr sz="800"/>
          </a:pPr>
          <a:endParaRPr lang="en-US"/>
        </a:p>
      </c:txPr>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Wing Planform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52"/>
          <c:w val="0.66716663847139268"/>
          <c:h val="0.65292282284939285"/>
        </c:manualLayout>
      </c:layout>
      <c:scatterChart>
        <c:scatterStyle val="lineMarker"/>
        <c:varyColors val="0"/>
        <c:ser>
          <c:idx val="0"/>
          <c:order val="0"/>
          <c:tx>
            <c:v>Planform</c:v>
          </c:tx>
          <c:spPr>
            <a:ln w="25400">
              <a:solidFill>
                <a:srgbClr val="000080"/>
              </a:solidFill>
              <a:prstDash val="solid"/>
            </a:ln>
          </c:spPr>
          <c:marker>
            <c:symbol val="none"/>
          </c:marker>
          <c:xVal>
            <c:numRef>
              <c:f>'4'!$B$87:$B$96</c:f>
              <c:numCache>
                <c:formatCode>0.00</c:formatCode>
                <c:ptCount val="10"/>
                <c:pt idx="0">
                  <c:v>0</c:v>
                </c:pt>
                <c:pt idx="1">
                  <c:v>4.3859408576370313</c:v>
                </c:pt>
                <c:pt idx="2">
                  <c:v>4.3859408576370313</c:v>
                </c:pt>
                <c:pt idx="3">
                  <c:v>0</c:v>
                </c:pt>
                <c:pt idx="4">
                  <c:v>0</c:v>
                </c:pt>
                <c:pt idx="5">
                  <c:v>0</c:v>
                </c:pt>
                <c:pt idx="6">
                  <c:v>4.3859408576370313</c:v>
                </c:pt>
                <c:pt idx="7">
                  <c:v>4.3859408576370313</c:v>
                </c:pt>
                <c:pt idx="8">
                  <c:v>0</c:v>
                </c:pt>
                <c:pt idx="9">
                  <c:v>0</c:v>
                </c:pt>
              </c:numCache>
            </c:numRef>
          </c:xVal>
          <c:yVal>
            <c:numRef>
              <c:f>'4'!$C$87:$C$96</c:f>
              <c:numCache>
                <c:formatCode>0.00</c:formatCode>
                <c:ptCount val="10"/>
                <c:pt idx="0">
                  <c:v>0</c:v>
                </c:pt>
                <c:pt idx="1">
                  <c:v>0</c:v>
                </c:pt>
                <c:pt idx="2">
                  <c:v>12.938525530029244</c:v>
                </c:pt>
                <c:pt idx="3">
                  <c:v>12.938525530029244</c:v>
                </c:pt>
                <c:pt idx="4">
                  <c:v>0</c:v>
                </c:pt>
                <c:pt idx="5">
                  <c:v>0</c:v>
                </c:pt>
                <c:pt idx="6">
                  <c:v>0</c:v>
                </c:pt>
                <c:pt idx="7">
                  <c:v>-12.938525530029244</c:v>
                </c:pt>
                <c:pt idx="8">
                  <c:v>-12.938525530029244</c:v>
                </c:pt>
                <c:pt idx="9">
                  <c:v>0</c:v>
                </c:pt>
              </c:numCache>
            </c:numRef>
          </c:yVal>
          <c:smooth val="0"/>
          <c:extLst>
            <c:ext xmlns:c16="http://schemas.microsoft.com/office/drawing/2014/chart" uri="{C3380CC4-5D6E-409C-BE32-E72D297353CC}">
              <c16:uniqueId val="{00000000-CD8A-4150-AB26-93254375BD52}"/>
            </c:ext>
          </c:extLst>
        </c:ser>
        <c:ser>
          <c:idx val="1"/>
          <c:order val="1"/>
          <c:tx>
            <c:v>mean aero chord1</c:v>
          </c:tx>
          <c:marker>
            <c:symbol val="none"/>
          </c:marker>
          <c:xVal>
            <c:numRef>
              <c:f>'4'!$E$87:$E$88</c:f>
              <c:numCache>
                <c:formatCode>General</c:formatCode>
                <c:ptCount val="2"/>
                <c:pt idx="0">
                  <c:v>0</c:v>
                </c:pt>
                <c:pt idx="1">
                  <c:v>4.3859408576370313</c:v>
                </c:pt>
              </c:numCache>
            </c:numRef>
          </c:xVal>
          <c:yVal>
            <c:numRef>
              <c:f>'4'!$F$87:$F$88</c:f>
              <c:numCache>
                <c:formatCode>0.000</c:formatCode>
                <c:ptCount val="2"/>
                <c:pt idx="0">
                  <c:v>6.4692627650146219</c:v>
                </c:pt>
                <c:pt idx="1">
                  <c:v>6.4692627650146219</c:v>
                </c:pt>
              </c:numCache>
            </c:numRef>
          </c:yVal>
          <c:smooth val="0"/>
          <c:extLst>
            <c:ext xmlns:c16="http://schemas.microsoft.com/office/drawing/2014/chart" uri="{C3380CC4-5D6E-409C-BE32-E72D297353CC}">
              <c16:uniqueId val="{00000001-CD8A-4150-AB26-93254375BD52}"/>
            </c:ext>
          </c:extLst>
        </c:ser>
        <c:ser>
          <c:idx val="2"/>
          <c:order val="2"/>
          <c:tx>
            <c:v>mean aero chord2</c:v>
          </c:tx>
          <c:spPr>
            <a:ln>
              <a:solidFill>
                <a:srgbClr val="C0504D"/>
              </a:solidFill>
            </a:ln>
          </c:spPr>
          <c:marker>
            <c:symbol val="none"/>
          </c:marker>
          <c:xVal>
            <c:numRef>
              <c:f>'4'!$E$92:$E$93</c:f>
              <c:numCache>
                <c:formatCode>General</c:formatCode>
                <c:ptCount val="2"/>
                <c:pt idx="0">
                  <c:v>0</c:v>
                </c:pt>
                <c:pt idx="1">
                  <c:v>4.3859408576370313</c:v>
                </c:pt>
              </c:numCache>
            </c:numRef>
          </c:xVal>
          <c:yVal>
            <c:numRef>
              <c:f>'4'!$F$92:$F$93</c:f>
              <c:numCache>
                <c:formatCode>0.000</c:formatCode>
                <c:ptCount val="2"/>
                <c:pt idx="0">
                  <c:v>-6.4692627650146219</c:v>
                </c:pt>
                <c:pt idx="1">
                  <c:v>-6.4692627650146219</c:v>
                </c:pt>
              </c:numCache>
            </c:numRef>
          </c:yVal>
          <c:smooth val="0"/>
          <c:extLst>
            <c:ext xmlns:c16="http://schemas.microsoft.com/office/drawing/2014/chart" uri="{C3380CC4-5D6E-409C-BE32-E72D297353CC}">
              <c16:uniqueId val="{00000002-CD8A-4150-AB26-93254375BD52}"/>
            </c:ext>
          </c:extLst>
        </c:ser>
        <c:dLbls>
          <c:showLegendKey val="0"/>
          <c:showVal val="0"/>
          <c:showCatName val="0"/>
          <c:showSerName val="0"/>
          <c:showPercent val="0"/>
          <c:showBubbleSize val="0"/>
        </c:dLbls>
        <c:axId val="219175168"/>
        <c:axId val="219180416"/>
      </c:scatterChart>
      <c:valAx>
        <c:axId val="219175168"/>
        <c:scaling>
          <c:orientation val="minMax"/>
          <c:max val="4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711"/>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9180416"/>
        <c:crosses val="autoZero"/>
        <c:crossBetween val="midCat"/>
      </c:valAx>
      <c:valAx>
        <c:axId val="219180416"/>
        <c:scaling>
          <c:orientation val="minMax"/>
          <c:max val="20"/>
          <c:min val="-2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a:t>
                </a:r>
                <a:r>
                  <a:rPr lang="en-US" sz="1000" baseline="0"/>
                  <a:t>Span, b, (ft)</a:t>
                </a:r>
                <a:endParaRPr lang="en-US" sz="1000"/>
              </a:p>
            </c:rich>
          </c:tx>
          <c:layout>
            <c:manualLayout>
              <c:xMode val="edge"/>
              <c:yMode val="edge"/>
              <c:x val="3.9392664649280443E-2"/>
              <c:y val="0.3195457141796522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917516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54709604090703701"/>
          <c:y val="3.4924221172123258E-2"/>
          <c:w val="0.39950279668776945"/>
          <c:h val="0.10896335240601104"/>
        </c:manualLayout>
      </c:layout>
      <c:overlay val="1"/>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Wing Lift Curve</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63"/>
          <c:w val="0.6671666384713929"/>
          <c:h val="0.65292282284939318"/>
        </c:manualLayout>
      </c:layout>
      <c:scatterChart>
        <c:scatterStyle val="lineMarker"/>
        <c:varyColors val="0"/>
        <c:ser>
          <c:idx val="1"/>
          <c:order val="0"/>
          <c:tx>
            <c:v>2D Lift</c:v>
          </c:tx>
          <c:spPr>
            <a:ln w="19050">
              <a:solidFill>
                <a:srgbClr val="002060"/>
              </a:solidFill>
              <a:prstDash val="sysDash"/>
            </a:ln>
          </c:spPr>
          <c:marker>
            <c:symbol val="none"/>
          </c:marker>
          <c:xVal>
            <c:numRef>
              <c:f>'4'!$B$103:$B$104</c:f>
              <c:numCache>
                <c:formatCode>0.000</c:formatCode>
                <c:ptCount val="2"/>
                <c:pt idx="0">
                  <c:v>0</c:v>
                </c:pt>
                <c:pt idx="1">
                  <c:v>13.999999999999998</c:v>
                </c:pt>
              </c:numCache>
            </c:numRef>
          </c:xVal>
          <c:yVal>
            <c:numRef>
              <c:f>'4'!$C$103:$C$104</c:f>
              <c:numCache>
                <c:formatCode>0.000</c:formatCode>
                <c:ptCount val="2"/>
                <c:pt idx="0">
                  <c:v>0</c:v>
                </c:pt>
                <c:pt idx="1">
                  <c:v>1.4</c:v>
                </c:pt>
              </c:numCache>
            </c:numRef>
          </c:yVal>
          <c:smooth val="0"/>
          <c:extLst>
            <c:ext xmlns:c16="http://schemas.microsoft.com/office/drawing/2014/chart" uri="{C3380CC4-5D6E-409C-BE32-E72D297353CC}">
              <c16:uniqueId val="{00000000-C564-4AA1-BDD6-3E7454E82268}"/>
            </c:ext>
          </c:extLst>
        </c:ser>
        <c:ser>
          <c:idx val="12"/>
          <c:order val="1"/>
          <c:tx>
            <c:v>Cruise 1</c:v>
          </c:tx>
          <c:spPr>
            <a:ln>
              <a:solidFill>
                <a:srgbClr val="C0504D"/>
              </a:solidFill>
            </a:ln>
          </c:spPr>
          <c:marker>
            <c:symbol val="none"/>
          </c:marker>
          <c:xVal>
            <c:numRef>
              <c:f>'4'!$P$37:$P$41</c:f>
              <c:numCache>
                <c:formatCode>0.00</c:formatCode>
                <c:ptCount val="5"/>
                <c:pt idx="0">
                  <c:v>4.599535156930024</c:v>
                </c:pt>
                <c:pt idx="1">
                  <c:v>4.5672388880935975</c:v>
                </c:pt>
                <c:pt idx="2">
                  <c:v>4.5350034892731586</c:v>
                </c:pt>
                <c:pt idx="3">
                  <c:v>4.5028284298410917</c:v>
                </c:pt>
                <c:pt idx="4">
                  <c:v>4.4707131826852038</c:v>
                </c:pt>
              </c:numCache>
            </c:numRef>
          </c:xVal>
          <c:yVal>
            <c:numRef>
              <c:f>'4'!$O$37:$O$41</c:f>
              <c:numCache>
                <c:formatCode>0.0000</c:formatCode>
                <c:ptCount val="5"/>
                <c:pt idx="0">
                  <c:v>0.36479473931796175</c:v>
                </c:pt>
                <c:pt idx="1">
                  <c:v>0.36223328287309126</c:v>
                </c:pt>
                <c:pt idx="2">
                  <c:v>0.35967665410337851</c:v>
                </c:pt>
                <c:pt idx="3">
                  <c:v>0.35712481092410059</c:v>
                </c:pt>
                <c:pt idx="4">
                  <c:v>0.35457771152934708</c:v>
                </c:pt>
              </c:numCache>
            </c:numRef>
          </c:yVal>
          <c:smooth val="0"/>
          <c:extLst>
            <c:ext xmlns:c16="http://schemas.microsoft.com/office/drawing/2014/chart" uri="{C3380CC4-5D6E-409C-BE32-E72D297353CC}">
              <c16:uniqueId val="{00000000-7C76-49DA-9CA0-548A6A8EA3A9}"/>
            </c:ext>
          </c:extLst>
        </c:ser>
        <c:ser>
          <c:idx val="0"/>
          <c:order val="2"/>
          <c:tx>
            <c:v>Loiter 1</c:v>
          </c:tx>
          <c:spPr>
            <a:ln>
              <a:solidFill>
                <a:srgbClr val="F79646"/>
              </a:solidFill>
            </a:ln>
          </c:spPr>
          <c:marker>
            <c:symbol val="none"/>
          </c:marker>
          <c:xVal>
            <c:numRef>
              <c:f>'4'!$P$42:$P$46</c:f>
              <c:numCache>
                <c:formatCode>0.00</c:formatCode>
                <c:ptCount val="5"/>
                <c:pt idx="0">
                  <c:v>4.424957164998407</c:v>
                </c:pt>
                <c:pt idx="1">
                  <c:v>4.4067309483787804</c:v>
                </c:pt>
                <c:pt idx="2">
                  <c:v>4.3885235963224885</c:v>
                </c:pt>
                <c:pt idx="3">
                  <c:v>4.3703350129286545</c:v>
                </c:pt>
                <c:pt idx="4">
                  <c:v>4.3521651026439736</c:v>
                </c:pt>
              </c:numCache>
            </c:numRef>
          </c:xVal>
          <c:yVal>
            <c:numRef>
              <c:f>'4'!$O$42:$O$46</c:f>
              <c:numCache>
                <c:formatCode>0.0000</c:formatCode>
                <c:ptCount val="5"/>
                <c:pt idx="0">
                  <c:v>0.3505724733951624</c:v>
                </c:pt>
                <c:pt idx="1">
                  <c:v>0.34912847979189759</c:v>
                </c:pt>
                <c:pt idx="2">
                  <c:v>0.34768598075601076</c:v>
                </c:pt>
                <c:pt idx="3">
                  <c:v>0.34624496868964133</c:v>
                </c:pt>
                <c:pt idx="4">
                  <c:v>0.34480543602246549</c:v>
                </c:pt>
              </c:numCache>
            </c:numRef>
          </c:yVal>
          <c:smooth val="0"/>
          <c:extLst>
            <c:ext xmlns:c16="http://schemas.microsoft.com/office/drawing/2014/chart" uri="{C3380CC4-5D6E-409C-BE32-E72D297353CC}">
              <c16:uniqueId val="{00000001-7C76-49DA-9CA0-548A6A8EA3A9}"/>
            </c:ext>
          </c:extLst>
        </c:ser>
        <c:ser>
          <c:idx val="2"/>
          <c:order val="3"/>
          <c:tx>
            <c:v>Loiter 2</c:v>
          </c:tx>
          <c:marker>
            <c:symbol val="none"/>
          </c:marker>
          <c:xVal>
            <c:numRef>
              <c:f>'4'!$P$50:$P$54</c:f>
              <c:numCache>
                <c:formatCode>0.00</c:formatCode>
                <c:ptCount val="5"/>
                <c:pt idx="0">
                  <c:v>4.8454967313398818</c:v>
                </c:pt>
                <c:pt idx="1">
                  <c:v>4.8280303282392669</c:v>
                </c:pt>
                <c:pt idx="2">
                  <c:v>4.8105823593035346</c:v>
                </c:pt>
                <c:pt idx="3">
                  <c:v>4.7931527394395337</c:v>
                </c:pt>
                <c:pt idx="4">
                  <c:v>4.7757413838574312</c:v>
                </c:pt>
              </c:numCache>
            </c:numRef>
          </c:xVal>
          <c:yVal>
            <c:numRef>
              <c:f>'4'!$O$50:$O$54</c:f>
              <c:numCache>
                <c:formatCode>0.0000</c:formatCode>
                <c:ptCount val="5"/>
                <c:pt idx="0">
                  <c:v>0.38350609503053423</c:v>
                </c:pt>
                <c:pt idx="1">
                  <c:v>0.38212368319151241</c:v>
                </c:pt>
                <c:pt idx="2">
                  <c:v>0.38074273035968442</c:v>
                </c:pt>
                <c:pt idx="3">
                  <c:v>0.37936322980019049</c:v>
                </c:pt>
                <c:pt idx="4">
                  <c:v>0.37798517480217714</c:v>
                </c:pt>
              </c:numCache>
            </c:numRef>
          </c:yVal>
          <c:smooth val="0"/>
          <c:extLst>
            <c:ext xmlns:c16="http://schemas.microsoft.com/office/drawing/2014/chart" uri="{C3380CC4-5D6E-409C-BE32-E72D297353CC}">
              <c16:uniqueId val="{00000002-7C76-49DA-9CA0-548A6A8EA3A9}"/>
            </c:ext>
          </c:extLst>
        </c:ser>
        <c:ser>
          <c:idx val="3"/>
          <c:order val="4"/>
          <c:tx>
            <c:v>Cruise 2</c:v>
          </c:tx>
          <c:spPr>
            <a:ln>
              <a:solidFill>
                <a:srgbClr val="FF0000"/>
              </a:solidFill>
            </a:ln>
          </c:spPr>
          <c:marker>
            <c:symbol val="none"/>
          </c:marker>
          <c:xVal>
            <c:numRef>
              <c:f>'4'!$P$56:$P$60</c:f>
              <c:numCache>
                <c:formatCode>0.00</c:formatCode>
                <c:ptCount val="5"/>
                <c:pt idx="0">
                  <c:v>4.6568450722955905</c:v>
                </c:pt>
                <c:pt idx="1">
                  <c:v>4.624274078890914</c:v>
                </c:pt>
                <c:pt idx="2">
                  <c:v>4.591765224293364</c:v>
                </c:pt>
                <c:pt idx="3">
                  <c:v>4.5593179667497434</c:v>
                </c:pt>
                <c:pt idx="4">
                  <c:v>4.5269317681235046</c:v>
                </c:pt>
              </c:numCache>
            </c:numRef>
          </c:xVal>
          <c:yVal>
            <c:numRef>
              <c:f>'4'!$O$56:$O$60</c:f>
              <c:numCache>
                <c:formatCode>0.0000</c:formatCode>
                <c:ptCount val="5"/>
                <c:pt idx="0">
                  <c:v>0.36934005855628027</c:v>
                </c:pt>
                <c:pt idx="1">
                  <c:v>0.36675681337106103</c:v>
                </c:pt>
                <c:pt idx="2">
                  <c:v>0.36417849649037126</c:v>
                </c:pt>
                <c:pt idx="3">
                  <c:v>0.36160506494710459</c:v>
                </c:pt>
                <c:pt idx="4">
                  <c:v>0.35903647606099548</c:v>
                </c:pt>
              </c:numCache>
            </c:numRef>
          </c:yVal>
          <c:smooth val="0"/>
          <c:extLst>
            <c:ext xmlns:c16="http://schemas.microsoft.com/office/drawing/2014/chart" uri="{C3380CC4-5D6E-409C-BE32-E72D297353CC}">
              <c16:uniqueId val="{00000003-7C76-49DA-9CA0-548A6A8EA3A9}"/>
            </c:ext>
          </c:extLst>
        </c:ser>
        <c:ser>
          <c:idx val="4"/>
          <c:order val="5"/>
          <c:tx>
            <c:v>Loiter 3</c:v>
          </c:tx>
          <c:marker>
            <c:symbol val="none"/>
          </c:marker>
          <c:xVal>
            <c:numRef>
              <c:f>'4'!$P$61:$P$65</c:f>
              <c:numCache>
                <c:formatCode>0.00</c:formatCode>
                <c:ptCount val="5"/>
                <c:pt idx="0">
                  <c:v>3.9934229608661487</c:v>
                </c:pt>
                <c:pt idx="1">
                  <c:v>3.9883291076133931</c:v>
                </c:pt>
                <c:pt idx="2">
                  <c:v>3.9832366125573913</c:v>
                </c:pt>
                <c:pt idx="3">
                  <c:v>3.9781454736150699</c:v>
                </c:pt>
                <c:pt idx="4">
                  <c:v>3.9730556887053177</c:v>
                </c:pt>
              </c:numCache>
            </c:numRef>
          </c:xVal>
          <c:yVal>
            <c:numRef>
              <c:f>'4'!$O$61:$O$65</c:f>
              <c:numCache>
                <c:formatCode>0.0000</c:formatCode>
                <c:ptCount val="5"/>
                <c:pt idx="0">
                  <c:v>0.31638366485845576</c:v>
                </c:pt>
                <c:pt idx="1">
                  <c:v>0.31598009830010443</c:v>
                </c:pt>
                <c:pt idx="2">
                  <c:v>0.31557663934649988</c:v>
                </c:pt>
                <c:pt idx="3">
                  <c:v>0.31517328783260817</c:v>
                </c:pt>
                <c:pt idx="4">
                  <c:v>0.31477004359355082</c:v>
                </c:pt>
              </c:numCache>
            </c:numRef>
          </c:yVal>
          <c:smooth val="0"/>
          <c:extLst>
            <c:ext xmlns:c16="http://schemas.microsoft.com/office/drawing/2014/chart" uri="{C3380CC4-5D6E-409C-BE32-E72D297353CC}">
              <c16:uniqueId val="{00000004-7C76-49DA-9CA0-548A6A8EA3A9}"/>
            </c:ext>
          </c:extLst>
        </c:ser>
        <c:dLbls>
          <c:showLegendKey val="0"/>
          <c:showVal val="0"/>
          <c:showCatName val="0"/>
          <c:showSerName val="0"/>
          <c:showPercent val="0"/>
          <c:showBubbleSize val="0"/>
        </c:dLbls>
        <c:axId val="219741568"/>
        <c:axId val="219959296"/>
      </c:scatterChart>
      <c:valAx>
        <c:axId val="21974156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Angle of Attack, </a:t>
                </a:r>
                <a:r>
                  <a:rPr lang="en-US" sz="1000">
                    <a:latin typeface="Symbol" pitchFamily="18" charset="2"/>
                  </a:rPr>
                  <a:t>a</a:t>
                </a:r>
                <a:r>
                  <a:rPr lang="en-US" sz="1000"/>
                  <a:t>, (deg)</a:t>
                </a:r>
              </a:p>
            </c:rich>
          </c:tx>
          <c:layout>
            <c:manualLayout>
              <c:xMode val="edge"/>
              <c:yMode val="edge"/>
              <c:x val="0.35591361039975733"/>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9959296"/>
        <c:crosses val="autoZero"/>
        <c:crossBetween val="midCat"/>
        <c:majorUnit val="2"/>
      </c:valAx>
      <c:valAx>
        <c:axId val="2199592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Lift Coefficient, CL, (-)</a:t>
                </a:r>
              </a:p>
            </c:rich>
          </c:tx>
          <c:layout>
            <c:manualLayout>
              <c:xMode val="edge"/>
              <c:yMode val="edge"/>
              <c:x val="4.1004183039996756E-2"/>
              <c:y val="0.30419677584389593"/>
            </c:manualLayout>
          </c:layout>
          <c:overlay val="0"/>
          <c:spPr>
            <a:noFill/>
            <a:ln w="25400">
              <a:noFill/>
            </a:ln>
          </c:spPr>
        </c:title>
        <c:numFmt formatCode="#,##0.00" sourceLinked="0"/>
        <c:majorTickMark val="in"/>
        <c:minorTickMark val="in"/>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974156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22778329612298695"/>
          <c:y val="0.11424834302856442"/>
          <c:w val="0.3578245025263101"/>
          <c:h val="0.1886847070144323"/>
        </c:manualLayout>
      </c:layout>
      <c:overlay val="1"/>
      <c:spPr>
        <a:solidFill>
          <a:schemeClr val="bg1"/>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44" r="0.75000000000000144"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Fuselage Perimeter Plot</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8.3504421720306241E-2"/>
          <c:y val="0.17123123654487063"/>
          <c:w val="0.85841514387243456"/>
          <c:h val="0.66346061978661786"/>
        </c:manualLayout>
      </c:layout>
      <c:scatterChart>
        <c:scatterStyle val="lineMarker"/>
        <c:varyColors val="0"/>
        <c:ser>
          <c:idx val="1"/>
          <c:order val="0"/>
          <c:tx>
            <c:v>Perimeter</c:v>
          </c:tx>
          <c:spPr>
            <a:ln w="19050"/>
          </c:spPr>
          <c:marker>
            <c:symbol val="none"/>
          </c:marker>
          <c:xVal>
            <c:numRef>
              <c:f>'5'!$AB$9:$AB$19</c:f>
              <c:numCache>
                <c:formatCode>0.0</c:formatCode>
                <c:ptCount val="11"/>
                <c:pt idx="0">
                  <c:v>0</c:v>
                </c:pt>
                <c:pt idx="1">
                  <c:v>2.1125000000000003</c:v>
                </c:pt>
                <c:pt idx="2">
                  <c:v>4.2250000000000005</c:v>
                </c:pt>
                <c:pt idx="3">
                  <c:v>6.3374999999999995</c:v>
                </c:pt>
                <c:pt idx="4">
                  <c:v>8.4500000000000011</c:v>
                </c:pt>
                <c:pt idx="5">
                  <c:v>10.5625</c:v>
                </c:pt>
                <c:pt idx="6">
                  <c:v>12.674999999999999</c:v>
                </c:pt>
                <c:pt idx="7">
                  <c:v>14.7875</c:v>
                </c:pt>
                <c:pt idx="8">
                  <c:v>16.900000000000002</c:v>
                </c:pt>
                <c:pt idx="9">
                  <c:v>19.012499999999999</c:v>
                </c:pt>
                <c:pt idx="10">
                  <c:v>21.125</c:v>
                </c:pt>
              </c:numCache>
            </c:numRef>
          </c:xVal>
          <c:yVal>
            <c:numRef>
              <c:f>'5'!$AK$9:$AK$19</c:f>
              <c:numCache>
                <c:formatCode>0.0</c:formatCode>
                <c:ptCount val="11"/>
                <c:pt idx="0">
                  <c:v>0</c:v>
                </c:pt>
                <c:pt idx="1">
                  <c:v>7.8539816339744828</c:v>
                </c:pt>
                <c:pt idx="2">
                  <c:v>10.210176124166829</c:v>
                </c:pt>
                <c:pt idx="3">
                  <c:v>9.6603974097886152</c:v>
                </c:pt>
                <c:pt idx="4">
                  <c:v>8.6393797973719302</c:v>
                </c:pt>
                <c:pt idx="5">
                  <c:v>7.4612825522757582</c:v>
                </c:pt>
                <c:pt idx="6">
                  <c:v>6.2831853071795862</c:v>
                </c:pt>
                <c:pt idx="7">
                  <c:v>5.1050880620834143</c:v>
                </c:pt>
                <c:pt idx="8">
                  <c:v>3.9269908169872414</c:v>
                </c:pt>
                <c:pt idx="9">
                  <c:v>2.748893571891069</c:v>
                </c:pt>
                <c:pt idx="10">
                  <c:v>1.9634954084936207</c:v>
                </c:pt>
              </c:numCache>
            </c:numRef>
          </c:yVal>
          <c:smooth val="0"/>
          <c:extLst>
            <c:ext xmlns:c16="http://schemas.microsoft.com/office/drawing/2014/chart" uri="{C3380CC4-5D6E-409C-BE32-E72D297353CC}">
              <c16:uniqueId val="{00000000-3616-4789-AE9A-8812C7B559C9}"/>
            </c:ext>
          </c:extLst>
        </c:ser>
        <c:dLbls>
          <c:showLegendKey val="0"/>
          <c:showVal val="0"/>
          <c:showCatName val="0"/>
          <c:showSerName val="0"/>
          <c:showPercent val="0"/>
          <c:showBubbleSize val="0"/>
        </c:dLbls>
        <c:axId val="220157440"/>
        <c:axId val="220733824"/>
      </c:scatterChart>
      <c:valAx>
        <c:axId val="220157440"/>
        <c:scaling>
          <c:orientation val="minMax"/>
          <c:max val="30"/>
          <c:min val="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43046003682201373"/>
              <c:y val="0.91030929291187712"/>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0733824"/>
        <c:crosses val="autoZero"/>
        <c:crossBetween val="midCat"/>
      </c:valAx>
      <c:valAx>
        <c:axId val="220733824"/>
        <c:scaling>
          <c:orientation val="minMax"/>
          <c:max val="2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 Perimeter</a:t>
                </a:r>
                <a:r>
                  <a:rPr lang="en-US" sz="1000" baseline="0"/>
                  <a:t>, (ft)</a:t>
                </a:r>
                <a:endParaRPr lang="en-US" sz="1000"/>
              </a:p>
            </c:rich>
          </c:tx>
          <c:layout>
            <c:manualLayout>
              <c:xMode val="edge"/>
              <c:yMode val="edge"/>
              <c:x val="3.023265094692622E-3"/>
              <c:y val="0.26855077305897751"/>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0157440"/>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58512616002462392"/>
          <c:y val="1.8984977727696558E-3"/>
          <c:w val="0.23294136055029233"/>
          <c:h val="0.20777140201863017"/>
        </c:manualLayout>
      </c:layout>
      <c:overlay val="0"/>
      <c:txPr>
        <a:bodyPr/>
        <a:lstStyle/>
        <a:p>
          <a:pPr>
            <a:defRPr sz="1100"/>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44" r="0.75000000000000144"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Fuselage Side View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8.3504421720306241E-2"/>
          <c:y val="0.17123123654487063"/>
          <c:w val="0.85841514387243456"/>
          <c:h val="0.66346061978661786"/>
        </c:manualLayout>
      </c:layout>
      <c:scatterChart>
        <c:scatterStyle val="lineMarker"/>
        <c:varyColors val="0"/>
        <c:ser>
          <c:idx val="1"/>
          <c:order val="0"/>
          <c:tx>
            <c:v>Upper</c:v>
          </c:tx>
          <c:spPr>
            <a:ln w="28575">
              <a:solidFill>
                <a:srgbClr val="4F81BD"/>
              </a:solidFill>
            </a:ln>
          </c:spPr>
          <c:marker>
            <c:symbol val="none"/>
          </c:marker>
          <c:xVal>
            <c:numRef>
              <c:f>'5'!$AB$9:$AB$19</c:f>
              <c:numCache>
                <c:formatCode>0.0</c:formatCode>
                <c:ptCount val="11"/>
                <c:pt idx="0">
                  <c:v>0</c:v>
                </c:pt>
                <c:pt idx="1">
                  <c:v>2.1125000000000003</c:v>
                </c:pt>
                <c:pt idx="2">
                  <c:v>4.2250000000000005</c:v>
                </c:pt>
                <c:pt idx="3">
                  <c:v>6.3374999999999995</c:v>
                </c:pt>
                <c:pt idx="4">
                  <c:v>8.4500000000000011</c:v>
                </c:pt>
                <c:pt idx="5">
                  <c:v>10.5625</c:v>
                </c:pt>
                <c:pt idx="6">
                  <c:v>12.674999999999999</c:v>
                </c:pt>
                <c:pt idx="7">
                  <c:v>14.7875</c:v>
                </c:pt>
                <c:pt idx="8">
                  <c:v>16.900000000000002</c:v>
                </c:pt>
                <c:pt idx="9">
                  <c:v>19.012499999999999</c:v>
                </c:pt>
                <c:pt idx="10">
                  <c:v>21.125</c:v>
                </c:pt>
              </c:numCache>
            </c:numRef>
          </c:xVal>
          <c:yVal>
            <c:numRef>
              <c:f>'5'!$AD$9:$AD$19</c:f>
              <c:numCache>
                <c:formatCode>0.00</c:formatCode>
                <c:ptCount val="11"/>
                <c:pt idx="0">
                  <c:v>0</c:v>
                </c:pt>
                <c:pt idx="1">
                  <c:v>1.25</c:v>
                </c:pt>
                <c:pt idx="2">
                  <c:v>1.5</c:v>
                </c:pt>
                <c:pt idx="3">
                  <c:v>1.45</c:v>
                </c:pt>
                <c:pt idx="4">
                  <c:v>1.25</c:v>
                </c:pt>
                <c:pt idx="5">
                  <c:v>1.125</c:v>
                </c:pt>
                <c:pt idx="6">
                  <c:v>1</c:v>
                </c:pt>
                <c:pt idx="7">
                  <c:v>0.875</c:v>
                </c:pt>
                <c:pt idx="8">
                  <c:v>0.75</c:v>
                </c:pt>
                <c:pt idx="9">
                  <c:v>0.625</c:v>
                </c:pt>
                <c:pt idx="10">
                  <c:v>0.5</c:v>
                </c:pt>
              </c:numCache>
            </c:numRef>
          </c:yVal>
          <c:smooth val="0"/>
          <c:extLst>
            <c:ext xmlns:c16="http://schemas.microsoft.com/office/drawing/2014/chart" uri="{C3380CC4-5D6E-409C-BE32-E72D297353CC}">
              <c16:uniqueId val="{00000000-A40E-468A-9BED-7254BDB05A38}"/>
            </c:ext>
          </c:extLst>
        </c:ser>
        <c:ser>
          <c:idx val="0"/>
          <c:order val="1"/>
          <c:tx>
            <c:v>Lower</c:v>
          </c:tx>
          <c:spPr>
            <a:ln w="28575"/>
          </c:spPr>
          <c:marker>
            <c:symbol val="none"/>
          </c:marker>
          <c:xVal>
            <c:numRef>
              <c:f>'5'!$AB$9:$AB$19</c:f>
              <c:numCache>
                <c:formatCode>0.0</c:formatCode>
                <c:ptCount val="11"/>
                <c:pt idx="0">
                  <c:v>0</c:v>
                </c:pt>
                <c:pt idx="1">
                  <c:v>2.1125000000000003</c:v>
                </c:pt>
                <c:pt idx="2">
                  <c:v>4.2250000000000005</c:v>
                </c:pt>
                <c:pt idx="3">
                  <c:v>6.3374999999999995</c:v>
                </c:pt>
                <c:pt idx="4">
                  <c:v>8.4500000000000011</c:v>
                </c:pt>
                <c:pt idx="5">
                  <c:v>10.5625</c:v>
                </c:pt>
                <c:pt idx="6">
                  <c:v>12.674999999999999</c:v>
                </c:pt>
                <c:pt idx="7">
                  <c:v>14.7875</c:v>
                </c:pt>
                <c:pt idx="8">
                  <c:v>16.900000000000002</c:v>
                </c:pt>
                <c:pt idx="9">
                  <c:v>19.012499999999999</c:v>
                </c:pt>
                <c:pt idx="10">
                  <c:v>21.125</c:v>
                </c:pt>
              </c:numCache>
            </c:numRef>
          </c:xVal>
          <c:yVal>
            <c:numRef>
              <c:f>'5'!$AE$9:$AE$19</c:f>
              <c:numCache>
                <c:formatCode>0.00</c:formatCode>
                <c:ptCount val="11"/>
                <c:pt idx="0">
                  <c:v>0</c:v>
                </c:pt>
                <c:pt idx="1">
                  <c:v>-1.25</c:v>
                </c:pt>
                <c:pt idx="2">
                  <c:v>-1.5</c:v>
                </c:pt>
                <c:pt idx="3">
                  <c:v>-1.45</c:v>
                </c:pt>
                <c:pt idx="4">
                  <c:v>-1.25</c:v>
                </c:pt>
                <c:pt idx="5">
                  <c:v>-1.125</c:v>
                </c:pt>
                <c:pt idx="6">
                  <c:v>-1</c:v>
                </c:pt>
                <c:pt idx="7">
                  <c:v>-0.875</c:v>
                </c:pt>
                <c:pt idx="8">
                  <c:v>-0.75</c:v>
                </c:pt>
                <c:pt idx="9">
                  <c:v>-0.625</c:v>
                </c:pt>
                <c:pt idx="10">
                  <c:v>-0.5</c:v>
                </c:pt>
              </c:numCache>
            </c:numRef>
          </c:yVal>
          <c:smooth val="0"/>
          <c:extLst>
            <c:ext xmlns:c16="http://schemas.microsoft.com/office/drawing/2014/chart" uri="{C3380CC4-5D6E-409C-BE32-E72D297353CC}">
              <c16:uniqueId val="{00000001-A40E-468A-9BED-7254BDB05A38}"/>
            </c:ext>
          </c:extLst>
        </c:ser>
        <c:dLbls>
          <c:showLegendKey val="0"/>
          <c:showVal val="0"/>
          <c:showCatName val="0"/>
          <c:showSerName val="0"/>
          <c:showPercent val="0"/>
          <c:showBubbleSize val="0"/>
        </c:dLbls>
        <c:axId val="222459008"/>
        <c:axId val="222460928"/>
      </c:scatterChart>
      <c:valAx>
        <c:axId val="222459008"/>
        <c:scaling>
          <c:orientation val="minMax"/>
          <c:max val="30"/>
          <c:min val="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881902660862061"/>
              <c:y val="0.89290069656560489"/>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2460928"/>
        <c:crosses val="autoZero"/>
        <c:crossBetween val="midCat"/>
      </c:valAx>
      <c:valAx>
        <c:axId val="222460928"/>
        <c:scaling>
          <c:orientation val="minMax"/>
          <c:max val="5"/>
          <c:min val="-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 Vertical Length</a:t>
                </a:r>
                <a:r>
                  <a:rPr lang="en-US" sz="1000" baseline="0"/>
                  <a:t> (ft)</a:t>
                </a:r>
                <a:endParaRPr lang="en-US" sz="1000"/>
              </a:p>
            </c:rich>
          </c:tx>
          <c:layout>
            <c:manualLayout>
              <c:xMode val="edge"/>
              <c:yMode val="edge"/>
              <c:x val="3.023265094692622E-3"/>
              <c:y val="0.26855077305897751"/>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245900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8238260591722093"/>
          <c:y val="4.8320954767784807E-2"/>
          <c:w val="0.14975139090535866"/>
          <c:h val="0.18856448633113634"/>
        </c:manualLayout>
      </c:layout>
      <c:overlay val="0"/>
      <c:txPr>
        <a:bodyPr/>
        <a:lstStyle/>
        <a:p>
          <a:pPr>
            <a:defRPr sz="1100"/>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44" r="0.75000000000000144"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1" i="0" u="none" strike="noStrike" baseline="0">
                <a:solidFill>
                  <a:srgbClr val="000000"/>
                </a:solidFill>
                <a:latin typeface="Arial"/>
                <a:ea typeface="Arial"/>
                <a:cs typeface="Arial"/>
              </a:defRPr>
            </a:pPr>
            <a:r>
              <a:rPr lang="en-US" sz="1400"/>
              <a:t>Fuselage Top View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8.3504421720306241E-2"/>
          <c:y val="0.17123123654487063"/>
          <c:w val="0.85841514387243456"/>
          <c:h val="0.66346061978661786"/>
        </c:manualLayout>
      </c:layout>
      <c:scatterChart>
        <c:scatterStyle val="lineMarker"/>
        <c:varyColors val="0"/>
        <c:ser>
          <c:idx val="1"/>
          <c:order val="0"/>
          <c:tx>
            <c:v>Starboard</c:v>
          </c:tx>
          <c:spPr>
            <a:ln w="28575">
              <a:solidFill>
                <a:srgbClr val="4F81BD"/>
              </a:solidFill>
            </a:ln>
          </c:spPr>
          <c:marker>
            <c:symbol val="none"/>
          </c:marker>
          <c:xVal>
            <c:numRef>
              <c:f>'5'!$AB$9:$AB$19</c:f>
              <c:numCache>
                <c:formatCode>0.0</c:formatCode>
                <c:ptCount val="11"/>
                <c:pt idx="0">
                  <c:v>0</c:v>
                </c:pt>
                <c:pt idx="1">
                  <c:v>2.1125000000000003</c:v>
                </c:pt>
                <c:pt idx="2">
                  <c:v>4.2250000000000005</c:v>
                </c:pt>
                <c:pt idx="3">
                  <c:v>6.3374999999999995</c:v>
                </c:pt>
                <c:pt idx="4">
                  <c:v>8.4500000000000011</c:v>
                </c:pt>
                <c:pt idx="5">
                  <c:v>10.5625</c:v>
                </c:pt>
                <c:pt idx="6">
                  <c:v>12.674999999999999</c:v>
                </c:pt>
                <c:pt idx="7">
                  <c:v>14.7875</c:v>
                </c:pt>
                <c:pt idx="8">
                  <c:v>16.900000000000002</c:v>
                </c:pt>
                <c:pt idx="9">
                  <c:v>19.012499999999999</c:v>
                </c:pt>
                <c:pt idx="10">
                  <c:v>21.125</c:v>
                </c:pt>
              </c:numCache>
            </c:numRef>
          </c:xVal>
          <c:yVal>
            <c:numRef>
              <c:f>'5'!$AH$9:$AH$19</c:f>
              <c:numCache>
                <c:formatCode>0.00</c:formatCode>
                <c:ptCount val="11"/>
                <c:pt idx="0">
                  <c:v>0</c:v>
                </c:pt>
                <c:pt idx="1">
                  <c:v>1.25</c:v>
                </c:pt>
                <c:pt idx="2">
                  <c:v>1.75</c:v>
                </c:pt>
                <c:pt idx="3">
                  <c:v>1.625</c:v>
                </c:pt>
                <c:pt idx="4">
                  <c:v>1.5</c:v>
                </c:pt>
                <c:pt idx="5">
                  <c:v>1.25</c:v>
                </c:pt>
                <c:pt idx="6">
                  <c:v>1</c:v>
                </c:pt>
                <c:pt idx="7">
                  <c:v>0.75</c:v>
                </c:pt>
                <c:pt idx="8">
                  <c:v>0.5</c:v>
                </c:pt>
                <c:pt idx="9">
                  <c:v>0.25</c:v>
                </c:pt>
                <c:pt idx="10">
                  <c:v>0.125</c:v>
                </c:pt>
              </c:numCache>
            </c:numRef>
          </c:yVal>
          <c:smooth val="0"/>
          <c:extLst>
            <c:ext xmlns:c16="http://schemas.microsoft.com/office/drawing/2014/chart" uri="{C3380CC4-5D6E-409C-BE32-E72D297353CC}">
              <c16:uniqueId val="{00000000-7F70-4C49-8393-D5B81D8979F3}"/>
            </c:ext>
          </c:extLst>
        </c:ser>
        <c:ser>
          <c:idx val="0"/>
          <c:order val="1"/>
          <c:tx>
            <c:v>Port</c:v>
          </c:tx>
          <c:spPr>
            <a:ln w="28575"/>
          </c:spPr>
          <c:marker>
            <c:symbol val="none"/>
          </c:marker>
          <c:xVal>
            <c:numRef>
              <c:f>'5'!$AB$9:$AB$19</c:f>
              <c:numCache>
                <c:formatCode>0.0</c:formatCode>
                <c:ptCount val="11"/>
                <c:pt idx="0">
                  <c:v>0</c:v>
                </c:pt>
                <c:pt idx="1">
                  <c:v>2.1125000000000003</c:v>
                </c:pt>
                <c:pt idx="2">
                  <c:v>4.2250000000000005</c:v>
                </c:pt>
                <c:pt idx="3">
                  <c:v>6.3374999999999995</c:v>
                </c:pt>
                <c:pt idx="4">
                  <c:v>8.4500000000000011</c:v>
                </c:pt>
                <c:pt idx="5">
                  <c:v>10.5625</c:v>
                </c:pt>
                <c:pt idx="6">
                  <c:v>12.674999999999999</c:v>
                </c:pt>
                <c:pt idx="7">
                  <c:v>14.7875</c:v>
                </c:pt>
                <c:pt idx="8">
                  <c:v>16.900000000000002</c:v>
                </c:pt>
                <c:pt idx="9">
                  <c:v>19.012499999999999</c:v>
                </c:pt>
                <c:pt idx="10">
                  <c:v>21.125</c:v>
                </c:pt>
              </c:numCache>
            </c:numRef>
          </c:xVal>
          <c:yVal>
            <c:numRef>
              <c:f>'5'!$AI$9:$AI$19</c:f>
              <c:numCache>
                <c:formatCode>0.00</c:formatCode>
                <c:ptCount val="11"/>
                <c:pt idx="0">
                  <c:v>0</c:v>
                </c:pt>
                <c:pt idx="1">
                  <c:v>-1.25</c:v>
                </c:pt>
                <c:pt idx="2">
                  <c:v>-1.75</c:v>
                </c:pt>
                <c:pt idx="3">
                  <c:v>-1.625</c:v>
                </c:pt>
                <c:pt idx="4">
                  <c:v>-1.5</c:v>
                </c:pt>
                <c:pt idx="5">
                  <c:v>-1.25</c:v>
                </c:pt>
                <c:pt idx="6">
                  <c:v>-1</c:v>
                </c:pt>
                <c:pt idx="7">
                  <c:v>-0.75</c:v>
                </c:pt>
                <c:pt idx="8">
                  <c:v>-0.5</c:v>
                </c:pt>
                <c:pt idx="9">
                  <c:v>-0.25</c:v>
                </c:pt>
                <c:pt idx="10">
                  <c:v>-0.125</c:v>
                </c:pt>
              </c:numCache>
            </c:numRef>
          </c:yVal>
          <c:smooth val="0"/>
          <c:extLst>
            <c:ext xmlns:c16="http://schemas.microsoft.com/office/drawing/2014/chart" uri="{C3380CC4-5D6E-409C-BE32-E72D297353CC}">
              <c16:uniqueId val="{00000001-7F70-4C49-8393-D5B81D8979F3}"/>
            </c:ext>
          </c:extLst>
        </c:ser>
        <c:dLbls>
          <c:showLegendKey val="0"/>
          <c:showVal val="0"/>
          <c:showCatName val="0"/>
          <c:showSerName val="0"/>
          <c:showPercent val="0"/>
          <c:showBubbleSize val="0"/>
        </c:dLbls>
        <c:axId val="222726784"/>
        <c:axId val="222765824"/>
      </c:scatterChart>
      <c:valAx>
        <c:axId val="222726784"/>
        <c:scaling>
          <c:orientation val="minMax"/>
          <c:max val="30"/>
          <c:min val="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881902660862061"/>
              <c:y val="0.89290069656560489"/>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2765824"/>
        <c:crosses val="autoZero"/>
        <c:crossBetween val="midCat"/>
      </c:valAx>
      <c:valAx>
        <c:axId val="222765824"/>
        <c:scaling>
          <c:orientation val="minMax"/>
          <c:max val="5"/>
          <c:min val="-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 Vertical Length</a:t>
                </a:r>
                <a:r>
                  <a:rPr lang="en-US" sz="1000" baseline="0"/>
                  <a:t> (ft)</a:t>
                </a:r>
                <a:endParaRPr lang="en-US" sz="1000"/>
              </a:p>
            </c:rich>
          </c:tx>
          <c:layout>
            <c:manualLayout>
              <c:xMode val="edge"/>
              <c:yMode val="edge"/>
              <c:x val="3.023265094692622E-3"/>
              <c:y val="0.26855077305897751"/>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2726784"/>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74425941545143492"/>
          <c:y val="4.8320954767784807E-2"/>
          <c:w val="0.22867970275280222"/>
          <c:h val="0.21083937411901243"/>
        </c:manualLayout>
      </c:layout>
      <c:overlay val="0"/>
      <c:txPr>
        <a:bodyPr/>
        <a:lstStyle/>
        <a:p>
          <a:pPr>
            <a:defRPr sz="1100"/>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44" r="0.75000000000000144"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l">
              <a:defRPr sz="1400" b="1" i="0" u="none" strike="noStrike" baseline="0">
                <a:solidFill>
                  <a:srgbClr val="000000"/>
                </a:solidFill>
                <a:latin typeface="Arial"/>
                <a:ea typeface="Arial"/>
                <a:cs typeface="Arial"/>
              </a:defRPr>
            </a:pPr>
            <a:r>
              <a:rPr lang="en-US" sz="1400"/>
              <a:t>H-Stab Planform</a:t>
            </a:r>
          </a:p>
          <a:p>
            <a:pPr algn="l">
              <a:defRPr sz="1400" b="1" i="0" u="none" strike="noStrike" baseline="0">
                <a:solidFill>
                  <a:srgbClr val="000000"/>
                </a:solidFill>
                <a:latin typeface="Arial"/>
                <a:ea typeface="Arial"/>
                <a:cs typeface="Arial"/>
              </a:defRPr>
            </a:pPr>
            <a:r>
              <a:rPr lang="en-US" sz="1100"/>
              <a:t>Top View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52"/>
          <c:w val="0.66716663847139268"/>
          <c:h val="0.65292282284939285"/>
        </c:manualLayout>
      </c:layout>
      <c:scatterChart>
        <c:scatterStyle val="lineMarker"/>
        <c:varyColors val="0"/>
        <c:ser>
          <c:idx val="0"/>
          <c:order val="0"/>
          <c:tx>
            <c:v>H-Stab Planform</c:v>
          </c:tx>
          <c:spPr>
            <a:ln w="25400">
              <a:solidFill>
                <a:srgbClr val="000080"/>
              </a:solidFill>
              <a:prstDash val="solid"/>
            </a:ln>
          </c:spPr>
          <c:marker>
            <c:symbol val="none"/>
          </c:marker>
          <c:xVal>
            <c:numRef>
              <c:f>'6'!$B$78:$B$87</c:f>
              <c:numCache>
                <c:formatCode>0.00</c:formatCode>
                <c:ptCount val="10"/>
                <c:pt idx="0">
                  <c:v>0</c:v>
                </c:pt>
                <c:pt idx="1">
                  <c:v>3.503250473208646</c:v>
                </c:pt>
                <c:pt idx="2">
                  <c:v>2.2732209670706727</c:v>
                </c:pt>
                <c:pt idx="3">
                  <c:v>0.17127068314548544</c:v>
                </c:pt>
                <c:pt idx="4">
                  <c:v>0</c:v>
                </c:pt>
                <c:pt idx="5">
                  <c:v>0</c:v>
                </c:pt>
                <c:pt idx="6">
                  <c:v>3.503250473208646</c:v>
                </c:pt>
                <c:pt idx="7">
                  <c:v>2.2732209670706727</c:v>
                </c:pt>
                <c:pt idx="8">
                  <c:v>0.17127068314548544</c:v>
                </c:pt>
                <c:pt idx="9">
                  <c:v>0</c:v>
                </c:pt>
              </c:numCache>
            </c:numRef>
          </c:xVal>
          <c:yVal>
            <c:numRef>
              <c:f>'6'!$C$78:$C$87</c:f>
              <c:numCache>
                <c:formatCode>0.00</c:formatCode>
                <c:ptCount val="10"/>
                <c:pt idx="0">
                  <c:v>0</c:v>
                </c:pt>
                <c:pt idx="1">
                  <c:v>0</c:v>
                </c:pt>
                <c:pt idx="2">
                  <c:v>4.9045506624921051</c:v>
                </c:pt>
                <c:pt idx="3">
                  <c:v>4.9045506624921051</c:v>
                </c:pt>
                <c:pt idx="4">
                  <c:v>0</c:v>
                </c:pt>
                <c:pt idx="5">
                  <c:v>0</c:v>
                </c:pt>
                <c:pt idx="6">
                  <c:v>0</c:v>
                </c:pt>
                <c:pt idx="7">
                  <c:v>-4.9045506624921051</c:v>
                </c:pt>
                <c:pt idx="8">
                  <c:v>-4.9045506624921051</c:v>
                </c:pt>
                <c:pt idx="9">
                  <c:v>0</c:v>
                </c:pt>
              </c:numCache>
            </c:numRef>
          </c:yVal>
          <c:smooth val="0"/>
          <c:extLst>
            <c:ext xmlns:c16="http://schemas.microsoft.com/office/drawing/2014/chart" uri="{C3380CC4-5D6E-409C-BE32-E72D297353CC}">
              <c16:uniqueId val="{00000000-D4B1-49A0-8059-CE73B91BC655}"/>
            </c:ext>
          </c:extLst>
        </c:ser>
        <c:ser>
          <c:idx val="3"/>
          <c:order val="1"/>
          <c:tx>
            <c:v>V-Stab mac</c:v>
          </c:tx>
          <c:spPr>
            <a:ln w="38100">
              <a:solidFill>
                <a:srgbClr val="00B050"/>
              </a:solidFill>
            </a:ln>
          </c:spPr>
          <c:marker>
            <c:symbol val="none"/>
          </c:marker>
          <c:xVal>
            <c:numRef>
              <c:f>'6'!$E$88:$E$89</c:f>
              <c:numCache>
                <c:formatCode>General</c:formatCode>
                <c:ptCount val="2"/>
                <c:pt idx="0">
                  <c:v>-0.16995062348442946</c:v>
                </c:pt>
                <c:pt idx="1">
                  <c:v>3.6848360093404056</c:v>
                </c:pt>
              </c:numCache>
            </c:numRef>
          </c:xVal>
          <c:yVal>
            <c:numRef>
              <c:f>'6'!$F$88:$F$89</c:f>
              <c:numCache>
                <c:formatCode>0.000</c:formatCode>
                <c:ptCount val="2"/>
                <c:pt idx="0">
                  <c:v>0</c:v>
                </c:pt>
                <c:pt idx="1">
                  <c:v>0</c:v>
                </c:pt>
              </c:numCache>
            </c:numRef>
          </c:yVal>
          <c:smooth val="0"/>
          <c:extLst>
            <c:ext xmlns:c16="http://schemas.microsoft.com/office/drawing/2014/chart" uri="{C3380CC4-5D6E-409C-BE32-E72D297353CC}">
              <c16:uniqueId val="{00000001-D4B1-49A0-8059-CE73B91BC655}"/>
            </c:ext>
          </c:extLst>
        </c:ser>
        <c:ser>
          <c:idx val="1"/>
          <c:order val="2"/>
          <c:tx>
            <c:v>H-Stab mac1</c:v>
          </c:tx>
          <c:marker>
            <c:symbol val="none"/>
          </c:marker>
          <c:xVal>
            <c:numRef>
              <c:f>'6'!$E$78:$E$79</c:f>
              <c:numCache>
                <c:formatCode>General</c:formatCode>
                <c:ptCount val="2"/>
                <c:pt idx="0">
                  <c:v>7.8499063108347478E-2</c:v>
                </c:pt>
                <c:pt idx="1">
                  <c:v>2.9394869495620748</c:v>
                </c:pt>
              </c:numCache>
            </c:numRef>
          </c:xVal>
          <c:yVal>
            <c:numRef>
              <c:f>'6'!$F$78:$F$79</c:f>
              <c:numCache>
                <c:formatCode>0.000</c:formatCode>
                <c:ptCount val="2"/>
                <c:pt idx="0">
                  <c:v>2.2479190536422147</c:v>
                </c:pt>
                <c:pt idx="1">
                  <c:v>2.2479190536422147</c:v>
                </c:pt>
              </c:numCache>
            </c:numRef>
          </c:yVal>
          <c:smooth val="0"/>
          <c:extLst>
            <c:ext xmlns:c16="http://schemas.microsoft.com/office/drawing/2014/chart" uri="{C3380CC4-5D6E-409C-BE32-E72D297353CC}">
              <c16:uniqueId val="{00000002-D4B1-49A0-8059-CE73B91BC655}"/>
            </c:ext>
          </c:extLst>
        </c:ser>
        <c:ser>
          <c:idx val="2"/>
          <c:order val="3"/>
          <c:tx>
            <c:v>H-Stab mac2</c:v>
          </c:tx>
          <c:spPr>
            <a:ln>
              <a:solidFill>
                <a:srgbClr val="C0504D"/>
              </a:solidFill>
            </a:ln>
          </c:spPr>
          <c:marker>
            <c:symbol val="none"/>
          </c:marker>
          <c:xVal>
            <c:numRef>
              <c:f>'6'!$E$83:$E$84</c:f>
              <c:numCache>
                <c:formatCode>General</c:formatCode>
                <c:ptCount val="2"/>
                <c:pt idx="0">
                  <c:v>7.8499063108347478E-2</c:v>
                </c:pt>
                <c:pt idx="1">
                  <c:v>2.9394869495620748</c:v>
                </c:pt>
              </c:numCache>
            </c:numRef>
          </c:xVal>
          <c:yVal>
            <c:numRef>
              <c:f>'6'!$F$83:$F$84</c:f>
              <c:numCache>
                <c:formatCode>0.000</c:formatCode>
                <c:ptCount val="2"/>
                <c:pt idx="0">
                  <c:v>-2.2479190536422147</c:v>
                </c:pt>
                <c:pt idx="1">
                  <c:v>-2.2479190536422147</c:v>
                </c:pt>
              </c:numCache>
            </c:numRef>
          </c:yVal>
          <c:smooth val="0"/>
          <c:extLst>
            <c:ext xmlns:c16="http://schemas.microsoft.com/office/drawing/2014/chart" uri="{C3380CC4-5D6E-409C-BE32-E72D297353CC}">
              <c16:uniqueId val="{00000003-D4B1-49A0-8059-CE73B91BC655}"/>
            </c:ext>
          </c:extLst>
        </c:ser>
        <c:dLbls>
          <c:showLegendKey val="0"/>
          <c:showVal val="0"/>
          <c:showCatName val="0"/>
          <c:showSerName val="0"/>
          <c:showPercent val="0"/>
          <c:showBubbleSize val="0"/>
        </c:dLbls>
        <c:axId val="230272000"/>
        <c:axId val="231457152"/>
      </c:scatterChart>
      <c:valAx>
        <c:axId val="230272000"/>
        <c:scaling>
          <c:orientation val="minMax"/>
          <c:max val="5"/>
          <c:min val="-5"/>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711"/>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457152"/>
        <c:crosses val="autoZero"/>
        <c:crossBetween val="midCat"/>
      </c:valAx>
      <c:valAx>
        <c:axId val="231457152"/>
        <c:scaling>
          <c:orientation val="minMax"/>
          <c:max val="5"/>
          <c:min val="-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aseline="0"/>
                  <a:t>Span, b, (ft)</a:t>
                </a:r>
                <a:endParaRPr lang="en-US" sz="1000"/>
              </a:p>
            </c:rich>
          </c:tx>
          <c:layout>
            <c:manualLayout>
              <c:xMode val="edge"/>
              <c:yMode val="edge"/>
              <c:x val="4.3500576510243902E-2"/>
              <c:y val="0.38170093518811105"/>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0272000"/>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59228163986527771"/>
          <c:y val="3.4924221172123258E-2"/>
          <c:w val="0.37253569484421645"/>
          <c:h val="0.18721372845859552"/>
        </c:manualLayout>
      </c:layout>
      <c:overlay val="1"/>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l">
              <a:defRPr sz="1400" b="1" i="0" u="none" strike="noStrike" baseline="0">
                <a:solidFill>
                  <a:srgbClr val="000000"/>
                </a:solidFill>
                <a:latin typeface="Arial"/>
                <a:ea typeface="Arial"/>
                <a:cs typeface="Arial"/>
              </a:defRPr>
            </a:pPr>
            <a:r>
              <a:rPr lang="en-US" sz="1400"/>
              <a:t>V-Stab Planform</a:t>
            </a:r>
          </a:p>
          <a:p>
            <a:pPr algn="l">
              <a:defRPr sz="1400" b="1" i="0" u="none" strike="noStrike" baseline="0">
                <a:solidFill>
                  <a:srgbClr val="000000"/>
                </a:solidFill>
                <a:latin typeface="Arial"/>
                <a:ea typeface="Arial"/>
                <a:cs typeface="Arial"/>
              </a:defRPr>
            </a:pPr>
            <a:r>
              <a:rPr lang="en-US" sz="1200"/>
              <a:t>Side View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52"/>
          <c:w val="0.66716663847139268"/>
          <c:h val="0.65292282284939285"/>
        </c:manualLayout>
      </c:layout>
      <c:scatterChart>
        <c:scatterStyle val="lineMarker"/>
        <c:varyColors val="0"/>
        <c:ser>
          <c:idx val="0"/>
          <c:order val="0"/>
          <c:tx>
            <c:v>V-Stab Planform</c:v>
          </c:tx>
          <c:spPr>
            <a:ln w="25400">
              <a:solidFill>
                <a:srgbClr val="000080"/>
              </a:solidFill>
              <a:prstDash val="solid"/>
            </a:ln>
          </c:spPr>
          <c:marker>
            <c:symbol val="none"/>
          </c:marker>
          <c:xVal>
            <c:numRef>
              <c:f>'6'!$H$78:$H$82</c:f>
              <c:numCache>
                <c:formatCode>0.00</c:formatCode>
                <c:ptCount val="5"/>
                <c:pt idx="0" formatCode="General">
                  <c:v>-0.77281934198294899</c:v>
                </c:pt>
                <c:pt idx="1">
                  <c:v>3.947327555353584</c:v>
                </c:pt>
                <c:pt idx="2">
                  <c:v>3.374618727688468</c:v>
                </c:pt>
                <c:pt idx="3">
                  <c:v>0.54253058928654818</c:v>
                </c:pt>
                <c:pt idx="4">
                  <c:v>-0.77281934198294899</c:v>
                </c:pt>
              </c:numCache>
            </c:numRef>
          </c:xVal>
          <c:yVal>
            <c:numRef>
              <c:f>'6'!$I$78:$I$82</c:f>
              <c:numCache>
                <c:formatCode>0.00</c:formatCode>
                <c:ptCount val="5"/>
                <c:pt idx="0">
                  <c:v>0</c:v>
                </c:pt>
                <c:pt idx="1">
                  <c:v>0</c:v>
                </c:pt>
                <c:pt idx="2">
                  <c:v>4.908952773229994</c:v>
                </c:pt>
                <c:pt idx="3">
                  <c:v>4.908952773229994</c:v>
                </c:pt>
                <c:pt idx="4">
                  <c:v>0</c:v>
                </c:pt>
              </c:numCache>
            </c:numRef>
          </c:yVal>
          <c:smooth val="0"/>
          <c:extLst>
            <c:ext xmlns:c16="http://schemas.microsoft.com/office/drawing/2014/chart" uri="{C3380CC4-5D6E-409C-BE32-E72D297353CC}">
              <c16:uniqueId val="{00000000-D3FC-4355-8A6D-0DAFAE691342}"/>
            </c:ext>
          </c:extLst>
        </c:ser>
        <c:ser>
          <c:idx val="1"/>
          <c:order val="1"/>
          <c:tx>
            <c:v>V-Stab mac</c:v>
          </c:tx>
          <c:spPr>
            <a:ln>
              <a:solidFill>
                <a:srgbClr val="00B050"/>
              </a:solidFill>
            </a:ln>
          </c:spPr>
          <c:marker>
            <c:symbol val="none"/>
          </c:marker>
          <c:xVal>
            <c:numRef>
              <c:f>'6'!$K$78:$K$79</c:f>
              <c:numCache>
                <c:formatCode>General</c:formatCode>
                <c:ptCount val="2"/>
                <c:pt idx="0">
                  <c:v>-0.16995062348442946</c:v>
                </c:pt>
                <c:pt idx="1">
                  <c:v>3.6848360093404056</c:v>
                </c:pt>
              </c:numCache>
            </c:numRef>
          </c:xVal>
          <c:yVal>
            <c:numRef>
              <c:f>'6'!$L$78:$L$79</c:f>
              <c:numCache>
                <c:formatCode>0.000</c:formatCode>
                <c:ptCount val="2"/>
                <c:pt idx="0">
                  <c:v>2.2499366877304139</c:v>
                </c:pt>
                <c:pt idx="1">
                  <c:v>2.2499366877304139</c:v>
                </c:pt>
              </c:numCache>
            </c:numRef>
          </c:yVal>
          <c:smooth val="0"/>
          <c:extLst>
            <c:ext xmlns:c16="http://schemas.microsoft.com/office/drawing/2014/chart" uri="{C3380CC4-5D6E-409C-BE32-E72D297353CC}">
              <c16:uniqueId val="{00000001-D3FC-4355-8A6D-0DAFAE691342}"/>
            </c:ext>
          </c:extLst>
        </c:ser>
        <c:ser>
          <c:idx val="2"/>
          <c:order val="2"/>
          <c:tx>
            <c:v>H-Stab mac</c:v>
          </c:tx>
          <c:spPr>
            <a:ln w="34925">
              <a:solidFill>
                <a:srgbClr val="C0504D"/>
              </a:solidFill>
            </a:ln>
          </c:spPr>
          <c:marker>
            <c:symbol val="none"/>
          </c:marker>
          <c:xVal>
            <c:numRef>
              <c:f>'6'!$K$84:$K$85</c:f>
              <c:numCache>
                <c:formatCode>General</c:formatCode>
                <c:ptCount val="2"/>
                <c:pt idx="0">
                  <c:v>7.8499063108347478E-2</c:v>
                </c:pt>
                <c:pt idx="1">
                  <c:v>2.9394869495620748</c:v>
                </c:pt>
              </c:numCache>
            </c:numRef>
          </c:xVal>
          <c:yVal>
            <c:numRef>
              <c:f>'6'!$L$84:$L$85</c:f>
              <c:numCache>
                <c:formatCode>0.000</c:formatCode>
                <c:ptCount val="2"/>
                <c:pt idx="0">
                  <c:v>0</c:v>
                </c:pt>
                <c:pt idx="1">
                  <c:v>0</c:v>
                </c:pt>
              </c:numCache>
            </c:numRef>
          </c:yVal>
          <c:smooth val="0"/>
          <c:extLst>
            <c:ext xmlns:c16="http://schemas.microsoft.com/office/drawing/2014/chart" uri="{C3380CC4-5D6E-409C-BE32-E72D297353CC}">
              <c16:uniqueId val="{00000002-D3FC-4355-8A6D-0DAFAE691342}"/>
            </c:ext>
          </c:extLst>
        </c:ser>
        <c:ser>
          <c:idx val="3"/>
          <c:order val="3"/>
          <c:tx>
            <c:v>Spin1</c:v>
          </c:tx>
          <c:spPr>
            <a:ln w="22225">
              <a:solidFill>
                <a:srgbClr val="C0504D"/>
              </a:solidFill>
              <a:prstDash val="sysDash"/>
            </a:ln>
          </c:spPr>
          <c:marker>
            <c:symbol val="none"/>
          </c:marker>
          <c:xVal>
            <c:numRef>
              <c:f>'6'!$J$94:$J$95</c:f>
              <c:numCache>
                <c:formatCode>0.0000</c:formatCode>
                <c:ptCount val="2"/>
                <c:pt idx="0">
                  <c:v>7.8499063108347478E-2</c:v>
                </c:pt>
                <c:pt idx="1">
                  <c:v>5.7468694732353409</c:v>
                </c:pt>
              </c:numCache>
            </c:numRef>
          </c:xVal>
          <c:yVal>
            <c:numRef>
              <c:f>'6'!$K$94:$K$95</c:f>
              <c:numCache>
                <c:formatCode>0.000</c:formatCode>
                <c:ptCount val="2"/>
                <c:pt idx="0">
                  <c:v>0</c:v>
                </c:pt>
                <c:pt idx="1">
                  <c:v>9.817905546459988</c:v>
                </c:pt>
              </c:numCache>
            </c:numRef>
          </c:yVal>
          <c:smooth val="0"/>
          <c:extLst>
            <c:ext xmlns:c16="http://schemas.microsoft.com/office/drawing/2014/chart" uri="{C3380CC4-5D6E-409C-BE32-E72D297353CC}">
              <c16:uniqueId val="{00000003-D3FC-4355-8A6D-0DAFAE691342}"/>
            </c:ext>
          </c:extLst>
        </c:ser>
        <c:ser>
          <c:idx val="4"/>
          <c:order val="4"/>
          <c:tx>
            <c:v>Spin2</c:v>
          </c:tx>
          <c:spPr>
            <a:ln w="22225">
              <a:solidFill>
                <a:srgbClr val="C0504D"/>
              </a:solidFill>
              <a:prstDash val="sysDash"/>
            </a:ln>
          </c:spPr>
          <c:marker>
            <c:symbol val="none"/>
          </c:marker>
          <c:xVal>
            <c:numRef>
              <c:f>'6'!$J$97:$J$98</c:f>
              <c:numCache>
                <c:formatCode>0.0000</c:formatCode>
                <c:ptCount val="2"/>
                <c:pt idx="0">
                  <c:v>2.9394869495620748</c:v>
                </c:pt>
                <c:pt idx="1">
                  <c:v>19.94459817994305</c:v>
                </c:pt>
              </c:numCache>
            </c:numRef>
          </c:xVal>
          <c:yVal>
            <c:numRef>
              <c:f>'6'!$K$97:$K$98</c:f>
              <c:numCache>
                <c:formatCode>0.000</c:formatCode>
                <c:ptCount val="2"/>
                <c:pt idx="0">
                  <c:v>0</c:v>
                </c:pt>
                <c:pt idx="1">
                  <c:v>9.817905546459988</c:v>
                </c:pt>
              </c:numCache>
            </c:numRef>
          </c:yVal>
          <c:smooth val="0"/>
          <c:extLst>
            <c:ext xmlns:c16="http://schemas.microsoft.com/office/drawing/2014/chart" uri="{C3380CC4-5D6E-409C-BE32-E72D297353CC}">
              <c16:uniqueId val="{00000004-D3FC-4355-8A6D-0DAFAE691342}"/>
            </c:ext>
          </c:extLst>
        </c:ser>
        <c:dLbls>
          <c:showLegendKey val="0"/>
          <c:showVal val="0"/>
          <c:showCatName val="0"/>
          <c:showSerName val="0"/>
          <c:showPercent val="0"/>
          <c:showBubbleSize val="0"/>
        </c:dLbls>
        <c:axId val="231528320"/>
        <c:axId val="231542784"/>
      </c:scatterChart>
      <c:valAx>
        <c:axId val="231528320"/>
        <c:scaling>
          <c:orientation val="minMax"/>
          <c:max val="4"/>
          <c:min val="-4"/>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711"/>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542784"/>
        <c:crosses val="autoZero"/>
        <c:crossBetween val="midCat"/>
      </c:valAx>
      <c:valAx>
        <c:axId val="231542784"/>
        <c:scaling>
          <c:orientation val="minMax"/>
          <c:max val="8"/>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Half</a:t>
                </a:r>
                <a:r>
                  <a:rPr lang="en-US" sz="1000" baseline="0"/>
                  <a:t> Span, b/2, (ft)</a:t>
                </a:r>
                <a:endParaRPr lang="en-US" sz="1000"/>
              </a:p>
            </c:rich>
          </c:tx>
          <c:layout>
            <c:manualLayout>
              <c:xMode val="edge"/>
              <c:yMode val="edge"/>
              <c:x val="4.3500438109475938E-2"/>
              <c:y val="0.28979839470285801"/>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528320"/>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48958709677836704"/>
          <c:y val="3.4924221172123258E-2"/>
          <c:w val="0.43641170064427481"/>
          <c:h val="0.18839932189617559"/>
        </c:manualLayout>
      </c:layout>
      <c:overlay val="1"/>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b="1" i="0" u="none" strike="noStrike" baseline="0">
                <a:solidFill>
                  <a:srgbClr val="000000"/>
                </a:solidFill>
                <a:latin typeface="Arial"/>
                <a:ea typeface="Arial"/>
                <a:cs typeface="Arial"/>
              </a:defRPr>
            </a:pPr>
            <a:r>
              <a:rPr lang="en-US" sz="1200"/>
              <a:t>Stabilizer</a:t>
            </a:r>
            <a:r>
              <a:rPr lang="en-US" sz="1200" baseline="0"/>
              <a:t> Placement</a:t>
            </a:r>
          </a:p>
          <a:p>
            <a:pPr algn="l">
              <a:defRPr sz="1600" b="1" i="0" u="none" strike="noStrike" baseline="0">
                <a:solidFill>
                  <a:srgbClr val="000000"/>
                </a:solidFill>
                <a:latin typeface="Arial"/>
                <a:ea typeface="Arial"/>
                <a:cs typeface="Arial"/>
              </a:defRPr>
            </a:pPr>
            <a:r>
              <a:rPr lang="en-US" sz="900" baseline="0"/>
              <a:t>H-Stab Location for Stall Control</a:t>
            </a:r>
          </a:p>
          <a:p>
            <a:pPr algn="l">
              <a:defRPr sz="1600" b="1" i="0" u="none" strike="noStrike" baseline="0">
                <a:solidFill>
                  <a:srgbClr val="000000"/>
                </a:solidFill>
                <a:latin typeface="Arial"/>
                <a:ea typeface="Arial"/>
                <a:cs typeface="Arial"/>
              </a:defRPr>
            </a:pPr>
            <a:r>
              <a:rPr lang="en-US" sz="900" baseline="0"/>
              <a:t>See Fig. 6.9 Corke</a:t>
            </a:r>
          </a:p>
          <a:p>
            <a:pPr algn="l">
              <a:defRPr sz="1600" b="1" i="0" u="none" strike="noStrike" baseline="0">
                <a:solidFill>
                  <a:srgbClr val="000000"/>
                </a:solidFill>
                <a:latin typeface="Arial"/>
                <a:ea typeface="Arial"/>
                <a:cs typeface="Arial"/>
              </a:defRPr>
            </a:pPr>
            <a:endParaRPr lang="en-US" sz="1200"/>
          </a:p>
        </c:rich>
      </c:tx>
      <c:layout>
        <c:manualLayout>
          <c:xMode val="edge"/>
          <c:yMode val="edge"/>
          <c:x val="1.662222233703764E-2"/>
          <c:y val="1.7706957692141957E-2"/>
        </c:manualLayout>
      </c:layout>
      <c:overlay val="0"/>
      <c:spPr>
        <a:noFill/>
        <a:ln w="25400">
          <a:noFill/>
        </a:ln>
      </c:spPr>
    </c:title>
    <c:autoTitleDeleted val="0"/>
    <c:plotArea>
      <c:layout>
        <c:manualLayout>
          <c:layoutTarget val="inner"/>
          <c:xMode val="edge"/>
          <c:yMode val="edge"/>
          <c:x val="0.22895132457546155"/>
          <c:y val="0.18768992121633871"/>
          <c:w val="0.63783849294810391"/>
          <c:h val="0.64021592408339034"/>
        </c:manualLayout>
      </c:layout>
      <c:scatterChart>
        <c:scatterStyle val="lineMarker"/>
        <c:varyColors val="0"/>
        <c:ser>
          <c:idx val="0"/>
          <c:order val="0"/>
          <c:tx>
            <c:v>Bottom</c:v>
          </c:tx>
          <c:spPr>
            <a:ln w="28575">
              <a:solidFill>
                <a:srgbClr val="00B0F0"/>
              </a:solidFill>
              <a:prstDash val="sysDash"/>
            </a:ln>
          </c:spPr>
          <c:marker>
            <c:symbol val="none"/>
          </c:marker>
          <c:xVal>
            <c:numRef>
              <c:f>'6'!$B$96:$B$100</c:f>
              <c:numCache>
                <c:formatCode>General</c:formatCode>
                <c:ptCount val="5"/>
                <c:pt idx="0">
                  <c:v>1.2</c:v>
                </c:pt>
                <c:pt idx="1">
                  <c:v>2</c:v>
                </c:pt>
                <c:pt idx="2">
                  <c:v>3</c:v>
                </c:pt>
                <c:pt idx="3">
                  <c:v>4</c:v>
                </c:pt>
                <c:pt idx="4">
                  <c:v>5</c:v>
                </c:pt>
              </c:numCache>
            </c:numRef>
          </c:xVal>
          <c:yVal>
            <c:numRef>
              <c:f>'6'!$C$96:$C$100</c:f>
              <c:numCache>
                <c:formatCode>0.000</c:formatCode>
                <c:ptCount val="5"/>
                <c:pt idx="0">
                  <c:v>-8.3000000000000004E-2</c:v>
                </c:pt>
                <c:pt idx="1">
                  <c:v>-0.15</c:v>
                </c:pt>
                <c:pt idx="2">
                  <c:v>-0.2</c:v>
                </c:pt>
                <c:pt idx="3">
                  <c:v>-0.22500000000000001</c:v>
                </c:pt>
                <c:pt idx="4">
                  <c:v>-0.25</c:v>
                </c:pt>
              </c:numCache>
            </c:numRef>
          </c:yVal>
          <c:smooth val="0"/>
          <c:extLst>
            <c:ext xmlns:c16="http://schemas.microsoft.com/office/drawing/2014/chart" uri="{C3380CC4-5D6E-409C-BE32-E72D297353CC}">
              <c16:uniqueId val="{00000000-05D5-4837-A272-61C2858C40D0}"/>
            </c:ext>
          </c:extLst>
        </c:ser>
        <c:ser>
          <c:idx val="1"/>
          <c:order val="1"/>
          <c:tx>
            <c:v>Middle</c:v>
          </c:tx>
          <c:spPr>
            <a:ln w="28575">
              <a:solidFill>
                <a:srgbClr val="00B0F0"/>
              </a:solidFill>
              <a:prstDash val="sysDash"/>
            </a:ln>
          </c:spPr>
          <c:marker>
            <c:symbol val="none"/>
          </c:marker>
          <c:xVal>
            <c:numRef>
              <c:f>'6'!$B$96:$B$100</c:f>
              <c:numCache>
                <c:formatCode>General</c:formatCode>
                <c:ptCount val="5"/>
                <c:pt idx="0">
                  <c:v>1.2</c:v>
                </c:pt>
                <c:pt idx="1">
                  <c:v>2</c:v>
                </c:pt>
                <c:pt idx="2">
                  <c:v>3</c:v>
                </c:pt>
                <c:pt idx="3">
                  <c:v>4</c:v>
                </c:pt>
                <c:pt idx="4">
                  <c:v>5</c:v>
                </c:pt>
              </c:numCache>
            </c:numRef>
          </c:xVal>
          <c:yVal>
            <c:numRef>
              <c:f>'6'!$D$96:$D$100</c:f>
              <c:numCache>
                <c:formatCode>0.000</c:formatCode>
                <c:ptCount val="5"/>
                <c:pt idx="0">
                  <c:v>0.11700000000000001</c:v>
                </c:pt>
                <c:pt idx="1">
                  <c:v>0.25</c:v>
                </c:pt>
                <c:pt idx="2">
                  <c:v>0.41699999999999998</c:v>
                </c:pt>
                <c:pt idx="3">
                  <c:v>0.56699999999999995</c:v>
                </c:pt>
                <c:pt idx="4">
                  <c:v>0.68300000000000005</c:v>
                </c:pt>
              </c:numCache>
            </c:numRef>
          </c:yVal>
          <c:smooth val="0"/>
          <c:extLst>
            <c:ext xmlns:c16="http://schemas.microsoft.com/office/drawing/2014/chart" uri="{C3380CC4-5D6E-409C-BE32-E72D297353CC}">
              <c16:uniqueId val="{00000001-05D5-4837-A272-61C2858C40D0}"/>
            </c:ext>
          </c:extLst>
        </c:ser>
        <c:ser>
          <c:idx val="2"/>
          <c:order val="2"/>
          <c:tx>
            <c:v>Top</c:v>
          </c:tx>
          <c:spPr>
            <a:ln w="28575">
              <a:solidFill>
                <a:srgbClr val="00B0F0"/>
              </a:solidFill>
              <a:prstDash val="sysDash"/>
            </a:ln>
          </c:spPr>
          <c:marker>
            <c:symbol val="none"/>
          </c:marker>
          <c:xVal>
            <c:numRef>
              <c:f>'6'!$B$96:$B$100</c:f>
              <c:numCache>
                <c:formatCode>General</c:formatCode>
                <c:ptCount val="5"/>
                <c:pt idx="0">
                  <c:v>1.2</c:v>
                </c:pt>
                <c:pt idx="1">
                  <c:v>2</c:v>
                </c:pt>
                <c:pt idx="2">
                  <c:v>3</c:v>
                </c:pt>
                <c:pt idx="3">
                  <c:v>4</c:v>
                </c:pt>
                <c:pt idx="4">
                  <c:v>5</c:v>
                </c:pt>
              </c:numCache>
            </c:numRef>
          </c:xVal>
          <c:yVal>
            <c:numRef>
              <c:f>'6'!$E$96:$E$100</c:f>
              <c:numCache>
                <c:formatCode>0.000</c:formatCode>
                <c:ptCount val="5"/>
                <c:pt idx="0">
                  <c:v>0.61699999999999999</c:v>
                </c:pt>
                <c:pt idx="1">
                  <c:v>0.98299999999999998</c:v>
                </c:pt>
                <c:pt idx="2">
                  <c:v>1.333</c:v>
                </c:pt>
                <c:pt idx="3">
                  <c:v>1.6</c:v>
                </c:pt>
                <c:pt idx="4">
                  <c:v>1.8080000000000001</c:v>
                </c:pt>
              </c:numCache>
            </c:numRef>
          </c:yVal>
          <c:smooth val="0"/>
          <c:extLst>
            <c:ext xmlns:c16="http://schemas.microsoft.com/office/drawing/2014/chart" uri="{C3380CC4-5D6E-409C-BE32-E72D297353CC}">
              <c16:uniqueId val="{00000002-05D5-4837-A272-61C2858C40D0}"/>
            </c:ext>
          </c:extLst>
        </c:ser>
        <c:ser>
          <c:idx val="3"/>
          <c:order val="3"/>
          <c:tx>
            <c:v>Design</c:v>
          </c:tx>
          <c:spPr>
            <a:ln>
              <a:noFill/>
            </a:ln>
          </c:spPr>
          <c:marker>
            <c:symbol val="circle"/>
            <c:size val="10"/>
            <c:spPr>
              <a:solidFill>
                <a:srgbClr val="FF0000"/>
              </a:solidFill>
              <a:ln>
                <a:solidFill>
                  <a:srgbClr val="FF0000"/>
                </a:solidFill>
              </a:ln>
            </c:spPr>
          </c:marker>
          <c:xVal>
            <c:numRef>
              <c:f>'6'!$G$95</c:f>
              <c:numCache>
                <c:formatCode>General</c:formatCode>
                <c:ptCount val="1"/>
                <c:pt idx="0">
                  <c:v>2.8899158496242876</c:v>
                </c:pt>
              </c:numCache>
            </c:numRef>
          </c:xVal>
          <c:yVal>
            <c:numRef>
              <c:f>'6'!$H$95</c:f>
              <c:numCache>
                <c:formatCode>0.000</c:formatCode>
                <c:ptCount val="1"/>
                <c:pt idx="0">
                  <c:v>0</c:v>
                </c:pt>
              </c:numCache>
            </c:numRef>
          </c:yVal>
          <c:smooth val="0"/>
          <c:extLst>
            <c:ext xmlns:c16="http://schemas.microsoft.com/office/drawing/2014/chart" uri="{C3380CC4-5D6E-409C-BE32-E72D297353CC}">
              <c16:uniqueId val="{00000003-05D5-4837-A272-61C2858C40D0}"/>
            </c:ext>
          </c:extLst>
        </c:ser>
        <c:dLbls>
          <c:showLegendKey val="0"/>
          <c:showVal val="0"/>
          <c:showCatName val="0"/>
          <c:showSerName val="0"/>
          <c:showPercent val="0"/>
          <c:showBubbleSize val="0"/>
        </c:dLbls>
        <c:axId val="231620608"/>
        <c:axId val="231622912"/>
      </c:scatterChart>
      <c:valAx>
        <c:axId val="231620608"/>
        <c:scaling>
          <c:orientation val="minMax"/>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LHT/(m.a.c.)wing</a:t>
                </a:r>
              </a:p>
            </c:rich>
          </c:tx>
          <c:layout>
            <c:manualLayout>
              <c:xMode val="edge"/>
              <c:yMode val="edge"/>
              <c:x val="0.29154069006597416"/>
              <c:y val="0.8764102176272754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31622912"/>
        <c:crosses val="autoZero"/>
        <c:crossBetween val="midCat"/>
      </c:valAx>
      <c:valAx>
        <c:axId val="231622912"/>
        <c:scaling>
          <c:orientation val="minMax"/>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HHT/(m.a.c.)wing</a:t>
                </a:r>
                <a:r>
                  <a:rPr lang="en-US" sz="1400" baseline="0"/>
                  <a:t>)</a:t>
                </a:r>
                <a:endParaRPr lang="en-US" sz="1400"/>
              </a:p>
            </c:rich>
          </c:tx>
          <c:layout>
            <c:manualLayout>
              <c:xMode val="edge"/>
              <c:yMode val="edge"/>
              <c:x val="3.4929738901273454E-2"/>
              <c:y val="0.31103973521718242"/>
            </c:manualLayout>
          </c:layout>
          <c:overlay val="0"/>
          <c:spPr>
            <a:noFill/>
            <a:ln w="25400">
              <a:noFill/>
            </a:ln>
          </c:spPr>
        </c:title>
        <c:numFmt formatCode="0.0" sourceLinked="0"/>
        <c:majorTickMark val="out"/>
        <c:minorTickMark val="none"/>
        <c:tickLblPos val="nextTo"/>
        <c:spPr>
          <a:ln>
            <a:noFill/>
          </a:ln>
        </c:spPr>
        <c:txPr>
          <a:bodyPr rot="0" vert="horz"/>
          <a:lstStyle/>
          <a:p>
            <a:pPr>
              <a:defRPr sz="1100" b="0" i="0" u="none" strike="noStrike" baseline="0">
                <a:solidFill>
                  <a:srgbClr val="000000"/>
                </a:solidFill>
                <a:latin typeface="Arial"/>
                <a:ea typeface="Arial"/>
                <a:cs typeface="Arial"/>
              </a:defRPr>
            </a:pPr>
            <a:endParaRPr lang="en-US"/>
          </a:p>
        </c:txPr>
        <c:crossAx val="231620608"/>
        <c:crosses val="autoZero"/>
        <c:crossBetween val="midCat"/>
      </c:valAx>
      <c:spPr>
        <a:noFill/>
        <a:ln w="12700">
          <a:solidFill>
            <a:schemeClr val="tx1"/>
          </a:solidFill>
          <a:prstDash val="solid"/>
        </a:ln>
      </c:spPr>
    </c:plotArea>
    <c:legend>
      <c:legendPos val="r"/>
      <c:layout>
        <c:manualLayout>
          <c:xMode val="edge"/>
          <c:yMode val="edge"/>
          <c:x val="0.63429546149016192"/>
          <c:y val="2.3809735649335629E-2"/>
          <c:w val="0.34351578827937346"/>
          <c:h val="0.16111494113150648"/>
        </c:manualLayout>
      </c:layout>
      <c:overlay val="1"/>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 r="0.750000000000001"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Mattingly's Part Power Factor</a:t>
            </a:r>
          </a:p>
        </c:rich>
      </c:tx>
      <c:layout>
        <c:manualLayout>
          <c:xMode val="edge"/>
          <c:yMode val="edge"/>
          <c:x val="2.886789151356079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Fth</c:v>
          </c:tx>
          <c:spPr>
            <a:ln w="25400" cap="rnd">
              <a:noFill/>
              <a:round/>
            </a:ln>
            <a:effectLst/>
          </c:spPr>
          <c:marker>
            <c:symbol val="circle"/>
            <c:size val="5"/>
            <c:spPr>
              <a:solidFill>
                <a:schemeClr val="accent1"/>
              </a:solidFill>
              <a:ln w="9525">
                <a:solidFill>
                  <a:schemeClr val="accent1"/>
                </a:solidFill>
              </a:ln>
              <a:effectLst/>
            </c:spPr>
          </c:marker>
          <c:xVal>
            <c:numRef>
              <c:f>'7a'!$D$126:$D$146</c:f>
              <c:numCache>
                <c:formatCode>0.0</c:formatCode>
                <c:ptCount val="21"/>
                <c:pt idx="0" formatCode="0.00">
                  <c:v>0.05</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numCache>
            </c:numRef>
          </c:xVal>
          <c:yVal>
            <c:numRef>
              <c:f>'7a'!$E$126:$E$146</c:f>
              <c:numCache>
                <c:formatCode>0.0000</c:formatCode>
                <c:ptCount val="21"/>
                <c:pt idx="0">
                  <c:v>4.6966239226345436</c:v>
                </c:pt>
                <c:pt idx="1">
                  <c:v>2.6189005774548968</c:v>
                </c:pt>
                <c:pt idx="2">
                  <c:v>1.5518599117261151</c:v>
                </c:pt>
                <c:pt idx="3">
                  <c:v>1.214043209845431</c:v>
                </c:pt>
                <c:pt idx="4">
                  <c:v>1.0666287750122216</c:v>
                </c:pt>
                <c:pt idx="5">
                  <c:v>0.99693472753116108</c:v>
                </c:pt>
                <c:pt idx="6">
                  <c:v>0.96641511917196321</c:v>
                </c:pt>
                <c:pt idx="7">
                  <c:v>0.95826924910726019</c:v>
                </c:pt>
                <c:pt idx="8">
                  <c:v>0.96400343370520336</c:v>
                </c:pt>
                <c:pt idx="9">
                  <c:v>0.97886697950851842</c:v>
                </c:pt>
                <c:pt idx="10">
                  <c:v>1</c:v>
                </c:pt>
                <c:pt idx="11">
                  <c:v>1.0255818191317676</c:v>
                </c:pt>
                <c:pt idx="12">
                  <c:v>1.0544012543707437</c:v>
                </c:pt>
                <c:pt idx="13">
                  <c:v>1.0856235306060733</c:v>
                </c:pt>
                <c:pt idx="14">
                  <c:v>1.1186563156854841</c:v>
                </c:pt>
                <c:pt idx="15">
                  <c:v>1.1530689824252089</c:v>
                </c:pt>
                <c:pt idx="16">
                  <c:v>1.1885419806936881</c:v>
                </c:pt>
                <c:pt idx="17">
                  <c:v>1.2248340041797092</c:v>
                </c:pt>
                <c:pt idx="18">
                  <c:v>1.2617600728995553</c:v>
                </c:pt>
                <c:pt idx="19">
                  <c:v>1.2991765304701128</c:v>
                </c:pt>
                <c:pt idx="20">
                  <c:v>1.3369705461505283</c:v>
                </c:pt>
              </c:numCache>
            </c:numRef>
          </c:yVal>
          <c:smooth val="0"/>
          <c:extLst>
            <c:ext xmlns:c16="http://schemas.microsoft.com/office/drawing/2014/chart" uri="{C3380CC4-5D6E-409C-BE32-E72D297353CC}">
              <c16:uniqueId val="{00000000-D65C-432E-8969-D8DBE26828BD}"/>
            </c:ext>
          </c:extLst>
        </c:ser>
        <c:dLbls>
          <c:showLegendKey val="0"/>
          <c:showVal val="0"/>
          <c:showCatName val="0"/>
          <c:showSerName val="0"/>
          <c:showPercent val="0"/>
          <c:showBubbleSize val="0"/>
        </c:dLbls>
        <c:axId val="232663296"/>
        <c:axId val="243757824"/>
      </c:scatterChart>
      <c:valAx>
        <c:axId val="2326632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Throttle Position = Kth*(D/T)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57824"/>
        <c:crosses val="autoZero"/>
        <c:crossBetween val="midCat"/>
      </c:valAx>
      <c:valAx>
        <c:axId val="24375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Fth = ct / ct 100% Thrust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6632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a:t>Static T/P of</a:t>
            </a:r>
            <a:r>
              <a:rPr lang="en-US" baseline="0"/>
              <a:t> Propellers</a:t>
            </a:r>
            <a:endParaRPr lang="en-US"/>
          </a:p>
          <a:p>
            <a:pPr algn="l">
              <a:defRPr/>
            </a:pPr>
            <a:r>
              <a:rPr lang="en-US" sz="1050"/>
              <a:t>Reference:</a:t>
            </a:r>
            <a:r>
              <a:rPr lang="en-US" sz="1050" baseline="0"/>
              <a:t> "Aerodynamics, Aeronautics, and FLight Mechanics", Barnes W. McCormick</a:t>
            </a:r>
            <a:endParaRPr lang="en-US" sz="1050"/>
          </a:p>
        </c:rich>
      </c:tx>
      <c:layout>
        <c:manualLayout>
          <c:xMode val="edge"/>
          <c:yMode val="edge"/>
          <c:x val="1.7715223097112834E-2"/>
          <c:y val="2.3148148148148147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Static T/P</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1"/>
            <c:dispEq val="1"/>
            <c:trendlineLbl>
              <c:layout>
                <c:manualLayout>
                  <c:x val="5.4185258092738359E-2"/>
                  <c:y val="-0.36610928842228052"/>
                </c:manualLayout>
              </c:layout>
              <c:numFmt formatCode="0.00000000E+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'7a'!$D$188:$D$196</c:f>
              <c:numCache>
                <c:formatCode>General</c:formatCode>
                <c:ptCount val="9"/>
                <c:pt idx="0">
                  <c:v>4</c:v>
                </c:pt>
                <c:pt idx="1">
                  <c:v>6</c:v>
                </c:pt>
                <c:pt idx="2">
                  <c:v>8</c:v>
                </c:pt>
                <c:pt idx="3">
                  <c:v>10</c:v>
                </c:pt>
                <c:pt idx="4">
                  <c:v>20</c:v>
                </c:pt>
                <c:pt idx="5">
                  <c:v>30</c:v>
                </c:pt>
                <c:pt idx="6">
                  <c:v>40</c:v>
                </c:pt>
                <c:pt idx="7">
                  <c:v>60</c:v>
                </c:pt>
                <c:pt idx="8">
                  <c:v>80</c:v>
                </c:pt>
              </c:numCache>
            </c:numRef>
          </c:xVal>
          <c:yVal>
            <c:numRef>
              <c:f>'7a'!$E$188:$E$196</c:f>
              <c:numCache>
                <c:formatCode>0.0</c:formatCode>
                <c:ptCount val="9"/>
                <c:pt idx="0">
                  <c:v>10.7</c:v>
                </c:pt>
                <c:pt idx="1">
                  <c:v>9.1999999999999993</c:v>
                </c:pt>
                <c:pt idx="2">
                  <c:v>8.3000000000000007</c:v>
                </c:pt>
                <c:pt idx="3">
                  <c:v>7.7</c:v>
                </c:pt>
                <c:pt idx="4">
                  <c:v>6.1</c:v>
                </c:pt>
                <c:pt idx="5">
                  <c:v>5.0999999999999996</c:v>
                </c:pt>
                <c:pt idx="6">
                  <c:v>4.5</c:v>
                </c:pt>
                <c:pt idx="7">
                  <c:v>3.7</c:v>
                </c:pt>
                <c:pt idx="8">
                  <c:v>3.1</c:v>
                </c:pt>
              </c:numCache>
            </c:numRef>
          </c:yVal>
          <c:smooth val="0"/>
          <c:extLst>
            <c:ext xmlns:c16="http://schemas.microsoft.com/office/drawing/2014/chart" uri="{C3380CC4-5D6E-409C-BE32-E72D297353CC}">
              <c16:uniqueId val="{00000002-9EC2-410C-B6B3-43D225DAA55D}"/>
            </c:ext>
          </c:extLst>
        </c:ser>
        <c:dLbls>
          <c:showLegendKey val="0"/>
          <c:showVal val="0"/>
          <c:showCatName val="0"/>
          <c:showSerName val="0"/>
          <c:showPercent val="0"/>
          <c:showBubbleSize val="0"/>
        </c:dLbls>
        <c:axId val="667386448"/>
        <c:axId val="667387760"/>
      </c:scatterChart>
      <c:valAx>
        <c:axId val="6673864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Disk Loading (psf)</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387760"/>
        <c:crosses val="autoZero"/>
        <c:crossBetween val="midCat"/>
      </c:valAx>
      <c:valAx>
        <c:axId val="667387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Static Thrust-to-Power=T/P, lb/hp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3864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Mattingly's Part Power Factor</a:t>
            </a:r>
          </a:p>
        </c:rich>
      </c:tx>
      <c:layout>
        <c:manualLayout>
          <c:xMode val="edge"/>
          <c:yMode val="edge"/>
          <c:x val="2.886789151356079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Fth</c:v>
          </c:tx>
          <c:spPr>
            <a:ln w="25400" cap="rnd">
              <a:noFill/>
              <a:round/>
            </a:ln>
            <a:effectLst/>
          </c:spPr>
          <c:marker>
            <c:symbol val="circle"/>
            <c:size val="5"/>
            <c:spPr>
              <a:solidFill>
                <a:schemeClr val="accent1"/>
              </a:solidFill>
              <a:ln w="9525">
                <a:solidFill>
                  <a:schemeClr val="accent1"/>
                </a:solidFill>
              </a:ln>
              <a:effectLst/>
            </c:spPr>
          </c:marker>
          <c:xVal>
            <c:numRef>
              <c:f>'7b'!$D$126:$D$146</c:f>
              <c:numCache>
                <c:formatCode>0.0</c:formatCode>
                <c:ptCount val="21"/>
                <c:pt idx="0" formatCode="0.00">
                  <c:v>0.05</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numCache>
            </c:numRef>
          </c:xVal>
          <c:yVal>
            <c:numRef>
              <c:f>'7b'!$E$126:$E$146</c:f>
              <c:numCache>
                <c:formatCode>0.0000</c:formatCode>
                <c:ptCount val="21"/>
                <c:pt idx="0">
                  <c:v>4.6966239226345436</c:v>
                </c:pt>
                <c:pt idx="1">
                  <c:v>2.6189005774548968</c:v>
                </c:pt>
                <c:pt idx="2">
                  <c:v>1.5518599117261151</c:v>
                </c:pt>
                <c:pt idx="3">
                  <c:v>1.214043209845431</c:v>
                </c:pt>
                <c:pt idx="4">
                  <c:v>1.0666287750122216</c:v>
                </c:pt>
                <c:pt idx="5">
                  <c:v>0.99693472753116108</c:v>
                </c:pt>
                <c:pt idx="6">
                  <c:v>0.96641511917196321</c:v>
                </c:pt>
                <c:pt idx="7">
                  <c:v>0.95826924910726019</c:v>
                </c:pt>
                <c:pt idx="8">
                  <c:v>0.96400343370520336</c:v>
                </c:pt>
                <c:pt idx="9">
                  <c:v>0.97886697950851842</c:v>
                </c:pt>
                <c:pt idx="10">
                  <c:v>1</c:v>
                </c:pt>
                <c:pt idx="11">
                  <c:v>1.0255818191317676</c:v>
                </c:pt>
                <c:pt idx="12">
                  <c:v>1.0544012543707437</c:v>
                </c:pt>
                <c:pt idx="13">
                  <c:v>1.0856235306060733</c:v>
                </c:pt>
                <c:pt idx="14">
                  <c:v>1.1186563156854841</c:v>
                </c:pt>
                <c:pt idx="15">
                  <c:v>1.1530689824252089</c:v>
                </c:pt>
                <c:pt idx="16">
                  <c:v>1.1885419806936881</c:v>
                </c:pt>
                <c:pt idx="17">
                  <c:v>1.2248340041797092</c:v>
                </c:pt>
                <c:pt idx="18">
                  <c:v>1.2617600728995553</c:v>
                </c:pt>
                <c:pt idx="19">
                  <c:v>1.2991765304701128</c:v>
                </c:pt>
                <c:pt idx="20">
                  <c:v>1.3369705461505283</c:v>
                </c:pt>
              </c:numCache>
            </c:numRef>
          </c:yVal>
          <c:smooth val="0"/>
          <c:extLst>
            <c:ext xmlns:c16="http://schemas.microsoft.com/office/drawing/2014/chart" uri="{C3380CC4-5D6E-409C-BE32-E72D297353CC}">
              <c16:uniqueId val="{00000000-7B69-40E5-9B32-BE7DCB03735B}"/>
            </c:ext>
          </c:extLst>
        </c:ser>
        <c:dLbls>
          <c:showLegendKey val="0"/>
          <c:showVal val="0"/>
          <c:showCatName val="0"/>
          <c:showSerName val="0"/>
          <c:showPercent val="0"/>
          <c:showBubbleSize val="0"/>
        </c:dLbls>
        <c:axId val="232663296"/>
        <c:axId val="243757824"/>
      </c:scatterChart>
      <c:valAx>
        <c:axId val="2326632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Throttle Position = Kth*(D/T)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57824"/>
        <c:crosses val="autoZero"/>
        <c:crossBetween val="midCat"/>
      </c:valAx>
      <c:valAx>
        <c:axId val="24375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Fth = ct / ct 100% Thrust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6632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Blade Planform</a:t>
            </a:r>
          </a:p>
          <a:p>
            <a:pPr algn="l">
              <a:defRPr sz="1200" b="1" i="0" u="none" strike="noStrike" baseline="0">
                <a:solidFill>
                  <a:srgbClr val="000000"/>
                </a:solidFill>
                <a:latin typeface="Arial"/>
                <a:ea typeface="Arial"/>
                <a:cs typeface="Arial"/>
              </a:defRPr>
            </a:pPr>
            <a:r>
              <a:rPr lang="en-US" sz="1000" b="0">
                <a:solidFill>
                  <a:srgbClr val="FF0000"/>
                </a:solidFill>
              </a:rPr>
              <a:t>Make sure scales are dimensionally the SAME!</a:t>
            </a:r>
          </a:p>
        </c:rich>
      </c:tx>
      <c:layout>
        <c:manualLayout>
          <c:xMode val="edge"/>
          <c:yMode val="edge"/>
          <c:x val="2.1929918490947484E-2"/>
          <c:y val="3.8043579217208773E-2"/>
        </c:manualLayout>
      </c:layout>
      <c:overlay val="0"/>
      <c:spPr>
        <a:noFill/>
        <a:ln w="25400">
          <a:noFill/>
        </a:ln>
      </c:spPr>
    </c:title>
    <c:autoTitleDeleted val="0"/>
    <c:plotArea>
      <c:layout>
        <c:manualLayout>
          <c:layoutTarget val="inner"/>
          <c:xMode val="edge"/>
          <c:yMode val="edge"/>
          <c:x val="0.12751281621712179"/>
          <c:y val="0.1392870927829101"/>
          <c:w val="0.80603942592282352"/>
          <c:h val="0.74738397762428166"/>
        </c:manualLayout>
      </c:layout>
      <c:scatterChart>
        <c:scatterStyle val="lineMarker"/>
        <c:varyColors val="0"/>
        <c:ser>
          <c:idx val="0"/>
          <c:order val="0"/>
          <c:tx>
            <c:v>Upper</c:v>
          </c:tx>
          <c:spPr>
            <a:ln w="38100">
              <a:solidFill>
                <a:srgbClr val="000080"/>
              </a:solidFill>
            </a:ln>
          </c:spPr>
          <c:marker>
            <c:symbol val="none"/>
          </c:marker>
          <c:xVal>
            <c:numRef>
              <c:f>'7b'!$BE$69:$BO$69</c:f>
              <c:numCache>
                <c:formatCode>0.000</c:formatCode>
                <c:ptCount val="11"/>
                <c:pt idx="0">
                  <c:v>0.60000000000000009</c:v>
                </c:pt>
                <c:pt idx="1">
                  <c:v>0.89999999999999991</c:v>
                </c:pt>
                <c:pt idx="2">
                  <c:v>1.2000000000000002</c:v>
                </c:pt>
                <c:pt idx="3">
                  <c:v>1.5</c:v>
                </c:pt>
                <c:pt idx="4">
                  <c:v>1.7999999999999998</c:v>
                </c:pt>
                <c:pt idx="5">
                  <c:v>2.0999999999999996</c:v>
                </c:pt>
                <c:pt idx="6">
                  <c:v>2.25</c:v>
                </c:pt>
                <c:pt idx="7">
                  <c:v>2.4000000000000004</c:v>
                </c:pt>
                <c:pt idx="8">
                  <c:v>2.7</c:v>
                </c:pt>
                <c:pt idx="9">
                  <c:v>2.8499999999999996</c:v>
                </c:pt>
                <c:pt idx="10">
                  <c:v>2.9249999999999998</c:v>
                </c:pt>
              </c:numCache>
            </c:numRef>
          </c:xVal>
          <c:yVal>
            <c:numRef>
              <c:f>'7b'!$BE$71:$BO$71</c:f>
              <c:numCache>
                <c:formatCode>General</c:formatCode>
                <c:ptCount val="11"/>
                <c:pt idx="0">
                  <c:v>0.25</c:v>
                </c:pt>
                <c:pt idx="1">
                  <c:v>0.25</c:v>
                </c:pt>
                <c:pt idx="2">
                  <c:v>0.25</c:v>
                </c:pt>
                <c:pt idx="3">
                  <c:v>0.25</c:v>
                </c:pt>
                <c:pt idx="4">
                  <c:v>0.22894736842105265</c:v>
                </c:pt>
                <c:pt idx="5">
                  <c:v>0.20789473684210527</c:v>
                </c:pt>
                <c:pt idx="6">
                  <c:v>0.19736842105263158</c:v>
                </c:pt>
                <c:pt idx="7">
                  <c:v>0.18684210526315786</c:v>
                </c:pt>
                <c:pt idx="8">
                  <c:v>0.16578947368421049</c:v>
                </c:pt>
                <c:pt idx="9">
                  <c:v>0.15526315789473685</c:v>
                </c:pt>
                <c:pt idx="10">
                  <c:v>0.15</c:v>
                </c:pt>
              </c:numCache>
            </c:numRef>
          </c:yVal>
          <c:smooth val="0"/>
          <c:extLst>
            <c:ext xmlns:c16="http://schemas.microsoft.com/office/drawing/2014/chart" uri="{C3380CC4-5D6E-409C-BE32-E72D297353CC}">
              <c16:uniqueId val="{00000000-41CB-4A16-B7F5-26D61237EC08}"/>
            </c:ext>
          </c:extLst>
        </c:ser>
        <c:ser>
          <c:idx val="1"/>
          <c:order val="1"/>
          <c:tx>
            <c:v>Lower</c:v>
          </c:tx>
          <c:spPr>
            <a:ln w="38100">
              <a:solidFill>
                <a:srgbClr val="000080"/>
              </a:solidFill>
            </a:ln>
          </c:spPr>
          <c:marker>
            <c:symbol val="none"/>
          </c:marker>
          <c:xVal>
            <c:numRef>
              <c:f>'7b'!$BE$69:$BO$69</c:f>
              <c:numCache>
                <c:formatCode>0.000</c:formatCode>
                <c:ptCount val="11"/>
                <c:pt idx="0">
                  <c:v>0.60000000000000009</c:v>
                </c:pt>
                <c:pt idx="1">
                  <c:v>0.89999999999999991</c:v>
                </c:pt>
                <c:pt idx="2">
                  <c:v>1.2000000000000002</c:v>
                </c:pt>
                <c:pt idx="3">
                  <c:v>1.5</c:v>
                </c:pt>
                <c:pt idx="4">
                  <c:v>1.7999999999999998</c:v>
                </c:pt>
                <c:pt idx="5">
                  <c:v>2.0999999999999996</c:v>
                </c:pt>
                <c:pt idx="6">
                  <c:v>2.25</c:v>
                </c:pt>
                <c:pt idx="7">
                  <c:v>2.4000000000000004</c:v>
                </c:pt>
                <c:pt idx="8">
                  <c:v>2.7</c:v>
                </c:pt>
                <c:pt idx="9">
                  <c:v>2.8499999999999996</c:v>
                </c:pt>
                <c:pt idx="10">
                  <c:v>2.9249999999999998</c:v>
                </c:pt>
              </c:numCache>
            </c:numRef>
          </c:xVal>
          <c:yVal>
            <c:numRef>
              <c:f>'7b'!$BE$72:$BO$72</c:f>
              <c:numCache>
                <c:formatCode>General</c:formatCode>
                <c:ptCount val="11"/>
                <c:pt idx="0">
                  <c:v>-0.25</c:v>
                </c:pt>
                <c:pt idx="1">
                  <c:v>-0.25</c:v>
                </c:pt>
                <c:pt idx="2">
                  <c:v>-0.25</c:v>
                </c:pt>
                <c:pt idx="3">
                  <c:v>-0.25</c:v>
                </c:pt>
                <c:pt idx="4">
                  <c:v>-0.22894736842105265</c:v>
                </c:pt>
                <c:pt idx="5">
                  <c:v>-0.20789473684210527</c:v>
                </c:pt>
                <c:pt idx="6">
                  <c:v>-0.19736842105263158</c:v>
                </c:pt>
                <c:pt idx="7">
                  <c:v>-0.18684210526315786</c:v>
                </c:pt>
                <c:pt idx="8">
                  <c:v>-0.16578947368421049</c:v>
                </c:pt>
                <c:pt idx="9">
                  <c:v>-0.15526315789473685</c:v>
                </c:pt>
                <c:pt idx="10">
                  <c:v>-0.15</c:v>
                </c:pt>
              </c:numCache>
            </c:numRef>
          </c:yVal>
          <c:smooth val="0"/>
          <c:extLst>
            <c:ext xmlns:c16="http://schemas.microsoft.com/office/drawing/2014/chart" uri="{C3380CC4-5D6E-409C-BE32-E72D297353CC}">
              <c16:uniqueId val="{00000001-41CB-4A16-B7F5-26D61237EC08}"/>
            </c:ext>
          </c:extLst>
        </c:ser>
        <c:dLbls>
          <c:showLegendKey val="0"/>
          <c:showVal val="0"/>
          <c:showCatName val="0"/>
          <c:showSerName val="0"/>
          <c:showPercent val="0"/>
          <c:showBubbleSize val="0"/>
        </c:dLbls>
        <c:axId val="347918336"/>
        <c:axId val="347920256"/>
      </c:scatterChart>
      <c:valAx>
        <c:axId val="347918336"/>
        <c:scaling>
          <c:orientation val="minMax"/>
          <c:max val="3"/>
        </c:scaling>
        <c:delete val="0"/>
        <c:axPos val="b"/>
        <c:title>
          <c:tx>
            <c:rich>
              <a:bodyPr/>
              <a:lstStyle/>
              <a:p>
                <a:pPr>
                  <a:defRPr sz="1000" b="1" i="0" u="none" strike="noStrike" baseline="0">
                    <a:solidFill>
                      <a:srgbClr val="000000"/>
                    </a:solidFill>
                    <a:latin typeface="Arial"/>
                    <a:ea typeface="Arial"/>
                    <a:cs typeface="Arial"/>
                  </a:defRPr>
                </a:pPr>
                <a:r>
                  <a:rPr lang="en-US"/>
                  <a:t>Propulsor Radius</a:t>
                </a:r>
                <a:r>
                  <a:rPr lang="en-US" baseline="0"/>
                  <a:t> (ft)</a:t>
                </a:r>
                <a:endParaRPr lang="en-US"/>
              </a:p>
            </c:rich>
          </c:tx>
          <c:layout>
            <c:manualLayout>
              <c:xMode val="edge"/>
              <c:yMode val="edge"/>
              <c:x val="0.34610335869564152"/>
              <c:y val="0.9253373807878926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20256"/>
        <c:crosses val="autoZero"/>
        <c:crossBetween val="midCat"/>
      </c:valAx>
      <c:valAx>
        <c:axId val="347920256"/>
        <c:scaling>
          <c:orientation val="minMax"/>
          <c:max val="1.5"/>
          <c:min val="-1.5"/>
        </c:scaling>
        <c:delete val="0"/>
        <c:axPos val="l"/>
        <c:majorGridlines>
          <c:spPr>
            <a:ln w="19050">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Propulsor Chord</a:t>
                </a:r>
                <a:r>
                  <a:rPr lang="en-US" baseline="0"/>
                  <a:t> (ft)</a:t>
                </a:r>
                <a:endParaRPr lang="en-US"/>
              </a:p>
            </c:rich>
          </c:tx>
          <c:layout>
            <c:manualLayout>
              <c:xMode val="edge"/>
              <c:yMode val="edge"/>
              <c:x val="1.8736250687310694E-2"/>
              <c:y val="0.4585955833456173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18336"/>
        <c:crosses val="autoZero"/>
        <c:crossBetween val="midCat"/>
      </c:valAx>
      <c:spPr>
        <a:solidFill>
          <a:srgbClr val="C0C0C0"/>
        </a:solidFill>
        <a:ln w="12700">
          <a:solidFill>
            <a:srgbClr val="808080"/>
          </a:solidFill>
          <a:prstDash val="solid"/>
        </a:ln>
      </c:spPr>
    </c:plotArea>
    <c:legend>
      <c:legendPos val="r"/>
      <c:layout>
        <c:manualLayout>
          <c:xMode val="edge"/>
          <c:yMode val="edge"/>
          <c:x val="0.74621918517972063"/>
          <c:y val="0.12392636777201697"/>
          <c:w val="0.21239059952544581"/>
          <c:h val="0.1228887086705909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'7b'!$BE$68:$BO$68</c:f>
              <c:numCache>
                <c:formatCode>0.000</c:formatCode>
                <c:ptCount val="11"/>
                <c:pt idx="0">
                  <c:v>0.2</c:v>
                </c:pt>
                <c:pt idx="1">
                  <c:v>0.3</c:v>
                </c:pt>
                <c:pt idx="2">
                  <c:v>0.4</c:v>
                </c:pt>
                <c:pt idx="3">
                  <c:v>0.5</c:v>
                </c:pt>
                <c:pt idx="4">
                  <c:v>0.6</c:v>
                </c:pt>
                <c:pt idx="5">
                  <c:v>0.7</c:v>
                </c:pt>
                <c:pt idx="6">
                  <c:v>0.75</c:v>
                </c:pt>
                <c:pt idx="7">
                  <c:v>0.8</c:v>
                </c:pt>
                <c:pt idx="8">
                  <c:v>0.9</c:v>
                </c:pt>
                <c:pt idx="9">
                  <c:v>0.95</c:v>
                </c:pt>
                <c:pt idx="10" formatCode="General">
                  <c:v>0.97499999999999998</c:v>
                </c:pt>
              </c:numCache>
            </c:numRef>
          </c:xVal>
          <c:yVal>
            <c:numRef>
              <c:f>'7b'!$BE$79:$BO$79</c:f>
              <c:numCache>
                <c:formatCode>0.0</c:formatCode>
                <c:ptCount val="11"/>
                <c:pt idx="0">
                  <c:v>59.439596276973894</c:v>
                </c:pt>
                <c:pt idx="1">
                  <c:v>55.134322597801216</c:v>
                </c:pt>
                <c:pt idx="2">
                  <c:v>50.829048918628544</c:v>
                </c:pt>
                <c:pt idx="3">
                  <c:v>46.523775239455865</c:v>
                </c:pt>
                <c:pt idx="4">
                  <c:v>42.218501560283194</c:v>
                </c:pt>
                <c:pt idx="5">
                  <c:v>37.913227881110515</c:v>
                </c:pt>
                <c:pt idx="6">
                  <c:v>35.760591041524179</c:v>
                </c:pt>
                <c:pt idx="7">
                  <c:v>33.607954201937844</c:v>
                </c:pt>
                <c:pt idx="8">
                  <c:v>29.302680522765165</c:v>
                </c:pt>
                <c:pt idx="9">
                  <c:v>27.150043683178829</c:v>
                </c:pt>
                <c:pt idx="10">
                  <c:v>26.073725263385661</c:v>
                </c:pt>
              </c:numCache>
            </c:numRef>
          </c:yVal>
          <c:smooth val="0"/>
          <c:extLst>
            <c:ext xmlns:c16="http://schemas.microsoft.com/office/drawing/2014/chart" uri="{C3380CC4-5D6E-409C-BE32-E72D297353CC}">
              <c16:uniqueId val="{00000000-1596-41A7-BE06-BE892B6BED2F}"/>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'7b'!$BE$68:$BO$68</c:f>
              <c:numCache>
                <c:formatCode>0.000</c:formatCode>
                <c:ptCount val="11"/>
                <c:pt idx="0">
                  <c:v>0.2</c:v>
                </c:pt>
                <c:pt idx="1">
                  <c:v>0.3</c:v>
                </c:pt>
                <c:pt idx="2">
                  <c:v>0.4</c:v>
                </c:pt>
                <c:pt idx="3">
                  <c:v>0.5</c:v>
                </c:pt>
                <c:pt idx="4">
                  <c:v>0.6</c:v>
                </c:pt>
                <c:pt idx="5">
                  <c:v>0.7</c:v>
                </c:pt>
                <c:pt idx="6">
                  <c:v>0.75</c:v>
                </c:pt>
                <c:pt idx="7">
                  <c:v>0.8</c:v>
                </c:pt>
                <c:pt idx="8">
                  <c:v>0.9</c:v>
                </c:pt>
                <c:pt idx="9">
                  <c:v>0.95</c:v>
                </c:pt>
                <c:pt idx="10" formatCode="General">
                  <c:v>0.97499999999999998</c:v>
                </c:pt>
              </c:numCache>
            </c:numRef>
          </c:xVal>
          <c:yVal>
            <c:numRef>
              <c:f>'7b'!$BE$77:$BO$77</c:f>
              <c:numCache>
                <c:formatCode>0.0</c:formatCode>
                <c:ptCount val="11"/>
                <c:pt idx="0">
                  <c:v>61.284499730240618</c:v>
                </c:pt>
                <c:pt idx="1">
                  <c:v>50.588224106553874</c:v>
                </c:pt>
                <c:pt idx="2">
                  <c:v>42.386154183111344</c:v>
                </c:pt>
                <c:pt idx="3">
                  <c:v>36.134898809375912</c:v>
                </c:pt>
                <c:pt idx="4">
                  <c:v>31.318629136065315</c:v>
                </c:pt>
                <c:pt idx="5">
                  <c:v>27.543519227513713</c:v>
                </c:pt>
                <c:pt idx="6">
                  <c:v>25.955149794221938</c:v>
                </c:pt>
                <c:pt idx="7">
                  <c:v>24.529168535488761</c:v>
                </c:pt>
                <c:pt idx="8">
                  <c:v>22.079277103542037</c:v>
                </c:pt>
                <c:pt idx="9">
                  <c:v>21.021135740499709</c:v>
                </c:pt>
                <c:pt idx="10">
                  <c:v>20.527599520429298</c:v>
                </c:pt>
              </c:numCache>
            </c:numRef>
          </c:yVal>
          <c:smooth val="0"/>
          <c:extLst>
            <c:ext xmlns:c16="http://schemas.microsoft.com/office/drawing/2014/chart" uri="{C3380CC4-5D6E-409C-BE32-E72D297353CC}">
              <c16:uniqueId val="{00000001-1596-41A7-BE06-BE892B6BED2F}"/>
            </c:ext>
          </c:extLst>
        </c:ser>
        <c:dLbls>
          <c:showLegendKey val="0"/>
          <c:showVal val="0"/>
          <c:showCatName val="0"/>
          <c:showSerName val="0"/>
          <c:showPercent val="0"/>
          <c:showBubbleSize val="0"/>
        </c:dLbls>
        <c:axId val="347942272"/>
        <c:axId val="347969408"/>
      </c:scatterChart>
      <c:valAx>
        <c:axId val="347942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69408"/>
        <c:crosses val="autoZero"/>
        <c:crossBetween val="midCat"/>
      </c:valAx>
      <c:valAx>
        <c:axId val="34796940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42272"/>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'7b'!$BE$68:$BO$68</c:f>
              <c:numCache>
                <c:formatCode>0.000</c:formatCode>
                <c:ptCount val="11"/>
                <c:pt idx="0">
                  <c:v>0.2</c:v>
                </c:pt>
                <c:pt idx="1">
                  <c:v>0.3</c:v>
                </c:pt>
                <c:pt idx="2">
                  <c:v>0.4</c:v>
                </c:pt>
                <c:pt idx="3">
                  <c:v>0.5</c:v>
                </c:pt>
                <c:pt idx="4">
                  <c:v>0.6</c:v>
                </c:pt>
                <c:pt idx="5">
                  <c:v>0.7</c:v>
                </c:pt>
                <c:pt idx="6">
                  <c:v>0.75</c:v>
                </c:pt>
                <c:pt idx="7">
                  <c:v>0.8</c:v>
                </c:pt>
                <c:pt idx="8">
                  <c:v>0.9</c:v>
                </c:pt>
                <c:pt idx="9">
                  <c:v>0.95</c:v>
                </c:pt>
                <c:pt idx="10" formatCode="General">
                  <c:v>0.97499999999999998</c:v>
                </c:pt>
              </c:numCache>
            </c:numRef>
          </c:xVal>
          <c:yVal>
            <c:numRef>
              <c:f>'7b'!$BE$90:$BO$90</c:f>
              <c:numCache>
                <c:formatCode>0.00000</c:formatCode>
                <c:ptCount val="11"/>
                <c:pt idx="0">
                  <c:v>-5.0481824340485992E-3</c:v>
                </c:pt>
                <c:pt idx="1">
                  <c:v>1.9772274795500706E-2</c:v>
                </c:pt>
                <c:pt idx="2">
                  <c:v>5.8687236071436041E-2</c:v>
                </c:pt>
                <c:pt idx="3">
                  <c:v>0.10604430569324395</c:v>
                </c:pt>
                <c:pt idx="4">
                  <c:v>0.14390499483316554</c:v>
                </c:pt>
                <c:pt idx="5">
                  <c:v>0.16801356080447818</c:v>
                </c:pt>
                <c:pt idx="6">
                  <c:v>0.17302035661181642</c:v>
                </c:pt>
                <c:pt idx="7">
                  <c:v>0.17265189425239508</c:v>
                </c:pt>
                <c:pt idx="8">
                  <c:v>0.15487951794464461</c:v>
                </c:pt>
                <c:pt idx="9">
                  <c:v>0.13752273559117531</c:v>
                </c:pt>
                <c:pt idx="10">
                  <c:v>0.12684036393336498</c:v>
                </c:pt>
              </c:numCache>
            </c:numRef>
          </c:yVal>
          <c:smooth val="0"/>
          <c:extLst>
            <c:ext xmlns:c16="http://schemas.microsoft.com/office/drawing/2014/chart" uri="{C3380CC4-5D6E-409C-BE32-E72D297353CC}">
              <c16:uniqueId val="{00000000-4BB8-40DA-A0D9-F3CFE82DACF8}"/>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'7b'!$BE$68:$BO$68</c:f>
              <c:numCache>
                <c:formatCode>0.000</c:formatCode>
                <c:ptCount val="11"/>
                <c:pt idx="0">
                  <c:v>0.2</c:v>
                </c:pt>
                <c:pt idx="1">
                  <c:v>0.3</c:v>
                </c:pt>
                <c:pt idx="2">
                  <c:v>0.4</c:v>
                </c:pt>
                <c:pt idx="3">
                  <c:v>0.5</c:v>
                </c:pt>
                <c:pt idx="4">
                  <c:v>0.6</c:v>
                </c:pt>
                <c:pt idx="5">
                  <c:v>0.7</c:v>
                </c:pt>
                <c:pt idx="6">
                  <c:v>0.75</c:v>
                </c:pt>
                <c:pt idx="7">
                  <c:v>0.8</c:v>
                </c:pt>
                <c:pt idx="8">
                  <c:v>0.9</c:v>
                </c:pt>
                <c:pt idx="9">
                  <c:v>0.95</c:v>
                </c:pt>
                <c:pt idx="10" formatCode="General">
                  <c:v>0.97499999999999998</c:v>
                </c:pt>
              </c:numCache>
            </c:numRef>
          </c:xVal>
          <c:yVal>
            <c:numRef>
              <c:f>'7b'!$BE$91:$BO$91</c:f>
              <c:numCache>
                <c:formatCode>0.00000</c:formatCode>
                <c:ptCount val="11"/>
                <c:pt idx="0">
                  <c:v>-5.0315514193500083E-3</c:v>
                </c:pt>
                <c:pt idx="1">
                  <c:v>2.4524119297809975E-2</c:v>
                </c:pt>
                <c:pt idx="2">
                  <c:v>7.3745788339341381E-2</c:v>
                </c:pt>
                <c:pt idx="3">
                  <c:v>0.13486061560174836</c:v>
                </c:pt>
                <c:pt idx="4">
                  <c:v>0.18322379788407098</c:v>
                </c:pt>
                <c:pt idx="5">
                  <c:v>0.21303158776784936</c:v>
                </c:pt>
                <c:pt idx="6">
                  <c:v>0.21857604333358355</c:v>
                </c:pt>
                <c:pt idx="7">
                  <c:v>0.2171389117495795</c:v>
                </c:pt>
                <c:pt idx="8">
                  <c:v>0.19285157690601964</c:v>
                </c:pt>
                <c:pt idx="9">
                  <c:v>0.17050526955165521</c:v>
                </c:pt>
                <c:pt idx="10">
                  <c:v>0.15703280889028434</c:v>
                </c:pt>
              </c:numCache>
            </c:numRef>
          </c:yVal>
          <c:smooth val="0"/>
          <c:extLst>
            <c:ext xmlns:c16="http://schemas.microsoft.com/office/drawing/2014/chart" uri="{C3380CC4-5D6E-409C-BE32-E72D297353CC}">
              <c16:uniqueId val="{00000001-4BB8-40DA-A0D9-F3CFE82DACF8}"/>
            </c:ext>
          </c:extLst>
        </c:ser>
        <c:dLbls>
          <c:showLegendKey val="0"/>
          <c:showVal val="0"/>
          <c:showCatName val="0"/>
          <c:showSerName val="0"/>
          <c:showPercent val="0"/>
          <c:showBubbleSize val="0"/>
        </c:dLbls>
        <c:axId val="347987328"/>
        <c:axId val="348198784"/>
      </c:scatterChart>
      <c:valAx>
        <c:axId val="347987328"/>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8198784"/>
        <c:crosses val="autoZero"/>
        <c:crossBetween val="midCat"/>
      </c:valAx>
      <c:valAx>
        <c:axId val="3481987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7987328"/>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'7b'!$BE$122:$BO$122</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'7b'!$BE$133:$BO$133</c:f>
              <c:numCache>
                <c:formatCode>0.0</c:formatCode>
                <c:ptCount val="11"/>
                <c:pt idx="0">
                  <c:v>59.439596276973894</c:v>
                </c:pt>
                <c:pt idx="1">
                  <c:v>55.134322597801216</c:v>
                </c:pt>
                <c:pt idx="2">
                  <c:v>50.829048918628544</c:v>
                </c:pt>
                <c:pt idx="3">
                  <c:v>46.523775239455865</c:v>
                </c:pt>
                <c:pt idx="4">
                  <c:v>42.218501560283194</c:v>
                </c:pt>
                <c:pt idx="5">
                  <c:v>37.913227881110515</c:v>
                </c:pt>
                <c:pt idx="6">
                  <c:v>35.760591041524179</c:v>
                </c:pt>
                <c:pt idx="7">
                  <c:v>33.607954201937844</c:v>
                </c:pt>
                <c:pt idx="8">
                  <c:v>29.302680522765165</c:v>
                </c:pt>
                <c:pt idx="9">
                  <c:v>27.150043683178829</c:v>
                </c:pt>
                <c:pt idx="10">
                  <c:v>26.073725263385661</c:v>
                </c:pt>
              </c:numCache>
            </c:numRef>
          </c:yVal>
          <c:smooth val="0"/>
          <c:extLst>
            <c:ext xmlns:c16="http://schemas.microsoft.com/office/drawing/2014/chart" uri="{C3380CC4-5D6E-409C-BE32-E72D297353CC}">
              <c16:uniqueId val="{00000000-D586-435E-B87A-9A84227A16DA}"/>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'7b'!$BE$122:$BO$122</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'7b'!$BE$131:$BO$131</c:f>
              <c:numCache>
                <c:formatCode>0.0</c:formatCode>
                <c:ptCount val="11"/>
                <c:pt idx="0">
                  <c:v>61.365981235640234</c:v>
                </c:pt>
                <c:pt idx="1">
                  <c:v>50.683131573191666</c:v>
                </c:pt>
                <c:pt idx="2">
                  <c:v>42.482540343217309</c:v>
                </c:pt>
                <c:pt idx="3">
                  <c:v>36.227123460425211</c:v>
                </c:pt>
                <c:pt idx="4">
                  <c:v>31.404642189519141</c:v>
                </c:pt>
                <c:pt idx="5">
                  <c:v>27.622952773504842</c:v>
                </c:pt>
                <c:pt idx="6">
                  <c:v>26.031394736876603</c:v>
                </c:pt>
                <c:pt idx="7">
                  <c:v>24.602350326857046</c:v>
                </c:pt>
                <c:pt idx="8">
                  <c:v>22.146776081028495</c:v>
                </c:pt>
                <c:pt idx="9">
                  <c:v>21.086024560115028</c:v>
                </c:pt>
                <c:pt idx="10">
                  <c:v>20.591240309066009</c:v>
                </c:pt>
              </c:numCache>
            </c:numRef>
          </c:yVal>
          <c:smooth val="0"/>
          <c:extLst>
            <c:ext xmlns:c16="http://schemas.microsoft.com/office/drawing/2014/chart" uri="{C3380CC4-5D6E-409C-BE32-E72D297353CC}">
              <c16:uniqueId val="{00000001-D586-435E-B87A-9A84227A16DA}"/>
            </c:ext>
          </c:extLst>
        </c:ser>
        <c:dLbls>
          <c:showLegendKey val="0"/>
          <c:showVal val="0"/>
          <c:showCatName val="0"/>
          <c:showSerName val="0"/>
          <c:showPercent val="0"/>
          <c:showBubbleSize val="0"/>
        </c:dLbls>
        <c:axId val="350044160"/>
        <c:axId val="350046464"/>
      </c:scatterChart>
      <c:valAx>
        <c:axId val="35004416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046464"/>
        <c:crosses val="autoZero"/>
        <c:crossBetween val="midCat"/>
      </c:valAx>
      <c:valAx>
        <c:axId val="3500464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044160"/>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'7b'!$BE$122:$BO$122</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'7b'!$BE$144:$BO$144</c:f>
              <c:numCache>
                <c:formatCode>0.00000</c:formatCode>
                <c:ptCount val="11"/>
                <c:pt idx="0">
                  <c:v>-5.2745515049410097E-3</c:v>
                </c:pt>
                <c:pt idx="1">
                  <c:v>1.9403730536409987E-2</c:v>
                </c:pt>
                <c:pt idx="2">
                  <c:v>5.813687952314929E-2</c:v>
                </c:pt>
                <c:pt idx="3">
                  <c:v>0.10527959722220023</c:v>
                </c:pt>
                <c:pt idx="4">
                  <c:v>0.14296488456345163</c:v>
                </c:pt>
                <c:pt idx="5">
                  <c:v>0.16691601813804696</c:v>
                </c:pt>
                <c:pt idx="6">
                  <c:v>0.17185383200457627</c:v>
                </c:pt>
                <c:pt idx="7">
                  <c:v>0.17142424008888948</c:v>
                </c:pt>
                <c:pt idx="8">
                  <c:v>0.1535568430081494</c:v>
                </c:pt>
                <c:pt idx="9">
                  <c:v>0.13616793955126941</c:v>
                </c:pt>
                <c:pt idx="10">
                  <c:v>0.12547374165361525</c:v>
                </c:pt>
              </c:numCache>
            </c:numRef>
          </c:yVal>
          <c:smooth val="0"/>
          <c:extLst>
            <c:ext xmlns:c16="http://schemas.microsoft.com/office/drawing/2014/chart" uri="{C3380CC4-5D6E-409C-BE32-E72D297353CC}">
              <c16:uniqueId val="{00000000-8147-4594-AC08-9E88759A1439}"/>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'7b'!$BE$122:$BO$122</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'7b'!$BE$145:$BO$145</c:f>
              <c:numCache>
                <c:formatCode>0.00000</c:formatCode>
                <c:ptCount val="11"/>
                <c:pt idx="0">
                  <c:v>-5.2912357707792538E-3</c:v>
                </c:pt>
                <c:pt idx="1">
                  <c:v>2.4143061158493996E-2</c:v>
                </c:pt>
                <c:pt idx="2">
                  <c:v>7.3244684383105899E-2</c:v>
                </c:pt>
                <c:pt idx="3">
                  <c:v>0.134223355676996</c:v>
                </c:pt>
                <c:pt idx="4">
                  <c:v>0.18248220909705476</c:v>
                </c:pt>
                <c:pt idx="5">
                  <c:v>0.21217688733325082</c:v>
                </c:pt>
                <c:pt idx="6">
                  <c:v>0.21766027727012299</c:v>
                </c:pt>
                <c:pt idx="7">
                  <c:v>0.21615873145942352</c:v>
                </c:pt>
                <c:pt idx="8">
                  <c:v>0.19173278672506106</c:v>
                </c:pt>
                <c:pt idx="9">
                  <c:v>0.16931315279785952</c:v>
                </c:pt>
                <c:pt idx="10">
                  <c:v>0.1558033979444628</c:v>
                </c:pt>
              </c:numCache>
            </c:numRef>
          </c:yVal>
          <c:smooth val="0"/>
          <c:extLst>
            <c:ext xmlns:c16="http://schemas.microsoft.com/office/drawing/2014/chart" uri="{C3380CC4-5D6E-409C-BE32-E72D297353CC}">
              <c16:uniqueId val="{00000001-8147-4594-AC08-9E88759A1439}"/>
            </c:ext>
          </c:extLst>
        </c:ser>
        <c:dLbls>
          <c:showLegendKey val="0"/>
          <c:showVal val="0"/>
          <c:showCatName val="0"/>
          <c:showSerName val="0"/>
          <c:showPercent val="0"/>
          <c:showBubbleSize val="0"/>
        </c:dLbls>
        <c:axId val="350085120"/>
        <c:axId val="350087424"/>
      </c:scatterChart>
      <c:valAx>
        <c:axId val="350085120"/>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087424"/>
        <c:crosses val="autoZero"/>
        <c:crossBetween val="midCat"/>
      </c:valAx>
      <c:valAx>
        <c:axId val="3500874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085120"/>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'7b'!$BE$176:$BO$176</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'7b'!$BE$187:$BO$187</c:f>
              <c:numCache>
                <c:formatCode>0.0</c:formatCode>
                <c:ptCount val="11"/>
                <c:pt idx="0">
                  <c:v>59.439596276973894</c:v>
                </c:pt>
                <c:pt idx="1">
                  <c:v>55.134322597801216</c:v>
                </c:pt>
                <c:pt idx="2">
                  <c:v>50.829048918628544</c:v>
                </c:pt>
                <c:pt idx="3">
                  <c:v>46.523775239455865</c:v>
                </c:pt>
                <c:pt idx="4">
                  <c:v>42.218501560283194</c:v>
                </c:pt>
                <c:pt idx="5">
                  <c:v>37.913227881110515</c:v>
                </c:pt>
                <c:pt idx="6">
                  <c:v>35.760591041524179</c:v>
                </c:pt>
                <c:pt idx="7">
                  <c:v>33.607954201937844</c:v>
                </c:pt>
                <c:pt idx="8">
                  <c:v>29.302680522765165</c:v>
                </c:pt>
                <c:pt idx="9">
                  <c:v>27.150043683178829</c:v>
                </c:pt>
                <c:pt idx="10">
                  <c:v>26.073725263385661</c:v>
                </c:pt>
              </c:numCache>
            </c:numRef>
          </c:yVal>
          <c:smooth val="0"/>
          <c:extLst>
            <c:ext xmlns:c16="http://schemas.microsoft.com/office/drawing/2014/chart" uri="{C3380CC4-5D6E-409C-BE32-E72D297353CC}">
              <c16:uniqueId val="{00000000-76FD-4A1E-8B5F-94C14F877D89}"/>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'7b'!$BE$176:$BO$176</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'7b'!$BE$185:$BO$185</c:f>
              <c:numCache>
                <c:formatCode>0.0</c:formatCode>
                <c:ptCount val="11"/>
                <c:pt idx="0">
                  <c:v>61.227097309674498</c:v>
                </c:pt>
                <c:pt idx="1">
                  <c:v>50.521429523469536</c:v>
                </c:pt>
                <c:pt idx="2">
                  <c:v>42.318374502305701</c:v>
                </c:pt>
                <c:pt idx="3">
                  <c:v>36.070085358089955</c:v>
                </c:pt>
                <c:pt idx="4">
                  <c:v>31.25820803293611</c:v>
                </c:pt>
                <c:pt idx="5">
                  <c:v>27.48773809277586</c:v>
                </c:pt>
                <c:pt idx="6">
                  <c:v>25.901614680754015</c:v>
                </c:pt>
                <c:pt idx="7">
                  <c:v>24.477789881744485</c:v>
                </c:pt>
                <c:pt idx="8">
                  <c:v>22.031896650467907</c:v>
                </c:pt>
                <c:pt idx="9">
                  <c:v>20.975590779182426</c:v>
                </c:pt>
                <c:pt idx="10">
                  <c:v>20.482932011765186</c:v>
                </c:pt>
              </c:numCache>
            </c:numRef>
          </c:yVal>
          <c:smooth val="0"/>
          <c:extLst>
            <c:ext xmlns:c16="http://schemas.microsoft.com/office/drawing/2014/chart" uri="{C3380CC4-5D6E-409C-BE32-E72D297353CC}">
              <c16:uniqueId val="{00000001-76FD-4A1E-8B5F-94C14F877D89}"/>
            </c:ext>
          </c:extLst>
        </c:ser>
        <c:dLbls>
          <c:showLegendKey val="0"/>
          <c:showVal val="0"/>
          <c:showCatName val="0"/>
          <c:showSerName val="0"/>
          <c:showPercent val="0"/>
          <c:showBubbleSize val="0"/>
        </c:dLbls>
        <c:axId val="350990720"/>
        <c:axId val="350993024"/>
      </c:scatterChart>
      <c:valAx>
        <c:axId val="35099072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993024"/>
        <c:crosses val="autoZero"/>
        <c:crossBetween val="midCat"/>
      </c:valAx>
      <c:valAx>
        <c:axId val="3509930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990720"/>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'7b'!$BE$176:$BO$176</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'7b'!$BE$198:$BO$198</c:f>
              <c:numCache>
                <c:formatCode>0.00000</c:formatCode>
                <c:ptCount val="11"/>
                <c:pt idx="0">
                  <c:v>-4.8897219460448072E-3</c:v>
                </c:pt>
                <c:pt idx="1">
                  <c:v>2.0030419040846632E-2</c:v>
                </c:pt>
                <c:pt idx="2">
                  <c:v>5.9072858227361059E-2</c:v>
                </c:pt>
                <c:pt idx="3">
                  <c:v>0.10658020060371656</c:v>
                </c:pt>
                <c:pt idx="4">
                  <c:v>0.1445638698616164</c:v>
                </c:pt>
                <c:pt idx="5">
                  <c:v>0.16878280450820432</c:v>
                </c:pt>
                <c:pt idx="6">
                  <c:v>0.17383795878269698</c:v>
                </c:pt>
                <c:pt idx="7">
                  <c:v>0.17351235100410203</c:v>
                </c:pt>
                <c:pt idx="8">
                  <c:v>0.15580659752137432</c:v>
                </c:pt>
                <c:pt idx="9">
                  <c:v>0.13847234502061875</c:v>
                </c:pt>
                <c:pt idx="10">
                  <c:v>0.12779827202149943</c:v>
                </c:pt>
              </c:numCache>
            </c:numRef>
          </c:yVal>
          <c:smooth val="0"/>
          <c:extLst>
            <c:ext xmlns:c16="http://schemas.microsoft.com/office/drawing/2014/chart" uri="{C3380CC4-5D6E-409C-BE32-E72D297353CC}">
              <c16:uniqueId val="{00000000-1891-49BA-9E4A-5ECC1BCD571F}"/>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'7b'!$BE$176:$BO$176</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'7b'!$BE$199:$BO$199</c:f>
              <c:numCache>
                <c:formatCode>0.00000</c:formatCode>
                <c:ptCount val="11"/>
                <c:pt idx="0">
                  <c:v>-4.8503798745453105E-3</c:v>
                </c:pt>
                <c:pt idx="1">
                  <c:v>2.4789719847001099E-2</c:v>
                </c:pt>
                <c:pt idx="2">
                  <c:v>7.4094838174291341E-2</c:v>
                </c:pt>
                <c:pt idx="3">
                  <c:v>0.13530434721879231</c:v>
                </c:pt>
                <c:pt idx="4">
                  <c:v>0.18374005673679494</c:v>
                </c:pt>
                <c:pt idx="5">
                  <c:v>0.21362657214814224</c:v>
                </c:pt>
                <c:pt idx="6">
                  <c:v>0.21921357492172899</c:v>
                </c:pt>
                <c:pt idx="7">
                  <c:v>0.21782135832160418</c:v>
                </c:pt>
                <c:pt idx="8">
                  <c:v>0.19363078940039183</c:v>
                </c:pt>
                <c:pt idx="9">
                  <c:v>0.17133573401762922</c:v>
                </c:pt>
                <c:pt idx="10">
                  <c:v>0.15788935659514208</c:v>
                </c:pt>
              </c:numCache>
            </c:numRef>
          </c:yVal>
          <c:smooth val="0"/>
          <c:extLst>
            <c:ext xmlns:c16="http://schemas.microsoft.com/office/drawing/2014/chart" uri="{C3380CC4-5D6E-409C-BE32-E72D297353CC}">
              <c16:uniqueId val="{00000001-1891-49BA-9E4A-5ECC1BCD571F}"/>
            </c:ext>
          </c:extLst>
        </c:ser>
        <c:dLbls>
          <c:showLegendKey val="0"/>
          <c:showVal val="0"/>
          <c:showCatName val="0"/>
          <c:showSerName val="0"/>
          <c:showPercent val="0"/>
          <c:showBubbleSize val="0"/>
        </c:dLbls>
        <c:axId val="350634368"/>
        <c:axId val="350636672"/>
      </c:scatterChart>
      <c:valAx>
        <c:axId val="350634368"/>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636672"/>
        <c:crosses val="autoZero"/>
        <c:crossBetween val="midCat"/>
      </c:valAx>
      <c:valAx>
        <c:axId val="3506366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634368"/>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'7b'!$BE$230:$BO$230</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'7b'!$BE$241:$BO$241</c:f>
              <c:numCache>
                <c:formatCode>0.0</c:formatCode>
                <c:ptCount val="11"/>
                <c:pt idx="0">
                  <c:v>59.439596276973894</c:v>
                </c:pt>
                <c:pt idx="1">
                  <c:v>55.134322597801216</c:v>
                </c:pt>
                <c:pt idx="2">
                  <c:v>50.829048918628544</c:v>
                </c:pt>
                <c:pt idx="3">
                  <c:v>46.523775239455865</c:v>
                </c:pt>
                <c:pt idx="4">
                  <c:v>42.218501560283194</c:v>
                </c:pt>
                <c:pt idx="5">
                  <c:v>37.913227881110515</c:v>
                </c:pt>
                <c:pt idx="6">
                  <c:v>35.760591041524179</c:v>
                </c:pt>
                <c:pt idx="7">
                  <c:v>33.607954201937844</c:v>
                </c:pt>
                <c:pt idx="8">
                  <c:v>29.302680522765165</c:v>
                </c:pt>
                <c:pt idx="9">
                  <c:v>27.150043683178829</c:v>
                </c:pt>
                <c:pt idx="10">
                  <c:v>26.073725263385661</c:v>
                </c:pt>
              </c:numCache>
            </c:numRef>
          </c:yVal>
          <c:smooth val="0"/>
          <c:extLst>
            <c:ext xmlns:c16="http://schemas.microsoft.com/office/drawing/2014/chart" uri="{C3380CC4-5D6E-409C-BE32-E72D297353CC}">
              <c16:uniqueId val="{00000000-948F-45F8-B945-932608300A23}"/>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'7b'!$BE$230:$BO$230</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'7b'!$BE$239:$BO$239</c:f>
              <c:numCache>
                <c:formatCode>0.0</c:formatCode>
                <c:ptCount val="11"/>
                <c:pt idx="0">
                  <c:v>61.233031354041344</c:v>
                </c:pt>
                <c:pt idx="1">
                  <c:v>50.528331958051496</c:v>
                </c:pt>
                <c:pt idx="2">
                  <c:v>42.325376609042273</c:v>
                </c:pt>
                <c:pt idx="3">
                  <c:v>36.076779511566535</c:v>
                </c:pt>
                <c:pt idx="4">
                  <c:v>31.264447499844788</c:v>
                </c:pt>
                <c:pt idx="5">
                  <c:v>27.493497716395762</c:v>
                </c:pt>
                <c:pt idx="6">
                  <c:v>25.907142131749726</c:v>
                </c:pt>
                <c:pt idx="7">
                  <c:v>24.483094463641638</c:v>
                </c:pt>
                <c:pt idx="8">
                  <c:v>22.03678811553327</c:v>
                </c:pt>
                <c:pt idx="9">
                  <c:v>20.980292625507577</c:v>
                </c:pt>
                <c:pt idx="10">
                  <c:v>20.487543218007797</c:v>
                </c:pt>
              </c:numCache>
            </c:numRef>
          </c:yVal>
          <c:smooth val="0"/>
          <c:extLst>
            <c:ext xmlns:c16="http://schemas.microsoft.com/office/drawing/2014/chart" uri="{C3380CC4-5D6E-409C-BE32-E72D297353CC}">
              <c16:uniqueId val="{00000001-948F-45F8-B945-932608300A23}"/>
            </c:ext>
          </c:extLst>
        </c:ser>
        <c:dLbls>
          <c:showLegendKey val="0"/>
          <c:showVal val="0"/>
          <c:showCatName val="0"/>
          <c:showSerName val="0"/>
          <c:showPercent val="0"/>
          <c:showBubbleSize val="0"/>
        </c:dLbls>
        <c:axId val="351372032"/>
        <c:axId val="351374336"/>
      </c:scatterChart>
      <c:valAx>
        <c:axId val="3513720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374336"/>
        <c:crosses val="autoZero"/>
        <c:crossBetween val="midCat"/>
      </c:valAx>
      <c:valAx>
        <c:axId val="3513743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372032"/>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'7b'!$BE$230:$BO$230</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'7b'!$BE$252:$BO$252</c:f>
              <c:numCache>
                <c:formatCode>0.00000</c:formatCode>
                <c:ptCount val="11"/>
                <c:pt idx="0">
                  <c:v>-4.9060644137051326E-3</c:v>
                </c:pt>
                <c:pt idx="1">
                  <c:v>2.0003789800447567E-2</c:v>
                </c:pt>
                <c:pt idx="2">
                  <c:v>5.9033073902277855E-2</c:v>
                </c:pt>
                <c:pt idx="3">
                  <c:v>0.10652490966349658</c:v>
                </c:pt>
                <c:pt idx="4">
                  <c:v>0.14449588811711139</c:v>
                </c:pt>
                <c:pt idx="5">
                  <c:v>0.16870343386418282</c:v>
                </c:pt>
                <c:pt idx="6">
                  <c:v>0.17375359811072555</c:v>
                </c:pt>
                <c:pt idx="7">
                  <c:v>0.17342356820778074</c:v>
                </c:pt>
                <c:pt idx="8">
                  <c:v>0.15571093963607446</c:v>
                </c:pt>
                <c:pt idx="9">
                  <c:v>0.1383743618619637</c:v>
                </c:pt>
                <c:pt idx="10">
                  <c:v>0.12769943222944924</c:v>
                </c:pt>
              </c:numCache>
            </c:numRef>
          </c:yVal>
          <c:smooth val="0"/>
          <c:extLst>
            <c:ext xmlns:c16="http://schemas.microsoft.com/office/drawing/2014/chart" uri="{C3380CC4-5D6E-409C-BE32-E72D297353CC}">
              <c16:uniqueId val="{00000000-E145-4377-A118-8717A64594C7}"/>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'7b'!$BE$230:$BO$230</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'7b'!$BE$253:$BO$253</c:f>
              <c:numCache>
                <c:formatCode>0.00000</c:formatCode>
                <c:ptCount val="11"/>
                <c:pt idx="0">
                  <c:v>-4.8690412914002964E-3</c:v>
                </c:pt>
                <c:pt idx="1">
                  <c:v>2.4762371409167618E-2</c:v>
                </c:pt>
                <c:pt idx="2">
                  <c:v>7.4058905663927269E-2</c:v>
                </c:pt>
                <c:pt idx="3">
                  <c:v>0.13525867390617372</c:v>
                </c:pt>
                <c:pt idx="4">
                  <c:v>0.18368692272981427</c:v>
                </c:pt>
                <c:pt idx="5">
                  <c:v>0.21356533628732161</c:v>
                </c:pt>
                <c:pt idx="6">
                  <c:v>0.2191479586643835</c:v>
                </c:pt>
                <c:pt idx="7">
                  <c:v>0.21775111656813625</c:v>
                </c:pt>
                <c:pt idx="8">
                  <c:v>0.19355057794261774</c:v>
                </c:pt>
                <c:pt idx="9">
                  <c:v>0.17125023976557099</c:v>
                </c:pt>
                <c:pt idx="10">
                  <c:v>0.15780117319253395</c:v>
                </c:pt>
              </c:numCache>
            </c:numRef>
          </c:yVal>
          <c:smooth val="0"/>
          <c:extLst>
            <c:ext xmlns:c16="http://schemas.microsoft.com/office/drawing/2014/chart" uri="{C3380CC4-5D6E-409C-BE32-E72D297353CC}">
              <c16:uniqueId val="{00000001-E145-4377-A118-8717A64594C7}"/>
            </c:ext>
          </c:extLst>
        </c:ser>
        <c:dLbls>
          <c:showLegendKey val="0"/>
          <c:showVal val="0"/>
          <c:showCatName val="0"/>
          <c:showSerName val="0"/>
          <c:showPercent val="0"/>
          <c:showBubbleSize val="0"/>
        </c:dLbls>
        <c:axId val="351412992"/>
        <c:axId val="351415296"/>
      </c:scatterChart>
      <c:valAx>
        <c:axId val="351412992"/>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415296"/>
        <c:crosses val="autoZero"/>
        <c:crossBetween val="midCat"/>
      </c:valAx>
      <c:valAx>
        <c:axId val="3514152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412992"/>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'7b'!$BE$284:$BO$284</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'7b'!$BE$295:$BO$295</c:f>
              <c:numCache>
                <c:formatCode>0.0</c:formatCode>
                <c:ptCount val="11"/>
                <c:pt idx="0">
                  <c:v>59.439596276973894</c:v>
                </c:pt>
                <c:pt idx="1">
                  <c:v>55.134322597801216</c:v>
                </c:pt>
                <c:pt idx="2">
                  <c:v>50.829048918628544</c:v>
                </c:pt>
                <c:pt idx="3">
                  <c:v>46.523775239455865</c:v>
                </c:pt>
                <c:pt idx="4">
                  <c:v>42.218501560283194</c:v>
                </c:pt>
                <c:pt idx="5">
                  <c:v>37.913227881110515</c:v>
                </c:pt>
                <c:pt idx="6">
                  <c:v>35.760591041524179</c:v>
                </c:pt>
                <c:pt idx="7">
                  <c:v>33.607954201937844</c:v>
                </c:pt>
                <c:pt idx="8">
                  <c:v>29.302680522765165</c:v>
                </c:pt>
                <c:pt idx="9">
                  <c:v>27.150043683178829</c:v>
                </c:pt>
                <c:pt idx="10">
                  <c:v>26.073725263385661</c:v>
                </c:pt>
              </c:numCache>
            </c:numRef>
          </c:yVal>
          <c:smooth val="0"/>
          <c:extLst>
            <c:ext xmlns:c16="http://schemas.microsoft.com/office/drawing/2014/chart" uri="{C3380CC4-5D6E-409C-BE32-E72D297353CC}">
              <c16:uniqueId val="{00000000-E4A1-47C9-AFE8-414D1AB3DA78}"/>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'7b'!$BE$284:$BO$284</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'7b'!$BE$293:$BO$293</c:f>
              <c:numCache>
                <c:formatCode>0.0</c:formatCode>
                <c:ptCount val="11"/>
                <c:pt idx="0">
                  <c:v>61.493865940114368</c:v>
                </c:pt>
                <c:pt idx="1">
                  <c:v>50.832310734674486</c:v>
                </c:pt>
                <c:pt idx="2">
                  <c:v>42.634231428002217</c:v>
                </c:pt>
                <c:pt idx="3">
                  <c:v>36.372400136828944</c:v>
                </c:pt>
                <c:pt idx="4">
                  <c:v>31.540225709069535</c:v>
                </c:pt>
                <c:pt idx="5">
                  <c:v>27.74822654341688</c:v>
                </c:pt>
                <c:pt idx="6">
                  <c:v>26.151663202758503</c:v>
                </c:pt>
                <c:pt idx="7">
                  <c:v>24.717806358032014</c:v>
                </c:pt>
                <c:pt idx="8">
                  <c:v>22.253295482710655</c:v>
                </c:pt>
                <c:pt idx="9">
                  <c:v>21.18843620086702</c:v>
                </c:pt>
                <c:pt idx="10">
                  <c:v>20.691687247797546</c:v>
                </c:pt>
              </c:numCache>
            </c:numRef>
          </c:yVal>
          <c:smooth val="0"/>
          <c:extLst>
            <c:ext xmlns:c16="http://schemas.microsoft.com/office/drawing/2014/chart" uri="{C3380CC4-5D6E-409C-BE32-E72D297353CC}">
              <c16:uniqueId val="{00000001-E4A1-47C9-AFE8-414D1AB3DA78}"/>
            </c:ext>
          </c:extLst>
        </c:ser>
        <c:dLbls>
          <c:showLegendKey val="0"/>
          <c:showVal val="0"/>
          <c:showCatName val="0"/>
          <c:showSerName val="0"/>
          <c:showPercent val="0"/>
          <c:showBubbleSize val="0"/>
        </c:dLbls>
        <c:axId val="352568448"/>
        <c:axId val="352570752"/>
      </c:scatterChart>
      <c:valAx>
        <c:axId val="35256844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2570752"/>
        <c:crosses val="autoZero"/>
        <c:crossBetween val="midCat"/>
      </c:valAx>
      <c:valAx>
        <c:axId val="3525707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2568448"/>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'7b'!$BE$284:$BO$284</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'7b'!$BE$306:$BO$306</c:f>
              <c:numCache>
                <c:formatCode>0.00000</c:formatCode>
                <c:ptCount val="11"/>
                <c:pt idx="0">
                  <c:v>-5.6332787454064434E-3</c:v>
                </c:pt>
                <c:pt idx="1">
                  <c:v>1.8820243439752801E-2</c:v>
                </c:pt>
                <c:pt idx="2">
                  <c:v>5.7265983567226203E-2</c:v>
                </c:pt>
                <c:pt idx="3">
                  <c:v>0.10406978539810303</c:v>
                </c:pt>
                <c:pt idx="4">
                  <c:v>0.14147778951325019</c:v>
                </c:pt>
                <c:pt idx="5">
                  <c:v>0.16518000468123073</c:v>
                </c:pt>
                <c:pt idx="6">
                  <c:v>0.17000874490689555</c:v>
                </c:pt>
                <c:pt idx="7">
                  <c:v>0.16948249854483838</c:v>
                </c:pt>
                <c:pt idx="8">
                  <c:v>0.15146489101159236</c:v>
                </c:pt>
                <c:pt idx="9">
                  <c:v>0.13402523896121027</c:v>
                </c:pt>
                <c:pt idx="10">
                  <c:v>0.1233123692368459</c:v>
                </c:pt>
              </c:numCache>
            </c:numRef>
          </c:yVal>
          <c:smooth val="0"/>
          <c:extLst>
            <c:ext xmlns:c16="http://schemas.microsoft.com/office/drawing/2014/chart" uri="{C3380CC4-5D6E-409C-BE32-E72D297353CC}">
              <c16:uniqueId val="{00000000-5B35-4D1A-927E-871D3D4F48A4}"/>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'7b'!$BE$284:$BO$284</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'7b'!$BE$307:$BO$307</c:f>
              <c:numCache>
                <c:formatCode>0.00000</c:formatCode>
                <c:ptCount val="11"/>
                <c:pt idx="0">
                  <c:v>-5.7048438872558107E-3</c:v>
                </c:pt>
                <c:pt idx="1">
                  <c:v>2.3535282754477933E-2</c:v>
                </c:pt>
                <c:pt idx="2">
                  <c:v>7.2444667270137916E-2</c:v>
                </c:pt>
                <c:pt idx="3">
                  <c:v>0.13320541669937902</c:v>
                </c:pt>
                <c:pt idx="4">
                  <c:v>0.18129721378665131</c:v>
                </c:pt>
                <c:pt idx="5">
                  <c:v>0.21081109089550715</c:v>
                </c:pt>
                <c:pt idx="6">
                  <c:v>0.21619702831186</c:v>
                </c:pt>
                <c:pt idx="7">
                  <c:v>0.21459280499500574</c:v>
                </c:pt>
                <c:pt idx="8">
                  <c:v>0.18994630976401461</c:v>
                </c:pt>
                <c:pt idx="9">
                  <c:v>0.16741021228778125</c:v>
                </c:pt>
                <c:pt idx="10">
                  <c:v>0.15384127942490183</c:v>
                </c:pt>
              </c:numCache>
            </c:numRef>
          </c:yVal>
          <c:smooth val="0"/>
          <c:extLst>
            <c:ext xmlns:c16="http://schemas.microsoft.com/office/drawing/2014/chart" uri="{C3380CC4-5D6E-409C-BE32-E72D297353CC}">
              <c16:uniqueId val="{00000001-5B35-4D1A-927E-871D3D4F48A4}"/>
            </c:ext>
          </c:extLst>
        </c:ser>
        <c:dLbls>
          <c:showLegendKey val="0"/>
          <c:showVal val="0"/>
          <c:showCatName val="0"/>
          <c:showSerName val="0"/>
          <c:showPercent val="0"/>
          <c:showBubbleSize val="0"/>
        </c:dLbls>
        <c:axId val="351167616"/>
        <c:axId val="351169920"/>
      </c:scatterChart>
      <c:valAx>
        <c:axId val="351167616"/>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169920"/>
        <c:crosses val="autoZero"/>
        <c:crossBetween val="midCat"/>
      </c:valAx>
      <c:valAx>
        <c:axId val="3511699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167616"/>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Pitch, Beta</a:t>
            </a:r>
          </a:p>
        </c:rich>
      </c:tx>
      <c:layout>
        <c:manualLayout>
          <c:xMode val="edge"/>
          <c:yMode val="edge"/>
          <c:x val="2.1834107690765922E-2"/>
          <c:y val="3.553299492385787E-2"/>
        </c:manualLayout>
      </c:layout>
      <c:overlay val="0"/>
      <c:spPr>
        <a:noFill/>
        <a:ln w="25400">
          <a:noFill/>
        </a:ln>
      </c:spPr>
    </c:title>
    <c:autoTitleDeleted val="0"/>
    <c:plotArea>
      <c:layout>
        <c:manualLayout>
          <c:layoutTarget val="inner"/>
          <c:xMode val="edge"/>
          <c:yMode val="edge"/>
          <c:x val="0.27074293536549743"/>
          <c:y val="0.23857868020304568"/>
          <c:w val="0.55021951380730116"/>
          <c:h val="0.53299492385786806"/>
        </c:manualLayout>
      </c:layout>
      <c:scatterChart>
        <c:scatterStyle val="lineMarker"/>
        <c:varyColors val="0"/>
        <c:ser>
          <c:idx val="0"/>
          <c:order val="0"/>
          <c:tx>
            <c:v>Beta</c:v>
          </c:tx>
          <c:spPr>
            <a:ln w="28575">
              <a:noFill/>
            </a:ln>
          </c:spPr>
          <c:marker>
            <c:symbol val="diamond"/>
            <c:size val="5"/>
            <c:spPr>
              <a:solidFill>
                <a:srgbClr val="000080"/>
              </a:solidFill>
              <a:ln>
                <a:solidFill>
                  <a:srgbClr val="000080"/>
                </a:solidFill>
                <a:prstDash val="solid"/>
              </a:ln>
            </c:spPr>
          </c:marker>
          <c:xVal>
            <c:numRef>
              <c:f>'7b'!$BE$338:$BO$338</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'7b'!$BE$349:$BO$349</c:f>
              <c:numCache>
                <c:formatCode>0.0</c:formatCode>
                <c:ptCount val="11"/>
                <c:pt idx="0">
                  <c:v>59.439596276973894</c:v>
                </c:pt>
                <c:pt idx="1">
                  <c:v>55.134322597801216</c:v>
                </c:pt>
                <c:pt idx="2">
                  <c:v>50.829048918628544</c:v>
                </c:pt>
                <c:pt idx="3">
                  <c:v>46.523775239455865</c:v>
                </c:pt>
                <c:pt idx="4">
                  <c:v>42.218501560283194</c:v>
                </c:pt>
                <c:pt idx="5">
                  <c:v>37.913227881110515</c:v>
                </c:pt>
                <c:pt idx="6">
                  <c:v>35.760591041524179</c:v>
                </c:pt>
                <c:pt idx="7">
                  <c:v>33.607954201937844</c:v>
                </c:pt>
                <c:pt idx="8">
                  <c:v>29.302680522765165</c:v>
                </c:pt>
                <c:pt idx="9">
                  <c:v>27.150043683178829</c:v>
                </c:pt>
                <c:pt idx="10">
                  <c:v>26.073725263385661</c:v>
                </c:pt>
              </c:numCache>
            </c:numRef>
          </c:yVal>
          <c:smooth val="0"/>
          <c:extLst>
            <c:ext xmlns:c16="http://schemas.microsoft.com/office/drawing/2014/chart" uri="{C3380CC4-5D6E-409C-BE32-E72D297353CC}">
              <c16:uniqueId val="{00000000-ABA5-4946-A01E-21DCF69BAF09}"/>
            </c:ext>
          </c:extLst>
        </c:ser>
        <c:ser>
          <c:idx val="1"/>
          <c:order val="1"/>
          <c:tx>
            <c:v>Phi</c:v>
          </c:tx>
          <c:spPr>
            <a:ln w="28575">
              <a:noFill/>
            </a:ln>
          </c:spPr>
          <c:marker>
            <c:symbol val="square"/>
            <c:size val="5"/>
            <c:spPr>
              <a:solidFill>
                <a:srgbClr val="FF00FF"/>
              </a:solidFill>
              <a:ln>
                <a:solidFill>
                  <a:srgbClr val="FF00FF"/>
                </a:solidFill>
                <a:prstDash val="solid"/>
              </a:ln>
            </c:spPr>
          </c:marker>
          <c:xVal>
            <c:numRef>
              <c:f>'7b'!$BE$338:$BO$338</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'7b'!$BE$347:$BO$347</c:f>
              <c:numCache>
                <c:formatCode>0.0</c:formatCode>
                <c:ptCount val="11"/>
                <c:pt idx="0">
                  <c:v>39.973789128083084</c:v>
                </c:pt>
                <c:pt idx="1">
                  <c:v>29.199962261667444</c:v>
                </c:pt>
                <c:pt idx="2">
                  <c:v>22.741490785682306</c:v>
                </c:pt>
                <c:pt idx="3">
                  <c:v>18.537752160633804</c:v>
                </c:pt>
                <c:pt idx="4">
                  <c:v>15.612495647896964</c:v>
                </c:pt>
                <c:pt idx="5">
                  <c:v>13.46973200836519</c:v>
                </c:pt>
                <c:pt idx="6">
                  <c:v>12.601397794592792</c:v>
                </c:pt>
                <c:pt idx="7">
                  <c:v>11.836734403386261</c:v>
                </c:pt>
                <c:pt idx="8">
                  <c:v>10.552856370199086</c:v>
                </c:pt>
                <c:pt idx="9">
                  <c:v>10.00897498819918</c:v>
                </c:pt>
                <c:pt idx="10">
                  <c:v>9.7573307049931444</c:v>
                </c:pt>
              </c:numCache>
            </c:numRef>
          </c:yVal>
          <c:smooth val="0"/>
          <c:extLst>
            <c:ext xmlns:c16="http://schemas.microsoft.com/office/drawing/2014/chart" uri="{C3380CC4-5D6E-409C-BE32-E72D297353CC}">
              <c16:uniqueId val="{00000001-ABA5-4946-A01E-21DCF69BAF09}"/>
            </c:ext>
          </c:extLst>
        </c:ser>
        <c:dLbls>
          <c:showLegendKey val="0"/>
          <c:showVal val="0"/>
          <c:showCatName val="0"/>
          <c:showSerName val="0"/>
          <c:showPercent val="0"/>
          <c:showBubbleSize val="0"/>
        </c:dLbls>
        <c:axId val="351303168"/>
        <c:axId val="351309824"/>
      </c:scatterChart>
      <c:valAx>
        <c:axId val="351303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6288308304423753"/>
              <c:y val="0.86294416243654826"/>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309824"/>
        <c:crosses val="autoZero"/>
        <c:crossBetween val="midCat"/>
      </c:valAx>
      <c:valAx>
        <c:axId val="3513098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Beta - deg</a:t>
                </a:r>
              </a:p>
            </c:rich>
          </c:tx>
          <c:layout>
            <c:manualLayout>
              <c:xMode val="edge"/>
              <c:yMode val="edge"/>
              <c:x val="2.1834107690765922E-2"/>
              <c:y val="0.3299492385786801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1303168"/>
        <c:crosses val="autoZero"/>
        <c:crossBetween val="midCat"/>
      </c:valAx>
      <c:spPr>
        <a:solidFill>
          <a:srgbClr val="C0C0C0"/>
        </a:solidFill>
        <a:ln w="12700">
          <a:solidFill>
            <a:srgbClr val="808080"/>
          </a:solidFill>
          <a:prstDash val="solid"/>
        </a:ln>
      </c:spPr>
    </c:plotArea>
    <c:legend>
      <c:legendPos val="r"/>
      <c:layout>
        <c:manualLayout>
          <c:xMode val="edge"/>
          <c:yMode val="edge"/>
          <c:x val="0.66957970864995575"/>
          <c:y val="0.1116751269035533"/>
          <c:w val="0.20815184128184847"/>
          <c:h val="0.150592216582064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Blade Loading</a:t>
            </a:r>
          </a:p>
        </c:rich>
      </c:tx>
      <c:layout>
        <c:manualLayout>
          <c:xMode val="edge"/>
          <c:yMode val="edge"/>
          <c:x val="2.1739130434782608E-2"/>
          <c:y val="3.5353709722763388E-2"/>
        </c:manualLayout>
      </c:layout>
      <c:overlay val="0"/>
      <c:spPr>
        <a:noFill/>
        <a:ln w="25400">
          <a:noFill/>
        </a:ln>
      </c:spPr>
    </c:title>
    <c:autoTitleDeleted val="0"/>
    <c:plotArea>
      <c:layout>
        <c:manualLayout>
          <c:layoutTarget val="inner"/>
          <c:xMode val="edge"/>
          <c:yMode val="edge"/>
          <c:x val="0.21739130434782608"/>
          <c:y val="0.23737490813855419"/>
          <c:w val="0.6"/>
          <c:h val="0.53030564584145079"/>
        </c:manualLayout>
      </c:layout>
      <c:scatterChart>
        <c:scatterStyle val="lineMarker"/>
        <c:varyColors val="0"/>
        <c:ser>
          <c:idx val="0"/>
          <c:order val="0"/>
          <c:tx>
            <c:v>dCT/dx</c:v>
          </c:tx>
          <c:spPr>
            <a:ln w="28575">
              <a:noFill/>
            </a:ln>
          </c:spPr>
          <c:marker>
            <c:symbol val="diamond"/>
            <c:size val="5"/>
            <c:spPr>
              <a:solidFill>
                <a:srgbClr val="000080"/>
              </a:solidFill>
              <a:ln>
                <a:solidFill>
                  <a:srgbClr val="000080"/>
                </a:solidFill>
                <a:prstDash val="solid"/>
              </a:ln>
            </c:spPr>
          </c:marker>
          <c:xVal>
            <c:numRef>
              <c:f>'7b'!$BE$338:$BO$338</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'7b'!$BE$360:$BO$360</c:f>
              <c:numCache>
                <c:formatCode>0.00000</c:formatCode>
                <c:ptCount val="11"/>
                <c:pt idx="0">
                  <c:v>2.4934356098831659E-2</c:v>
                </c:pt>
                <c:pt idx="1">
                  <c:v>7.2205919786512876E-2</c:v>
                </c:pt>
                <c:pt idx="2">
                  <c:v>0.13936487337424747</c:v>
                </c:pt>
                <c:pt idx="3">
                  <c:v>0.21909986790732555</c:v>
                </c:pt>
                <c:pt idx="4">
                  <c:v>0.28313900184717461</c:v>
                </c:pt>
                <c:pt idx="5">
                  <c:v>0.33025229835721248</c:v>
                </c:pt>
                <c:pt idx="6">
                  <c:v>0.34523478714343558</c:v>
                </c:pt>
                <c:pt idx="7">
                  <c:v>0.35368028005922336</c:v>
                </c:pt>
                <c:pt idx="8">
                  <c:v>0.34966937563379236</c:v>
                </c:pt>
                <c:pt idx="9">
                  <c:v>0.33707328861831071</c:v>
                </c:pt>
                <c:pt idx="10">
                  <c:v>0.3281986210831695</c:v>
                </c:pt>
              </c:numCache>
            </c:numRef>
          </c:yVal>
          <c:smooth val="0"/>
          <c:extLst>
            <c:ext xmlns:c16="http://schemas.microsoft.com/office/drawing/2014/chart" uri="{C3380CC4-5D6E-409C-BE32-E72D297353CC}">
              <c16:uniqueId val="{00000000-5A16-4D8B-A0D4-CA66D199AA8C}"/>
            </c:ext>
          </c:extLst>
        </c:ser>
        <c:ser>
          <c:idx val="1"/>
          <c:order val="1"/>
          <c:tx>
            <c:v>dCP/dx</c:v>
          </c:tx>
          <c:spPr>
            <a:ln w="28575">
              <a:noFill/>
            </a:ln>
          </c:spPr>
          <c:marker>
            <c:symbol val="square"/>
            <c:size val="5"/>
            <c:spPr>
              <a:solidFill>
                <a:srgbClr val="FF00FF"/>
              </a:solidFill>
              <a:ln>
                <a:solidFill>
                  <a:srgbClr val="FF00FF"/>
                </a:solidFill>
                <a:prstDash val="solid"/>
              </a:ln>
            </c:spPr>
          </c:marker>
          <c:xVal>
            <c:numRef>
              <c:f>'7b'!$BE$338:$BO$338</c:f>
              <c:numCache>
                <c:formatCode>0.000</c:formatCode>
                <c:ptCount val="11"/>
                <c:pt idx="0">
                  <c:v>0.2</c:v>
                </c:pt>
                <c:pt idx="1">
                  <c:v>0.3</c:v>
                </c:pt>
                <c:pt idx="2">
                  <c:v>0.4</c:v>
                </c:pt>
                <c:pt idx="3">
                  <c:v>0.5</c:v>
                </c:pt>
                <c:pt idx="4">
                  <c:v>0.6</c:v>
                </c:pt>
                <c:pt idx="5">
                  <c:v>0.7</c:v>
                </c:pt>
                <c:pt idx="6">
                  <c:v>0.75</c:v>
                </c:pt>
                <c:pt idx="7">
                  <c:v>0.8</c:v>
                </c:pt>
                <c:pt idx="8">
                  <c:v>0.9</c:v>
                </c:pt>
                <c:pt idx="9">
                  <c:v>0.95</c:v>
                </c:pt>
                <c:pt idx="10">
                  <c:v>0.97499999999999998</c:v>
                </c:pt>
              </c:numCache>
            </c:numRef>
          </c:xVal>
          <c:yVal>
            <c:numRef>
              <c:f>'7b'!$BE$361:$BO$361</c:f>
              <c:numCache>
                <c:formatCode>0.00000</c:formatCode>
                <c:ptCount val="11"/>
                <c:pt idx="0">
                  <c:v>1.7200595862747178E-2</c:v>
                </c:pt>
                <c:pt idx="1">
                  <c:v>5.3510895315228221E-2</c:v>
                </c:pt>
                <c:pt idx="2">
                  <c:v>0.10859241704321848</c:v>
                </c:pt>
                <c:pt idx="3">
                  <c:v>0.17679363056871</c:v>
                </c:pt>
                <c:pt idx="4">
                  <c:v>0.22972784920340455</c:v>
                </c:pt>
                <c:pt idx="5">
                  <c:v>0.26587804572593993</c:v>
                </c:pt>
                <c:pt idx="6">
                  <c:v>0.27557899260684993</c:v>
                </c:pt>
                <c:pt idx="7">
                  <c:v>0.27909326430896153</c:v>
                </c:pt>
                <c:pt idx="8">
                  <c:v>0.26735588354743844</c:v>
                </c:pt>
                <c:pt idx="9">
                  <c:v>0.25265322666414669</c:v>
                </c:pt>
                <c:pt idx="10">
                  <c:v>0.24333338875217064</c:v>
                </c:pt>
              </c:numCache>
            </c:numRef>
          </c:yVal>
          <c:smooth val="0"/>
          <c:extLst>
            <c:ext xmlns:c16="http://schemas.microsoft.com/office/drawing/2014/chart" uri="{C3380CC4-5D6E-409C-BE32-E72D297353CC}">
              <c16:uniqueId val="{00000001-5A16-4D8B-A0D4-CA66D199AA8C}"/>
            </c:ext>
          </c:extLst>
        </c:ser>
        <c:dLbls>
          <c:showLegendKey val="0"/>
          <c:showVal val="0"/>
          <c:showCatName val="0"/>
          <c:showSerName val="0"/>
          <c:showPercent val="0"/>
          <c:showBubbleSize val="0"/>
        </c:dLbls>
        <c:axId val="353715712"/>
        <c:axId val="353730560"/>
      </c:scatterChart>
      <c:valAx>
        <c:axId val="353715712"/>
        <c:scaling>
          <c:orientation val="minMax"/>
          <c:max val="1.1000000000000001"/>
          <c:min val="0"/>
        </c:scaling>
        <c:delete val="0"/>
        <c:axPos val="b"/>
        <c:title>
          <c:tx>
            <c:rich>
              <a:bodyPr/>
              <a:lstStyle/>
              <a:p>
                <a:pPr>
                  <a:defRPr sz="1000" b="1" i="0" u="none" strike="noStrike" baseline="0">
                    <a:solidFill>
                      <a:srgbClr val="000000"/>
                    </a:solidFill>
                    <a:latin typeface="Arial"/>
                    <a:ea typeface="Arial"/>
                    <a:cs typeface="Arial"/>
                  </a:defRPr>
                </a:pPr>
                <a:r>
                  <a:rPr lang="en-US"/>
                  <a:t>x=r/R</a:t>
                </a:r>
              </a:p>
            </c:rich>
          </c:tx>
          <c:layout>
            <c:manualLayout>
              <c:xMode val="edge"/>
              <c:yMode val="edge"/>
              <c:x val="0.43478260869565216"/>
              <c:y val="0.86364062322750568"/>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3730560"/>
        <c:crosses val="autoZero"/>
        <c:crossBetween val="midCat"/>
      </c:valAx>
      <c:valAx>
        <c:axId val="3537305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dCT/dx</a:t>
                </a:r>
              </a:p>
            </c:rich>
          </c:tx>
          <c:layout>
            <c:manualLayout>
              <c:xMode val="edge"/>
              <c:yMode val="edge"/>
              <c:x val="2.1739130434782608E-2"/>
              <c:y val="0.3787897470296077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3715712"/>
        <c:crosses val="autoZero"/>
        <c:crossBetween val="midCat"/>
      </c:valAx>
      <c:spPr>
        <a:solidFill>
          <a:srgbClr val="C0C0C0"/>
        </a:solidFill>
        <a:ln w="12700">
          <a:solidFill>
            <a:srgbClr val="808080"/>
          </a:solidFill>
          <a:prstDash val="solid"/>
        </a:ln>
      </c:spPr>
    </c:plotArea>
    <c:legend>
      <c:legendPos val="r"/>
      <c:layout>
        <c:manualLayout>
          <c:xMode val="edge"/>
          <c:yMode val="edge"/>
          <c:x val="0.60289855072463772"/>
          <c:y val="7.0707600943821419E-2"/>
          <c:w val="0.30579710144927535"/>
          <c:h val="0.11616218908907971"/>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a:t>Static T/P of</a:t>
            </a:r>
            <a:r>
              <a:rPr lang="en-US" baseline="0"/>
              <a:t> Propellers</a:t>
            </a:r>
            <a:endParaRPr lang="en-US"/>
          </a:p>
          <a:p>
            <a:pPr algn="l">
              <a:defRPr/>
            </a:pPr>
            <a:r>
              <a:rPr lang="en-US" sz="1050"/>
              <a:t>Reference:</a:t>
            </a:r>
            <a:r>
              <a:rPr lang="en-US" sz="1050" baseline="0"/>
              <a:t> "Aerodynamics, Aeronautics, and FLight Mechanics", Barnes W. McCormick</a:t>
            </a:r>
            <a:endParaRPr lang="en-US" sz="1050"/>
          </a:p>
        </c:rich>
      </c:tx>
      <c:layout>
        <c:manualLayout>
          <c:xMode val="edge"/>
          <c:yMode val="edge"/>
          <c:x val="1.7715223097112834E-2"/>
          <c:y val="2.3148148148148147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Static T/P</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1"/>
            <c:dispEq val="1"/>
            <c:trendlineLbl>
              <c:layout>
                <c:manualLayout>
                  <c:x val="5.4185258092738359E-2"/>
                  <c:y val="-0.36610928842228052"/>
                </c:manualLayout>
              </c:layout>
              <c:numFmt formatCode="0.00000000E+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'7b'!$D$188:$D$196</c:f>
              <c:numCache>
                <c:formatCode>General</c:formatCode>
                <c:ptCount val="9"/>
                <c:pt idx="0">
                  <c:v>4</c:v>
                </c:pt>
                <c:pt idx="1">
                  <c:v>6</c:v>
                </c:pt>
                <c:pt idx="2">
                  <c:v>8</c:v>
                </c:pt>
                <c:pt idx="3">
                  <c:v>10</c:v>
                </c:pt>
                <c:pt idx="4">
                  <c:v>20</c:v>
                </c:pt>
                <c:pt idx="5">
                  <c:v>30</c:v>
                </c:pt>
                <c:pt idx="6">
                  <c:v>40</c:v>
                </c:pt>
                <c:pt idx="7">
                  <c:v>60</c:v>
                </c:pt>
                <c:pt idx="8">
                  <c:v>80</c:v>
                </c:pt>
              </c:numCache>
            </c:numRef>
          </c:xVal>
          <c:yVal>
            <c:numRef>
              <c:f>'7b'!$E$188:$E$196</c:f>
              <c:numCache>
                <c:formatCode>0.0</c:formatCode>
                <c:ptCount val="9"/>
                <c:pt idx="0">
                  <c:v>10.7</c:v>
                </c:pt>
                <c:pt idx="1">
                  <c:v>9.1999999999999993</c:v>
                </c:pt>
                <c:pt idx="2">
                  <c:v>8.3000000000000007</c:v>
                </c:pt>
                <c:pt idx="3">
                  <c:v>7.7</c:v>
                </c:pt>
                <c:pt idx="4">
                  <c:v>6.1</c:v>
                </c:pt>
                <c:pt idx="5">
                  <c:v>5.0999999999999996</c:v>
                </c:pt>
                <c:pt idx="6">
                  <c:v>4.5</c:v>
                </c:pt>
                <c:pt idx="7">
                  <c:v>3.7</c:v>
                </c:pt>
                <c:pt idx="8">
                  <c:v>3.1</c:v>
                </c:pt>
              </c:numCache>
            </c:numRef>
          </c:yVal>
          <c:smooth val="0"/>
          <c:extLst>
            <c:ext xmlns:c16="http://schemas.microsoft.com/office/drawing/2014/chart" uri="{C3380CC4-5D6E-409C-BE32-E72D297353CC}">
              <c16:uniqueId val="{00000001-62A3-4394-8EED-F7F49D6EBAC5}"/>
            </c:ext>
          </c:extLst>
        </c:ser>
        <c:dLbls>
          <c:showLegendKey val="0"/>
          <c:showVal val="0"/>
          <c:showCatName val="0"/>
          <c:showSerName val="0"/>
          <c:showPercent val="0"/>
          <c:showBubbleSize val="0"/>
        </c:dLbls>
        <c:axId val="667386448"/>
        <c:axId val="667387760"/>
      </c:scatterChart>
      <c:valAx>
        <c:axId val="6673864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Disk Loading (psf)</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387760"/>
        <c:crosses val="autoZero"/>
        <c:crossBetween val="midCat"/>
      </c:valAx>
      <c:valAx>
        <c:axId val="667387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Static Thrust-to-Power=T/P, lb/hp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3864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AEO Take-off  Field Length Breakdown</a:t>
            </a:r>
          </a:p>
        </c:rich>
      </c:tx>
      <c:layout>
        <c:manualLayout>
          <c:xMode val="edge"/>
          <c:yMode val="edge"/>
          <c:x val="0.11479537451572827"/>
          <c:y val="3.9130593049467699E-2"/>
        </c:manualLayout>
      </c:layout>
      <c:overlay val="0"/>
      <c:spPr>
        <a:noFill/>
        <a:ln w="25400">
          <a:noFill/>
        </a:ln>
      </c:spPr>
    </c:title>
    <c:autoTitleDeleted val="0"/>
    <c:plotArea>
      <c:layout>
        <c:manualLayout>
          <c:layoutTarget val="inner"/>
          <c:xMode val="edge"/>
          <c:yMode val="edge"/>
          <c:x val="0.3017247729592642"/>
          <c:y val="0.36956521739130432"/>
          <c:w val="0.40086291264587959"/>
          <c:h val="0.40434782608695652"/>
        </c:manualLayout>
      </c:layout>
      <c:pieChart>
        <c:varyColors val="1"/>
        <c:ser>
          <c:idx val="0"/>
          <c:order val="0"/>
          <c:spPr>
            <a:solidFill>
              <a:srgbClr val="8080FF"/>
            </a:solidFill>
            <a:ln w="12700">
              <a:solidFill>
                <a:srgbClr val="000000"/>
              </a:solidFill>
              <a:prstDash val="solid"/>
            </a:ln>
          </c:spPr>
          <c:dPt>
            <c:idx val="0"/>
            <c:bubble3D val="0"/>
            <c:extLst>
              <c:ext xmlns:c16="http://schemas.microsoft.com/office/drawing/2014/chart" uri="{C3380CC4-5D6E-409C-BE32-E72D297353CC}">
                <c16:uniqueId val="{00000000-50D5-4460-8ECC-D059FDDAA7F7}"/>
              </c:ext>
            </c:extLst>
          </c:dPt>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2-50D5-4460-8ECC-D059FDDAA7F7}"/>
              </c:ext>
            </c:extLst>
          </c:dPt>
          <c:dPt>
            <c:idx val="2"/>
            <c:bubble3D val="0"/>
            <c:spPr>
              <a:solidFill>
                <a:srgbClr val="FFFFC0"/>
              </a:solidFill>
              <a:ln w="12700">
                <a:solidFill>
                  <a:srgbClr val="000000"/>
                </a:solidFill>
                <a:prstDash val="solid"/>
              </a:ln>
            </c:spPr>
            <c:extLst>
              <c:ext xmlns:c16="http://schemas.microsoft.com/office/drawing/2014/chart" uri="{C3380CC4-5D6E-409C-BE32-E72D297353CC}">
                <c16:uniqueId val="{00000004-50D5-4460-8ECC-D059FDDAA7F7}"/>
              </c:ext>
            </c:extLst>
          </c:dPt>
          <c:dPt>
            <c:idx val="3"/>
            <c:bubble3D val="0"/>
            <c:spPr>
              <a:solidFill>
                <a:srgbClr val="A0E0E0"/>
              </a:solidFill>
              <a:ln w="12700">
                <a:solidFill>
                  <a:srgbClr val="000000"/>
                </a:solidFill>
                <a:prstDash val="solid"/>
              </a:ln>
            </c:spPr>
            <c:extLst>
              <c:ext xmlns:c16="http://schemas.microsoft.com/office/drawing/2014/chart" uri="{C3380CC4-5D6E-409C-BE32-E72D297353CC}">
                <c16:uniqueId val="{00000006-50D5-4460-8ECC-D059FDDAA7F7}"/>
              </c:ext>
            </c:extLst>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Lit>
              <c:ptCount val="4"/>
              <c:pt idx="0">
                <c:v>Ground Roll</c:v>
              </c:pt>
              <c:pt idx="1">
                <c:v>Rotation</c:v>
              </c:pt>
              <c:pt idx="2">
                <c:v>Transition</c:v>
              </c:pt>
              <c:pt idx="3">
                <c:v>Climb</c:v>
              </c:pt>
            </c:strLit>
          </c:cat>
          <c:val>
            <c:numRef>
              <c:f>'8'!$F$28:$F$31</c:f>
              <c:numCache>
                <c:formatCode>0.0</c:formatCode>
                <c:ptCount val="4"/>
                <c:pt idx="0">
                  <c:v>221.44215301752695</c:v>
                </c:pt>
                <c:pt idx="1">
                  <c:v>234.76980885884052</c:v>
                </c:pt>
                <c:pt idx="2">
                  <c:v>132.53453316833742</c:v>
                </c:pt>
                <c:pt idx="3">
                  <c:v>409.63336863355715</c:v>
                </c:pt>
              </c:numCache>
            </c:numRef>
          </c:val>
          <c:extLst>
            <c:ext xmlns:c16="http://schemas.microsoft.com/office/drawing/2014/chart" uri="{C3380CC4-5D6E-409C-BE32-E72D297353CC}">
              <c16:uniqueId val="{00000007-50D5-4460-8ECC-D059FDDAA7F7}"/>
            </c:ext>
          </c:extLst>
        </c:ser>
        <c:dLbls>
          <c:dLblPos val="outEnd"/>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Landing Field Length</a:t>
            </a:r>
            <a:r>
              <a:rPr lang="en-US" baseline="0"/>
              <a:t> </a:t>
            </a:r>
            <a:r>
              <a:rPr lang="en-US"/>
              <a:t>Breakdown</a:t>
            </a:r>
          </a:p>
        </c:rich>
      </c:tx>
      <c:layout>
        <c:manualLayout>
          <c:xMode val="edge"/>
          <c:yMode val="edge"/>
          <c:x val="0.21551769497090301"/>
          <c:y val="3.9130434782608699E-2"/>
        </c:manualLayout>
      </c:layout>
      <c:overlay val="0"/>
      <c:spPr>
        <a:noFill/>
        <a:ln w="25400">
          <a:noFill/>
        </a:ln>
      </c:spPr>
    </c:title>
    <c:autoTitleDeleted val="0"/>
    <c:plotArea>
      <c:layout>
        <c:manualLayout>
          <c:layoutTarget val="inner"/>
          <c:xMode val="edge"/>
          <c:yMode val="edge"/>
          <c:x val="0.28017300346217389"/>
          <c:y val="0.35217391304347828"/>
          <c:w val="0.43965609774064213"/>
          <c:h val="0.44347826086956521"/>
        </c:manualLayout>
      </c:layout>
      <c:pieChart>
        <c:varyColors val="1"/>
        <c:ser>
          <c:idx val="0"/>
          <c:order val="0"/>
          <c:spPr>
            <a:solidFill>
              <a:srgbClr val="8080FF"/>
            </a:solidFill>
            <a:ln w="12700">
              <a:solidFill>
                <a:srgbClr val="000000"/>
              </a:solidFill>
              <a:prstDash val="solid"/>
            </a:ln>
          </c:spPr>
          <c:dPt>
            <c:idx val="0"/>
            <c:bubble3D val="0"/>
            <c:extLst>
              <c:ext xmlns:c16="http://schemas.microsoft.com/office/drawing/2014/chart" uri="{C3380CC4-5D6E-409C-BE32-E72D297353CC}">
                <c16:uniqueId val="{00000000-B9CD-4E68-A671-AB7AA0FCE944}"/>
              </c:ext>
            </c:extLst>
          </c:dPt>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2-B9CD-4E68-A671-AB7AA0FCE944}"/>
              </c:ext>
            </c:extLst>
          </c:dPt>
          <c:dPt>
            <c:idx val="2"/>
            <c:bubble3D val="0"/>
            <c:spPr>
              <a:solidFill>
                <a:srgbClr val="FFFFC0"/>
              </a:solidFill>
              <a:ln w="12700">
                <a:solidFill>
                  <a:srgbClr val="000000"/>
                </a:solidFill>
                <a:prstDash val="solid"/>
              </a:ln>
            </c:spPr>
            <c:extLst>
              <c:ext xmlns:c16="http://schemas.microsoft.com/office/drawing/2014/chart" uri="{C3380CC4-5D6E-409C-BE32-E72D297353CC}">
                <c16:uniqueId val="{00000004-B9CD-4E68-A671-AB7AA0FCE944}"/>
              </c:ext>
            </c:extLst>
          </c:dPt>
          <c:dPt>
            <c:idx val="3"/>
            <c:bubble3D val="0"/>
            <c:spPr>
              <a:solidFill>
                <a:srgbClr val="A0E0E0"/>
              </a:solidFill>
              <a:ln w="12700">
                <a:solidFill>
                  <a:srgbClr val="000000"/>
                </a:solidFill>
                <a:prstDash val="solid"/>
              </a:ln>
            </c:spPr>
            <c:extLst>
              <c:ext xmlns:c16="http://schemas.microsoft.com/office/drawing/2014/chart" uri="{C3380CC4-5D6E-409C-BE32-E72D297353CC}">
                <c16:uniqueId val="{00000006-B9CD-4E68-A671-AB7AA0FCE944}"/>
              </c:ext>
            </c:extLst>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Lit>
              <c:ptCount val="4"/>
              <c:pt idx="0">
                <c:v>Approach</c:v>
              </c:pt>
              <c:pt idx="1">
                <c:v> Transition</c:v>
              </c:pt>
              <c:pt idx="2">
                <c:v> Free Roll</c:v>
              </c:pt>
              <c:pt idx="3">
                <c:v> Braking</c:v>
              </c:pt>
            </c:strLit>
          </c:cat>
          <c:val>
            <c:numRef>
              <c:f>'8'!$S$16:$S$19</c:f>
              <c:numCache>
                <c:formatCode>#,##0.0</c:formatCode>
                <c:ptCount val="4"/>
                <c:pt idx="0">
                  <c:v>-5.07744690441407</c:v>
                </c:pt>
                <c:pt idx="1">
                  <c:v>322.25341320483398</c:v>
                </c:pt>
                <c:pt idx="2">
                  <c:v>222.72911040452402</c:v>
                </c:pt>
                <c:pt idx="3">
                  <c:v>546.96959336732709</c:v>
                </c:pt>
              </c:numCache>
            </c:numRef>
          </c:val>
          <c:extLst>
            <c:ext xmlns:c16="http://schemas.microsoft.com/office/drawing/2014/chart" uri="{C3380CC4-5D6E-409C-BE32-E72D297353CC}">
              <c16:uniqueId val="{00000007-B9CD-4E68-A671-AB7AA0FCE944}"/>
            </c:ext>
          </c:extLst>
        </c:ser>
        <c:dLbls>
          <c:dLblPos val="outEnd"/>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Wing Planform</a:t>
            </a:r>
          </a:p>
        </c:rich>
      </c:tx>
      <c:layout>
        <c:manualLayout>
          <c:xMode val="edge"/>
          <c:yMode val="edge"/>
          <c:x val="2.4824298512527845E-2"/>
          <c:y val="1.7706803503494649E-2"/>
        </c:manualLayout>
      </c:layout>
      <c:overlay val="0"/>
      <c:spPr>
        <a:noFill/>
        <a:ln w="25400">
          <a:noFill/>
        </a:ln>
      </c:spPr>
    </c:title>
    <c:autoTitleDeleted val="0"/>
    <c:plotArea>
      <c:layout>
        <c:manualLayout>
          <c:layoutTarget val="inner"/>
          <c:xMode val="edge"/>
          <c:yMode val="edge"/>
          <c:x val="0.19962325932278391"/>
          <c:y val="0.17123123654487024"/>
          <c:w val="0.66716663847139179"/>
          <c:h val="0.65292282284939174"/>
        </c:manualLayout>
      </c:layout>
      <c:scatterChart>
        <c:scatterStyle val="lineMarker"/>
        <c:varyColors val="0"/>
        <c:ser>
          <c:idx val="0"/>
          <c:order val="0"/>
          <c:tx>
            <c:v>Wing</c:v>
          </c:tx>
          <c:spPr>
            <a:ln w="25400">
              <a:solidFill>
                <a:srgbClr val="000080"/>
              </a:solidFill>
              <a:prstDash val="solid"/>
            </a:ln>
          </c:spPr>
          <c:marker>
            <c:symbol val="none"/>
          </c:marker>
          <c:xVal>
            <c:numRef>
              <c:f>'9'!$B$137:$B$141</c:f>
              <c:numCache>
                <c:formatCode>0.00</c:formatCode>
                <c:ptCount val="5"/>
                <c:pt idx="0">
                  <c:v>0</c:v>
                </c:pt>
                <c:pt idx="1">
                  <c:v>4.3859408576370313</c:v>
                </c:pt>
                <c:pt idx="2">
                  <c:v>4.3859408576370313</c:v>
                </c:pt>
                <c:pt idx="3">
                  <c:v>0</c:v>
                </c:pt>
                <c:pt idx="4">
                  <c:v>0</c:v>
                </c:pt>
              </c:numCache>
            </c:numRef>
          </c:xVal>
          <c:yVal>
            <c:numRef>
              <c:f>'9'!$C$137:$C$141</c:f>
              <c:numCache>
                <c:formatCode>0.00</c:formatCode>
                <c:ptCount val="5"/>
                <c:pt idx="0">
                  <c:v>0</c:v>
                </c:pt>
                <c:pt idx="1">
                  <c:v>0</c:v>
                </c:pt>
                <c:pt idx="2">
                  <c:v>12.938525530029244</c:v>
                </c:pt>
                <c:pt idx="3">
                  <c:v>12.938525530029244</c:v>
                </c:pt>
                <c:pt idx="4">
                  <c:v>0</c:v>
                </c:pt>
              </c:numCache>
            </c:numRef>
          </c:yVal>
          <c:smooth val="0"/>
          <c:extLst>
            <c:ext xmlns:c16="http://schemas.microsoft.com/office/drawing/2014/chart" uri="{C3380CC4-5D6E-409C-BE32-E72D297353CC}">
              <c16:uniqueId val="{00000000-A27C-4FF5-8B24-67D8EFA735FF}"/>
            </c:ext>
          </c:extLst>
        </c:ser>
        <c:ser>
          <c:idx val="1"/>
          <c:order val="1"/>
          <c:tx>
            <c:v>mac</c:v>
          </c:tx>
          <c:spPr>
            <a:ln>
              <a:solidFill>
                <a:srgbClr val="FF0000"/>
              </a:solidFill>
            </a:ln>
          </c:spPr>
          <c:marker>
            <c:symbol val="none"/>
          </c:marker>
          <c:xVal>
            <c:numRef>
              <c:f>'9'!$B$145:$B$146</c:f>
              <c:numCache>
                <c:formatCode>0.000</c:formatCode>
                <c:ptCount val="2"/>
                <c:pt idx="0">
                  <c:v>0</c:v>
                </c:pt>
                <c:pt idx="1">
                  <c:v>4.3859408576370313</c:v>
                </c:pt>
              </c:numCache>
            </c:numRef>
          </c:xVal>
          <c:yVal>
            <c:numRef>
              <c:f>'9'!$C$145:$C$146</c:f>
              <c:numCache>
                <c:formatCode>0.000</c:formatCode>
                <c:ptCount val="2"/>
                <c:pt idx="0">
                  <c:v>6.4692627650146219</c:v>
                </c:pt>
                <c:pt idx="1">
                  <c:v>6.4692627650146219</c:v>
                </c:pt>
              </c:numCache>
            </c:numRef>
          </c:yVal>
          <c:smooth val="0"/>
          <c:extLst>
            <c:ext xmlns:c16="http://schemas.microsoft.com/office/drawing/2014/chart" uri="{C3380CC4-5D6E-409C-BE32-E72D297353CC}">
              <c16:uniqueId val="{00000001-A27C-4FF5-8B24-67D8EFA735FF}"/>
            </c:ext>
          </c:extLst>
        </c:ser>
        <c:ser>
          <c:idx val="2"/>
          <c:order val="2"/>
          <c:tx>
            <c:v>flap</c:v>
          </c:tx>
          <c:spPr>
            <a:ln>
              <a:solidFill>
                <a:srgbClr val="00B050"/>
              </a:solidFill>
            </a:ln>
          </c:spPr>
          <c:marker>
            <c:symbol val="none"/>
          </c:marker>
          <c:xVal>
            <c:numRef>
              <c:f>'9'!$B$158:$B$162</c:f>
              <c:numCache>
                <c:formatCode>0.000</c:formatCode>
                <c:ptCount val="5"/>
                <c:pt idx="0">
                  <c:v>4.3859408576370313</c:v>
                </c:pt>
                <c:pt idx="1">
                  <c:v>4.3859408576370313</c:v>
                </c:pt>
                <c:pt idx="2">
                  <c:v>3.508752686109625</c:v>
                </c:pt>
                <c:pt idx="3">
                  <c:v>3.508752686109625</c:v>
                </c:pt>
                <c:pt idx="4">
                  <c:v>4.3859408576370313</c:v>
                </c:pt>
              </c:numCache>
            </c:numRef>
          </c:xVal>
          <c:yVal>
            <c:numRef>
              <c:f>'9'!$C$158:$C$162</c:f>
              <c:numCache>
                <c:formatCode>0.000</c:formatCode>
                <c:ptCount val="5"/>
                <c:pt idx="0">
                  <c:v>4.125</c:v>
                </c:pt>
                <c:pt idx="1">
                  <c:v>8.7828691908105263</c:v>
                </c:pt>
                <c:pt idx="2">
                  <c:v>8.7828691908105263</c:v>
                </c:pt>
                <c:pt idx="3">
                  <c:v>4.125</c:v>
                </c:pt>
                <c:pt idx="4">
                  <c:v>4.125</c:v>
                </c:pt>
              </c:numCache>
            </c:numRef>
          </c:yVal>
          <c:smooth val="0"/>
          <c:extLst>
            <c:ext xmlns:c16="http://schemas.microsoft.com/office/drawing/2014/chart" uri="{C3380CC4-5D6E-409C-BE32-E72D297353CC}">
              <c16:uniqueId val="{00000002-A27C-4FF5-8B24-67D8EFA735FF}"/>
            </c:ext>
          </c:extLst>
        </c:ser>
        <c:ser>
          <c:idx val="3"/>
          <c:order val="3"/>
          <c:tx>
            <c:v>aileron</c:v>
          </c:tx>
          <c:spPr>
            <a:ln>
              <a:solidFill>
                <a:schemeClr val="tx1"/>
              </a:solidFill>
              <a:prstDash val="sysDash"/>
            </a:ln>
          </c:spPr>
          <c:marker>
            <c:symbol val="none"/>
          </c:marker>
          <c:xVal>
            <c:numRef>
              <c:f>'9'!$B$166:$B$167</c:f>
              <c:numCache>
                <c:formatCode>0.000</c:formatCode>
                <c:ptCount val="2"/>
                <c:pt idx="0">
                  <c:v>4.3859408576370313</c:v>
                </c:pt>
                <c:pt idx="1">
                  <c:v>0</c:v>
                </c:pt>
              </c:numCache>
            </c:numRef>
          </c:xVal>
          <c:yVal>
            <c:numRef>
              <c:f>'9'!$C$166:$C$167</c:f>
              <c:numCache>
                <c:formatCode>General</c:formatCode>
                <c:ptCount val="2"/>
                <c:pt idx="0">
                  <c:v>9.0569678710204702</c:v>
                </c:pt>
                <c:pt idx="1">
                  <c:v>9.0569678710204702</c:v>
                </c:pt>
              </c:numCache>
            </c:numRef>
          </c:yVal>
          <c:smooth val="0"/>
          <c:extLst>
            <c:ext xmlns:c16="http://schemas.microsoft.com/office/drawing/2014/chart" uri="{C3380CC4-5D6E-409C-BE32-E72D297353CC}">
              <c16:uniqueId val="{00000003-A27C-4FF5-8B24-67D8EFA735FF}"/>
            </c:ext>
          </c:extLst>
        </c:ser>
        <c:ser>
          <c:idx val="4"/>
          <c:order val="4"/>
          <c:tx>
            <c:v>fuselage</c:v>
          </c:tx>
          <c:spPr>
            <a:ln>
              <a:solidFill>
                <a:schemeClr val="accent6"/>
              </a:solidFill>
              <a:prstDash val="sysDash"/>
            </a:ln>
          </c:spPr>
          <c:marker>
            <c:symbol val="none"/>
          </c:marker>
          <c:xVal>
            <c:numRef>
              <c:f>'9'!$B$172:$B$173</c:f>
              <c:numCache>
                <c:formatCode>0.000</c:formatCode>
                <c:ptCount val="2"/>
                <c:pt idx="0">
                  <c:v>4.3859408576370313</c:v>
                </c:pt>
                <c:pt idx="1">
                  <c:v>0</c:v>
                </c:pt>
              </c:numCache>
            </c:numRef>
          </c:xVal>
          <c:yVal>
            <c:numRef>
              <c:f>'9'!$C$172:$C$173</c:f>
              <c:numCache>
                <c:formatCode>General</c:formatCode>
                <c:ptCount val="2"/>
                <c:pt idx="0">
                  <c:v>1.625</c:v>
                </c:pt>
                <c:pt idx="1">
                  <c:v>1.625</c:v>
                </c:pt>
              </c:numCache>
            </c:numRef>
          </c:yVal>
          <c:smooth val="0"/>
          <c:extLst>
            <c:ext xmlns:c16="http://schemas.microsoft.com/office/drawing/2014/chart" uri="{C3380CC4-5D6E-409C-BE32-E72D297353CC}">
              <c16:uniqueId val="{00000004-A27C-4FF5-8B24-67D8EFA735FF}"/>
            </c:ext>
          </c:extLst>
        </c:ser>
        <c:dLbls>
          <c:showLegendKey val="0"/>
          <c:showVal val="0"/>
          <c:showCatName val="0"/>
          <c:showSerName val="0"/>
          <c:showPercent val="0"/>
          <c:showBubbleSize val="0"/>
        </c:dLbls>
        <c:axId val="350545408"/>
        <c:axId val="350547328"/>
      </c:scatterChart>
      <c:valAx>
        <c:axId val="350545408"/>
        <c:scaling>
          <c:orientation val="minMax"/>
          <c:max val="2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633"/>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547328"/>
        <c:crosses val="autoZero"/>
        <c:crossBetween val="midCat"/>
      </c:valAx>
      <c:valAx>
        <c:axId val="350547328"/>
        <c:scaling>
          <c:orientation val="minMax"/>
          <c:max val="2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Half</a:t>
                </a:r>
                <a:r>
                  <a:rPr lang="en-US" sz="1000" baseline="0"/>
                  <a:t> Span, b/2, (ft)</a:t>
                </a:r>
                <a:endParaRPr lang="en-US" sz="1000"/>
              </a:p>
            </c:rich>
          </c:tx>
          <c:layout>
            <c:manualLayout>
              <c:xMode val="edge"/>
              <c:yMode val="edge"/>
              <c:x val="3.7785507751502495E-2"/>
              <c:y val="0.1737264443068213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54540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71323850904331176"/>
          <c:y val="5.4756548934955296E-2"/>
          <c:w val="0.23765253674816414"/>
          <c:h val="0.25706664325139894"/>
        </c:manualLayout>
      </c:layout>
      <c:overlay val="1"/>
      <c:spPr>
        <a:solidFill>
          <a:schemeClr val="bg1"/>
        </a:solidFill>
        <a:ln>
          <a:solidFill>
            <a:schemeClr val="tx1"/>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33" r="0.75000000000000033"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Wing Lift Curve</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32"/>
          <c:w val="0.66716663847139202"/>
          <c:h val="0.65292282284939196"/>
        </c:manualLayout>
      </c:layout>
      <c:scatterChart>
        <c:scatterStyle val="lineMarker"/>
        <c:varyColors val="0"/>
        <c:ser>
          <c:idx val="1"/>
          <c:order val="0"/>
          <c:tx>
            <c:v>Clean</c:v>
          </c:tx>
          <c:spPr>
            <a:ln w="25400">
              <a:solidFill>
                <a:srgbClr val="002060"/>
              </a:solidFill>
              <a:prstDash val="solid"/>
            </a:ln>
          </c:spPr>
          <c:marker>
            <c:symbol val="none"/>
          </c:marker>
          <c:xVal>
            <c:numRef>
              <c:f>'9'!$B$112:$B$115</c:f>
              <c:numCache>
                <c:formatCode>0.000</c:formatCode>
                <c:ptCount val="4"/>
                <c:pt idx="0">
                  <c:v>0</c:v>
                </c:pt>
                <c:pt idx="1">
                  <c:v>12.792529227077411</c:v>
                </c:pt>
                <c:pt idx="2">
                  <c:v>18.090661533846767</c:v>
                </c:pt>
                <c:pt idx="3">
                  <c:v>23.388793840616124</c:v>
                </c:pt>
              </c:numCache>
            </c:numRef>
          </c:xVal>
          <c:yVal>
            <c:numRef>
              <c:f>'9'!$C$112:$C$115</c:f>
              <c:numCache>
                <c:formatCode>0.000</c:formatCode>
                <c:ptCount val="4"/>
                <c:pt idx="0">
                  <c:v>0</c:v>
                </c:pt>
                <c:pt idx="1">
                  <c:v>1.008</c:v>
                </c:pt>
                <c:pt idx="2">
                  <c:v>1.26</c:v>
                </c:pt>
                <c:pt idx="3">
                  <c:v>1.008</c:v>
                </c:pt>
              </c:numCache>
            </c:numRef>
          </c:yVal>
          <c:smooth val="0"/>
          <c:extLst>
            <c:ext xmlns:c16="http://schemas.microsoft.com/office/drawing/2014/chart" uri="{C3380CC4-5D6E-409C-BE32-E72D297353CC}">
              <c16:uniqueId val="{00000000-1CC8-44FC-85F9-71703B073632}"/>
            </c:ext>
          </c:extLst>
        </c:ser>
        <c:ser>
          <c:idx val="2"/>
          <c:order val="1"/>
          <c:tx>
            <c:v>w/ Flaps1</c:v>
          </c:tx>
          <c:spPr>
            <a:ln w="25400">
              <a:solidFill>
                <a:srgbClr val="FFFF00"/>
              </a:solidFill>
            </a:ln>
          </c:spPr>
          <c:marker>
            <c:symbol val="none"/>
          </c:marker>
          <c:xVal>
            <c:numRef>
              <c:f>'9'!$D$112:$D$115</c:f>
              <c:numCache>
                <c:formatCode>0.000</c:formatCode>
                <c:ptCount val="4"/>
                <c:pt idx="0">
                  <c:v>-11.672762037338073</c:v>
                </c:pt>
                <c:pt idx="1">
                  <c:v>6.0536414248316657</c:v>
                </c:pt>
                <c:pt idx="2">
                  <c:v>17.090661533846767</c:v>
                </c:pt>
                <c:pt idx="3">
                  <c:v>28.127681642861866</c:v>
                </c:pt>
              </c:numCache>
            </c:numRef>
          </c:xVal>
          <c:yVal>
            <c:numRef>
              <c:f>'9'!$E$112:$E$115</c:f>
              <c:numCache>
                <c:formatCode>0.000</c:formatCode>
                <c:ptCount val="4"/>
                <c:pt idx="0">
                  <c:v>0</c:v>
                </c:pt>
                <c:pt idx="1">
                  <c:v>1.3967695029413099</c:v>
                </c:pt>
                <c:pt idx="2">
                  <c:v>1.7459618786766371</c:v>
                </c:pt>
                <c:pt idx="3">
                  <c:v>1.3967695029413099</c:v>
                </c:pt>
              </c:numCache>
            </c:numRef>
          </c:yVal>
          <c:smooth val="0"/>
          <c:extLst>
            <c:ext xmlns:c16="http://schemas.microsoft.com/office/drawing/2014/chart" uri="{C3380CC4-5D6E-409C-BE32-E72D297353CC}">
              <c16:uniqueId val="{00000001-1CC8-44FC-85F9-71703B073632}"/>
            </c:ext>
          </c:extLst>
        </c:ser>
        <c:ser>
          <c:idx val="0"/>
          <c:order val="2"/>
          <c:tx>
            <c:v>w/Flaps2</c:v>
          </c:tx>
          <c:spPr>
            <a:ln>
              <a:solidFill>
                <a:srgbClr val="00B050"/>
              </a:solidFill>
            </a:ln>
          </c:spPr>
          <c:marker>
            <c:symbol val="none"/>
          </c:marker>
          <c:xVal>
            <c:numRef>
              <c:f>'9'!$D$119:$D$122</c:f>
              <c:numCache>
                <c:formatCode>0.000</c:formatCode>
                <c:ptCount val="4"/>
                <c:pt idx="0">
                  <c:v>-15.917402778188283</c:v>
                </c:pt>
                <c:pt idx="1">
                  <c:v>2.664663534431714</c:v>
                </c:pt>
                <c:pt idx="2">
                  <c:v>15.390661533846767</c:v>
                </c:pt>
                <c:pt idx="3">
                  <c:v>28.116659533261821</c:v>
                </c:pt>
              </c:numCache>
            </c:numRef>
          </c:xVal>
          <c:yVal>
            <c:numRef>
              <c:f>'9'!$E$119:$E$122</c:f>
              <c:numCache>
                <c:formatCode>0.000</c:formatCode>
                <c:ptCount val="4"/>
                <c:pt idx="0">
                  <c:v>0</c:v>
                </c:pt>
                <c:pt idx="1">
                  <c:v>1.4641923040108769</c:v>
                </c:pt>
                <c:pt idx="2">
                  <c:v>1.830240380013596</c:v>
                </c:pt>
                <c:pt idx="3">
                  <c:v>1.4641923040108769</c:v>
                </c:pt>
              </c:numCache>
            </c:numRef>
          </c:yVal>
          <c:smooth val="0"/>
          <c:extLst>
            <c:ext xmlns:c16="http://schemas.microsoft.com/office/drawing/2014/chart" uri="{C3380CC4-5D6E-409C-BE32-E72D297353CC}">
              <c16:uniqueId val="{00000002-1CC8-44FC-85F9-71703B073632}"/>
            </c:ext>
          </c:extLst>
        </c:ser>
        <c:ser>
          <c:idx val="3"/>
          <c:order val="3"/>
          <c:tx>
            <c:v>w/Flaps3</c:v>
          </c:tx>
          <c:spPr>
            <a:ln>
              <a:solidFill>
                <a:srgbClr val="FF0000"/>
              </a:solidFill>
            </a:ln>
          </c:spPr>
          <c:marker>
            <c:symbol val="none"/>
          </c:marker>
          <c:xVal>
            <c:numRef>
              <c:f>'9'!$D$126:$D$129</c:f>
              <c:numCache>
                <c:formatCode>0.000</c:formatCode>
                <c:ptCount val="4"/>
                <c:pt idx="0">
                  <c:v>-20.294688542190062</c:v>
                </c:pt>
                <c:pt idx="1">
                  <c:v>-1.2663080988734272</c:v>
                </c:pt>
                <c:pt idx="2">
                  <c:v>12.340661533846767</c:v>
                </c:pt>
                <c:pt idx="3">
                  <c:v>25.947631166566961</c:v>
                </c:pt>
              </c:numCache>
            </c:numRef>
          </c:xVal>
          <c:yVal>
            <c:numRef>
              <c:f>'9'!$E$126:$E$129</c:f>
              <c:numCache>
                <c:formatCode>0.000</c:formatCode>
                <c:ptCount val="4"/>
                <c:pt idx="0">
                  <c:v>0</c:v>
                </c:pt>
                <c:pt idx="1">
                  <c:v>1.4993600676138679</c:v>
                </c:pt>
                <c:pt idx="2">
                  <c:v>1.8742000845173348</c:v>
                </c:pt>
                <c:pt idx="3">
                  <c:v>1.4993600676138679</c:v>
                </c:pt>
              </c:numCache>
            </c:numRef>
          </c:yVal>
          <c:smooth val="0"/>
          <c:extLst>
            <c:ext xmlns:c16="http://schemas.microsoft.com/office/drawing/2014/chart" uri="{C3380CC4-5D6E-409C-BE32-E72D297353CC}">
              <c16:uniqueId val="{00000003-1CC8-44FC-85F9-71703B073632}"/>
            </c:ext>
          </c:extLst>
        </c:ser>
        <c:dLbls>
          <c:showLegendKey val="0"/>
          <c:showVal val="0"/>
          <c:showCatName val="0"/>
          <c:showSerName val="0"/>
          <c:showPercent val="0"/>
          <c:showBubbleSize val="0"/>
        </c:dLbls>
        <c:axId val="350593024"/>
        <c:axId val="350594944"/>
      </c:scatterChart>
      <c:valAx>
        <c:axId val="350593024"/>
        <c:scaling>
          <c:orientation val="minMax"/>
          <c:max val="60"/>
          <c:min val="-4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Angle of Attack, </a:t>
                </a:r>
                <a:r>
                  <a:rPr lang="en-US" sz="1000">
                    <a:latin typeface="Symbol" pitchFamily="18" charset="2"/>
                  </a:rPr>
                  <a:t>a</a:t>
                </a:r>
                <a:r>
                  <a:rPr lang="en-US" sz="1000"/>
                  <a:t>, (deg)</a:t>
                </a:r>
              </a:p>
            </c:rich>
          </c:tx>
          <c:layout>
            <c:manualLayout>
              <c:xMode val="edge"/>
              <c:yMode val="edge"/>
              <c:x val="0.35591361039975655"/>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594944"/>
        <c:crosses val="autoZero"/>
        <c:crossBetween val="midCat"/>
      </c:valAx>
      <c:valAx>
        <c:axId val="350594944"/>
        <c:scaling>
          <c:orientation val="minMax"/>
          <c:max val="2.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Lift Coefficient, CL, (-)</a:t>
                </a:r>
              </a:p>
            </c:rich>
          </c:tx>
          <c:layout>
            <c:manualLayout>
              <c:xMode val="edge"/>
              <c:yMode val="edge"/>
              <c:x val="3.7785542654905184E-2"/>
              <c:y val="0.27435532822548125"/>
            </c:manualLayout>
          </c:layout>
          <c:overlay val="0"/>
          <c:spPr>
            <a:noFill/>
            <a:ln w="25400">
              <a:noFill/>
            </a:ln>
          </c:spPr>
        </c:title>
        <c:numFmt formatCode="#,##0.0" sourceLinked="0"/>
        <c:majorTickMark val="in"/>
        <c:minorTickMark val="in"/>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0593024"/>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71347373548662307"/>
          <c:y val="4.7104384325500168E-2"/>
          <c:w val="0.2264293755578945"/>
          <c:h val="0.2044583300348429"/>
        </c:manualLayout>
      </c:layout>
      <c:overlay val="1"/>
      <c:spPr>
        <a:solidFill>
          <a:schemeClr val="bg1"/>
        </a:solidFill>
        <a:ln>
          <a:solidFill>
            <a:srgbClr val="000000"/>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56" r="0.75000000000000056"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9"/>
          <c:order val="0"/>
          <c:tx>
            <c:v>#REF!</c:v>
          </c:tx>
          <c:spPr>
            <a:ln w="25400">
              <a:solidFill>
                <a:srgbClr val="000000"/>
              </a:solidFill>
              <a:prstDash val="solid"/>
            </a:ln>
          </c:spPr>
          <c:marker>
            <c:symbol val="none"/>
          </c:marker>
          <c:xVal>
            <c:numLit>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xVal>
          <c:yVal>
            <c:numLit>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yVal>
          <c:smooth val="1"/>
          <c:extLst>
            <c:ext xmlns:c16="http://schemas.microsoft.com/office/drawing/2014/chart" uri="{C3380CC4-5D6E-409C-BE32-E72D297353CC}">
              <c16:uniqueId val="{00000000-85E3-4B90-A6D2-C60A9F3E1C45}"/>
            </c:ext>
          </c:extLst>
        </c:ser>
        <c:dLbls>
          <c:showLegendKey val="0"/>
          <c:showVal val="0"/>
          <c:showCatName val="0"/>
          <c:showSerName val="0"/>
          <c:showPercent val="0"/>
          <c:showBubbleSize val="0"/>
        </c:dLbls>
        <c:axId val="354491008"/>
        <c:axId val="354284288"/>
      </c:scatterChart>
      <c:valAx>
        <c:axId val="354491008"/>
        <c:scaling>
          <c:orientation val="minMax"/>
          <c:max val="1"/>
        </c:scaling>
        <c:delete val="0"/>
        <c:axPos val="b"/>
        <c:title>
          <c:tx>
            <c:rich>
              <a:bodyPr/>
              <a:lstStyle/>
              <a:p>
                <a:pPr>
                  <a:defRPr sz="800" b="1" i="0" u="none" strike="noStrike" baseline="0">
                    <a:solidFill>
                      <a:srgbClr val="000000"/>
                    </a:solidFill>
                    <a:latin typeface="Arial"/>
                    <a:ea typeface="Arial"/>
                    <a:cs typeface="Arial"/>
                  </a:defRPr>
                </a:pPr>
                <a:r>
                  <a:rPr lang="en-US"/>
                  <a:t>y/(b/2)</a:t>
                </a:r>
              </a:p>
            </c:rich>
          </c:tx>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284288"/>
        <c:crosses val="autoZero"/>
        <c:crossBetween val="midCat"/>
      </c:valAx>
      <c:valAx>
        <c:axId val="354284288"/>
        <c:scaling>
          <c:orientation val="minMax"/>
          <c:min val="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V [lb]</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491008"/>
        <c:crosses val="autoZero"/>
        <c:crossBetween val="midCat"/>
      </c:valAx>
      <c:spPr>
        <a:solidFill>
          <a:srgbClr val="FFFFFF"/>
        </a:solidFill>
        <a:ln w="12700">
          <a:solidFill>
            <a:srgbClr val="FFFFFF"/>
          </a:solidFill>
          <a:prstDash val="solid"/>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orientation="landscape" horizontalDpi="360" verticalDpi="0"/>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Wing Load, 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'10'!$C$149:$C$169</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'10'!$AV$149:$AV$169</c:f>
              <c:numCache>
                <c:formatCode>0.0</c:formatCode>
                <c:ptCount val="21"/>
                <c:pt idx="0">
                  <c:v>57.406064643248499</c:v>
                </c:pt>
                <c:pt idx="1">
                  <c:v>57.356265690515414</c:v>
                </c:pt>
                <c:pt idx="2">
                  <c:v>57.256289314569273</c:v>
                </c:pt>
                <c:pt idx="3">
                  <c:v>57.105363969957509</c:v>
                </c:pt>
                <c:pt idx="4">
                  <c:v>56.902294484557416</c:v>
                </c:pt>
                <c:pt idx="5">
                  <c:v>56.645412647021672</c:v>
                </c:pt>
                <c:pt idx="6">
                  <c:v>56.332503929316516</c:v>
                </c:pt>
                <c:pt idx="7">
                  <c:v>55.960702287030415</c:v>
                </c:pt>
                <c:pt idx="8">
                  <c:v>55.526340211400694</c:v>
                </c:pt>
                <c:pt idx="9">
                  <c:v>55.024733350689573</c:v>
                </c:pt>
                <c:pt idx="10">
                  <c:v>54.449865421899915</c:v>
                </c:pt>
                <c:pt idx="11">
                  <c:v>74.788079643557552</c:v>
                </c:pt>
                <c:pt idx="12">
                  <c:v>74.04067805652943</c:v>
                </c:pt>
                <c:pt idx="13">
                  <c:v>73.187701924071689</c:v>
                </c:pt>
                <c:pt idx="14">
                  <c:v>25.372637356960581</c:v>
                </c:pt>
                <c:pt idx="15">
                  <c:v>24.238647787747041</c:v>
                </c:pt>
                <c:pt idx="16">
                  <c:v>22.900872062851398</c:v>
                </c:pt>
                <c:pt idx="17">
                  <c:v>21.981310962241011</c:v>
                </c:pt>
                <c:pt idx="18">
                  <c:v>19.849964506796297</c:v>
                </c:pt>
                <c:pt idx="19">
                  <c:v>15.519473157863287</c:v>
                </c:pt>
                <c:pt idx="20">
                  <c:v>0</c:v>
                </c:pt>
              </c:numCache>
            </c:numRef>
          </c:yVal>
          <c:smooth val="0"/>
          <c:extLst>
            <c:ext xmlns:c16="http://schemas.microsoft.com/office/drawing/2014/chart" uri="{C3380CC4-5D6E-409C-BE32-E72D297353CC}">
              <c16:uniqueId val="{00000000-CEE7-4D42-8328-6E36679A7659}"/>
            </c:ext>
          </c:extLst>
        </c:ser>
        <c:dLbls>
          <c:showLegendKey val="0"/>
          <c:showVal val="0"/>
          <c:showCatName val="0"/>
          <c:showSerName val="0"/>
          <c:showPercent val="0"/>
          <c:showBubbleSize val="0"/>
        </c:dLbls>
        <c:axId val="354444800"/>
        <c:axId val="354446720"/>
      </c:scatterChart>
      <c:valAx>
        <c:axId val="354444800"/>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Half Span, y/(b/2), (-)</a:t>
                </a:r>
              </a:p>
            </c:rich>
          </c:tx>
          <c:layout>
            <c:manualLayout>
              <c:xMode val="edge"/>
              <c:yMode val="edge"/>
              <c:x val="0.29591364829396338"/>
              <c:y val="0.88139076733055421"/>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446720"/>
        <c:crosses val="autoZero"/>
        <c:crossBetween val="midCat"/>
        <c:majorUnit val="0.2"/>
      </c:valAx>
      <c:valAx>
        <c:axId val="3544467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Load (lbf)</a:t>
                </a:r>
              </a:p>
            </c:rich>
          </c:tx>
          <c:layout>
            <c:manualLayout>
              <c:xMode val="edge"/>
              <c:yMode val="edge"/>
              <c:x val="3.3643890314000752E-2"/>
              <c:y val="0.274460443375816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444800"/>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Wing Shear, V</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'10'!$C$149:$C$169</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'10'!$AX$149:$AX$169</c:f>
              <c:numCache>
                <c:formatCode>0.0</c:formatCode>
                <c:ptCount val="21"/>
                <c:pt idx="0">
                  <c:v>971.84520140882501</c:v>
                </c:pt>
                <c:pt idx="1">
                  <c:v>914.43913676557656</c:v>
                </c:pt>
                <c:pt idx="2">
                  <c:v>857.08287107506112</c:v>
                </c:pt>
                <c:pt idx="3">
                  <c:v>799.82658176049188</c:v>
                </c:pt>
                <c:pt idx="4">
                  <c:v>742.72121779053441</c:v>
                </c:pt>
                <c:pt idx="5">
                  <c:v>685.81892330597702</c:v>
                </c:pt>
                <c:pt idx="6">
                  <c:v>629.17351065895537</c:v>
                </c:pt>
                <c:pt idx="7">
                  <c:v>572.84100672963882</c:v>
                </c:pt>
                <c:pt idx="8">
                  <c:v>516.88030444260846</c:v>
                </c:pt>
                <c:pt idx="9">
                  <c:v>461.35396423120778</c:v>
                </c:pt>
                <c:pt idx="10">
                  <c:v>406.3292308805182</c:v>
                </c:pt>
                <c:pt idx="11">
                  <c:v>351.87936545861828</c:v>
                </c:pt>
                <c:pt idx="12">
                  <c:v>277.09128581506076</c:v>
                </c:pt>
                <c:pt idx="13">
                  <c:v>203.05060775853133</c:v>
                </c:pt>
                <c:pt idx="14">
                  <c:v>129.86290583445964</c:v>
                </c:pt>
                <c:pt idx="15">
                  <c:v>104.49026847749904</c:v>
                </c:pt>
                <c:pt idx="16">
                  <c:v>80.251620689752002</c:v>
                </c:pt>
                <c:pt idx="17">
                  <c:v>57.350748626900597</c:v>
                </c:pt>
                <c:pt idx="18">
                  <c:v>35.369437664659586</c:v>
                </c:pt>
                <c:pt idx="19">
                  <c:v>15.519473157863287</c:v>
                </c:pt>
                <c:pt idx="20">
                  <c:v>0</c:v>
                </c:pt>
              </c:numCache>
            </c:numRef>
          </c:yVal>
          <c:smooth val="0"/>
          <c:extLst>
            <c:ext xmlns:c16="http://schemas.microsoft.com/office/drawing/2014/chart" uri="{C3380CC4-5D6E-409C-BE32-E72D297353CC}">
              <c16:uniqueId val="{00000000-C476-4813-8AC2-15193F4C3DED}"/>
            </c:ext>
          </c:extLst>
        </c:ser>
        <c:dLbls>
          <c:showLegendKey val="0"/>
          <c:showVal val="0"/>
          <c:showCatName val="0"/>
          <c:showSerName val="0"/>
          <c:showPercent val="0"/>
          <c:showBubbleSize val="0"/>
        </c:dLbls>
        <c:axId val="354553856"/>
        <c:axId val="354555776"/>
      </c:scatterChart>
      <c:valAx>
        <c:axId val="354553856"/>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Half Span, y/(b/2), (-)</a:t>
                </a:r>
              </a:p>
            </c:rich>
          </c:tx>
          <c:layout>
            <c:manualLayout>
              <c:xMode val="edge"/>
              <c:yMode val="edge"/>
              <c:x val="0.29591364829396338"/>
              <c:y val="0.88139076733055421"/>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555776"/>
        <c:crosses val="autoZero"/>
        <c:crossBetween val="midCat"/>
        <c:majorUnit val="0.2"/>
      </c:valAx>
      <c:valAx>
        <c:axId val="3545557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Shear (lbf)</a:t>
                </a:r>
              </a:p>
            </c:rich>
          </c:tx>
          <c:layout>
            <c:manualLayout>
              <c:xMode val="edge"/>
              <c:yMode val="edge"/>
              <c:x val="3.3643890314000752E-2"/>
              <c:y val="0.274460443375816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553856"/>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Wing Moment, 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'10'!$C$149:$C$169</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'10'!$AZ$149:$AZ$169</c:f>
              <c:numCache>
                <c:formatCode>0.0</c:formatCode>
                <c:ptCount val="21"/>
                <c:pt idx="0">
                  <c:v>5387.1201106265526</c:v>
                </c:pt>
                <c:pt idx="1">
                  <c:v>4776.9766589674573</c:v>
                </c:pt>
                <c:pt idx="2">
                  <c:v>4203.9545908310884</c:v>
                </c:pt>
                <c:pt idx="3">
                  <c:v>3668.005459419599</c:v>
                </c:pt>
                <c:pt idx="4">
                  <c:v>3169.048107275064</c:v>
                </c:pt>
                <c:pt idx="5">
                  <c:v>2706.9680301188446</c:v>
                </c:pt>
                <c:pt idx="6">
                  <c:v>2281.6164506525806</c:v>
                </c:pt>
                <c:pt idx="7">
                  <c:v>1892.8090626351279</c:v>
                </c:pt>
                <c:pt idx="8">
                  <c:v>1540.3243875046512</c:v>
                </c:pt>
                <c:pt idx="9">
                  <c:v>1223.9016610150102</c:v>
                </c:pt>
                <c:pt idx="10">
                  <c:v>943.23813171674976</c:v>
                </c:pt>
                <c:pt idx="11">
                  <c:v>697.9855996962109</c:v>
                </c:pt>
                <c:pt idx="12">
                  <c:v>494.53677896762042</c:v>
                </c:pt>
                <c:pt idx="13">
                  <c:v>339.22857526665734</c:v>
                </c:pt>
                <c:pt idx="14">
                  <c:v>231.54332539379101</c:v>
                </c:pt>
                <c:pt idx="15">
                  <c:v>155.73871217182423</c:v>
                </c:pt>
                <c:pt idx="16">
                  <c:v>95.981520935416455</c:v>
                </c:pt>
                <c:pt idx="17">
                  <c:v>51.472226725515767</c:v>
                </c:pt>
                <c:pt idx="18">
                  <c:v>21.480664288455284</c:v>
                </c:pt>
                <c:pt idx="19">
                  <c:v>5.0199774916404429</c:v>
                </c:pt>
                <c:pt idx="20">
                  <c:v>0</c:v>
                </c:pt>
              </c:numCache>
            </c:numRef>
          </c:yVal>
          <c:smooth val="0"/>
          <c:extLst>
            <c:ext xmlns:c16="http://schemas.microsoft.com/office/drawing/2014/chart" uri="{C3380CC4-5D6E-409C-BE32-E72D297353CC}">
              <c16:uniqueId val="{00000000-AC49-4D5A-B138-E9FE1733D3D3}"/>
            </c:ext>
          </c:extLst>
        </c:ser>
        <c:dLbls>
          <c:showLegendKey val="0"/>
          <c:showVal val="0"/>
          <c:showCatName val="0"/>
          <c:showSerName val="0"/>
          <c:showPercent val="0"/>
          <c:showBubbleSize val="0"/>
        </c:dLbls>
        <c:axId val="354584832"/>
        <c:axId val="354603392"/>
      </c:scatterChart>
      <c:valAx>
        <c:axId val="354584832"/>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Wing Half Span, y/(b/2), (-)</a:t>
                </a:r>
              </a:p>
            </c:rich>
          </c:tx>
          <c:layout>
            <c:manualLayout>
              <c:xMode val="edge"/>
              <c:yMode val="edge"/>
              <c:x val="0.29591364829396338"/>
              <c:y val="0.88139076733055421"/>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603392"/>
        <c:crosses val="autoZero"/>
        <c:crossBetween val="midCat"/>
        <c:majorUnit val="0.2"/>
      </c:valAx>
      <c:valAx>
        <c:axId val="3546033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Moment (ft-lbf)</a:t>
                </a:r>
              </a:p>
            </c:rich>
          </c:tx>
          <c:layout>
            <c:manualLayout>
              <c:xMode val="edge"/>
              <c:yMode val="edge"/>
              <c:x val="3.3643890314000752E-2"/>
              <c:y val="0.274460443375816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4584832"/>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Fuselage Load, W</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'10'!$C$182:$C$202</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'10'!$AH$182:$AH$202</c:f>
              <c:numCache>
                <c:formatCode>#,##0.000</c:formatCode>
                <c:ptCount val="21"/>
                <c:pt idx="0">
                  <c:v>-4.7232312445716893</c:v>
                </c:pt>
                <c:pt idx="1">
                  <c:v>-214.95688890875047</c:v>
                </c:pt>
                <c:pt idx="2">
                  <c:v>-214.95688890875047</c:v>
                </c:pt>
                <c:pt idx="3">
                  <c:v>-4.7232312445716893</c:v>
                </c:pt>
                <c:pt idx="4">
                  <c:v>-4.7232312445716893</c:v>
                </c:pt>
                <c:pt idx="5">
                  <c:v>-30.229376667411817</c:v>
                </c:pt>
                <c:pt idx="6">
                  <c:v>-30.229376667411817</c:v>
                </c:pt>
                <c:pt idx="7">
                  <c:v>-30.229376667411817</c:v>
                </c:pt>
                <c:pt idx="8">
                  <c:v>-123.73306958218743</c:v>
                </c:pt>
                <c:pt idx="9">
                  <c:v>-123.73306958218743</c:v>
                </c:pt>
                <c:pt idx="10">
                  <c:v>-98.226924159347305</c:v>
                </c:pt>
                <c:pt idx="11">
                  <c:v>-98.226924159347305</c:v>
                </c:pt>
                <c:pt idx="12">
                  <c:v>-48.226924159347305</c:v>
                </c:pt>
                <c:pt idx="13">
                  <c:v>-4.7232312445716893</c:v>
                </c:pt>
                <c:pt idx="14">
                  <c:v>-4.7232312445716893</c:v>
                </c:pt>
                <c:pt idx="15">
                  <c:v>-4.7232312445716893</c:v>
                </c:pt>
                <c:pt idx="16">
                  <c:v>-4.7232312445716893</c:v>
                </c:pt>
                <c:pt idx="17">
                  <c:v>-11.515747943820745</c:v>
                </c:pt>
                <c:pt idx="18">
                  <c:v>-11.515747943820745</c:v>
                </c:pt>
                <c:pt idx="19">
                  <c:v>-284.89018433479441</c:v>
                </c:pt>
                <c:pt idx="20">
                  <c:v>-11.515747943820745</c:v>
                </c:pt>
              </c:numCache>
            </c:numRef>
          </c:yVal>
          <c:smooth val="0"/>
          <c:extLst>
            <c:ext xmlns:c16="http://schemas.microsoft.com/office/drawing/2014/chart" uri="{C3380CC4-5D6E-409C-BE32-E72D297353CC}">
              <c16:uniqueId val="{00000000-56CA-436C-885A-84978192F0AF}"/>
            </c:ext>
          </c:extLst>
        </c:ser>
        <c:dLbls>
          <c:showLegendKey val="0"/>
          <c:showVal val="0"/>
          <c:showCatName val="0"/>
          <c:showSerName val="0"/>
          <c:showPercent val="0"/>
          <c:showBubbleSize val="0"/>
        </c:dLbls>
        <c:axId val="355091584"/>
        <c:axId val="355093504"/>
      </c:scatterChart>
      <c:valAx>
        <c:axId val="355091584"/>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Fuselage Length, (x/L), (-)</a:t>
                </a:r>
              </a:p>
            </c:rich>
          </c:tx>
          <c:layout>
            <c:manualLayout>
              <c:xMode val="edge"/>
              <c:yMode val="edge"/>
              <c:x val="0.29591364829396338"/>
              <c:y val="0.88139076733055421"/>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5093504"/>
        <c:crosses val="autoZero"/>
        <c:crossBetween val="midCat"/>
        <c:majorUnit val="0.2"/>
      </c:valAx>
      <c:valAx>
        <c:axId val="35509350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Load (lbf)</a:t>
                </a:r>
              </a:p>
            </c:rich>
          </c:tx>
          <c:layout>
            <c:manualLayout>
              <c:xMode val="edge"/>
              <c:yMode val="edge"/>
              <c:x val="3.3643890314000752E-2"/>
              <c:y val="0.274460443375816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509158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Fuselage Shear, V</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'10'!$C$182:$C$202</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'10'!$AI$182:$AI$202</c:f>
              <c:numCache>
                <c:formatCode>#,##0.000</c:formatCode>
                <c:ptCount val="21"/>
                <c:pt idx="0">
                  <c:v>4.6185277824406512E-14</c:v>
                </c:pt>
                <c:pt idx="1">
                  <c:v>4.7232312445717355</c:v>
                </c:pt>
                <c:pt idx="2">
                  <c:v>219.68012015332221</c:v>
                </c:pt>
                <c:pt idx="3">
                  <c:v>434.63700906207271</c:v>
                </c:pt>
                <c:pt idx="4">
                  <c:v>439.36024030664436</c:v>
                </c:pt>
                <c:pt idx="5">
                  <c:v>444.08347155121606</c:v>
                </c:pt>
                <c:pt idx="6">
                  <c:v>474.31284821862789</c:v>
                </c:pt>
                <c:pt idx="7">
                  <c:v>504.54222488603966</c:v>
                </c:pt>
                <c:pt idx="8">
                  <c:v>534.77160155345155</c:v>
                </c:pt>
                <c:pt idx="9">
                  <c:v>658.504671135639</c:v>
                </c:pt>
                <c:pt idx="10">
                  <c:v>-583.01112562258527</c:v>
                </c:pt>
                <c:pt idx="11">
                  <c:v>-484.78420146323799</c:v>
                </c:pt>
                <c:pt idx="12">
                  <c:v>-386.55727730389071</c:v>
                </c:pt>
                <c:pt idx="13">
                  <c:v>-338.33035314454338</c:v>
                </c:pt>
                <c:pt idx="14">
                  <c:v>-333.60712189997167</c:v>
                </c:pt>
                <c:pt idx="15">
                  <c:v>-328.88389065540002</c:v>
                </c:pt>
                <c:pt idx="16">
                  <c:v>-324.16065941082832</c:v>
                </c:pt>
                <c:pt idx="17">
                  <c:v>-319.43742816625661</c:v>
                </c:pt>
                <c:pt idx="18">
                  <c:v>-307.9216802224359</c:v>
                </c:pt>
                <c:pt idx="19">
                  <c:v>-296.40593227861513</c:v>
                </c:pt>
                <c:pt idx="20">
                  <c:v>-11.515747943820745</c:v>
                </c:pt>
              </c:numCache>
            </c:numRef>
          </c:yVal>
          <c:smooth val="0"/>
          <c:extLst>
            <c:ext xmlns:c16="http://schemas.microsoft.com/office/drawing/2014/chart" uri="{C3380CC4-5D6E-409C-BE32-E72D297353CC}">
              <c16:uniqueId val="{00000000-8D8E-4B3F-95CD-C57DBE799EF5}"/>
            </c:ext>
          </c:extLst>
        </c:ser>
        <c:dLbls>
          <c:showLegendKey val="0"/>
          <c:showVal val="0"/>
          <c:showCatName val="0"/>
          <c:showSerName val="0"/>
          <c:showPercent val="0"/>
          <c:showBubbleSize val="0"/>
        </c:dLbls>
        <c:axId val="355138944"/>
        <c:axId val="359933440"/>
      </c:scatterChart>
      <c:valAx>
        <c:axId val="355138944"/>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1" i="0" baseline="0"/>
                  <a:t>Fuselage Length, (x/L), (-)</a:t>
                </a:r>
                <a:endParaRPr lang="en-US" sz="1000"/>
              </a:p>
            </c:rich>
          </c:tx>
          <c:layout>
            <c:manualLayout>
              <c:xMode val="edge"/>
              <c:yMode val="edge"/>
              <c:x val="0.29591376834873429"/>
              <c:y val="0.83232749878469259"/>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933440"/>
        <c:crosses val="autoZero"/>
        <c:crossBetween val="midCat"/>
        <c:majorUnit val="0.2"/>
      </c:valAx>
      <c:valAx>
        <c:axId val="3599334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Shear (lbf)</a:t>
                </a:r>
              </a:p>
            </c:rich>
          </c:tx>
          <c:layout>
            <c:manualLayout>
              <c:xMode val="edge"/>
              <c:yMode val="edge"/>
              <c:x val="3.3643890314000752E-2"/>
              <c:y val="0.274460443375816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513894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Fuselage Moment, 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35958005251"/>
          <c:y val="0.22849073313688562"/>
          <c:w val="0.69383333333333364"/>
          <c:h val="0.5465835788931287"/>
        </c:manualLayout>
      </c:layout>
      <c:scatterChart>
        <c:scatterStyle val="lineMarker"/>
        <c:varyColors val="0"/>
        <c:ser>
          <c:idx val="3"/>
          <c:order val="0"/>
          <c:spPr>
            <a:ln>
              <a:solidFill>
                <a:schemeClr val="tx2">
                  <a:lumMod val="60000"/>
                  <a:lumOff val="40000"/>
                </a:schemeClr>
              </a:solidFill>
            </a:ln>
          </c:spPr>
          <c:marker>
            <c:symbol val="none"/>
          </c:marker>
          <c:xVal>
            <c:numRef>
              <c:f>'10'!$C$182:$C$202</c:f>
              <c:numCache>
                <c:formatCode>0.00</c:formatCode>
                <c:ptCount val="21"/>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numCache>
            </c:numRef>
          </c:xVal>
          <c:yVal>
            <c:numRef>
              <c:f>'10'!$AJ$182:$AJ$202</c:f>
              <c:numCache>
                <c:formatCode>#,##0.000</c:formatCode>
                <c:ptCount val="21"/>
                <c:pt idx="0">
                  <c:v>12.163508765660481</c:v>
                </c:pt>
                <c:pt idx="1">
                  <c:v>12.163508765660481</c:v>
                </c:pt>
                <c:pt idx="2">
                  <c:v>7.1745957635812374</c:v>
                </c:pt>
                <c:pt idx="3">
                  <c:v>-224.86253114836518</c:v>
                </c:pt>
                <c:pt idx="4">
                  <c:v>-683.94787197017968</c:v>
                </c:pt>
                <c:pt idx="5">
                  <c:v>-1148.0221257940727</c:v>
                </c:pt>
                <c:pt idx="6">
                  <c:v>-1617.085292620045</c:v>
                </c:pt>
                <c:pt idx="7">
                  <c:v>-2118.078238550971</c:v>
                </c:pt>
                <c:pt idx="8">
                  <c:v>-2651.0009635868505</c:v>
                </c:pt>
                <c:pt idx="9">
                  <c:v>-3215.8534677276834</c:v>
                </c:pt>
                <c:pt idx="10">
                  <c:v>-3911.3990266147021</c:v>
                </c:pt>
                <c:pt idx="11">
                  <c:v>-3295.5935251758465</c:v>
                </c:pt>
                <c:pt idx="12">
                  <c:v>-2783.5402123803015</c:v>
                </c:pt>
                <c:pt idx="13">
                  <c:v>-2375.2390882280665</c:v>
                </c:pt>
                <c:pt idx="14">
                  <c:v>-2017.8776527191426</c:v>
                </c:pt>
                <c:pt idx="15">
                  <c:v>-1665.5051302122974</c:v>
                </c:pt>
                <c:pt idx="16">
                  <c:v>-1318.1215207075313</c:v>
                </c:pt>
                <c:pt idx="17">
                  <c:v>-975.72682420484375</c:v>
                </c:pt>
                <c:pt idx="18">
                  <c:v>-638.3210407042352</c:v>
                </c:pt>
                <c:pt idx="19">
                  <c:v>-313.07876596928725</c:v>
                </c:pt>
                <c:pt idx="20">
                  <c:v>0</c:v>
                </c:pt>
              </c:numCache>
            </c:numRef>
          </c:yVal>
          <c:smooth val="0"/>
          <c:extLst>
            <c:ext xmlns:c16="http://schemas.microsoft.com/office/drawing/2014/chart" uri="{C3380CC4-5D6E-409C-BE32-E72D297353CC}">
              <c16:uniqueId val="{00000000-BA69-4935-ACF7-8CDFF4ADF0CC}"/>
            </c:ext>
          </c:extLst>
        </c:ser>
        <c:dLbls>
          <c:showLegendKey val="0"/>
          <c:showVal val="0"/>
          <c:showCatName val="0"/>
          <c:showSerName val="0"/>
          <c:showPercent val="0"/>
          <c:showBubbleSize val="0"/>
        </c:dLbls>
        <c:axId val="359950208"/>
        <c:axId val="359968768"/>
      </c:scatterChart>
      <c:valAx>
        <c:axId val="359950208"/>
        <c:scaling>
          <c:orientation val="minMax"/>
          <c:max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1" i="0" baseline="0"/>
                  <a:t>Fuselage Length, (x/L), (-)</a:t>
                </a:r>
                <a:endParaRPr lang="en-US" sz="1000"/>
              </a:p>
            </c:rich>
          </c:tx>
          <c:layout>
            <c:manualLayout>
              <c:xMode val="edge"/>
              <c:yMode val="edge"/>
              <c:x val="0.29925522378674252"/>
              <c:y val="0.83127572016460904"/>
            </c:manualLayout>
          </c:layout>
          <c:overlay val="0"/>
          <c:spPr>
            <a:noFill/>
            <a:ln w="25400">
              <a:noFill/>
            </a:ln>
          </c:spPr>
        </c:title>
        <c:numFmt formatCode="0.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968768"/>
        <c:crosses val="autoZero"/>
        <c:crossBetween val="midCat"/>
        <c:majorUnit val="0.2"/>
      </c:valAx>
      <c:valAx>
        <c:axId val="35996876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Moment (ft-lbf)</a:t>
                </a:r>
              </a:p>
            </c:rich>
          </c:tx>
          <c:layout>
            <c:manualLayout>
              <c:xMode val="edge"/>
              <c:yMode val="edge"/>
              <c:x val="3.0373783932924575E-4"/>
              <c:y val="0.24205000539112459"/>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950208"/>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89" r="0.75000000000000089"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sz="1100"/>
              <a:t>Fuselage Longeron </a:t>
            </a:r>
          </a:p>
        </c:rich>
      </c:tx>
      <c:layout>
        <c:manualLayout>
          <c:xMode val="edge"/>
          <c:yMode val="edge"/>
          <c:x val="5.9267158534317072E-3"/>
          <c:y val="1.1319469870404716E-2"/>
        </c:manualLayout>
      </c:layout>
      <c:overlay val="0"/>
      <c:spPr>
        <a:noFill/>
        <a:ln w="25400">
          <a:noFill/>
        </a:ln>
      </c:spPr>
    </c:title>
    <c:autoTitleDeleted val="0"/>
    <c:plotArea>
      <c:layout>
        <c:manualLayout>
          <c:layoutTarget val="inner"/>
          <c:xMode val="edge"/>
          <c:yMode val="edge"/>
          <c:x val="0.22481988963977928"/>
          <c:y val="0.17123123654487049"/>
          <c:w val="0.64196961993923984"/>
          <c:h val="0.65292282284939274"/>
        </c:manualLayout>
      </c:layout>
      <c:scatterChart>
        <c:scatterStyle val="lineMarker"/>
        <c:varyColors val="0"/>
        <c:ser>
          <c:idx val="0"/>
          <c:order val="0"/>
          <c:spPr>
            <a:ln w="38100">
              <a:solidFill>
                <a:schemeClr val="accent1"/>
              </a:solidFill>
              <a:prstDash val="solid"/>
            </a:ln>
          </c:spPr>
          <c:marker>
            <c:symbol val="none"/>
          </c:marker>
          <c:xVal>
            <c:numRef>
              <c:f>'10'!$AC$213:$AC$234</c:f>
              <c:numCache>
                <c:formatCode>General</c:formatCode>
                <c:ptCount val="22"/>
                <c:pt idx="0">
                  <c:v>0</c:v>
                </c:pt>
                <c:pt idx="1">
                  <c:v>0</c:v>
                </c:pt>
                <c:pt idx="2">
                  <c:v>1.1499999999999999</c:v>
                </c:pt>
                <c:pt idx="3">
                  <c:v>1.1499999999999999</c:v>
                </c:pt>
                <c:pt idx="4">
                  <c:v>0.20999999999999996</c:v>
                </c:pt>
                <c:pt idx="5">
                  <c:v>0.20999999999999996</c:v>
                </c:pt>
                <c:pt idx="6">
                  <c:v>1.1499999999999999</c:v>
                </c:pt>
                <c:pt idx="7">
                  <c:v>1.1499999999999999</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xVal>
          <c:yVal>
            <c:numRef>
              <c:f>'10'!$AD$213:$AD$234</c:f>
              <c:numCache>
                <c:formatCode>General</c:formatCode>
                <c:ptCount val="22"/>
                <c:pt idx="0">
                  <c:v>0</c:v>
                </c:pt>
                <c:pt idx="1">
                  <c:v>1.1499999999999999</c:v>
                </c:pt>
                <c:pt idx="2">
                  <c:v>1.1499999999999999</c:v>
                </c:pt>
                <c:pt idx="3">
                  <c:v>0.94</c:v>
                </c:pt>
                <c:pt idx="4">
                  <c:v>0.94</c:v>
                </c:pt>
                <c:pt idx="5">
                  <c:v>0.20999999999999996</c:v>
                </c:pt>
                <c:pt idx="6">
                  <c:v>0.20999999999999996</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smooth val="0"/>
          <c:extLst>
            <c:ext xmlns:c16="http://schemas.microsoft.com/office/drawing/2014/chart" uri="{C3380CC4-5D6E-409C-BE32-E72D297353CC}">
              <c16:uniqueId val="{00000000-013A-47B5-88CF-B1AD4A507112}"/>
            </c:ext>
          </c:extLst>
        </c:ser>
        <c:ser>
          <c:idx val="1"/>
          <c:order val="1"/>
          <c:spPr>
            <a:ln w="38100">
              <a:solidFill>
                <a:schemeClr val="accent1"/>
              </a:solidFill>
            </a:ln>
          </c:spPr>
          <c:marker>
            <c:symbol val="none"/>
          </c:marker>
          <c:xVal>
            <c:numRef>
              <c:f>'10'!$AE$213:$AE$234</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xVal>
          <c:yVal>
            <c:numRef>
              <c:f>#REF!</c:f>
              <c:numCache>
                <c:formatCode>General</c:formatCode>
                <c:ptCount val="1"/>
                <c:pt idx="0">
                  <c:v>1</c:v>
                </c:pt>
              </c:numCache>
            </c:numRef>
          </c:yVal>
          <c:smooth val="0"/>
          <c:extLst>
            <c:ext xmlns:c16="http://schemas.microsoft.com/office/drawing/2014/chart" uri="{C3380CC4-5D6E-409C-BE32-E72D297353CC}">
              <c16:uniqueId val="{00000001-013A-47B5-88CF-B1AD4A507112}"/>
            </c:ext>
          </c:extLst>
        </c:ser>
        <c:ser>
          <c:idx val="12"/>
          <c:order val="2"/>
          <c:tx>
            <c:v>Target Height</c:v>
          </c:tx>
          <c:spPr>
            <a:ln w="47625">
              <a:solidFill>
                <a:schemeClr val="tx1"/>
              </a:solidFill>
              <a:prstDash val="sysDash"/>
            </a:ln>
          </c:spPr>
          <c:marker>
            <c:symbol val="none"/>
          </c:marker>
          <c:xVal>
            <c:numRef>
              <c:f>'10'!$Z$213:$Z$214</c:f>
              <c:numCache>
                <c:formatCode>0.00</c:formatCode>
                <c:ptCount val="2"/>
                <c:pt idx="0" formatCode="General">
                  <c:v>0</c:v>
                </c:pt>
                <c:pt idx="1">
                  <c:v>1.25</c:v>
                </c:pt>
              </c:numCache>
            </c:numRef>
          </c:xVal>
          <c:yVal>
            <c:numRef>
              <c:f>'10'!$AA$213:$AA$214</c:f>
              <c:numCache>
                <c:formatCode>0.00</c:formatCode>
                <c:ptCount val="2"/>
                <c:pt idx="0">
                  <c:v>4</c:v>
                </c:pt>
                <c:pt idx="1">
                  <c:v>4</c:v>
                </c:pt>
              </c:numCache>
            </c:numRef>
          </c:yVal>
          <c:smooth val="0"/>
          <c:extLst>
            <c:ext xmlns:c16="http://schemas.microsoft.com/office/drawing/2014/chart" uri="{C3380CC4-5D6E-409C-BE32-E72D297353CC}">
              <c16:uniqueId val="{00000002-013A-47B5-88CF-B1AD4A507112}"/>
            </c:ext>
          </c:extLst>
        </c:ser>
        <c:dLbls>
          <c:showLegendKey val="0"/>
          <c:showVal val="0"/>
          <c:showCatName val="0"/>
          <c:showSerName val="0"/>
          <c:showPercent val="0"/>
          <c:showBubbleSize val="0"/>
        </c:dLbls>
        <c:axId val="359763968"/>
        <c:axId val="359765888"/>
      </c:scatterChart>
      <c:valAx>
        <c:axId val="359763968"/>
        <c:scaling>
          <c:orientation val="minMax"/>
          <c:max val="7"/>
          <c:min val="0"/>
        </c:scaling>
        <c:delete val="0"/>
        <c:axPos val="b"/>
        <c:majorGridlines>
          <c:spPr>
            <a:ln w="3175">
              <a:noFill/>
              <a:prstDash val="sysDash"/>
            </a:ln>
          </c:spPr>
        </c:majorGridlines>
        <c:title>
          <c:tx>
            <c:rich>
              <a:bodyPr/>
              <a:lstStyle/>
              <a:p>
                <a:pPr>
                  <a:defRPr sz="1000" b="1" i="0" u="none" strike="noStrike" baseline="0">
                    <a:solidFill>
                      <a:srgbClr val="000000"/>
                    </a:solidFill>
                    <a:latin typeface="Arial"/>
                    <a:ea typeface="Arial"/>
                    <a:cs typeface="Arial"/>
                  </a:defRPr>
                </a:pPr>
                <a:r>
                  <a:rPr lang="en-US" sz="1000"/>
                  <a:t>b=Width (in.)</a:t>
                </a:r>
              </a:p>
            </c:rich>
          </c:tx>
          <c:layout>
            <c:manualLayout>
              <c:xMode val="edge"/>
              <c:yMode val="edge"/>
              <c:x val="0.30359476718953493"/>
              <c:y val="0.89892996382919665"/>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765888"/>
        <c:crosses val="autoZero"/>
        <c:crossBetween val="midCat"/>
      </c:valAx>
      <c:valAx>
        <c:axId val="359765888"/>
        <c:scaling>
          <c:orientation val="minMax"/>
          <c:max val="7"/>
        </c:scaling>
        <c:delete val="0"/>
        <c:axPos val="l"/>
        <c:majorGridlines>
          <c:spPr>
            <a:ln w="3175">
              <a:noFill/>
              <a:prstDash val="sysDash"/>
            </a:ln>
          </c:spPr>
        </c:majorGridlines>
        <c:title>
          <c:tx>
            <c:rich>
              <a:bodyPr/>
              <a:lstStyle/>
              <a:p>
                <a:pPr>
                  <a:defRPr sz="1000" b="1" i="0" u="none" strike="noStrike" baseline="0">
                    <a:solidFill>
                      <a:srgbClr val="000000"/>
                    </a:solidFill>
                    <a:latin typeface="Arial"/>
                    <a:ea typeface="Arial"/>
                    <a:cs typeface="Arial"/>
                  </a:defRPr>
                </a:pPr>
                <a:r>
                  <a:rPr lang="en-US" sz="1000"/>
                  <a:t>h=Height (in.)</a:t>
                </a:r>
              </a:p>
            </c:rich>
          </c:tx>
          <c:layout>
            <c:manualLayout>
              <c:xMode val="edge"/>
              <c:yMode val="edge"/>
              <c:x val="9.9512679025358028E-3"/>
              <c:y val="0.29408643574753701"/>
            </c:manualLayout>
          </c:layout>
          <c:overlay val="0"/>
          <c:spPr>
            <a:noFill/>
            <a:ln w="25400">
              <a:noFill/>
            </a:ln>
          </c:spPr>
        </c:title>
        <c:numFmt formatCode="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763968"/>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11" r="0.75000000000000111"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sz="1100"/>
              <a:t>Wing Spar X-Section</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49"/>
          <c:w val="0.66716663847139246"/>
          <c:h val="0.65292282284939274"/>
        </c:manualLayout>
      </c:layout>
      <c:scatterChart>
        <c:scatterStyle val="lineMarker"/>
        <c:varyColors val="0"/>
        <c:ser>
          <c:idx val="0"/>
          <c:order val="0"/>
          <c:spPr>
            <a:ln w="38100">
              <a:solidFill>
                <a:schemeClr val="accent1"/>
              </a:solidFill>
              <a:prstDash val="solid"/>
            </a:ln>
          </c:spPr>
          <c:marker>
            <c:symbol val="none"/>
          </c:marker>
          <c:xVal>
            <c:numRef>
              <c:f>'10'!$AC$240:$AC$261</c:f>
              <c:numCache>
                <c:formatCode>General</c:formatCode>
                <c:ptCount val="22"/>
                <c:pt idx="0">
                  <c:v>0</c:v>
                </c:pt>
                <c:pt idx="1">
                  <c:v>0</c:v>
                </c:pt>
                <c:pt idx="2">
                  <c:v>1.2749999999999999</c:v>
                </c:pt>
                <c:pt idx="3">
                  <c:v>1.2749999999999999</c:v>
                </c:pt>
                <c:pt idx="4">
                  <c:v>0</c:v>
                </c:pt>
                <c:pt idx="5">
                  <c:v>0</c:v>
                </c:pt>
                <c:pt idx="6">
                  <c:v>3</c:v>
                </c:pt>
                <c:pt idx="7">
                  <c:v>3</c:v>
                </c:pt>
                <c:pt idx="8">
                  <c:v>1.7250000000000001</c:v>
                </c:pt>
                <c:pt idx="9">
                  <c:v>1.7250000000000001</c:v>
                </c:pt>
                <c:pt idx="10">
                  <c:v>3</c:v>
                </c:pt>
                <c:pt idx="11">
                  <c:v>3</c:v>
                </c:pt>
                <c:pt idx="12">
                  <c:v>0</c:v>
                </c:pt>
                <c:pt idx="13">
                  <c:v>0</c:v>
                </c:pt>
                <c:pt idx="14">
                  <c:v>0</c:v>
                </c:pt>
                <c:pt idx="15">
                  <c:v>0</c:v>
                </c:pt>
                <c:pt idx="16">
                  <c:v>0</c:v>
                </c:pt>
                <c:pt idx="17">
                  <c:v>0</c:v>
                </c:pt>
                <c:pt idx="18">
                  <c:v>0</c:v>
                </c:pt>
                <c:pt idx="19">
                  <c:v>0</c:v>
                </c:pt>
                <c:pt idx="20">
                  <c:v>0</c:v>
                </c:pt>
                <c:pt idx="21">
                  <c:v>0</c:v>
                </c:pt>
              </c:numCache>
            </c:numRef>
          </c:xVal>
          <c:yVal>
            <c:numRef>
              <c:f>'10'!$AD$240:$AD$261</c:f>
              <c:numCache>
                <c:formatCode>General</c:formatCode>
                <c:ptCount val="22"/>
                <c:pt idx="0">
                  <c:v>0</c:v>
                </c:pt>
                <c:pt idx="1">
                  <c:v>0.44999999999999996</c:v>
                </c:pt>
                <c:pt idx="2">
                  <c:v>0.44999999999999996</c:v>
                </c:pt>
                <c:pt idx="3">
                  <c:v>2.5499999999999998</c:v>
                </c:pt>
                <c:pt idx="4">
                  <c:v>2.5499999999999998</c:v>
                </c:pt>
                <c:pt idx="5">
                  <c:v>3</c:v>
                </c:pt>
                <c:pt idx="6">
                  <c:v>3</c:v>
                </c:pt>
                <c:pt idx="7">
                  <c:v>2.5499999999999998</c:v>
                </c:pt>
                <c:pt idx="8">
                  <c:v>2.5499999999999998</c:v>
                </c:pt>
                <c:pt idx="9">
                  <c:v>0.44999999999999973</c:v>
                </c:pt>
                <c:pt idx="10">
                  <c:v>0.44999999999999973</c:v>
                </c:pt>
                <c:pt idx="11">
                  <c:v>0</c:v>
                </c:pt>
                <c:pt idx="12">
                  <c:v>0</c:v>
                </c:pt>
                <c:pt idx="13">
                  <c:v>0</c:v>
                </c:pt>
                <c:pt idx="14">
                  <c:v>0</c:v>
                </c:pt>
                <c:pt idx="15">
                  <c:v>0</c:v>
                </c:pt>
                <c:pt idx="16">
                  <c:v>0</c:v>
                </c:pt>
                <c:pt idx="17">
                  <c:v>0</c:v>
                </c:pt>
                <c:pt idx="18">
                  <c:v>0</c:v>
                </c:pt>
                <c:pt idx="19">
                  <c:v>0</c:v>
                </c:pt>
                <c:pt idx="20">
                  <c:v>0</c:v>
                </c:pt>
                <c:pt idx="21">
                  <c:v>0</c:v>
                </c:pt>
              </c:numCache>
            </c:numRef>
          </c:yVal>
          <c:smooth val="0"/>
          <c:extLst>
            <c:ext xmlns:c16="http://schemas.microsoft.com/office/drawing/2014/chart" uri="{C3380CC4-5D6E-409C-BE32-E72D297353CC}">
              <c16:uniqueId val="{00000000-DE84-4529-9C88-6C30EFD7DE01}"/>
            </c:ext>
          </c:extLst>
        </c:ser>
        <c:ser>
          <c:idx val="1"/>
          <c:order val="1"/>
          <c:spPr>
            <a:ln w="38100">
              <a:solidFill>
                <a:schemeClr val="accent1"/>
              </a:solidFill>
            </a:ln>
          </c:spPr>
          <c:marker>
            <c:symbol val="none"/>
          </c:marker>
          <c:xVal>
            <c:numRef>
              <c:f>'10'!$AE$240:$AE$261</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xVal>
          <c:yVal>
            <c:numRef>
              <c:f>#REF!</c:f>
              <c:numCache>
                <c:formatCode>General</c:formatCode>
                <c:ptCount val="1"/>
                <c:pt idx="0">
                  <c:v>1</c:v>
                </c:pt>
              </c:numCache>
            </c:numRef>
          </c:yVal>
          <c:smooth val="0"/>
          <c:extLst>
            <c:ext xmlns:c16="http://schemas.microsoft.com/office/drawing/2014/chart" uri="{C3380CC4-5D6E-409C-BE32-E72D297353CC}">
              <c16:uniqueId val="{00000001-DE84-4529-9C88-6C30EFD7DE01}"/>
            </c:ext>
          </c:extLst>
        </c:ser>
        <c:ser>
          <c:idx val="12"/>
          <c:order val="2"/>
          <c:tx>
            <c:v>Target Height</c:v>
          </c:tx>
          <c:spPr>
            <a:ln w="47625">
              <a:solidFill>
                <a:schemeClr val="tx1"/>
              </a:solidFill>
              <a:prstDash val="sysDash"/>
            </a:ln>
          </c:spPr>
          <c:marker>
            <c:symbol val="none"/>
          </c:marker>
          <c:xVal>
            <c:numRef>
              <c:f>'10'!$Z$240:$Z$241</c:f>
              <c:numCache>
                <c:formatCode>0.00</c:formatCode>
                <c:ptCount val="2"/>
                <c:pt idx="0" formatCode="General">
                  <c:v>0</c:v>
                </c:pt>
                <c:pt idx="1">
                  <c:v>3.5</c:v>
                </c:pt>
              </c:numCache>
            </c:numRef>
          </c:xVal>
          <c:yVal>
            <c:numRef>
              <c:f>'10'!$AA$240:$AA$241</c:f>
              <c:numCache>
                <c:formatCode>0.00</c:formatCode>
                <c:ptCount val="2"/>
                <c:pt idx="0">
                  <c:v>11.052570961245319</c:v>
                </c:pt>
                <c:pt idx="1">
                  <c:v>11.052570961245319</c:v>
                </c:pt>
              </c:numCache>
            </c:numRef>
          </c:yVal>
          <c:smooth val="0"/>
          <c:extLst>
            <c:ext xmlns:c16="http://schemas.microsoft.com/office/drawing/2014/chart" uri="{C3380CC4-5D6E-409C-BE32-E72D297353CC}">
              <c16:uniqueId val="{00000002-DE84-4529-9C88-6C30EFD7DE01}"/>
            </c:ext>
          </c:extLst>
        </c:ser>
        <c:dLbls>
          <c:showLegendKey val="0"/>
          <c:showVal val="0"/>
          <c:showCatName val="0"/>
          <c:showSerName val="0"/>
          <c:showPercent val="0"/>
          <c:showBubbleSize val="0"/>
        </c:dLbls>
        <c:axId val="359850368"/>
        <c:axId val="359852288"/>
      </c:scatterChart>
      <c:valAx>
        <c:axId val="359850368"/>
        <c:scaling>
          <c:orientation val="minMax"/>
          <c:max val="7"/>
          <c:min val="0"/>
        </c:scaling>
        <c:delete val="0"/>
        <c:axPos val="b"/>
        <c:majorGridlines>
          <c:spPr>
            <a:ln w="3175">
              <a:no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b=Width (in.)</a:t>
                </a:r>
              </a:p>
            </c:rich>
          </c:tx>
          <c:layout>
            <c:manualLayout>
              <c:xMode val="edge"/>
              <c:yMode val="edge"/>
              <c:x val="0.355913610399757"/>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852288"/>
        <c:crosses val="autoZero"/>
        <c:crossBetween val="midCat"/>
      </c:valAx>
      <c:valAx>
        <c:axId val="359852288"/>
        <c:scaling>
          <c:orientation val="minMax"/>
          <c:max val="7"/>
        </c:scaling>
        <c:delete val="0"/>
        <c:axPos val="l"/>
        <c:majorGridlines>
          <c:spPr>
            <a:ln w="3175">
              <a:no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h=Height (in.)</a:t>
                </a:r>
              </a:p>
            </c:rich>
          </c:tx>
          <c:layout>
            <c:manualLayout>
              <c:xMode val="edge"/>
              <c:yMode val="edge"/>
              <c:x val="4.9203560622810283E-3"/>
              <c:y val="0.29292538524462158"/>
            </c:manualLayout>
          </c:layout>
          <c:overlay val="0"/>
          <c:spPr>
            <a:noFill/>
            <a:ln w="25400">
              <a:noFill/>
            </a:ln>
          </c:spPr>
        </c:title>
        <c:numFmt formatCode="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59850368"/>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11" r="0.75000000000000111"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V-Tail Planform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38"/>
          <c:w val="0.66716663847139213"/>
          <c:h val="0.65292282284939218"/>
        </c:manualLayout>
      </c:layout>
      <c:scatterChart>
        <c:scatterStyle val="lineMarker"/>
        <c:varyColors val="0"/>
        <c:ser>
          <c:idx val="0"/>
          <c:order val="0"/>
          <c:spPr>
            <a:ln w="28575">
              <a:solidFill>
                <a:srgbClr val="000080"/>
              </a:solidFill>
              <a:prstDash val="solid"/>
            </a:ln>
          </c:spPr>
          <c:marker>
            <c:symbol val="diamond"/>
            <c:size val="5"/>
            <c:spPr>
              <a:solidFill>
                <a:srgbClr val="000080"/>
              </a:solidFill>
              <a:ln>
                <a:solidFill>
                  <a:srgbClr val="000080"/>
                </a:solidFill>
                <a:prstDash val="solid"/>
              </a:ln>
            </c:spPr>
          </c:marker>
          <c:xVal>
            <c:numRef>
              <c:f>'11'!$R$238:$R$242</c:f>
              <c:numCache>
                <c:formatCode>0.0000</c:formatCode>
                <c:ptCount val="5"/>
                <c:pt idx="0">
                  <c:v>0</c:v>
                </c:pt>
                <c:pt idx="1">
                  <c:v>4.7201468973365328</c:v>
                </c:pt>
                <c:pt idx="2">
                  <c:v>4.1474380696714164</c:v>
                </c:pt>
                <c:pt idx="3">
                  <c:v>1.3153499312694972</c:v>
                </c:pt>
                <c:pt idx="4">
                  <c:v>0</c:v>
                </c:pt>
              </c:numCache>
            </c:numRef>
          </c:xVal>
          <c:yVal>
            <c:numRef>
              <c:f>'11'!$S$238:$S$242</c:f>
              <c:numCache>
                <c:formatCode>0.000</c:formatCode>
                <c:ptCount val="5"/>
                <c:pt idx="0">
                  <c:v>0</c:v>
                </c:pt>
                <c:pt idx="1">
                  <c:v>0</c:v>
                </c:pt>
                <c:pt idx="2">
                  <c:v>4.908952773229994</c:v>
                </c:pt>
                <c:pt idx="3">
                  <c:v>4.908952773229994</c:v>
                </c:pt>
                <c:pt idx="4">
                  <c:v>0</c:v>
                </c:pt>
              </c:numCache>
            </c:numRef>
          </c:yVal>
          <c:smooth val="0"/>
          <c:extLst>
            <c:ext xmlns:c16="http://schemas.microsoft.com/office/drawing/2014/chart" uri="{C3380CC4-5D6E-409C-BE32-E72D297353CC}">
              <c16:uniqueId val="{00000000-30C4-441B-9A0E-E97EBC42B1DB}"/>
            </c:ext>
          </c:extLst>
        </c:ser>
        <c:ser>
          <c:idx val="1"/>
          <c:order val="1"/>
          <c:marker>
            <c:symbol val="none"/>
          </c:marker>
          <c:xVal>
            <c:numRef>
              <c:f>'11'!$R$246:$R$247</c:f>
              <c:numCache>
                <c:formatCode>General</c:formatCode>
                <c:ptCount val="2"/>
                <c:pt idx="0">
                  <c:v>0.60286871849851953</c:v>
                </c:pt>
                <c:pt idx="1">
                  <c:v>4.4576553513233543</c:v>
                </c:pt>
              </c:numCache>
            </c:numRef>
          </c:xVal>
          <c:yVal>
            <c:numRef>
              <c:f>'11'!$S$246:$S$247</c:f>
              <c:numCache>
                <c:formatCode>0.000</c:formatCode>
                <c:ptCount val="2"/>
                <c:pt idx="0">
                  <c:v>2.2499366877304139</c:v>
                </c:pt>
                <c:pt idx="1">
                  <c:v>2.2499366877304139</c:v>
                </c:pt>
              </c:numCache>
            </c:numRef>
          </c:yVal>
          <c:smooth val="0"/>
          <c:extLst>
            <c:ext xmlns:c16="http://schemas.microsoft.com/office/drawing/2014/chart" uri="{C3380CC4-5D6E-409C-BE32-E72D297353CC}">
              <c16:uniqueId val="{00000001-30C4-441B-9A0E-E97EBC42B1DB}"/>
            </c:ext>
          </c:extLst>
        </c:ser>
        <c:ser>
          <c:idx val="2"/>
          <c:order val="2"/>
          <c:spPr>
            <a:ln>
              <a:solidFill>
                <a:srgbClr val="FFFF00"/>
              </a:solidFill>
            </a:ln>
          </c:spPr>
          <c:marker>
            <c:symbol val="none"/>
          </c:marker>
          <c:xVal>
            <c:numRef>
              <c:f>'11'!$R$252:$R$256</c:f>
              <c:numCache>
                <c:formatCode>0.000</c:formatCode>
                <c:ptCount val="5"/>
                <c:pt idx="0">
                  <c:v>4.6056051318035092</c:v>
                </c:pt>
                <c:pt idx="1">
                  <c:v>4.26197983520444</c:v>
                </c:pt>
                <c:pt idx="2">
                  <c:v>3.6326269155595692</c:v>
                </c:pt>
                <c:pt idx="3">
                  <c:v>3.9762522121586383</c:v>
                </c:pt>
                <c:pt idx="4">
                  <c:v>4.6056051318035092</c:v>
                </c:pt>
              </c:numCache>
            </c:numRef>
          </c:xVal>
          <c:yVal>
            <c:numRef>
              <c:f>'11'!$S$252:$S$256</c:f>
              <c:numCache>
                <c:formatCode>0.000</c:formatCode>
                <c:ptCount val="5"/>
                <c:pt idx="0">
                  <c:v>0.98179055464599885</c:v>
                </c:pt>
                <c:pt idx="1">
                  <c:v>3.9271622185839954</c:v>
                </c:pt>
                <c:pt idx="2">
                  <c:v>3.9271622185839954</c:v>
                </c:pt>
                <c:pt idx="3">
                  <c:v>0.98179055464599885</c:v>
                </c:pt>
                <c:pt idx="4">
                  <c:v>0.98179055464599885</c:v>
                </c:pt>
              </c:numCache>
            </c:numRef>
          </c:yVal>
          <c:smooth val="0"/>
          <c:extLst>
            <c:ext xmlns:c16="http://schemas.microsoft.com/office/drawing/2014/chart" uri="{C3380CC4-5D6E-409C-BE32-E72D297353CC}">
              <c16:uniqueId val="{00000002-30C4-441B-9A0E-E97EBC42B1DB}"/>
            </c:ext>
          </c:extLst>
        </c:ser>
        <c:dLbls>
          <c:showLegendKey val="0"/>
          <c:showVal val="0"/>
          <c:showCatName val="0"/>
          <c:showSerName val="0"/>
          <c:showPercent val="0"/>
          <c:showBubbleSize val="0"/>
        </c:dLbls>
        <c:axId val="360368384"/>
        <c:axId val="360370560"/>
      </c:scatterChart>
      <c:valAx>
        <c:axId val="36036838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666"/>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70560"/>
        <c:crosses val="autoZero"/>
        <c:crossBetween val="midCat"/>
      </c:valAx>
      <c:valAx>
        <c:axId val="360370560"/>
        <c:scaling>
          <c:orientation val="minMax"/>
          <c:max val="6"/>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aseline="0"/>
                  <a:t>V-Tail Span, (ft)</a:t>
                </a:r>
                <a:endParaRPr lang="en-US" sz="1000"/>
              </a:p>
            </c:rich>
          </c:tx>
          <c:layout>
            <c:manualLayout>
              <c:xMode val="edge"/>
              <c:yMode val="edge"/>
              <c:x val="3.7785534540141247E-2"/>
              <c:y val="0.29305187046171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6838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Static Margin</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42"/>
          <c:h val="0.64856101438024472"/>
        </c:manualLayout>
      </c:layout>
      <c:scatterChart>
        <c:scatterStyle val="lineMarker"/>
        <c:varyColors val="0"/>
        <c:ser>
          <c:idx val="0"/>
          <c:order val="0"/>
          <c:tx>
            <c:v>W=Wo</c:v>
          </c:tx>
          <c:marker>
            <c:symbol val="none"/>
          </c:marker>
          <c:xVal>
            <c:numRef>
              <c:f>'11'!$T$93:$T$99</c:f>
              <c:numCache>
                <c:formatCode>0%</c:formatCode>
                <c:ptCount val="7"/>
                <c:pt idx="0">
                  <c:v>-0.15000000000000005</c:v>
                </c:pt>
                <c:pt idx="1">
                  <c:v>-4.9999999999999878E-2</c:v>
                </c:pt>
                <c:pt idx="2">
                  <c:v>0</c:v>
                </c:pt>
                <c:pt idx="3">
                  <c:v>4.9999999999999878E-2</c:v>
                </c:pt>
                <c:pt idx="4">
                  <c:v>0.14999999999999983</c:v>
                </c:pt>
                <c:pt idx="5">
                  <c:v>0.25</c:v>
                </c:pt>
                <c:pt idx="6">
                  <c:v>0.49999999999999961</c:v>
                </c:pt>
              </c:numCache>
            </c:numRef>
          </c:xVal>
          <c:yVal>
            <c:numRef>
              <c:f>'11'!$X$93:$X$99</c:f>
              <c:numCache>
                <c:formatCode>0.0000</c:formatCode>
                <c:ptCount val="7"/>
                <c:pt idx="0">
                  <c:v>1.0694949065110423E-2</c:v>
                </c:pt>
                <c:pt idx="1">
                  <c:v>6.0666899568322585E-3</c:v>
                </c:pt>
                <c:pt idx="2">
                  <c:v>4.1766343448207703E-3</c:v>
                </c:pt>
                <c:pt idx="3">
                  <c:v>2.6026310737096228E-3</c:v>
                </c:pt>
                <c:pt idx="4">
                  <c:v>5.1503404983124475E-4</c:v>
                </c:pt>
                <c:pt idx="5">
                  <c:v>5.1683753212044567E-5</c:v>
                </c:pt>
                <c:pt idx="6">
                  <c:v>8.0243648277049193E-3</c:v>
                </c:pt>
              </c:numCache>
            </c:numRef>
          </c:yVal>
          <c:smooth val="0"/>
          <c:extLst>
            <c:ext xmlns:c16="http://schemas.microsoft.com/office/drawing/2014/chart" uri="{C3380CC4-5D6E-409C-BE32-E72D297353CC}">
              <c16:uniqueId val="{00000000-8A5F-434E-9743-27667ED76BD2}"/>
            </c:ext>
          </c:extLst>
        </c:ser>
        <c:ser>
          <c:idx val="2"/>
          <c:order val="1"/>
          <c:tx>
            <c:v>W=We</c:v>
          </c:tx>
          <c:spPr>
            <a:ln>
              <a:solidFill>
                <a:srgbClr val="FF0000"/>
              </a:solidFill>
            </a:ln>
          </c:spPr>
          <c:marker>
            <c:symbol val="none"/>
          </c:marker>
          <c:xVal>
            <c:numRef>
              <c:f>'11'!$T$103:$T$109</c:f>
              <c:numCache>
                <c:formatCode>0%</c:formatCode>
                <c:ptCount val="7"/>
                <c:pt idx="0">
                  <c:v>-0.15000000000000005</c:v>
                </c:pt>
                <c:pt idx="1">
                  <c:v>-5.0000000000000079E-2</c:v>
                </c:pt>
                <c:pt idx="2">
                  <c:v>0</c:v>
                </c:pt>
                <c:pt idx="3">
                  <c:v>5.0000000000000079E-2</c:v>
                </c:pt>
                <c:pt idx="4">
                  <c:v>0.14999999999999963</c:v>
                </c:pt>
                <c:pt idx="5">
                  <c:v>0.25</c:v>
                </c:pt>
                <c:pt idx="6">
                  <c:v>0.49999999999999978</c:v>
                </c:pt>
              </c:numCache>
            </c:numRef>
          </c:xVal>
          <c:yVal>
            <c:numRef>
              <c:f>'11'!$X$103:$X$109</c:f>
              <c:numCache>
                <c:formatCode>0.0000</c:formatCode>
                <c:ptCount val="7"/>
                <c:pt idx="0">
                  <c:v>4.8965732166517733E-3</c:v>
                </c:pt>
                <c:pt idx="1">
                  <c:v>3.1190320126410868E-3</c:v>
                </c:pt>
                <c:pt idx="2">
                  <c:v>2.3537528002041804E-3</c:v>
                </c:pt>
                <c:pt idx="3">
                  <c:v>1.6805204924658312E-3</c:v>
                </c:pt>
                <c:pt idx="4">
                  <c:v>6.4295658655911516E-4</c:v>
                </c:pt>
                <c:pt idx="5">
                  <c:v>7.8734155788137106E-5</c:v>
                </c:pt>
                <c:pt idx="6">
                  <c:v>1.3327861200294279E-3</c:v>
                </c:pt>
              </c:numCache>
            </c:numRef>
          </c:yVal>
          <c:smooth val="0"/>
          <c:extLst>
            <c:ext xmlns:c16="http://schemas.microsoft.com/office/drawing/2014/chart" uri="{C3380CC4-5D6E-409C-BE32-E72D297353CC}">
              <c16:uniqueId val="{00000001-8A5F-434E-9743-27667ED76BD2}"/>
            </c:ext>
          </c:extLst>
        </c:ser>
        <c:ser>
          <c:idx val="1"/>
          <c:order val="2"/>
          <c:tx>
            <c:v>Design Goal</c:v>
          </c:tx>
          <c:spPr>
            <a:ln>
              <a:solidFill>
                <a:srgbClr val="00B050"/>
              </a:solidFill>
            </a:ln>
          </c:spPr>
          <c:marker>
            <c:symbol val="none"/>
          </c:marker>
          <c:xVal>
            <c:numRef>
              <c:f>'11'!$S$265:$S$269</c:f>
              <c:numCache>
                <c:formatCode>0%</c:formatCode>
                <c:ptCount val="5"/>
                <c:pt idx="0">
                  <c:v>0.03</c:v>
                </c:pt>
                <c:pt idx="1">
                  <c:v>0.03</c:v>
                </c:pt>
                <c:pt idx="2">
                  <c:v>0.12</c:v>
                </c:pt>
                <c:pt idx="3">
                  <c:v>0.12</c:v>
                </c:pt>
                <c:pt idx="4">
                  <c:v>0.03</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8A5F-434E-9743-27667ED76BD2}"/>
            </c:ext>
          </c:extLst>
        </c:ser>
        <c:dLbls>
          <c:showLegendKey val="0"/>
          <c:showVal val="0"/>
          <c:showCatName val="0"/>
          <c:showSerName val="0"/>
          <c:showPercent val="0"/>
          <c:showBubbleSize val="0"/>
        </c:dLbls>
        <c:axId val="360733696"/>
        <c:axId val="360744064"/>
      </c:scatterChart>
      <c:valAx>
        <c:axId val="360733696"/>
        <c:scaling>
          <c:orientation val="minMax"/>
        </c:scaling>
        <c:delete val="0"/>
        <c:axPos val="b"/>
        <c:title>
          <c:tx>
            <c:rich>
              <a:bodyPr/>
              <a:lstStyle/>
              <a:p>
                <a:pPr>
                  <a:defRPr sz="1400"/>
                </a:pPr>
                <a:r>
                  <a:rPr lang="en-US" sz="1400"/>
                  <a:t>Static Margin = (xcl-xcg)/cmac</a:t>
                </a:r>
              </a:p>
            </c:rich>
          </c:tx>
          <c:overlay val="0"/>
        </c:title>
        <c:numFmt formatCode="0%" sourceLinked="1"/>
        <c:majorTickMark val="out"/>
        <c:minorTickMark val="none"/>
        <c:tickLblPos val="nextTo"/>
        <c:crossAx val="360744064"/>
        <c:crosses val="autoZero"/>
        <c:crossBetween val="midCat"/>
      </c:valAx>
      <c:valAx>
        <c:axId val="360744064"/>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19"/>
            </c:manualLayout>
          </c:layout>
          <c:overlay val="0"/>
        </c:title>
        <c:numFmt formatCode="0%" sourceLinked="0"/>
        <c:majorTickMark val="out"/>
        <c:minorTickMark val="none"/>
        <c:tickLblPos val="nextTo"/>
        <c:crossAx val="360733696"/>
        <c:crosses val="autoZero"/>
        <c:crossBetween val="midCat"/>
      </c:valAx>
    </c:plotArea>
    <c:legend>
      <c:legendPos val="r"/>
      <c:layout>
        <c:manualLayout>
          <c:xMode val="edge"/>
          <c:yMode val="edge"/>
          <c:x val="0.68230202939042017"/>
          <c:y val="4.1424470771135015E-2"/>
          <c:w val="0.21898859021551129"/>
          <c:h val="0.20375113674171014"/>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Stability Coeff. (C</a:t>
            </a:r>
            <a:r>
              <a:rPr lang="en-US" sz="1200"/>
              <a:t>M</a:t>
            </a:r>
            <a:r>
              <a:rPr lang="en-US" sz="1200">
                <a:latin typeface="Symbol" pitchFamily="18" charset="2"/>
              </a:rPr>
              <a:t>a</a:t>
            </a:r>
            <a:r>
              <a:rPr lang="en-US" sz="1600"/>
              <a:t>)</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'11'!$Y$93:$Y$99</c:f>
              <c:numCache>
                <c:formatCode>0.0000</c:formatCode>
                <c:ptCount val="7"/>
                <c:pt idx="0">
                  <c:v>2.2029302459300446</c:v>
                </c:pt>
                <c:pt idx="1">
                  <c:v>1.7485104352671577</c:v>
                </c:pt>
                <c:pt idx="2">
                  <c:v>1.5213005299357154</c:v>
                </c:pt>
                <c:pt idx="3">
                  <c:v>1.2940906246042732</c:v>
                </c:pt>
                <c:pt idx="4">
                  <c:v>0.83967081394138754</c:v>
                </c:pt>
                <c:pt idx="5">
                  <c:v>0.38525100327850104</c:v>
                </c:pt>
                <c:pt idx="6">
                  <c:v>-0.75079852337871156</c:v>
                </c:pt>
              </c:numCache>
            </c:numRef>
          </c:xVal>
          <c:yVal>
            <c:numRef>
              <c:f>'11'!$X$93:$X$99</c:f>
              <c:numCache>
                <c:formatCode>0.0000</c:formatCode>
                <c:ptCount val="7"/>
                <c:pt idx="0">
                  <c:v>1.0694949065110423E-2</c:v>
                </c:pt>
                <c:pt idx="1">
                  <c:v>6.0666899568322585E-3</c:v>
                </c:pt>
                <c:pt idx="2">
                  <c:v>4.1766343448207703E-3</c:v>
                </c:pt>
                <c:pt idx="3">
                  <c:v>2.6026310737096228E-3</c:v>
                </c:pt>
                <c:pt idx="4">
                  <c:v>5.1503404983124475E-4</c:v>
                </c:pt>
                <c:pt idx="5">
                  <c:v>5.1683753212044567E-5</c:v>
                </c:pt>
                <c:pt idx="6">
                  <c:v>8.0243648277049193E-3</c:v>
                </c:pt>
              </c:numCache>
            </c:numRef>
          </c:yVal>
          <c:smooth val="0"/>
          <c:extLst>
            <c:ext xmlns:c16="http://schemas.microsoft.com/office/drawing/2014/chart" uri="{C3380CC4-5D6E-409C-BE32-E72D297353CC}">
              <c16:uniqueId val="{00000000-0445-460C-BB62-AEE630CA1ABD}"/>
            </c:ext>
          </c:extLst>
        </c:ser>
        <c:ser>
          <c:idx val="2"/>
          <c:order val="1"/>
          <c:tx>
            <c:v>W=We</c:v>
          </c:tx>
          <c:spPr>
            <a:ln>
              <a:solidFill>
                <a:srgbClr val="FF0000"/>
              </a:solidFill>
            </a:ln>
          </c:spPr>
          <c:marker>
            <c:symbol val="none"/>
          </c:marker>
          <c:xVal>
            <c:numRef>
              <c:f>'11'!$Y$103:$Y$109</c:f>
              <c:numCache>
                <c:formatCode>0.0000</c:formatCode>
                <c:ptCount val="7"/>
                <c:pt idx="0">
                  <c:v>2.4156486773198931</c:v>
                </c:pt>
                <c:pt idx="1">
                  <c:v>1.961228866657007</c:v>
                </c:pt>
                <c:pt idx="2">
                  <c:v>1.7340189613255639</c:v>
                </c:pt>
                <c:pt idx="3">
                  <c:v>1.5068090559941207</c:v>
                </c:pt>
                <c:pt idx="4">
                  <c:v>1.0523892453312369</c:v>
                </c:pt>
                <c:pt idx="5">
                  <c:v>0.59796943466834951</c:v>
                </c:pt>
                <c:pt idx="6">
                  <c:v>-0.53808009198886397</c:v>
                </c:pt>
              </c:numCache>
            </c:numRef>
          </c:xVal>
          <c:yVal>
            <c:numRef>
              <c:f>'11'!$X$103:$X$109</c:f>
              <c:numCache>
                <c:formatCode>0.0000</c:formatCode>
                <c:ptCount val="7"/>
                <c:pt idx="0">
                  <c:v>4.8965732166517733E-3</c:v>
                </c:pt>
                <c:pt idx="1">
                  <c:v>3.1190320126410868E-3</c:v>
                </c:pt>
                <c:pt idx="2">
                  <c:v>2.3537528002041804E-3</c:v>
                </c:pt>
                <c:pt idx="3">
                  <c:v>1.6805204924658312E-3</c:v>
                </c:pt>
                <c:pt idx="4">
                  <c:v>6.4295658655911516E-4</c:v>
                </c:pt>
                <c:pt idx="5">
                  <c:v>7.8734155788137106E-5</c:v>
                </c:pt>
                <c:pt idx="6">
                  <c:v>1.3327861200294279E-3</c:v>
                </c:pt>
              </c:numCache>
            </c:numRef>
          </c:yVal>
          <c:smooth val="0"/>
          <c:extLst>
            <c:ext xmlns:c16="http://schemas.microsoft.com/office/drawing/2014/chart" uri="{C3380CC4-5D6E-409C-BE32-E72D297353CC}">
              <c16:uniqueId val="{00000001-0445-460C-BB62-AEE630CA1ABD}"/>
            </c:ext>
          </c:extLst>
        </c:ser>
        <c:ser>
          <c:idx val="1"/>
          <c:order val="2"/>
          <c:tx>
            <c:v>Design Goal</c:v>
          </c:tx>
          <c:spPr>
            <a:ln>
              <a:solidFill>
                <a:srgbClr val="00B050"/>
              </a:solidFill>
            </a:ln>
          </c:spPr>
          <c:marker>
            <c:symbol val="none"/>
          </c:marker>
          <c:xVal>
            <c:numRef>
              <c:f>'11'!$U$265:$U$269</c:f>
              <c:numCache>
                <c:formatCode>General</c:formatCode>
                <c:ptCount val="5"/>
                <c:pt idx="0">
                  <c:v>-0.16</c:v>
                </c:pt>
                <c:pt idx="1">
                  <c:v>-0.16</c:v>
                </c:pt>
                <c:pt idx="2">
                  <c:v>-1.5</c:v>
                </c:pt>
                <c:pt idx="3">
                  <c:v>-1.5</c:v>
                </c:pt>
                <c:pt idx="4">
                  <c:v>-0.16</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0445-460C-BB62-AEE630CA1ABD}"/>
            </c:ext>
          </c:extLst>
        </c:ser>
        <c:dLbls>
          <c:showLegendKey val="0"/>
          <c:showVal val="0"/>
          <c:showCatName val="0"/>
          <c:showSerName val="0"/>
          <c:showPercent val="0"/>
          <c:showBubbleSize val="0"/>
        </c:dLbls>
        <c:axId val="362889600"/>
        <c:axId val="362891520"/>
      </c:scatterChart>
      <c:valAx>
        <c:axId val="362889600"/>
        <c:scaling>
          <c:orientation val="minMax"/>
        </c:scaling>
        <c:delete val="0"/>
        <c:axPos val="b"/>
        <c:title>
          <c:tx>
            <c:rich>
              <a:bodyPr/>
              <a:lstStyle/>
              <a:p>
                <a:pPr>
                  <a:defRPr sz="1400"/>
                </a:pPr>
                <a:r>
                  <a:rPr lang="en-US" sz="1400"/>
                  <a:t>Longitudunal Stability Coefficient,</a:t>
                </a:r>
                <a:r>
                  <a:rPr lang="en-US" sz="1400" baseline="0"/>
                  <a:t> CM</a:t>
                </a:r>
                <a:r>
                  <a:rPr lang="en-US" sz="1400" baseline="0">
                    <a:latin typeface="Symbol" pitchFamily="18" charset="2"/>
                  </a:rPr>
                  <a:t>a</a:t>
                </a:r>
                <a:r>
                  <a:rPr lang="en-US" sz="1400" baseline="0"/>
                  <a:t> (-)</a:t>
                </a:r>
                <a:endParaRPr lang="en-US" sz="1400"/>
              </a:p>
            </c:rich>
          </c:tx>
          <c:overlay val="0"/>
        </c:title>
        <c:numFmt formatCode="#,##0.00" sourceLinked="0"/>
        <c:majorTickMark val="out"/>
        <c:minorTickMark val="none"/>
        <c:tickLblPos val="nextTo"/>
        <c:crossAx val="362891520"/>
        <c:crosses val="autoZero"/>
        <c:crossBetween val="midCat"/>
      </c:valAx>
      <c:valAx>
        <c:axId val="362891520"/>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24"/>
            </c:manualLayout>
          </c:layout>
          <c:overlay val="0"/>
        </c:title>
        <c:numFmt formatCode="0%" sourceLinked="0"/>
        <c:majorTickMark val="out"/>
        <c:minorTickMark val="none"/>
        <c:tickLblPos val="nextTo"/>
        <c:crossAx val="362889600"/>
        <c:crosses val="autoZero"/>
        <c:crossBetween val="midCat"/>
      </c:valAx>
    </c:plotArea>
    <c:legend>
      <c:legendPos val="r"/>
      <c:layout>
        <c:manualLayout>
          <c:xMode val="edge"/>
          <c:yMode val="edge"/>
          <c:x val="0.73995968050397354"/>
          <c:y val="4.1424568407822257E-2"/>
          <c:w val="0.22549907350510626"/>
          <c:h val="0.20375113674171014"/>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0.33686384962734833</c:v>
                </c:pt>
                <c:pt idx="1">
                  <c:v>0.35762569984101478</c:v>
                </c:pt>
                <c:pt idx="2">
                  <c:v>0.36800662494784797</c:v>
                </c:pt>
                <c:pt idx="3">
                  <c:v>0.37838755005468117</c:v>
                </c:pt>
                <c:pt idx="4">
                  <c:v>0.39914940026834761</c:v>
                </c:pt>
                <c:pt idx="5">
                  <c:v>0.41991125048201405</c:v>
                </c:pt>
                <c:pt idx="6">
                  <c:v>0.47181587601618002</c:v>
                </c:pt>
              </c:numCache>
            </c:numRef>
          </c:xVal>
          <c:yVal>
            <c:numRef>
              <c:f>'11'!$T$93:$T$99</c:f>
              <c:numCache>
                <c:formatCode>0%</c:formatCode>
                <c:ptCount val="7"/>
                <c:pt idx="0">
                  <c:v>-0.15000000000000005</c:v>
                </c:pt>
                <c:pt idx="1">
                  <c:v>-4.9999999999999878E-2</c:v>
                </c:pt>
                <c:pt idx="2">
                  <c:v>0</c:v>
                </c:pt>
                <c:pt idx="3">
                  <c:v>4.9999999999999878E-2</c:v>
                </c:pt>
                <c:pt idx="4">
                  <c:v>0.14999999999999983</c:v>
                </c:pt>
                <c:pt idx="5">
                  <c:v>0.25</c:v>
                </c:pt>
                <c:pt idx="6">
                  <c:v>0.49999999999999961</c:v>
                </c:pt>
              </c:numCache>
            </c:numRef>
          </c:yVal>
          <c:smooth val="0"/>
          <c:extLst>
            <c:ext xmlns:c16="http://schemas.microsoft.com/office/drawing/2014/chart" uri="{C3380CC4-5D6E-409C-BE32-E72D297353CC}">
              <c16:uniqueId val="{00000000-ED67-4203-9595-126E438E17B5}"/>
            </c:ext>
          </c:extLst>
        </c:ser>
        <c:ser>
          <c:idx val="2"/>
          <c:order val="1"/>
          <c:tx>
            <c:v>W=We</c:v>
          </c:tx>
          <c:spPr>
            <a:ln>
              <a:solidFill>
                <a:srgbClr val="FF0000"/>
              </a:solidFill>
            </a:ln>
          </c:spPr>
          <c:marker>
            <c:symbol val="none"/>
          </c:marker>
          <c:xVal>
            <c:numRef>
              <c:f>'11'!$R$103:$R$109</c:f>
              <c:numCache>
                <c:formatCode>0.0000</c:formatCode>
                <c:ptCount val="7"/>
                <c:pt idx="0">
                  <c:v>0.27235711801481677</c:v>
                </c:pt>
                <c:pt idx="1">
                  <c:v>0.29311896822848321</c:v>
                </c:pt>
                <c:pt idx="2">
                  <c:v>0.30349989333531641</c:v>
                </c:pt>
                <c:pt idx="3">
                  <c:v>0.31388081844214966</c:v>
                </c:pt>
                <c:pt idx="4">
                  <c:v>0.33464266865581599</c:v>
                </c:pt>
                <c:pt idx="5">
                  <c:v>0.35540451886948249</c:v>
                </c:pt>
                <c:pt idx="6">
                  <c:v>0.40730914440364852</c:v>
                </c:pt>
              </c:numCache>
            </c:numRef>
          </c:xVal>
          <c:yVal>
            <c:numRef>
              <c:f>'11'!$T$103:$T$109</c:f>
              <c:numCache>
                <c:formatCode>0%</c:formatCode>
                <c:ptCount val="7"/>
                <c:pt idx="0">
                  <c:v>-0.15000000000000005</c:v>
                </c:pt>
                <c:pt idx="1">
                  <c:v>-5.0000000000000079E-2</c:v>
                </c:pt>
                <c:pt idx="2">
                  <c:v>0</c:v>
                </c:pt>
                <c:pt idx="3">
                  <c:v>5.0000000000000079E-2</c:v>
                </c:pt>
                <c:pt idx="4">
                  <c:v>0.14999999999999963</c:v>
                </c:pt>
                <c:pt idx="5">
                  <c:v>0.25</c:v>
                </c:pt>
                <c:pt idx="6">
                  <c:v>0.49999999999999978</c:v>
                </c:pt>
              </c:numCache>
            </c:numRef>
          </c:yVal>
          <c:smooth val="0"/>
          <c:extLst>
            <c:ext xmlns:c16="http://schemas.microsoft.com/office/drawing/2014/chart" uri="{C3380CC4-5D6E-409C-BE32-E72D297353CC}">
              <c16:uniqueId val="{00000001-ED67-4203-9595-126E438E17B5}"/>
            </c:ext>
          </c:extLst>
        </c:ser>
        <c:ser>
          <c:idx val="1"/>
          <c:order val="2"/>
          <c:tx>
            <c:v>Lower SM Bound</c:v>
          </c:tx>
          <c:spPr>
            <a:ln>
              <a:solidFill>
                <a:srgbClr val="00B050"/>
              </a:solidFill>
            </a:ln>
          </c:spPr>
          <c:marker>
            <c:symbol val="none"/>
          </c:marker>
          <c:xVal>
            <c:numRef>
              <c:f>'11'!$R$265:$R$266</c:f>
              <c:numCache>
                <c:formatCode>General</c:formatCode>
                <c:ptCount val="2"/>
                <c:pt idx="0">
                  <c:v>0</c:v>
                </c:pt>
                <c:pt idx="1">
                  <c:v>1</c:v>
                </c:pt>
              </c:numCache>
            </c:numRef>
          </c:xVal>
          <c:yVal>
            <c:numRef>
              <c:f>'11'!$S$265:$S$266</c:f>
              <c:numCache>
                <c:formatCode>0%</c:formatCode>
                <c:ptCount val="2"/>
                <c:pt idx="0">
                  <c:v>0.03</c:v>
                </c:pt>
                <c:pt idx="1">
                  <c:v>0.03</c:v>
                </c:pt>
              </c:numCache>
            </c:numRef>
          </c:yVal>
          <c:smooth val="0"/>
          <c:extLst>
            <c:ext xmlns:c16="http://schemas.microsoft.com/office/drawing/2014/chart" uri="{C3380CC4-5D6E-409C-BE32-E72D297353CC}">
              <c16:uniqueId val="{00000002-ED67-4203-9595-126E438E17B5}"/>
            </c:ext>
          </c:extLst>
        </c:ser>
        <c:ser>
          <c:idx val="3"/>
          <c:order val="3"/>
          <c:tx>
            <c:v>Upper SM Bound</c:v>
          </c:tx>
          <c:spPr>
            <a:ln>
              <a:solidFill>
                <a:srgbClr val="00B050"/>
              </a:solidFill>
            </a:ln>
          </c:spPr>
          <c:marker>
            <c:symbol val="none"/>
          </c:marker>
          <c:xVal>
            <c:numRef>
              <c:f>'11'!$R$267:$R$268</c:f>
              <c:numCache>
                <c:formatCode>General</c:formatCode>
                <c:ptCount val="2"/>
                <c:pt idx="0">
                  <c:v>0</c:v>
                </c:pt>
                <c:pt idx="1">
                  <c:v>1</c:v>
                </c:pt>
              </c:numCache>
            </c:numRef>
          </c:xVal>
          <c:yVal>
            <c:numRef>
              <c:f>'11'!$S$267:$S$268</c:f>
              <c:numCache>
                <c:formatCode>0%</c:formatCode>
                <c:ptCount val="2"/>
                <c:pt idx="0">
                  <c:v>0.12</c:v>
                </c:pt>
                <c:pt idx="1">
                  <c:v>0.12</c:v>
                </c:pt>
              </c:numCache>
            </c:numRef>
          </c:yVal>
          <c:smooth val="0"/>
          <c:extLst>
            <c:ext xmlns:c16="http://schemas.microsoft.com/office/drawing/2014/chart" uri="{C3380CC4-5D6E-409C-BE32-E72D297353CC}">
              <c16:uniqueId val="{00000003-ED67-4203-9595-126E438E17B5}"/>
            </c:ext>
          </c:extLst>
        </c:ser>
        <c:ser>
          <c:idx val="4"/>
          <c:order val="4"/>
          <c:tx>
            <c:v>c.o. Lift</c:v>
          </c:tx>
          <c:spPr>
            <a:ln>
              <a:solidFill>
                <a:schemeClr val="tx1"/>
              </a:solidFill>
              <a:prstDash val="sysDash"/>
            </a:ln>
          </c:spPr>
          <c:marker>
            <c:symbol val="none"/>
          </c:marker>
          <c:xVal>
            <c:numRef>
              <c:f>'11'!$V$274:$V$275</c:f>
              <c:numCache>
                <c:formatCode>0.0000</c:formatCode>
                <c:ptCount val="2"/>
                <c:pt idx="0">
                  <c:v>0.45</c:v>
                </c:pt>
                <c:pt idx="1">
                  <c:v>0.45</c:v>
                </c:pt>
              </c:numCache>
            </c:numRef>
          </c:xVal>
          <c:yVal>
            <c:numRef>
              <c:f>'11'!$W$274:$W$275</c:f>
              <c:numCache>
                <c:formatCode>General</c:formatCode>
                <c:ptCount val="2"/>
                <c:pt idx="0">
                  <c:v>-0.1</c:v>
                </c:pt>
                <c:pt idx="1">
                  <c:v>0.2</c:v>
                </c:pt>
              </c:numCache>
            </c:numRef>
          </c:yVal>
          <c:smooth val="0"/>
          <c:extLst>
            <c:ext xmlns:c16="http://schemas.microsoft.com/office/drawing/2014/chart" uri="{C3380CC4-5D6E-409C-BE32-E72D297353CC}">
              <c16:uniqueId val="{00000004-ED67-4203-9595-126E438E17B5}"/>
            </c:ext>
          </c:extLst>
        </c:ser>
        <c:dLbls>
          <c:showLegendKey val="0"/>
          <c:showVal val="0"/>
          <c:showCatName val="0"/>
          <c:showSerName val="0"/>
          <c:showPercent val="0"/>
          <c:showBubbleSize val="0"/>
        </c:dLbls>
        <c:axId val="362934272"/>
        <c:axId val="362936192"/>
      </c:scatterChart>
      <c:valAx>
        <c:axId val="362934272"/>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2936192"/>
        <c:crosses val="autoZero"/>
        <c:crossBetween val="midCat"/>
      </c:valAx>
      <c:valAx>
        <c:axId val="362936192"/>
        <c:scaling>
          <c:orientation val="minMax"/>
          <c:max val="0.5"/>
        </c:scaling>
        <c:delete val="0"/>
        <c:axPos val="l"/>
        <c:majorGridlines/>
        <c:title>
          <c:tx>
            <c:rich>
              <a:bodyPr rot="-5400000" vert="horz"/>
              <a:lstStyle/>
              <a:p>
                <a:pPr>
                  <a:defRPr sz="1400"/>
                </a:pPr>
                <a:r>
                  <a:rPr lang="en-US" sz="1400"/>
                  <a:t>Static Margin (%)</a:t>
                </a:r>
              </a:p>
            </c:rich>
          </c:tx>
          <c:layout>
            <c:manualLayout>
              <c:xMode val="edge"/>
              <c:yMode val="edge"/>
              <c:x val="3.3694314115705289E-2"/>
              <c:y val="0.23309570810690924"/>
            </c:manualLayout>
          </c:layout>
          <c:overlay val="0"/>
        </c:title>
        <c:numFmt formatCode="0%" sourceLinked="1"/>
        <c:majorTickMark val="out"/>
        <c:minorTickMark val="none"/>
        <c:tickLblPos val="nextTo"/>
        <c:crossAx val="362934272"/>
        <c:crosses val="autoZero"/>
        <c:crossBetween val="midCat"/>
      </c:valAx>
    </c:plotArea>
    <c:legend>
      <c:legendPos val="r"/>
      <c:layout>
        <c:manualLayout>
          <c:xMode val="edge"/>
          <c:yMode val="edge"/>
          <c:x val="0.73995968050397354"/>
          <c:y val="4.1424568407822257E-2"/>
          <c:w val="0.2600407084480078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75"/>
          <c:h val="0.64856101438024472"/>
        </c:manualLayout>
      </c:layout>
      <c:scatterChart>
        <c:scatterStyle val="lineMarker"/>
        <c:varyColors val="0"/>
        <c:ser>
          <c:idx val="0"/>
          <c:order val="0"/>
          <c:tx>
            <c:v>W=Wo</c:v>
          </c:tx>
          <c:marker>
            <c:symbol val="none"/>
          </c:marker>
          <c:xVal>
            <c:numRef>
              <c:f>'11'!$R$93:$R$99</c:f>
              <c:numCache>
                <c:formatCode>0.0000</c:formatCode>
                <c:ptCount val="7"/>
                <c:pt idx="0">
                  <c:v>0.33686384962734833</c:v>
                </c:pt>
                <c:pt idx="1">
                  <c:v>0.35762569984101478</c:v>
                </c:pt>
                <c:pt idx="2">
                  <c:v>0.36800662494784797</c:v>
                </c:pt>
                <c:pt idx="3">
                  <c:v>0.37838755005468117</c:v>
                </c:pt>
                <c:pt idx="4">
                  <c:v>0.39914940026834761</c:v>
                </c:pt>
                <c:pt idx="5">
                  <c:v>0.41991125048201405</c:v>
                </c:pt>
                <c:pt idx="6">
                  <c:v>0.47181587601618002</c:v>
                </c:pt>
              </c:numCache>
            </c:numRef>
          </c:xVal>
          <c:yVal>
            <c:numRef>
              <c:f>'11'!$X$93:$X$99</c:f>
              <c:numCache>
                <c:formatCode>0.0000</c:formatCode>
                <c:ptCount val="7"/>
                <c:pt idx="0">
                  <c:v>1.0694949065110423E-2</c:v>
                </c:pt>
                <c:pt idx="1">
                  <c:v>6.0666899568322585E-3</c:v>
                </c:pt>
                <c:pt idx="2">
                  <c:v>4.1766343448207703E-3</c:v>
                </c:pt>
                <c:pt idx="3">
                  <c:v>2.6026310737096228E-3</c:v>
                </c:pt>
                <c:pt idx="4">
                  <c:v>5.1503404983124475E-4</c:v>
                </c:pt>
                <c:pt idx="5">
                  <c:v>5.1683753212044567E-5</c:v>
                </c:pt>
                <c:pt idx="6">
                  <c:v>8.0243648277049193E-3</c:v>
                </c:pt>
              </c:numCache>
            </c:numRef>
          </c:yVal>
          <c:smooth val="0"/>
          <c:extLst>
            <c:ext xmlns:c16="http://schemas.microsoft.com/office/drawing/2014/chart" uri="{C3380CC4-5D6E-409C-BE32-E72D297353CC}">
              <c16:uniqueId val="{00000000-2AB8-49D0-8672-83119BD7AA8B}"/>
            </c:ext>
          </c:extLst>
        </c:ser>
        <c:ser>
          <c:idx val="2"/>
          <c:order val="1"/>
          <c:tx>
            <c:v>W=We</c:v>
          </c:tx>
          <c:spPr>
            <a:ln>
              <a:solidFill>
                <a:srgbClr val="FF0000"/>
              </a:solidFill>
            </a:ln>
          </c:spPr>
          <c:marker>
            <c:symbol val="none"/>
          </c:marker>
          <c:xVal>
            <c:numRef>
              <c:f>'11'!$R$103:$R$109</c:f>
              <c:numCache>
                <c:formatCode>0.0000</c:formatCode>
                <c:ptCount val="7"/>
                <c:pt idx="0">
                  <c:v>0.27235711801481677</c:v>
                </c:pt>
                <c:pt idx="1">
                  <c:v>0.29311896822848321</c:v>
                </c:pt>
                <c:pt idx="2">
                  <c:v>0.30349989333531641</c:v>
                </c:pt>
                <c:pt idx="3">
                  <c:v>0.31388081844214966</c:v>
                </c:pt>
                <c:pt idx="4">
                  <c:v>0.33464266865581599</c:v>
                </c:pt>
                <c:pt idx="5">
                  <c:v>0.35540451886948249</c:v>
                </c:pt>
                <c:pt idx="6">
                  <c:v>0.40730914440364852</c:v>
                </c:pt>
              </c:numCache>
            </c:numRef>
          </c:xVal>
          <c:yVal>
            <c:numRef>
              <c:f>'11'!$X$103:$X$109</c:f>
              <c:numCache>
                <c:formatCode>0.0000</c:formatCode>
                <c:ptCount val="7"/>
                <c:pt idx="0">
                  <c:v>4.8965732166517733E-3</c:v>
                </c:pt>
                <c:pt idx="1">
                  <c:v>3.1190320126410868E-3</c:v>
                </c:pt>
                <c:pt idx="2">
                  <c:v>2.3537528002041804E-3</c:v>
                </c:pt>
                <c:pt idx="3">
                  <c:v>1.6805204924658312E-3</c:v>
                </c:pt>
                <c:pt idx="4">
                  <c:v>6.4295658655911516E-4</c:v>
                </c:pt>
                <c:pt idx="5">
                  <c:v>7.8734155788137106E-5</c:v>
                </c:pt>
                <c:pt idx="6">
                  <c:v>1.3327861200294279E-3</c:v>
                </c:pt>
              </c:numCache>
            </c:numRef>
          </c:yVal>
          <c:smooth val="0"/>
          <c:extLst>
            <c:ext xmlns:c16="http://schemas.microsoft.com/office/drawing/2014/chart" uri="{C3380CC4-5D6E-409C-BE32-E72D297353CC}">
              <c16:uniqueId val="{00000001-2AB8-49D0-8672-83119BD7AA8B}"/>
            </c:ext>
          </c:extLst>
        </c:ser>
        <c:ser>
          <c:idx val="3"/>
          <c:order val="2"/>
          <c:tx>
            <c:v>Upper Trim Drag  Bound</c:v>
          </c:tx>
          <c:spPr>
            <a:ln>
              <a:solidFill>
                <a:srgbClr val="00B050"/>
              </a:solidFill>
            </a:ln>
          </c:spPr>
          <c:marker>
            <c:symbol val="none"/>
          </c:marker>
          <c:xVal>
            <c:numRef>
              <c:f>'11'!$R$266:$R$267</c:f>
              <c:numCache>
                <c:formatCode>General</c:formatCode>
                <c:ptCount val="2"/>
                <c:pt idx="0">
                  <c:v>1</c:v>
                </c:pt>
                <c:pt idx="1">
                  <c:v>0</c:v>
                </c:pt>
              </c:numCache>
            </c:numRef>
          </c:xVal>
          <c:yVal>
            <c:numRef>
              <c:f>'11'!$T$266:$T$267</c:f>
              <c:numCache>
                <c:formatCode>0%</c:formatCode>
                <c:ptCount val="2"/>
                <c:pt idx="0">
                  <c:v>0.1</c:v>
                </c:pt>
                <c:pt idx="1">
                  <c:v>0.1</c:v>
                </c:pt>
              </c:numCache>
            </c:numRef>
          </c:yVal>
          <c:smooth val="0"/>
          <c:extLst>
            <c:ext xmlns:c16="http://schemas.microsoft.com/office/drawing/2014/chart" uri="{C3380CC4-5D6E-409C-BE32-E72D297353CC}">
              <c16:uniqueId val="{00000002-2AB8-49D0-8672-83119BD7AA8B}"/>
            </c:ext>
          </c:extLst>
        </c:ser>
        <c:ser>
          <c:idx val="1"/>
          <c:order val="3"/>
          <c:tx>
            <c:v>c.o. Lift</c:v>
          </c:tx>
          <c:spPr>
            <a:ln>
              <a:solidFill>
                <a:schemeClr val="tx1"/>
              </a:solidFill>
              <a:prstDash val="sysDash"/>
            </a:ln>
          </c:spPr>
          <c:marker>
            <c:symbol val="none"/>
          </c:marker>
          <c:xVal>
            <c:numRef>
              <c:f>'11'!$V$274:$V$275</c:f>
              <c:numCache>
                <c:formatCode>0.0000</c:formatCode>
                <c:ptCount val="2"/>
                <c:pt idx="0">
                  <c:v>0.45</c:v>
                </c:pt>
                <c:pt idx="1">
                  <c:v>0.45</c:v>
                </c:pt>
              </c:numCache>
            </c:numRef>
          </c:xVal>
          <c:yVal>
            <c:numRef>
              <c:f>'11'!$X$274:$X$275</c:f>
              <c:numCache>
                <c:formatCode>General</c:formatCode>
                <c:ptCount val="2"/>
                <c:pt idx="0">
                  <c:v>0</c:v>
                </c:pt>
                <c:pt idx="1">
                  <c:v>0.11</c:v>
                </c:pt>
              </c:numCache>
            </c:numRef>
          </c:yVal>
          <c:smooth val="0"/>
          <c:extLst>
            <c:ext xmlns:c16="http://schemas.microsoft.com/office/drawing/2014/chart" uri="{C3380CC4-5D6E-409C-BE32-E72D297353CC}">
              <c16:uniqueId val="{00000003-2AB8-49D0-8672-83119BD7AA8B}"/>
            </c:ext>
          </c:extLst>
        </c:ser>
        <c:dLbls>
          <c:showLegendKey val="0"/>
          <c:showVal val="0"/>
          <c:showCatName val="0"/>
          <c:showSerName val="0"/>
          <c:showPercent val="0"/>
          <c:showBubbleSize val="0"/>
        </c:dLbls>
        <c:axId val="362990592"/>
        <c:axId val="362996864"/>
      </c:scatterChart>
      <c:valAx>
        <c:axId val="362990592"/>
        <c:scaling>
          <c:orientation val="minMax"/>
          <c:max val="0.4"/>
          <c:min val="0.30000000000000016"/>
        </c:scaling>
        <c:delete val="0"/>
        <c:axPos val="b"/>
        <c:title>
          <c:tx>
            <c:rich>
              <a:bodyPr/>
              <a:lstStyle/>
              <a:p>
                <a:pPr>
                  <a:defRPr sz="1400"/>
                </a:pPr>
                <a:r>
                  <a:rPr lang="en-US" sz="1400"/>
                  <a:t>Center-of-Lift, (X/Lfus)</a:t>
                </a:r>
              </a:p>
            </c:rich>
          </c:tx>
          <c:layout>
            <c:manualLayout>
              <c:xMode val="edge"/>
              <c:yMode val="edge"/>
              <c:x val="0.32055565685868215"/>
              <c:y val="0.90812251477572736"/>
            </c:manualLayout>
          </c:layout>
          <c:overlay val="0"/>
        </c:title>
        <c:numFmt formatCode="#,##0.00" sourceLinked="0"/>
        <c:majorTickMark val="out"/>
        <c:minorTickMark val="none"/>
        <c:tickLblPos val="nextTo"/>
        <c:crossAx val="362996864"/>
        <c:crosses val="autoZero"/>
        <c:crossBetween val="midCat"/>
      </c:valAx>
      <c:valAx>
        <c:axId val="362996864"/>
        <c:scaling>
          <c:orientation val="minMax"/>
        </c:scaling>
        <c:delete val="0"/>
        <c:axPos val="l"/>
        <c:majorGridlines/>
        <c:title>
          <c:tx>
            <c:rich>
              <a:bodyPr rot="-5400000" vert="horz"/>
              <a:lstStyle/>
              <a:p>
                <a:pPr>
                  <a:defRPr sz="1400"/>
                </a:pPr>
                <a:r>
                  <a:rPr lang="en-US" sz="1400"/>
                  <a:t>Trim Drag (%)</a:t>
                </a:r>
              </a:p>
            </c:rich>
          </c:tx>
          <c:layout>
            <c:manualLayout>
              <c:xMode val="edge"/>
              <c:yMode val="edge"/>
              <c:x val="3.3694377676474652E-2"/>
              <c:y val="0.35733100771379228"/>
            </c:manualLayout>
          </c:layout>
          <c:overlay val="0"/>
        </c:title>
        <c:numFmt formatCode="0%" sourceLinked="0"/>
        <c:majorTickMark val="out"/>
        <c:minorTickMark val="none"/>
        <c:tickLblPos val="nextTo"/>
        <c:crossAx val="362990592"/>
        <c:crosses val="autoZero"/>
        <c:crossBetween val="midCat"/>
      </c:valAx>
    </c:plotArea>
    <c:legend>
      <c:legendPos val="r"/>
      <c:layout>
        <c:manualLayout>
          <c:xMode val="edge"/>
          <c:yMode val="edge"/>
          <c:x val="0.62568900624265222"/>
          <c:y val="0.34636563648123964"/>
          <c:w val="0.28165450681875015"/>
          <c:h val="0.45857782055057206"/>
        </c:manualLayout>
      </c:layout>
      <c:overlay val="0"/>
    </c:legend>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Force Balance</a:t>
            </a:r>
            <a:r>
              <a:rPr lang="en-US" sz="1600" baseline="0"/>
              <a:t> Diagram</a:t>
            </a:r>
            <a:endParaRPr lang="en-US" sz="1600"/>
          </a:p>
          <a:p>
            <a:pPr algn="l">
              <a:defRPr/>
            </a:pPr>
            <a:r>
              <a:rPr lang="en-US" sz="1200"/>
              <a:t>Longitudinal (Pitch) Stability (x-z</a:t>
            </a:r>
            <a:r>
              <a:rPr lang="en-US" sz="1200" baseline="0"/>
              <a:t> plane)</a:t>
            </a:r>
            <a:endParaRPr lang="en-US" sz="1200"/>
          </a:p>
        </c:rich>
      </c:tx>
      <c:layout>
        <c:manualLayout>
          <c:xMode val="edge"/>
          <c:yMode val="edge"/>
          <c:x val="1.7581151967199209E-2"/>
          <c:y val="1.7933934130213273E-2"/>
        </c:manualLayout>
      </c:layout>
      <c:overlay val="0"/>
    </c:title>
    <c:autoTitleDeleted val="0"/>
    <c:plotArea>
      <c:layout>
        <c:manualLayout>
          <c:layoutTarget val="inner"/>
          <c:xMode val="edge"/>
          <c:yMode val="edge"/>
          <c:x val="0.15553709219402334"/>
          <c:y val="0.21290286579821857"/>
          <c:w val="0.7015846547112542"/>
          <c:h val="0.64856101438024472"/>
        </c:manualLayout>
      </c:layout>
      <c:scatterChart>
        <c:scatterStyle val="lineMarker"/>
        <c:varyColors val="0"/>
        <c:ser>
          <c:idx val="0"/>
          <c:order val="0"/>
          <c:tx>
            <c:strRef>
              <c:f>'11'!$R$276</c:f>
              <c:strCache>
                <c:ptCount val="1"/>
                <c:pt idx="0">
                  <c:v>Fuel </c:v>
                </c:pt>
              </c:strCache>
            </c:strRef>
          </c:tx>
          <c:spPr>
            <a:ln>
              <a:tailEnd type="stealth" w="lg" len="lg"/>
            </a:ln>
          </c:spPr>
          <c:marker>
            <c:symbol val="none"/>
          </c:marker>
          <c:xVal>
            <c:numRef>
              <c:f>'11'!$R$278:$R$279</c:f>
              <c:numCache>
                <c:formatCode>0.0000</c:formatCode>
                <c:ptCount val="2"/>
                <c:pt idx="0">
                  <c:v>0.5</c:v>
                </c:pt>
                <c:pt idx="1">
                  <c:v>0.5</c:v>
                </c:pt>
              </c:numCache>
            </c:numRef>
          </c:xVal>
          <c:yVal>
            <c:numRef>
              <c:f>'11'!$S$278:$S$279</c:f>
              <c:numCache>
                <c:formatCode>0.0000000</c:formatCode>
                <c:ptCount val="2"/>
                <c:pt idx="0">
                  <c:v>0</c:v>
                </c:pt>
                <c:pt idx="1">
                  <c:v>0</c:v>
                </c:pt>
              </c:numCache>
            </c:numRef>
          </c:yVal>
          <c:smooth val="0"/>
          <c:extLst>
            <c:ext xmlns:c16="http://schemas.microsoft.com/office/drawing/2014/chart" uri="{C3380CC4-5D6E-409C-BE32-E72D297353CC}">
              <c16:uniqueId val="{00000000-3881-4C26-829B-236300FC6718}"/>
            </c:ext>
          </c:extLst>
        </c:ser>
        <c:ser>
          <c:idx val="1"/>
          <c:order val="1"/>
          <c:tx>
            <c:strRef>
              <c:f>'11'!$R$281</c:f>
              <c:strCache>
                <c:ptCount val="1"/>
                <c:pt idx="0">
                  <c:v>Payload</c:v>
                </c:pt>
              </c:strCache>
            </c:strRef>
          </c:tx>
          <c:spPr>
            <a:ln>
              <a:tailEnd type="stealth" w="lg" len="lg"/>
            </a:ln>
          </c:spPr>
          <c:marker>
            <c:symbol val="none"/>
          </c:marker>
          <c:xVal>
            <c:numRef>
              <c:f>'11'!$R$283:$R$284</c:f>
              <c:numCache>
                <c:formatCode>0.0000</c:formatCode>
                <c:ptCount val="2"/>
                <c:pt idx="0">
                  <c:v>0.47500000000000003</c:v>
                </c:pt>
                <c:pt idx="1">
                  <c:v>0.47500000000000003</c:v>
                </c:pt>
              </c:numCache>
            </c:numRef>
          </c:xVal>
          <c:yVal>
            <c:numRef>
              <c:f>'11'!$S$283:$S$284</c:f>
              <c:numCache>
                <c:formatCode>0.0000000</c:formatCode>
                <c:ptCount val="2"/>
                <c:pt idx="0">
                  <c:v>0</c:v>
                </c:pt>
                <c:pt idx="1">
                  <c:v>0</c:v>
                </c:pt>
              </c:numCache>
            </c:numRef>
          </c:yVal>
          <c:smooth val="0"/>
          <c:extLst>
            <c:ext xmlns:c16="http://schemas.microsoft.com/office/drawing/2014/chart" uri="{C3380CC4-5D6E-409C-BE32-E72D297353CC}">
              <c16:uniqueId val="{00000001-3881-4C26-829B-236300FC6718}"/>
            </c:ext>
          </c:extLst>
        </c:ser>
        <c:ser>
          <c:idx val="2"/>
          <c:order val="2"/>
          <c:tx>
            <c:strRef>
              <c:f>'11'!$R$286</c:f>
              <c:strCache>
                <c:ptCount val="1"/>
                <c:pt idx="0">
                  <c:v>Fuselage Structure</c:v>
                </c:pt>
              </c:strCache>
            </c:strRef>
          </c:tx>
          <c:spPr>
            <a:ln>
              <a:headEnd type="none"/>
              <a:tailEnd type="stealth" w="lg" len="lg"/>
            </a:ln>
          </c:spPr>
          <c:marker>
            <c:symbol val="none"/>
          </c:marker>
          <c:xVal>
            <c:numRef>
              <c:f>'11'!$R$288:$R$289</c:f>
              <c:numCache>
                <c:formatCode>0.0000</c:formatCode>
                <c:ptCount val="2"/>
                <c:pt idx="0">
                  <c:v>0.5</c:v>
                </c:pt>
                <c:pt idx="1">
                  <c:v>0.5</c:v>
                </c:pt>
              </c:numCache>
            </c:numRef>
          </c:xVal>
          <c:yVal>
            <c:numRef>
              <c:f>'11'!$S$288:$S$289</c:f>
              <c:numCache>
                <c:formatCode>0.0000000</c:formatCode>
                <c:ptCount val="2"/>
                <c:pt idx="0">
                  <c:v>0</c:v>
                </c:pt>
                <c:pt idx="1">
                  <c:v>-99.187856136005479</c:v>
                </c:pt>
              </c:numCache>
            </c:numRef>
          </c:yVal>
          <c:smooth val="0"/>
          <c:extLst>
            <c:ext xmlns:c16="http://schemas.microsoft.com/office/drawing/2014/chart" uri="{C3380CC4-5D6E-409C-BE32-E72D297353CC}">
              <c16:uniqueId val="{00000002-3881-4C26-829B-236300FC6718}"/>
            </c:ext>
          </c:extLst>
        </c:ser>
        <c:ser>
          <c:idx val="3"/>
          <c:order val="3"/>
          <c:tx>
            <c:strRef>
              <c:f>'11'!$R$291</c:f>
              <c:strCache>
                <c:ptCount val="1"/>
                <c:pt idx="0">
                  <c:v>Engine Structure</c:v>
                </c:pt>
              </c:strCache>
            </c:strRef>
          </c:tx>
          <c:spPr>
            <a:ln>
              <a:tailEnd type="stealth" w="lg" len="lg"/>
            </a:ln>
          </c:spPr>
          <c:marker>
            <c:symbol val="none"/>
          </c:marker>
          <c:xVal>
            <c:numRef>
              <c:f>'11'!$R$293:$R$294</c:f>
              <c:numCache>
                <c:formatCode>0.0000</c:formatCode>
                <c:ptCount val="2"/>
                <c:pt idx="0">
                  <c:v>7.5000000000000011E-2</c:v>
                </c:pt>
                <c:pt idx="1">
                  <c:v>7.5000000000000011E-2</c:v>
                </c:pt>
              </c:numCache>
            </c:numRef>
          </c:xVal>
          <c:yVal>
            <c:numRef>
              <c:f>'11'!$S$293:$S$294</c:f>
              <c:numCache>
                <c:formatCode>0.0000000</c:formatCode>
                <c:ptCount val="2"/>
                <c:pt idx="0">
                  <c:v>0</c:v>
                </c:pt>
                <c:pt idx="1">
                  <c:v>-420.46731532835759</c:v>
                </c:pt>
              </c:numCache>
            </c:numRef>
          </c:yVal>
          <c:smooth val="0"/>
          <c:extLst>
            <c:ext xmlns:c16="http://schemas.microsoft.com/office/drawing/2014/chart" uri="{C3380CC4-5D6E-409C-BE32-E72D297353CC}">
              <c16:uniqueId val="{00000003-3881-4C26-829B-236300FC6718}"/>
            </c:ext>
          </c:extLst>
        </c:ser>
        <c:ser>
          <c:idx val="4"/>
          <c:order val="4"/>
          <c:tx>
            <c:strRef>
              <c:f>'11'!$R$296</c:f>
              <c:strCache>
                <c:ptCount val="1"/>
                <c:pt idx="0">
                  <c:v>Wing Structure</c:v>
                </c:pt>
              </c:strCache>
            </c:strRef>
          </c:tx>
          <c:spPr>
            <a:ln>
              <a:tailEnd type="stealth" w="lg" len="lg"/>
            </a:ln>
          </c:spPr>
          <c:marker>
            <c:symbol val="none"/>
          </c:marker>
          <c:xVal>
            <c:numRef>
              <c:f>'11'!$R$298:$R$299</c:f>
              <c:numCache>
                <c:formatCode>0.0000</c:formatCode>
                <c:ptCount val="2"/>
                <c:pt idx="0">
                  <c:v>0.50190462553416604</c:v>
                </c:pt>
                <c:pt idx="1">
                  <c:v>0.50190462553416604</c:v>
                </c:pt>
              </c:numCache>
            </c:numRef>
          </c:xVal>
          <c:yVal>
            <c:numRef>
              <c:f>'11'!$S$298:$S$299</c:f>
              <c:numCache>
                <c:formatCode>0.0000000</c:formatCode>
                <c:ptCount val="2"/>
                <c:pt idx="0">
                  <c:v>0</c:v>
                </c:pt>
                <c:pt idx="1">
                  <c:v>-127.53072711420064</c:v>
                </c:pt>
              </c:numCache>
            </c:numRef>
          </c:yVal>
          <c:smooth val="0"/>
          <c:extLst>
            <c:ext xmlns:c16="http://schemas.microsoft.com/office/drawing/2014/chart" uri="{C3380CC4-5D6E-409C-BE32-E72D297353CC}">
              <c16:uniqueId val="{00000004-3881-4C26-829B-236300FC6718}"/>
            </c:ext>
          </c:extLst>
        </c:ser>
        <c:ser>
          <c:idx val="5"/>
          <c:order val="5"/>
          <c:tx>
            <c:strRef>
              <c:f>'11'!$R$301</c:f>
              <c:strCache>
                <c:ptCount val="1"/>
                <c:pt idx="0">
                  <c:v>Horizontal Tail Structure</c:v>
                </c:pt>
              </c:strCache>
            </c:strRef>
          </c:tx>
          <c:spPr>
            <a:ln>
              <a:tailEnd type="stealth" w="lg" len="lg"/>
            </a:ln>
          </c:spPr>
          <c:marker>
            <c:symbol val="none"/>
          </c:marker>
          <c:xVal>
            <c:numRef>
              <c:f>'11'!$R$303:$R$304</c:f>
              <c:numCache>
                <c:formatCode>0.0000</c:formatCode>
                <c:ptCount val="2"/>
                <c:pt idx="0">
                  <c:v>1.0953433941719548</c:v>
                </c:pt>
                <c:pt idx="1">
                  <c:v>1.0953433941719548</c:v>
                </c:pt>
              </c:numCache>
            </c:numRef>
          </c:xVal>
          <c:yVal>
            <c:numRef>
              <c:f>'11'!$S$303:$S$304</c:f>
              <c:numCache>
                <c:formatCode>0.0000000</c:formatCode>
                <c:ptCount val="2"/>
                <c:pt idx="0">
                  <c:v>0</c:v>
                </c:pt>
                <c:pt idx="1">
                  <c:v>-16.713960148368926</c:v>
                </c:pt>
              </c:numCache>
            </c:numRef>
          </c:yVal>
          <c:smooth val="0"/>
          <c:extLst>
            <c:ext xmlns:c16="http://schemas.microsoft.com/office/drawing/2014/chart" uri="{C3380CC4-5D6E-409C-BE32-E72D297353CC}">
              <c16:uniqueId val="{00000005-3881-4C26-829B-236300FC6718}"/>
            </c:ext>
          </c:extLst>
        </c:ser>
        <c:ser>
          <c:idx val="6"/>
          <c:order val="6"/>
          <c:tx>
            <c:strRef>
              <c:f>'11'!$R$306</c:f>
              <c:strCache>
                <c:ptCount val="1"/>
                <c:pt idx="0">
                  <c:v>Vertical Tail Structure</c:v>
                </c:pt>
              </c:strCache>
            </c:strRef>
          </c:tx>
          <c:spPr>
            <a:ln>
              <a:tailEnd type="stealth" w="lg" len="lg"/>
            </a:ln>
          </c:spPr>
          <c:marker>
            <c:symbol val="none"/>
          </c:marker>
          <c:xVal>
            <c:numRef>
              <c:f>'11'!$R$308:$R$309</c:f>
              <c:numCache>
                <c:formatCode>0.0000</c:formatCode>
                <c:ptCount val="2"/>
                <c:pt idx="0">
                  <c:v>1.0875625122822976</c:v>
                </c:pt>
                <c:pt idx="1">
                  <c:v>1.0875625122822976</c:v>
                </c:pt>
              </c:numCache>
            </c:numRef>
          </c:xVal>
          <c:yVal>
            <c:numRef>
              <c:f>'11'!$S$308:$S$309</c:f>
              <c:numCache>
                <c:formatCode>0.0000000</c:formatCode>
                <c:ptCount val="2"/>
                <c:pt idx="0">
                  <c:v>0</c:v>
                </c:pt>
                <c:pt idx="1">
                  <c:v>-10.456106648627296</c:v>
                </c:pt>
              </c:numCache>
            </c:numRef>
          </c:yVal>
          <c:smooth val="0"/>
          <c:extLst>
            <c:ext xmlns:c16="http://schemas.microsoft.com/office/drawing/2014/chart" uri="{C3380CC4-5D6E-409C-BE32-E72D297353CC}">
              <c16:uniqueId val="{00000006-3881-4C26-829B-236300FC6718}"/>
            </c:ext>
          </c:extLst>
        </c:ser>
        <c:ser>
          <c:idx val="7"/>
          <c:order val="7"/>
          <c:tx>
            <c:strRef>
              <c:f>'11'!$R$311</c:f>
              <c:strCache>
                <c:ptCount val="1"/>
                <c:pt idx="0">
                  <c:v>Other</c:v>
                </c:pt>
              </c:strCache>
            </c:strRef>
          </c:tx>
          <c:spPr>
            <a:ln>
              <a:tailEnd type="stealth" w="lg" len="lg"/>
            </a:ln>
          </c:spPr>
          <c:marker>
            <c:symbol val="none"/>
          </c:marker>
          <c:xVal>
            <c:numRef>
              <c:f>'11'!$R$313:$R$314</c:f>
              <c:numCache>
                <c:formatCode>0.0000</c:formatCode>
                <c:ptCount val="2"/>
                <c:pt idx="0">
                  <c:v>0.5</c:v>
                </c:pt>
                <c:pt idx="1">
                  <c:v>0.5</c:v>
                </c:pt>
              </c:numCache>
            </c:numRef>
          </c:xVal>
          <c:yVal>
            <c:numRef>
              <c:f>'11'!$S$313:$S$314</c:f>
              <c:numCache>
                <c:formatCode>0.0000000</c:formatCode>
                <c:ptCount val="2"/>
                <c:pt idx="0">
                  <c:v>0</c:v>
                </c:pt>
                <c:pt idx="1">
                  <c:v>-151.9110094124822</c:v>
                </c:pt>
              </c:numCache>
            </c:numRef>
          </c:yVal>
          <c:smooth val="0"/>
          <c:extLst>
            <c:ext xmlns:c16="http://schemas.microsoft.com/office/drawing/2014/chart" uri="{C3380CC4-5D6E-409C-BE32-E72D297353CC}">
              <c16:uniqueId val="{00000007-3881-4C26-829B-236300FC6718}"/>
            </c:ext>
          </c:extLst>
        </c:ser>
        <c:ser>
          <c:idx val="8"/>
          <c:order val="8"/>
          <c:tx>
            <c:strRef>
              <c:f>'11'!$R$316</c:f>
              <c:strCache>
                <c:ptCount val="1"/>
                <c:pt idx="0">
                  <c:v>Wing Lift</c:v>
                </c:pt>
              </c:strCache>
            </c:strRef>
          </c:tx>
          <c:spPr>
            <a:ln>
              <a:solidFill>
                <a:srgbClr val="FF0000"/>
              </a:solidFill>
              <a:tailEnd type="stealth" w="lg" len="lg"/>
            </a:ln>
          </c:spPr>
          <c:marker>
            <c:symbol val="none"/>
          </c:marker>
          <c:xVal>
            <c:numRef>
              <c:f>'11'!$R$318:$R$319</c:f>
              <c:numCache>
                <c:formatCode>0.0000</c:formatCode>
                <c:ptCount val="2"/>
                <c:pt idx="0">
                  <c:v>0.40730914440364852</c:v>
                </c:pt>
                <c:pt idx="1">
                  <c:v>0.40730914440364852</c:v>
                </c:pt>
              </c:numCache>
            </c:numRef>
          </c:xVal>
          <c:yVal>
            <c:numRef>
              <c:f>'11'!$S$318:$S$319</c:f>
              <c:numCache>
                <c:formatCode>0.0000000</c:formatCode>
                <c:ptCount val="2"/>
                <c:pt idx="0">
                  <c:v>0</c:v>
                </c:pt>
                <c:pt idx="1">
                  <c:v>685.57683923083039</c:v>
                </c:pt>
              </c:numCache>
            </c:numRef>
          </c:yVal>
          <c:smooth val="0"/>
          <c:extLst>
            <c:ext xmlns:c16="http://schemas.microsoft.com/office/drawing/2014/chart" uri="{C3380CC4-5D6E-409C-BE32-E72D297353CC}">
              <c16:uniqueId val="{00000008-3881-4C26-829B-236300FC6718}"/>
            </c:ext>
          </c:extLst>
        </c:ser>
        <c:ser>
          <c:idx val="9"/>
          <c:order val="9"/>
          <c:tx>
            <c:strRef>
              <c:f>'11'!$R$321</c:f>
              <c:strCache>
                <c:ptCount val="1"/>
                <c:pt idx="0">
                  <c:v>Horizontal Stabilizer Lift</c:v>
                </c:pt>
              </c:strCache>
            </c:strRef>
          </c:tx>
          <c:spPr>
            <a:ln>
              <a:tailEnd type="stealth" w="lg" len="lg"/>
            </a:ln>
          </c:spPr>
          <c:marker>
            <c:symbol val="none"/>
          </c:marker>
          <c:xVal>
            <c:numRef>
              <c:f>'11'!$R$323:$R$324</c:f>
              <c:numCache>
                <c:formatCode>0.0000</c:formatCode>
                <c:ptCount val="2"/>
                <c:pt idx="0">
                  <c:v>1.0953433941719548</c:v>
                </c:pt>
                <c:pt idx="1">
                  <c:v>1.0953433941719548</c:v>
                </c:pt>
              </c:numCache>
            </c:numRef>
          </c:xVal>
          <c:yVal>
            <c:numRef>
              <c:f>'11'!$S$323:$S$324</c:f>
              <c:numCache>
                <c:formatCode>0.0000000</c:formatCode>
                <c:ptCount val="2"/>
                <c:pt idx="0">
                  <c:v>0</c:v>
                </c:pt>
                <c:pt idx="1">
                  <c:v>-38.795356879489923</c:v>
                </c:pt>
              </c:numCache>
            </c:numRef>
          </c:yVal>
          <c:smooth val="0"/>
          <c:extLst>
            <c:ext xmlns:c16="http://schemas.microsoft.com/office/drawing/2014/chart" uri="{C3380CC4-5D6E-409C-BE32-E72D297353CC}">
              <c16:uniqueId val="{00000009-3881-4C26-829B-236300FC6718}"/>
            </c:ext>
          </c:extLst>
        </c:ser>
        <c:ser>
          <c:idx val="10"/>
          <c:order val="10"/>
          <c:tx>
            <c:strRef>
              <c:f>'11'!$R$326</c:f>
              <c:strCache>
                <c:ptCount val="1"/>
                <c:pt idx="0">
                  <c:v>Center-of-Gravity</c:v>
                </c:pt>
              </c:strCache>
            </c:strRef>
          </c:tx>
          <c:spPr>
            <a:ln>
              <a:solidFill>
                <a:schemeClr val="tx1"/>
              </a:solidFill>
              <a:tailEnd type="stealth" w="lg" len="lg"/>
            </a:ln>
          </c:spPr>
          <c:marker>
            <c:symbol val="none"/>
          </c:marker>
          <c:xVal>
            <c:numRef>
              <c:f>'11'!$R$328:$R$329</c:f>
              <c:numCache>
                <c:formatCode>0.0000</c:formatCode>
                <c:ptCount val="2"/>
                <c:pt idx="0">
                  <c:v>0.30349989333531641</c:v>
                </c:pt>
                <c:pt idx="1">
                  <c:v>0.30349989333531641</c:v>
                </c:pt>
              </c:numCache>
            </c:numRef>
          </c:xVal>
          <c:yVal>
            <c:numRef>
              <c:f>'11'!$S$328:$S$329</c:f>
              <c:numCache>
                <c:formatCode>0.0000000</c:formatCode>
                <c:ptCount val="2"/>
                <c:pt idx="0">
                  <c:v>0</c:v>
                </c:pt>
                <c:pt idx="1">
                  <c:v>-826.26697478804226</c:v>
                </c:pt>
              </c:numCache>
            </c:numRef>
          </c:yVal>
          <c:smooth val="0"/>
          <c:extLst>
            <c:ext xmlns:c16="http://schemas.microsoft.com/office/drawing/2014/chart" uri="{C3380CC4-5D6E-409C-BE32-E72D297353CC}">
              <c16:uniqueId val="{0000000A-3881-4C26-829B-236300FC6718}"/>
            </c:ext>
          </c:extLst>
        </c:ser>
        <c:dLbls>
          <c:showLegendKey val="0"/>
          <c:showVal val="0"/>
          <c:showCatName val="0"/>
          <c:showSerName val="0"/>
          <c:showPercent val="0"/>
          <c:showBubbleSize val="0"/>
        </c:dLbls>
        <c:axId val="364451712"/>
        <c:axId val="364457984"/>
      </c:scatterChart>
      <c:valAx>
        <c:axId val="364451712"/>
        <c:scaling>
          <c:orientation val="minMax"/>
        </c:scaling>
        <c:delete val="0"/>
        <c:axPos val="b"/>
        <c:title>
          <c:tx>
            <c:rich>
              <a:bodyPr/>
              <a:lstStyle/>
              <a:p>
                <a:pPr>
                  <a:defRPr sz="1400"/>
                </a:pPr>
                <a:r>
                  <a:rPr lang="en-US" sz="1400"/>
                  <a:t>Axial Location,</a:t>
                </a:r>
                <a:r>
                  <a:rPr lang="en-US" sz="1400" baseline="0"/>
                  <a:t> x/Lfuse, (-)</a:t>
                </a:r>
                <a:endParaRPr lang="en-US" sz="1400"/>
              </a:p>
            </c:rich>
          </c:tx>
          <c:layout>
            <c:manualLayout>
              <c:xMode val="edge"/>
              <c:yMode val="edge"/>
              <c:x val="0.27007095237906287"/>
              <c:y val="0.90277830764112232"/>
            </c:manualLayout>
          </c:layout>
          <c:overlay val="0"/>
        </c:title>
        <c:numFmt formatCode="0.0" sourceLinked="0"/>
        <c:majorTickMark val="out"/>
        <c:minorTickMark val="none"/>
        <c:tickLblPos val="nextTo"/>
        <c:crossAx val="364457984"/>
        <c:crosses val="autoZero"/>
        <c:crossBetween val="midCat"/>
      </c:valAx>
      <c:valAx>
        <c:axId val="364457984"/>
        <c:scaling>
          <c:orientation val="minMax"/>
        </c:scaling>
        <c:delete val="0"/>
        <c:axPos val="l"/>
        <c:majorGridlines/>
        <c:title>
          <c:tx>
            <c:rich>
              <a:bodyPr rot="-5400000" vert="horz"/>
              <a:lstStyle/>
              <a:p>
                <a:pPr>
                  <a:defRPr sz="1400"/>
                </a:pPr>
                <a:r>
                  <a:rPr lang="en-US" sz="1400"/>
                  <a:t>Force - lbf</a:t>
                </a:r>
              </a:p>
            </c:rich>
          </c:tx>
          <c:layout>
            <c:manualLayout>
              <c:xMode val="edge"/>
              <c:yMode val="edge"/>
              <c:x val="2.2495735494398275E-2"/>
              <c:y val="0.42840087242615799"/>
            </c:manualLayout>
          </c:layout>
          <c:overlay val="0"/>
        </c:title>
        <c:numFmt formatCode="#,##0" sourceLinked="0"/>
        <c:majorTickMark val="out"/>
        <c:minorTickMark val="none"/>
        <c:tickLblPos val="nextTo"/>
        <c:crossAx val="364451712"/>
        <c:crosses val="autoZero"/>
        <c:crossBetween val="midCat"/>
      </c:valAx>
    </c:plotArea>
    <c:legend>
      <c:legendPos val="r"/>
      <c:layout>
        <c:manualLayout>
          <c:xMode val="edge"/>
          <c:yMode val="edge"/>
          <c:x val="0.60950501857739847"/>
          <c:y val="0.48038685816667498"/>
          <c:w val="0.37007354074192955"/>
          <c:h val="0.44713854710823736"/>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0.33686384962734833</c:v>
                </c:pt>
                <c:pt idx="1">
                  <c:v>0.35762569984101478</c:v>
                </c:pt>
                <c:pt idx="2">
                  <c:v>0.36800662494784797</c:v>
                </c:pt>
                <c:pt idx="3">
                  <c:v>0.37838755005468117</c:v>
                </c:pt>
                <c:pt idx="4">
                  <c:v>0.39914940026834761</c:v>
                </c:pt>
                <c:pt idx="5">
                  <c:v>0.41991125048201405</c:v>
                </c:pt>
                <c:pt idx="6">
                  <c:v>0.47181587601618002</c:v>
                </c:pt>
              </c:numCache>
            </c:numRef>
          </c:xVal>
          <c:yVal>
            <c:numRef>
              <c:f>'11'!$Y$93:$Y$99</c:f>
              <c:numCache>
                <c:formatCode>0.0000</c:formatCode>
                <c:ptCount val="7"/>
                <c:pt idx="0">
                  <c:v>2.2029302459300446</c:v>
                </c:pt>
                <c:pt idx="1">
                  <c:v>1.7485104352671577</c:v>
                </c:pt>
                <c:pt idx="2">
                  <c:v>1.5213005299357154</c:v>
                </c:pt>
                <c:pt idx="3">
                  <c:v>1.2940906246042732</c:v>
                </c:pt>
                <c:pt idx="4">
                  <c:v>0.83967081394138754</c:v>
                </c:pt>
                <c:pt idx="5">
                  <c:v>0.38525100327850104</c:v>
                </c:pt>
                <c:pt idx="6">
                  <c:v>-0.75079852337871156</c:v>
                </c:pt>
              </c:numCache>
            </c:numRef>
          </c:yVal>
          <c:smooth val="0"/>
          <c:extLst>
            <c:ext xmlns:c16="http://schemas.microsoft.com/office/drawing/2014/chart" uri="{C3380CC4-5D6E-409C-BE32-E72D297353CC}">
              <c16:uniqueId val="{00000000-42F1-44D4-BCFD-5470F4F74931}"/>
            </c:ext>
          </c:extLst>
        </c:ser>
        <c:ser>
          <c:idx val="2"/>
          <c:order val="1"/>
          <c:tx>
            <c:v>W=We</c:v>
          </c:tx>
          <c:spPr>
            <a:ln>
              <a:solidFill>
                <a:srgbClr val="FF0000"/>
              </a:solidFill>
            </a:ln>
          </c:spPr>
          <c:marker>
            <c:symbol val="none"/>
          </c:marker>
          <c:xVal>
            <c:numRef>
              <c:f>'11'!$R$103:$R$109</c:f>
              <c:numCache>
                <c:formatCode>0.0000</c:formatCode>
                <c:ptCount val="7"/>
                <c:pt idx="0">
                  <c:v>0.27235711801481677</c:v>
                </c:pt>
                <c:pt idx="1">
                  <c:v>0.29311896822848321</c:v>
                </c:pt>
                <c:pt idx="2">
                  <c:v>0.30349989333531641</c:v>
                </c:pt>
                <c:pt idx="3">
                  <c:v>0.31388081844214966</c:v>
                </c:pt>
                <c:pt idx="4">
                  <c:v>0.33464266865581599</c:v>
                </c:pt>
                <c:pt idx="5">
                  <c:v>0.35540451886948249</c:v>
                </c:pt>
                <c:pt idx="6">
                  <c:v>0.40730914440364852</c:v>
                </c:pt>
              </c:numCache>
            </c:numRef>
          </c:xVal>
          <c:yVal>
            <c:numRef>
              <c:f>'11'!$Y$103:$Y$109</c:f>
              <c:numCache>
                <c:formatCode>0.0000</c:formatCode>
                <c:ptCount val="7"/>
                <c:pt idx="0">
                  <c:v>2.4156486773198931</c:v>
                </c:pt>
                <c:pt idx="1">
                  <c:v>1.961228866657007</c:v>
                </c:pt>
                <c:pt idx="2">
                  <c:v>1.7340189613255639</c:v>
                </c:pt>
                <c:pt idx="3">
                  <c:v>1.5068090559941207</c:v>
                </c:pt>
                <c:pt idx="4">
                  <c:v>1.0523892453312369</c:v>
                </c:pt>
                <c:pt idx="5">
                  <c:v>0.59796943466834951</c:v>
                </c:pt>
                <c:pt idx="6">
                  <c:v>-0.53808009198886397</c:v>
                </c:pt>
              </c:numCache>
            </c:numRef>
          </c:yVal>
          <c:smooth val="0"/>
          <c:extLst>
            <c:ext xmlns:c16="http://schemas.microsoft.com/office/drawing/2014/chart" uri="{C3380CC4-5D6E-409C-BE32-E72D297353CC}">
              <c16:uniqueId val="{00000001-42F1-44D4-BCFD-5470F4F74931}"/>
            </c:ext>
          </c:extLst>
        </c:ser>
        <c:ser>
          <c:idx val="1"/>
          <c:order val="2"/>
          <c:tx>
            <c:v>Lower Cma Bound</c:v>
          </c:tx>
          <c:spPr>
            <a:ln>
              <a:solidFill>
                <a:srgbClr val="00B050"/>
              </a:solidFill>
            </a:ln>
          </c:spPr>
          <c:marker>
            <c:symbol val="none"/>
          </c:marker>
          <c:xVal>
            <c:numRef>
              <c:f>'11'!$V$278:$V$279</c:f>
              <c:numCache>
                <c:formatCode>General</c:formatCode>
                <c:ptCount val="2"/>
                <c:pt idx="0">
                  <c:v>0.2</c:v>
                </c:pt>
                <c:pt idx="1">
                  <c:v>0.8</c:v>
                </c:pt>
              </c:numCache>
            </c:numRef>
          </c:xVal>
          <c:yVal>
            <c:numRef>
              <c:f>'11'!$W$278:$W$279</c:f>
              <c:numCache>
                <c:formatCode>General</c:formatCode>
                <c:ptCount val="2"/>
                <c:pt idx="0">
                  <c:v>-1.5</c:v>
                </c:pt>
                <c:pt idx="1">
                  <c:v>-1.5</c:v>
                </c:pt>
              </c:numCache>
            </c:numRef>
          </c:yVal>
          <c:smooth val="0"/>
          <c:extLst>
            <c:ext xmlns:c16="http://schemas.microsoft.com/office/drawing/2014/chart" uri="{C3380CC4-5D6E-409C-BE32-E72D297353CC}">
              <c16:uniqueId val="{00000002-42F1-44D4-BCFD-5470F4F74931}"/>
            </c:ext>
          </c:extLst>
        </c:ser>
        <c:ser>
          <c:idx val="3"/>
          <c:order val="3"/>
          <c:tx>
            <c:v>Upper Cma Bound</c:v>
          </c:tx>
          <c:spPr>
            <a:ln>
              <a:solidFill>
                <a:srgbClr val="00B050"/>
              </a:solidFill>
            </a:ln>
          </c:spPr>
          <c:marker>
            <c:symbol val="none"/>
          </c:marker>
          <c:xVal>
            <c:numRef>
              <c:f>'11'!$V$278:$V$279</c:f>
              <c:numCache>
                <c:formatCode>General</c:formatCode>
                <c:ptCount val="2"/>
                <c:pt idx="0">
                  <c:v>0.2</c:v>
                </c:pt>
                <c:pt idx="1">
                  <c:v>0.8</c:v>
                </c:pt>
              </c:numCache>
            </c:numRef>
          </c:xVal>
          <c:yVal>
            <c:numRef>
              <c:f>'11'!$X$278:$X$279</c:f>
              <c:numCache>
                <c:formatCode>General</c:formatCode>
                <c:ptCount val="2"/>
                <c:pt idx="0">
                  <c:v>-0.16</c:v>
                </c:pt>
                <c:pt idx="1">
                  <c:v>-0.16</c:v>
                </c:pt>
              </c:numCache>
            </c:numRef>
          </c:yVal>
          <c:smooth val="0"/>
          <c:extLst>
            <c:ext xmlns:c16="http://schemas.microsoft.com/office/drawing/2014/chart" uri="{C3380CC4-5D6E-409C-BE32-E72D297353CC}">
              <c16:uniqueId val="{00000003-42F1-44D4-BCFD-5470F4F74931}"/>
            </c:ext>
          </c:extLst>
        </c:ser>
        <c:ser>
          <c:idx val="4"/>
          <c:order val="4"/>
          <c:tx>
            <c:v>c.o. Lift</c:v>
          </c:tx>
          <c:spPr>
            <a:ln>
              <a:solidFill>
                <a:schemeClr val="tx1"/>
              </a:solidFill>
              <a:prstDash val="sysDash"/>
            </a:ln>
          </c:spPr>
          <c:marker>
            <c:symbol val="none"/>
          </c:marker>
          <c:xVal>
            <c:numRef>
              <c:f>'11'!$V$274:$V$275</c:f>
              <c:numCache>
                <c:formatCode>0.0000</c:formatCode>
                <c:ptCount val="2"/>
                <c:pt idx="0">
                  <c:v>0.45</c:v>
                </c:pt>
                <c:pt idx="1">
                  <c:v>0.45</c:v>
                </c:pt>
              </c:numCache>
            </c:numRef>
          </c:xVal>
          <c:yVal>
            <c:numRef>
              <c:f>'11'!$Y$274:$Y$275</c:f>
              <c:numCache>
                <c:formatCode>General</c:formatCode>
                <c:ptCount val="2"/>
                <c:pt idx="0">
                  <c:v>-3</c:v>
                </c:pt>
                <c:pt idx="1">
                  <c:v>1</c:v>
                </c:pt>
              </c:numCache>
            </c:numRef>
          </c:yVal>
          <c:smooth val="0"/>
          <c:extLst>
            <c:ext xmlns:c16="http://schemas.microsoft.com/office/drawing/2014/chart" uri="{C3380CC4-5D6E-409C-BE32-E72D297353CC}">
              <c16:uniqueId val="{00000004-42F1-44D4-BCFD-5470F4F74931}"/>
            </c:ext>
          </c:extLst>
        </c:ser>
        <c:dLbls>
          <c:showLegendKey val="0"/>
          <c:showVal val="0"/>
          <c:showCatName val="0"/>
          <c:showSerName val="0"/>
          <c:showPercent val="0"/>
          <c:showBubbleSize val="0"/>
        </c:dLbls>
        <c:axId val="364500480"/>
        <c:axId val="364502400"/>
      </c:scatterChart>
      <c:valAx>
        <c:axId val="364500480"/>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4502400"/>
        <c:crosses val="autoZero"/>
        <c:crossBetween val="midCat"/>
      </c:valAx>
      <c:valAx>
        <c:axId val="364502400"/>
        <c:scaling>
          <c:orientation val="minMax"/>
          <c:max val="2"/>
          <c:min val="-4"/>
        </c:scaling>
        <c:delete val="0"/>
        <c:axPos val="l"/>
        <c:majorGridlines/>
        <c:title>
          <c:tx>
            <c:rich>
              <a:bodyPr rot="-5400000" vert="horz"/>
              <a:lstStyle/>
              <a:p>
                <a:pPr>
                  <a:defRPr sz="1400"/>
                </a:pPr>
                <a:r>
                  <a:rPr lang="en-US" sz="1400"/>
                  <a:t>Long. Stability Coeff., C</a:t>
                </a:r>
                <a:r>
                  <a:rPr lang="en-US" sz="1400" baseline="-25000"/>
                  <a:t>M</a:t>
                </a:r>
                <a:r>
                  <a:rPr lang="en-US" sz="1400" baseline="-25000">
                    <a:latin typeface="Symbol" panose="05050102010706020507" pitchFamily="18" charset="2"/>
                  </a:rPr>
                  <a:t>a</a:t>
                </a:r>
              </a:p>
            </c:rich>
          </c:tx>
          <c:layout>
            <c:manualLayout>
              <c:xMode val="edge"/>
              <c:yMode val="edge"/>
              <c:x val="1.2054443931372567E-2"/>
              <c:y val="0.2368515766515101"/>
            </c:manualLayout>
          </c:layout>
          <c:overlay val="0"/>
        </c:title>
        <c:numFmt formatCode="0.00" sourceLinked="0"/>
        <c:majorTickMark val="out"/>
        <c:minorTickMark val="none"/>
        <c:tickLblPos val="nextTo"/>
        <c:crossAx val="364500480"/>
        <c:crosses val="autoZero"/>
        <c:crossBetween val="midCat"/>
      </c:valAx>
    </c:plotArea>
    <c:legend>
      <c:legendPos val="r"/>
      <c:layout>
        <c:manualLayout>
          <c:xMode val="edge"/>
          <c:yMode val="edge"/>
          <c:x val="0.68856463598118178"/>
          <c:y val="4.1424568407822257E-2"/>
          <c:w val="0.3114353640188181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V-Tail Planform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38"/>
          <c:w val="0.66716663847139213"/>
          <c:h val="0.65292282284939218"/>
        </c:manualLayout>
      </c:layout>
      <c:scatterChart>
        <c:scatterStyle val="lineMarker"/>
        <c:varyColors val="0"/>
        <c:ser>
          <c:idx val="0"/>
          <c:order val="0"/>
          <c:spPr>
            <a:ln w="28575">
              <a:solidFill>
                <a:srgbClr val="000080"/>
              </a:solidFill>
              <a:prstDash val="solid"/>
            </a:ln>
          </c:spPr>
          <c:marker>
            <c:symbol val="diamond"/>
            <c:size val="5"/>
            <c:spPr>
              <a:solidFill>
                <a:srgbClr val="000080"/>
              </a:solidFill>
              <a:ln>
                <a:solidFill>
                  <a:srgbClr val="000080"/>
                </a:solidFill>
                <a:prstDash val="solid"/>
              </a:ln>
            </c:spPr>
          </c:marker>
          <c:xVal>
            <c:numRef>
              <c:f>'11'!$R$238:$R$242</c:f>
              <c:numCache>
                <c:formatCode>0.0000</c:formatCode>
                <c:ptCount val="5"/>
                <c:pt idx="0">
                  <c:v>0</c:v>
                </c:pt>
                <c:pt idx="1">
                  <c:v>4.7201468973365328</c:v>
                </c:pt>
                <c:pt idx="2">
                  <c:v>4.1474380696714164</c:v>
                </c:pt>
                <c:pt idx="3">
                  <c:v>1.3153499312694972</c:v>
                </c:pt>
                <c:pt idx="4">
                  <c:v>0</c:v>
                </c:pt>
              </c:numCache>
            </c:numRef>
          </c:xVal>
          <c:yVal>
            <c:numRef>
              <c:f>'11'!$S$238:$S$242</c:f>
              <c:numCache>
                <c:formatCode>0.000</c:formatCode>
                <c:ptCount val="5"/>
                <c:pt idx="0">
                  <c:v>0</c:v>
                </c:pt>
                <c:pt idx="1">
                  <c:v>0</c:v>
                </c:pt>
                <c:pt idx="2">
                  <c:v>4.908952773229994</c:v>
                </c:pt>
                <c:pt idx="3">
                  <c:v>4.908952773229994</c:v>
                </c:pt>
                <c:pt idx="4">
                  <c:v>0</c:v>
                </c:pt>
              </c:numCache>
            </c:numRef>
          </c:yVal>
          <c:smooth val="0"/>
          <c:extLst>
            <c:ext xmlns:c16="http://schemas.microsoft.com/office/drawing/2014/chart" uri="{C3380CC4-5D6E-409C-BE32-E72D297353CC}">
              <c16:uniqueId val="{00000000-3612-4737-99E7-A7E7EA4287BC}"/>
            </c:ext>
          </c:extLst>
        </c:ser>
        <c:ser>
          <c:idx val="1"/>
          <c:order val="1"/>
          <c:marker>
            <c:symbol val="none"/>
          </c:marker>
          <c:xVal>
            <c:numRef>
              <c:f>'11'!$R$246:$R$247</c:f>
              <c:numCache>
                <c:formatCode>General</c:formatCode>
                <c:ptCount val="2"/>
                <c:pt idx="0">
                  <c:v>0.60286871849851953</c:v>
                </c:pt>
                <c:pt idx="1">
                  <c:v>4.4576553513233543</c:v>
                </c:pt>
              </c:numCache>
            </c:numRef>
          </c:xVal>
          <c:yVal>
            <c:numRef>
              <c:f>'11'!$S$246:$S$247</c:f>
              <c:numCache>
                <c:formatCode>0.000</c:formatCode>
                <c:ptCount val="2"/>
                <c:pt idx="0">
                  <c:v>2.2499366877304139</c:v>
                </c:pt>
                <c:pt idx="1">
                  <c:v>2.2499366877304139</c:v>
                </c:pt>
              </c:numCache>
            </c:numRef>
          </c:yVal>
          <c:smooth val="0"/>
          <c:extLst>
            <c:ext xmlns:c16="http://schemas.microsoft.com/office/drawing/2014/chart" uri="{C3380CC4-5D6E-409C-BE32-E72D297353CC}">
              <c16:uniqueId val="{00000001-3612-4737-99E7-A7E7EA4287BC}"/>
            </c:ext>
          </c:extLst>
        </c:ser>
        <c:ser>
          <c:idx val="2"/>
          <c:order val="2"/>
          <c:spPr>
            <a:ln>
              <a:solidFill>
                <a:srgbClr val="FFFF00"/>
              </a:solidFill>
            </a:ln>
          </c:spPr>
          <c:marker>
            <c:symbol val="none"/>
          </c:marker>
          <c:xVal>
            <c:numRef>
              <c:f>'11'!$R$252:$R$256</c:f>
              <c:numCache>
                <c:formatCode>0.000</c:formatCode>
                <c:ptCount val="5"/>
                <c:pt idx="0">
                  <c:v>4.6056051318035092</c:v>
                </c:pt>
                <c:pt idx="1">
                  <c:v>4.26197983520444</c:v>
                </c:pt>
                <c:pt idx="2">
                  <c:v>3.6326269155595692</c:v>
                </c:pt>
                <c:pt idx="3">
                  <c:v>3.9762522121586383</c:v>
                </c:pt>
                <c:pt idx="4">
                  <c:v>4.6056051318035092</c:v>
                </c:pt>
              </c:numCache>
            </c:numRef>
          </c:xVal>
          <c:yVal>
            <c:numRef>
              <c:f>'11'!$S$252:$S$256</c:f>
              <c:numCache>
                <c:formatCode>0.000</c:formatCode>
                <c:ptCount val="5"/>
                <c:pt idx="0">
                  <c:v>0.98179055464599885</c:v>
                </c:pt>
                <c:pt idx="1">
                  <c:v>3.9271622185839954</c:v>
                </c:pt>
                <c:pt idx="2">
                  <c:v>3.9271622185839954</c:v>
                </c:pt>
                <c:pt idx="3">
                  <c:v>0.98179055464599885</c:v>
                </c:pt>
                <c:pt idx="4">
                  <c:v>0.98179055464599885</c:v>
                </c:pt>
              </c:numCache>
            </c:numRef>
          </c:yVal>
          <c:smooth val="0"/>
          <c:extLst>
            <c:ext xmlns:c16="http://schemas.microsoft.com/office/drawing/2014/chart" uri="{C3380CC4-5D6E-409C-BE32-E72D297353CC}">
              <c16:uniqueId val="{00000002-3612-4737-99E7-A7E7EA4287BC}"/>
            </c:ext>
          </c:extLst>
        </c:ser>
        <c:dLbls>
          <c:showLegendKey val="0"/>
          <c:showVal val="0"/>
          <c:showCatName val="0"/>
          <c:showSerName val="0"/>
          <c:showPercent val="0"/>
          <c:showBubbleSize val="0"/>
        </c:dLbls>
        <c:axId val="360368384"/>
        <c:axId val="360370560"/>
      </c:scatterChart>
      <c:valAx>
        <c:axId val="36036838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666"/>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70560"/>
        <c:crosses val="autoZero"/>
        <c:crossBetween val="midCat"/>
      </c:valAx>
      <c:valAx>
        <c:axId val="360370560"/>
        <c:scaling>
          <c:orientation val="minMax"/>
          <c:max val="6"/>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aseline="0"/>
                  <a:t>V-Tail Span, (ft)</a:t>
                </a:r>
                <a:endParaRPr lang="en-US" sz="1000"/>
              </a:p>
            </c:rich>
          </c:tx>
          <c:layout>
            <c:manualLayout>
              <c:xMode val="edge"/>
              <c:yMode val="edge"/>
              <c:x val="3.7785534540141247E-2"/>
              <c:y val="0.29305187046171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6838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Static Margin</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42"/>
          <c:h val="0.64856101438024472"/>
        </c:manualLayout>
      </c:layout>
      <c:scatterChart>
        <c:scatterStyle val="lineMarker"/>
        <c:varyColors val="0"/>
        <c:ser>
          <c:idx val="0"/>
          <c:order val="0"/>
          <c:tx>
            <c:v>W=Wo</c:v>
          </c:tx>
          <c:marker>
            <c:symbol val="none"/>
          </c:marker>
          <c:xVal>
            <c:numRef>
              <c:f>'11'!$T$93:$T$99</c:f>
              <c:numCache>
                <c:formatCode>0%</c:formatCode>
                <c:ptCount val="7"/>
                <c:pt idx="0">
                  <c:v>-0.15000000000000005</c:v>
                </c:pt>
                <c:pt idx="1">
                  <c:v>-4.9999999999999878E-2</c:v>
                </c:pt>
                <c:pt idx="2">
                  <c:v>0</c:v>
                </c:pt>
                <c:pt idx="3">
                  <c:v>4.9999999999999878E-2</c:v>
                </c:pt>
                <c:pt idx="4">
                  <c:v>0.14999999999999983</c:v>
                </c:pt>
                <c:pt idx="5">
                  <c:v>0.25</c:v>
                </c:pt>
                <c:pt idx="6">
                  <c:v>0.49999999999999961</c:v>
                </c:pt>
              </c:numCache>
            </c:numRef>
          </c:xVal>
          <c:yVal>
            <c:numRef>
              <c:f>'11'!$X$93:$X$99</c:f>
              <c:numCache>
                <c:formatCode>0.0000</c:formatCode>
                <c:ptCount val="7"/>
                <c:pt idx="0">
                  <c:v>1.0694949065110423E-2</c:v>
                </c:pt>
                <c:pt idx="1">
                  <c:v>6.0666899568322585E-3</c:v>
                </c:pt>
                <c:pt idx="2">
                  <c:v>4.1766343448207703E-3</c:v>
                </c:pt>
                <c:pt idx="3">
                  <c:v>2.6026310737096228E-3</c:v>
                </c:pt>
                <c:pt idx="4">
                  <c:v>5.1503404983124475E-4</c:v>
                </c:pt>
                <c:pt idx="5">
                  <c:v>5.1683753212044567E-5</c:v>
                </c:pt>
                <c:pt idx="6">
                  <c:v>8.0243648277049193E-3</c:v>
                </c:pt>
              </c:numCache>
            </c:numRef>
          </c:yVal>
          <c:smooth val="0"/>
          <c:extLst>
            <c:ext xmlns:c16="http://schemas.microsoft.com/office/drawing/2014/chart" uri="{C3380CC4-5D6E-409C-BE32-E72D297353CC}">
              <c16:uniqueId val="{00000000-54B8-477D-98CE-3BC0CE876320}"/>
            </c:ext>
          </c:extLst>
        </c:ser>
        <c:ser>
          <c:idx val="2"/>
          <c:order val="1"/>
          <c:tx>
            <c:v>W=We</c:v>
          </c:tx>
          <c:spPr>
            <a:ln>
              <a:solidFill>
                <a:srgbClr val="FF0000"/>
              </a:solidFill>
            </a:ln>
          </c:spPr>
          <c:marker>
            <c:symbol val="none"/>
          </c:marker>
          <c:xVal>
            <c:numRef>
              <c:f>'11'!$T$103:$T$109</c:f>
              <c:numCache>
                <c:formatCode>0%</c:formatCode>
                <c:ptCount val="7"/>
                <c:pt idx="0">
                  <c:v>-0.15000000000000005</c:v>
                </c:pt>
                <c:pt idx="1">
                  <c:v>-5.0000000000000079E-2</c:v>
                </c:pt>
                <c:pt idx="2">
                  <c:v>0</c:v>
                </c:pt>
                <c:pt idx="3">
                  <c:v>5.0000000000000079E-2</c:v>
                </c:pt>
                <c:pt idx="4">
                  <c:v>0.14999999999999963</c:v>
                </c:pt>
                <c:pt idx="5">
                  <c:v>0.25</c:v>
                </c:pt>
                <c:pt idx="6">
                  <c:v>0.49999999999999978</c:v>
                </c:pt>
              </c:numCache>
            </c:numRef>
          </c:xVal>
          <c:yVal>
            <c:numRef>
              <c:f>'11'!$X$103:$X$109</c:f>
              <c:numCache>
                <c:formatCode>0.0000</c:formatCode>
                <c:ptCount val="7"/>
                <c:pt idx="0">
                  <c:v>4.8965732166517733E-3</c:v>
                </c:pt>
                <c:pt idx="1">
                  <c:v>3.1190320126410868E-3</c:v>
                </c:pt>
                <c:pt idx="2">
                  <c:v>2.3537528002041804E-3</c:v>
                </c:pt>
                <c:pt idx="3">
                  <c:v>1.6805204924658312E-3</c:v>
                </c:pt>
                <c:pt idx="4">
                  <c:v>6.4295658655911516E-4</c:v>
                </c:pt>
                <c:pt idx="5">
                  <c:v>7.8734155788137106E-5</c:v>
                </c:pt>
                <c:pt idx="6">
                  <c:v>1.3327861200294279E-3</c:v>
                </c:pt>
              </c:numCache>
            </c:numRef>
          </c:yVal>
          <c:smooth val="0"/>
          <c:extLst>
            <c:ext xmlns:c16="http://schemas.microsoft.com/office/drawing/2014/chart" uri="{C3380CC4-5D6E-409C-BE32-E72D297353CC}">
              <c16:uniqueId val="{00000001-54B8-477D-98CE-3BC0CE876320}"/>
            </c:ext>
          </c:extLst>
        </c:ser>
        <c:ser>
          <c:idx val="1"/>
          <c:order val="2"/>
          <c:tx>
            <c:v>Design Goal</c:v>
          </c:tx>
          <c:spPr>
            <a:ln>
              <a:solidFill>
                <a:srgbClr val="00B050"/>
              </a:solidFill>
            </a:ln>
          </c:spPr>
          <c:marker>
            <c:symbol val="none"/>
          </c:marker>
          <c:xVal>
            <c:numRef>
              <c:f>'11'!$S$265:$S$269</c:f>
              <c:numCache>
                <c:formatCode>0%</c:formatCode>
                <c:ptCount val="5"/>
                <c:pt idx="0">
                  <c:v>0.03</c:v>
                </c:pt>
                <c:pt idx="1">
                  <c:v>0.03</c:v>
                </c:pt>
                <c:pt idx="2">
                  <c:v>0.12</c:v>
                </c:pt>
                <c:pt idx="3">
                  <c:v>0.12</c:v>
                </c:pt>
                <c:pt idx="4">
                  <c:v>0.03</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54B8-477D-98CE-3BC0CE876320}"/>
            </c:ext>
          </c:extLst>
        </c:ser>
        <c:dLbls>
          <c:showLegendKey val="0"/>
          <c:showVal val="0"/>
          <c:showCatName val="0"/>
          <c:showSerName val="0"/>
          <c:showPercent val="0"/>
          <c:showBubbleSize val="0"/>
        </c:dLbls>
        <c:axId val="360733696"/>
        <c:axId val="360744064"/>
      </c:scatterChart>
      <c:valAx>
        <c:axId val="360733696"/>
        <c:scaling>
          <c:orientation val="minMax"/>
        </c:scaling>
        <c:delete val="0"/>
        <c:axPos val="b"/>
        <c:title>
          <c:tx>
            <c:rich>
              <a:bodyPr/>
              <a:lstStyle/>
              <a:p>
                <a:pPr>
                  <a:defRPr sz="1400"/>
                </a:pPr>
                <a:r>
                  <a:rPr lang="en-US" sz="1400"/>
                  <a:t>Static Margin = (xcl-xcg)/cmac</a:t>
                </a:r>
              </a:p>
            </c:rich>
          </c:tx>
          <c:overlay val="0"/>
        </c:title>
        <c:numFmt formatCode="0%" sourceLinked="1"/>
        <c:majorTickMark val="out"/>
        <c:minorTickMark val="none"/>
        <c:tickLblPos val="nextTo"/>
        <c:crossAx val="360744064"/>
        <c:crosses val="autoZero"/>
        <c:crossBetween val="midCat"/>
      </c:valAx>
      <c:valAx>
        <c:axId val="360744064"/>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19"/>
            </c:manualLayout>
          </c:layout>
          <c:overlay val="0"/>
        </c:title>
        <c:numFmt formatCode="0%" sourceLinked="0"/>
        <c:majorTickMark val="out"/>
        <c:minorTickMark val="none"/>
        <c:tickLblPos val="nextTo"/>
        <c:crossAx val="360733696"/>
        <c:crosses val="autoZero"/>
        <c:crossBetween val="midCat"/>
      </c:valAx>
    </c:plotArea>
    <c:legend>
      <c:legendPos val="r"/>
      <c:layout>
        <c:manualLayout>
          <c:xMode val="edge"/>
          <c:yMode val="edge"/>
          <c:x val="0.68230202939042017"/>
          <c:y val="4.1424470771135015E-2"/>
          <c:w val="0.21898859021551129"/>
          <c:h val="0.20375113674171014"/>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Stability Coeff. (C</a:t>
            </a:r>
            <a:r>
              <a:rPr lang="en-US" sz="1200"/>
              <a:t>M</a:t>
            </a:r>
            <a:r>
              <a:rPr lang="en-US" sz="1200">
                <a:latin typeface="Symbol" pitchFamily="18" charset="2"/>
              </a:rPr>
              <a:t>a</a:t>
            </a:r>
            <a:r>
              <a:rPr lang="en-US" sz="1600"/>
              <a:t>)</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'11'!$Y$93:$Y$99</c:f>
              <c:numCache>
                <c:formatCode>0.0000</c:formatCode>
                <c:ptCount val="7"/>
                <c:pt idx="0">
                  <c:v>2.2029302459300446</c:v>
                </c:pt>
                <c:pt idx="1">
                  <c:v>1.7485104352671577</c:v>
                </c:pt>
                <c:pt idx="2">
                  <c:v>1.5213005299357154</c:v>
                </c:pt>
                <c:pt idx="3">
                  <c:v>1.2940906246042732</c:v>
                </c:pt>
                <c:pt idx="4">
                  <c:v>0.83967081394138754</c:v>
                </c:pt>
                <c:pt idx="5">
                  <c:v>0.38525100327850104</c:v>
                </c:pt>
                <c:pt idx="6">
                  <c:v>-0.75079852337871156</c:v>
                </c:pt>
              </c:numCache>
            </c:numRef>
          </c:xVal>
          <c:yVal>
            <c:numRef>
              <c:f>'11'!$X$93:$X$99</c:f>
              <c:numCache>
                <c:formatCode>0.0000</c:formatCode>
                <c:ptCount val="7"/>
                <c:pt idx="0">
                  <c:v>1.0694949065110423E-2</c:v>
                </c:pt>
                <c:pt idx="1">
                  <c:v>6.0666899568322585E-3</c:v>
                </c:pt>
                <c:pt idx="2">
                  <c:v>4.1766343448207703E-3</c:v>
                </c:pt>
                <c:pt idx="3">
                  <c:v>2.6026310737096228E-3</c:v>
                </c:pt>
                <c:pt idx="4">
                  <c:v>5.1503404983124475E-4</c:v>
                </c:pt>
                <c:pt idx="5">
                  <c:v>5.1683753212044567E-5</c:v>
                </c:pt>
                <c:pt idx="6">
                  <c:v>8.0243648277049193E-3</c:v>
                </c:pt>
              </c:numCache>
            </c:numRef>
          </c:yVal>
          <c:smooth val="0"/>
          <c:extLst>
            <c:ext xmlns:c16="http://schemas.microsoft.com/office/drawing/2014/chart" uri="{C3380CC4-5D6E-409C-BE32-E72D297353CC}">
              <c16:uniqueId val="{00000000-2428-4C07-B0DB-7FBA7ACE6E20}"/>
            </c:ext>
          </c:extLst>
        </c:ser>
        <c:ser>
          <c:idx val="2"/>
          <c:order val="1"/>
          <c:tx>
            <c:v>W=We</c:v>
          </c:tx>
          <c:spPr>
            <a:ln>
              <a:solidFill>
                <a:srgbClr val="FF0000"/>
              </a:solidFill>
            </a:ln>
          </c:spPr>
          <c:marker>
            <c:symbol val="none"/>
          </c:marker>
          <c:xVal>
            <c:numRef>
              <c:f>'11'!$Y$103:$Y$109</c:f>
              <c:numCache>
                <c:formatCode>0.0000</c:formatCode>
                <c:ptCount val="7"/>
                <c:pt idx="0">
                  <c:v>2.4156486773198931</c:v>
                </c:pt>
                <c:pt idx="1">
                  <c:v>1.961228866657007</c:v>
                </c:pt>
                <c:pt idx="2">
                  <c:v>1.7340189613255639</c:v>
                </c:pt>
                <c:pt idx="3">
                  <c:v>1.5068090559941207</c:v>
                </c:pt>
                <c:pt idx="4">
                  <c:v>1.0523892453312369</c:v>
                </c:pt>
                <c:pt idx="5">
                  <c:v>0.59796943466834951</c:v>
                </c:pt>
                <c:pt idx="6">
                  <c:v>-0.53808009198886397</c:v>
                </c:pt>
              </c:numCache>
            </c:numRef>
          </c:xVal>
          <c:yVal>
            <c:numRef>
              <c:f>'11'!$X$103:$X$109</c:f>
              <c:numCache>
                <c:formatCode>0.0000</c:formatCode>
                <c:ptCount val="7"/>
                <c:pt idx="0">
                  <c:v>4.8965732166517733E-3</c:v>
                </c:pt>
                <c:pt idx="1">
                  <c:v>3.1190320126410868E-3</c:v>
                </c:pt>
                <c:pt idx="2">
                  <c:v>2.3537528002041804E-3</c:v>
                </c:pt>
                <c:pt idx="3">
                  <c:v>1.6805204924658312E-3</c:v>
                </c:pt>
                <c:pt idx="4">
                  <c:v>6.4295658655911516E-4</c:v>
                </c:pt>
                <c:pt idx="5">
                  <c:v>7.8734155788137106E-5</c:v>
                </c:pt>
                <c:pt idx="6">
                  <c:v>1.3327861200294279E-3</c:v>
                </c:pt>
              </c:numCache>
            </c:numRef>
          </c:yVal>
          <c:smooth val="0"/>
          <c:extLst>
            <c:ext xmlns:c16="http://schemas.microsoft.com/office/drawing/2014/chart" uri="{C3380CC4-5D6E-409C-BE32-E72D297353CC}">
              <c16:uniqueId val="{00000001-2428-4C07-B0DB-7FBA7ACE6E20}"/>
            </c:ext>
          </c:extLst>
        </c:ser>
        <c:ser>
          <c:idx val="1"/>
          <c:order val="2"/>
          <c:tx>
            <c:v>Design Goal</c:v>
          </c:tx>
          <c:spPr>
            <a:ln>
              <a:solidFill>
                <a:srgbClr val="00B050"/>
              </a:solidFill>
            </a:ln>
          </c:spPr>
          <c:marker>
            <c:symbol val="none"/>
          </c:marker>
          <c:xVal>
            <c:numRef>
              <c:f>'11'!$U$265:$U$269</c:f>
              <c:numCache>
                <c:formatCode>General</c:formatCode>
                <c:ptCount val="5"/>
                <c:pt idx="0">
                  <c:v>-0.16</c:v>
                </c:pt>
                <c:pt idx="1">
                  <c:v>-0.16</c:v>
                </c:pt>
                <c:pt idx="2">
                  <c:v>-1.5</c:v>
                </c:pt>
                <c:pt idx="3">
                  <c:v>-1.5</c:v>
                </c:pt>
                <c:pt idx="4">
                  <c:v>-0.16</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2428-4C07-B0DB-7FBA7ACE6E20}"/>
            </c:ext>
          </c:extLst>
        </c:ser>
        <c:dLbls>
          <c:showLegendKey val="0"/>
          <c:showVal val="0"/>
          <c:showCatName val="0"/>
          <c:showSerName val="0"/>
          <c:showPercent val="0"/>
          <c:showBubbleSize val="0"/>
        </c:dLbls>
        <c:axId val="362889600"/>
        <c:axId val="362891520"/>
      </c:scatterChart>
      <c:valAx>
        <c:axId val="362889600"/>
        <c:scaling>
          <c:orientation val="minMax"/>
        </c:scaling>
        <c:delete val="0"/>
        <c:axPos val="b"/>
        <c:title>
          <c:tx>
            <c:rich>
              <a:bodyPr/>
              <a:lstStyle/>
              <a:p>
                <a:pPr>
                  <a:defRPr sz="1400"/>
                </a:pPr>
                <a:r>
                  <a:rPr lang="en-US" sz="1400"/>
                  <a:t>Longitudunal Stability Coefficient,</a:t>
                </a:r>
                <a:r>
                  <a:rPr lang="en-US" sz="1400" baseline="0"/>
                  <a:t> CM</a:t>
                </a:r>
                <a:r>
                  <a:rPr lang="en-US" sz="1400" baseline="0">
                    <a:latin typeface="Symbol" pitchFamily="18" charset="2"/>
                  </a:rPr>
                  <a:t>a</a:t>
                </a:r>
                <a:r>
                  <a:rPr lang="en-US" sz="1400" baseline="0"/>
                  <a:t> (-)</a:t>
                </a:r>
                <a:endParaRPr lang="en-US" sz="1400"/>
              </a:p>
            </c:rich>
          </c:tx>
          <c:overlay val="0"/>
        </c:title>
        <c:numFmt formatCode="#,##0.00" sourceLinked="0"/>
        <c:majorTickMark val="out"/>
        <c:minorTickMark val="none"/>
        <c:tickLblPos val="nextTo"/>
        <c:crossAx val="362891520"/>
        <c:crosses val="autoZero"/>
        <c:crossBetween val="midCat"/>
      </c:valAx>
      <c:valAx>
        <c:axId val="362891520"/>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24"/>
            </c:manualLayout>
          </c:layout>
          <c:overlay val="0"/>
        </c:title>
        <c:numFmt formatCode="0%" sourceLinked="0"/>
        <c:majorTickMark val="out"/>
        <c:minorTickMark val="none"/>
        <c:tickLblPos val="nextTo"/>
        <c:crossAx val="362889600"/>
        <c:crosses val="autoZero"/>
        <c:crossBetween val="midCat"/>
      </c:valAx>
    </c:plotArea>
    <c:legend>
      <c:legendPos val="r"/>
      <c:layout>
        <c:manualLayout>
          <c:xMode val="edge"/>
          <c:yMode val="edge"/>
          <c:x val="0.73995968050397354"/>
          <c:y val="4.1424568407822257E-2"/>
          <c:w val="0.22549907350510626"/>
          <c:h val="0.20375113674171014"/>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0.33686384962734833</c:v>
                </c:pt>
                <c:pt idx="1">
                  <c:v>0.35762569984101478</c:v>
                </c:pt>
                <c:pt idx="2">
                  <c:v>0.36800662494784797</c:v>
                </c:pt>
                <c:pt idx="3">
                  <c:v>0.37838755005468117</c:v>
                </c:pt>
                <c:pt idx="4">
                  <c:v>0.39914940026834761</c:v>
                </c:pt>
                <c:pt idx="5">
                  <c:v>0.41991125048201405</c:v>
                </c:pt>
                <c:pt idx="6">
                  <c:v>0.47181587601618002</c:v>
                </c:pt>
              </c:numCache>
            </c:numRef>
          </c:xVal>
          <c:yVal>
            <c:numRef>
              <c:f>'11'!$T$93:$T$99</c:f>
              <c:numCache>
                <c:formatCode>0%</c:formatCode>
                <c:ptCount val="7"/>
                <c:pt idx="0">
                  <c:v>-0.15000000000000005</c:v>
                </c:pt>
                <c:pt idx="1">
                  <c:v>-4.9999999999999878E-2</c:v>
                </c:pt>
                <c:pt idx="2">
                  <c:v>0</c:v>
                </c:pt>
                <c:pt idx="3">
                  <c:v>4.9999999999999878E-2</c:v>
                </c:pt>
                <c:pt idx="4">
                  <c:v>0.14999999999999983</c:v>
                </c:pt>
                <c:pt idx="5">
                  <c:v>0.25</c:v>
                </c:pt>
                <c:pt idx="6">
                  <c:v>0.49999999999999961</c:v>
                </c:pt>
              </c:numCache>
            </c:numRef>
          </c:yVal>
          <c:smooth val="0"/>
          <c:extLst>
            <c:ext xmlns:c16="http://schemas.microsoft.com/office/drawing/2014/chart" uri="{C3380CC4-5D6E-409C-BE32-E72D297353CC}">
              <c16:uniqueId val="{00000000-4268-4657-B099-90F532BDCC97}"/>
            </c:ext>
          </c:extLst>
        </c:ser>
        <c:ser>
          <c:idx val="2"/>
          <c:order val="1"/>
          <c:tx>
            <c:v>W=We</c:v>
          </c:tx>
          <c:spPr>
            <a:ln>
              <a:solidFill>
                <a:srgbClr val="FF0000"/>
              </a:solidFill>
            </a:ln>
          </c:spPr>
          <c:marker>
            <c:symbol val="none"/>
          </c:marker>
          <c:xVal>
            <c:numRef>
              <c:f>'11'!$R$103:$R$109</c:f>
              <c:numCache>
                <c:formatCode>0.0000</c:formatCode>
                <c:ptCount val="7"/>
                <c:pt idx="0">
                  <c:v>0.27235711801481677</c:v>
                </c:pt>
                <c:pt idx="1">
                  <c:v>0.29311896822848321</c:v>
                </c:pt>
                <c:pt idx="2">
                  <c:v>0.30349989333531641</c:v>
                </c:pt>
                <c:pt idx="3">
                  <c:v>0.31388081844214966</c:v>
                </c:pt>
                <c:pt idx="4">
                  <c:v>0.33464266865581599</c:v>
                </c:pt>
                <c:pt idx="5">
                  <c:v>0.35540451886948249</c:v>
                </c:pt>
                <c:pt idx="6">
                  <c:v>0.40730914440364852</c:v>
                </c:pt>
              </c:numCache>
            </c:numRef>
          </c:xVal>
          <c:yVal>
            <c:numRef>
              <c:f>'11'!$T$103:$T$109</c:f>
              <c:numCache>
                <c:formatCode>0%</c:formatCode>
                <c:ptCount val="7"/>
                <c:pt idx="0">
                  <c:v>-0.15000000000000005</c:v>
                </c:pt>
                <c:pt idx="1">
                  <c:v>-5.0000000000000079E-2</c:v>
                </c:pt>
                <c:pt idx="2">
                  <c:v>0</c:v>
                </c:pt>
                <c:pt idx="3">
                  <c:v>5.0000000000000079E-2</c:v>
                </c:pt>
                <c:pt idx="4">
                  <c:v>0.14999999999999963</c:v>
                </c:pt>
                <c:pt idx="5">
                  <c:v>0.25</c:v>
                </c:pt>
                <c:pt idx="6">
                  <c:v>0.49999999999999978</c:v>
                </c:pt>
              </c:numCache>
            </c:numRef>
          </c:yVal>
          <c:smooth val="0"/>
          <c:extLst>
            <c:ext xmlns:c16="http://schemas.microsoft.com/office/drawing/2014/chart" uri="{C3380CC4-5D6E-409C-BE32-E72D297353CC}">
              <c16:uniqueId val="{00000001-4268-4657-B099-90F532BDCC97}"/>
            </c:ext>
          </c:extLst>
        </c:ser>
        <c:ser>
          <c:idx val="1"/>
          <c:order val="2"/>
          <c:tx>
            <c:v>Lower SM Bound</c:v>
          </c:tx>
          <c:spPr>
            <a:ln>
              <a:solidFill>
                <a:srgbClr val="00B050"/>
              </a:solidFill>
            </a:ln>
          </c:spPr>
          <c:marker>
            <c:symbol val="none"/>
          </c:marker>
          <c:xVal>
            <c:numRef>
              <c:f>'11'!$R$265:$R$266</c:f>
              <c:numCache>
                <c:formatCode>General</c:formatCode>
                <c:ptCount val="2"/>
                <c:pt idx="0">
                  <c:v>0</c:v>
                </c:pt>
                <c:pt idx="1">
                  <c:v>1</c:v>
                </c:pt>
              </c:numCache>
            </c:numRef>
          </c:xVal>
          <c:yVal>
            <c:numRef>
              <c:f>'11'!$S$265:$S$266</c:f>
              <c:numCache>
                <c:formatCode>0%</c:formatCode>
                <c:ptCount val="2"/>
                <c:pt idx="0">
                  <c:v>0.03</c:v>
                </c:pt>
                <c:pt idx="1">
                  <c:v>0.03</c:v>
                </c:pt>
              </c:numCache>
            </c:numRef>
          </c:yVal>
          <c:smooth val="0"/>
          <c:extLst>
            <c:ext xmlns:c16="http://schemas.microsoft.com/office/drawing/2014/chart" uri="{C3380CC4-5D6E-409C-BE32-E72D297353CC}">
              <c16:uniqueId val="{00000002-4268-4657-B099-90F532BDCC97}"/>
            </c:ext>
          </c:extLst>
        </c:ser>
        <c:ser>
          <c:idx val="3"/>
          <c:order val="3"/>
          <c:tx>
            <c:v>Upper SM Bound</c:v>
          </c:tx>
          <c:spPr>
            <a:ln>
              <a:solidFill>
                <a:srgbClr val="00B050"/>
              </a:solidFill>
            </a:ln>
          </c:spPr>
          <c:marker>
            <c:symbol val="none"/>
          </c:marker>
          <c:xVal>
            <c:numRef>
              <c:f>'11'!$R$267:$R$268</c:f>
              <c:numCache>
                <c:formatCode>General</c:formatCode>
                <c:ptCount val="2"/>
                <c:pt idx="0">
                  <c:v>0</c:v>
                </c:pt>
                <c:pt idx="1">
                  <c:v>1</c:v>
                </c:pt>
              </c:numCache>
            </c:numRef>
          </c:xVal>
          <c:yVal>
            <c:numRef>
              <c:f>'11'!$S$267:$S$268</c:f>
              <c:numCache>
                <c:formatCode>0%</c:formatCode>
                <c:ptCount val="2"/>
                <c:pt idx="0">
                  <c:v>0.12</c:v>
                </c:pt>
                <c:pt idx="1">
                  <c:v>0.12</c:v>
                </c:pt>
              </c:numCache>
            </c:numRef>
          </c:yVal>
          <c:smooth val="0"/>
          <c:extLst>
            <c:ext xmlns:c16="http://schemas.microsoft.com/office/drawing/2014/chart" uri="{C3380CC4-5D6E-409C-BE32-E72D297353CC}">
              <c16:uniqueId val="{00000003-4268-4657-B099-90F532BDCC97}"/>
            </c:ext>
          </c:extLst>
        </c:ser>
        <c:ser>
          <c:idx val="4"/>
          <c:order val="4"/>
          <c:tx>
            <c:v>c.o. Lift</c:v>
          </c:tx>
          <c:spPr>
            <a:ln>
              <a:solidFill>
                <a:schemeClr val="tx1"/>
              </a:solidFill>
              <a:prstDash val="sysDash"/>
            </a:ln>
          </c:spPr>
          <c:marker>
            <c:symbol val="none"/>
          </c:marker>
          <c:xVal>
            <c:numRef>
              <c:f>'11'!$V$274:$V$275</c:f>
              <c:numCache>
                <c:formatCode>0.0000</c:formatCode>
                <c:ptCount val="2"/>
                <c:pt idx="0">
                  <c:v>0.45</c:v>
                </c:pt>
                <c:pt idx="1">
                  <c:v>0.45</c:v>
                </c:pt>
              </c:numCache>
            </c:numRef>
          </c:xVal>
          <c:yVal>
            <c:numRef>
              <c:f>'11'!$W$274:$W$275</c:f>
              <c:numCache>
                <c:formatCode>General</c:formatCode>
                <c:ptCount val="2"/>
                <c:pt idx="0">
                  <c:v>-0.1</c:v>
                </c:pt>
                <c:pt idx="1">
                  <c:v>0.2</c:v>
                </c:pt>
              </c:numCache>
            </c:numRef>
          </c:yVal>
          <c:smooth val="0"/>
          <c:extLst>
            <c:ext xmlns:c16="http://schemas.microsoft.com/office/drawing/2014/chart" uri="{C3380CC4-5D6E-409C-BE32-E72D297353CC}">
              <c16:uniqueId val="{00000004-4268-4657-B099-90F532BDCC97}"/>
            </c:ext>
          </c:extLst>
        </c:ser>
        <c:dLbls>
          <c:showLegendKey val="0"/>
          <c:showVal val="0"/>
          <c:showCatName val="0"/>
          <c:showSerName val="0"/>
          <c:showPercent val="0"/>
          <c:showBubbleSize val="0"/>
        </c:dLbls>
        <c:axId val="362934272"/>
        <c:axId val="362936192"/>
      </c:scatterChart>
      <c:valAx>
        <c:axId val="362934272"/>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2936192"/>
        <c:crosses val="autoZero"/>
        <c:crossBetween val="midCat"/>
      </c:valAx>
      <c:valAx>
        <c:axId val="362936192"/>
        <c:scaling>
          <c:orientation val="minMax"/>
          <c:max val="0.5"/>
        </c:scaling>
        <c:delete val="0"/>
        <c:axPos val="l"/>
        <c:majorGridlines/>
        <c:title>
          <c:tx>
            <c:rich>
              <a:bodyPr rot="-5400000" vert="horz"/>
              <a:lstStyle/>
              <a:p>
                <a:pPr>
                  <a:defRPr sz="1400"/>
                </a:pPr>
                <a:r>
                  <a:rPr lang="en-US" sz="1400"/>
                  <a:t>Static Margin (%)</a:t>
                </a:r>
              </a:p>
            </c:rich>
          </c:tx>
          <c:layout>
            <c:manualLayout>
              <c:xMode val="edge"/>
              <c:yMode val="edge"/>
              <c:x val="3.3694314115705289E-2"/>
              <c:y val="0.23309570810690924"/>
            </c:manualLayout>
          </c:layout>
          <c:overlay val="0"/>
        </c:title>
        <c:numFmt formatCode="0%" sourceLinked="1"/>
        <c:majorTickMark val="out"/>
        <c:minorTickMark val="none"/>
        <c:tickLblPos val="nextTo"/>
        <c:crossAx val="362934272"/>
        <c:crosses val="autoZero"/>
        <c:crossBetween val="midCat"/>
      </c:valAx>
    </c:plotArea>
    <c:legend>
      <c:legendPos val="r"/>
      <c:layout>
        <c:manualLayout>
          <c:xMode val="edge"/>
          <c:yMode val="edge"/>
          <c:x val="0.73995968050397354"/>
          <c:y val="4.1424568407822257E-2"/>
          <c:w val="0.2600407084480078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75"/>
          <c:h val="0.64856101438024472"/>
        </c:manualLayout>
      </c:layout>
      <c:scatterChart>
        <c:scatterStyle val="lineMarker"/>
        <c:varyColors val="0"/>
        <c:ser>
          <c:idx val="0"/>
          <c:order val="0"/>
          <c:tx>
            <c:v>W=Wo</c:v>
          </c:tx>
          <c:marker>
            <c:symbol val="none"/>
          </c:marker>
          <c:xVal>
            <c:numRef>
              <c:f>'11'!$R$93:$R$99</c:f>
              <c:numCache>
                <c:formatCode>0.0000</c:formatCode>
                <c:ptCount val="7"/>
                <c:pt idx="0">
                  <c:v>0.33686384962734833</c:v>
                </c:pt>
                <c:pt idx="1">
                  <c:v>0.35762569984101478</c:v>
                </c:pt>
                <c:pt idx="2">
                  <c:v>0.36800662494784797</c:v>
                </c:pt>
                <c:pt idx="3">
                  <c:v>0.37838755005468117</c:v>
                </c:pt>
                <c:pt idx="4">
                  <c:v>0.39914940026834761</c:v>
                </c:pt>
                <c:pt idx="5">
                  <c:v>0.41991125048201405</c:v>
                </c:pt>
                <c:pt idx="6">
                  <c:v>0.47181587601618002</c:v>
                </c:pt>
              </c:numCache>
            </c:numRef>
          </c:xVal>
          <c:yVal>
            <c:numRef>
              <c:f>'11'!$X$93:$X$99</c:f>
              <c:numCache>
                <c:formatCode>0.0000</c:formatCode>
                <c:ptCount val="7"/>
                <c:pt idx="0">
                  <c:v>1.0694949065110423E-2</c:v>
                </c:pt>
                <c:pt idx="1">
                  <c:v>6.0666899568322585E-3</c:v>
                </c:pt>
                <c:pt idx="2">
                  <c:v>4.1766343448207703E-3</c:v>
                </c:pt>
                <c:pt idx="3">
                  <c:v>2.6026310737096228E-3</c:v>
                </c:pt>
                <c:pt idx="4">
                  <c:v>5.1503404983124475E-4</c:v>
                </c:pt>
                <c:pt idx="5">
                  <c:v>5.1683753212044567E-5</c:v>
                </c:pt>
                <c:pt idx="6">
                  <c:v>8.0243648277049193E-3</c:v>
                </c:pt>
              </c:numCache>
            </c:numRef>
          </c:yVal>
          <c:smooth val="0"/>
          <c:extLst>
            <c:ext xmlns:c16="http://schemas.microsoft.com/office/drawing/2014/chart" uri="{C3380CC4-5D6E-409C-BE32-E72D297353CC}">
              <c16:uniqueId val="{00000000-006E-4FF8-8416-0E8CC10E2540}"/>
            </c:ext>
          </c:extLst>
        </c:ser>
        <c:ser>
          <c:idx val="2"/>
          <c:order val="1"/>
          <c:tx>
            <c:v>W=We</c:v>
          </c:tx>
          <c:spPr>
            <a:ln>
              <a:solidFill>
                <a:srgbClr val="FF0000"/>
              </a:solidFill>
            </a:ln>
          </c:spPr>
          <c:marker>
            <c:symbol val="none"/>
          </c:marker>
          <c:xVal>
            <c:numRef>
              <c:f>'11'!$R$103:$R$109</c:f>
              <c:numCache>
                <c:formatCode>0.0000</c:formatCode>
                <c:ptCount val="7"/>
                <c:pt idx="0">
                  <c:v>0.27235711801481677</c:v>
                </c:pt>
                <c:pt idx="1">
                  <c:v>0.29311896822848321</c:v>
                </c:pt>
                <c:pt idx="2">
                  <c:v>0.30349989333531641</c:v>
                </c:pt>
                <c:pt idx="3">
                  <c:v>0.31388081844214966</c:v>
                </c:pt>
                <c:pt idx="4">
                  <c:v>0.33464266865581599</c:v>
                </c:pt>
                <c:pt idx="5">
                  <c:v>0.35540451886948249</c:v>
                </c:pt>
                <c:pt idx="6">
                  <c:v>0.40730914440364852</c:v>
                </c:pt>
              </c:numCache>
            </c:numRef>
          </c:xVal>
          <c:yVal>
            <c:numRef>
              <c:f>'11'!$X$103:$X$109</c:f>
              <c:numCache>
                <c:formatCode>0.0000</c:formatCode>
                <c:ptCount val="7"/>
                <c:pt idx="0">
                  <c:v>4.8965732166517733E-3</c:v>
                </c:pt>
                <c:pt idx="1">
                  <c:v>3.1190320126410868E-3</c:v>
                </c:pt>
                <c:pt idx="2">
                  <c:v>2.3537528002041804E-3</c:v>
                </c:pt>
                <c:pt idx="3">
                  <c:v>1.6805204924658312E-3</c:v>
                </c:pt>
                <c:pt idx="4">
                  <c:v>6.4295658655911516E-4</c:v>
                </c:pt>
                <c:pt idx="5">
                  <c:v>7.8734155788137106E-5</c:v>
                </c:pt>
                <c:pt idx="6">
                  <c:v>1.3327861200294279E-3</c:v>
                </c:pt>
              </c:numCache>
            </c:numRef>
          </c:yVal>
          <c:smooth val="0"/>
          <c:extLst>
            <c:ext xmlns:c16="http://schemas.microsoft.com/office/drawing/2014/chart" uri="{C3380CC4-5D6E-409C-BE32-E72D297353CC}">
              <c16:uniqueId val="{00000001-006E-4FF8-8416-0E8CC10E2540}"/>
            </c:ext>
          </c:extLst>
        </c:ser>
        <c:ser>
          <c:idx val="3"/>
          <c:order val="2"/>
          <c:tx>
            <c:v>Upper Trim Drag  Bound</c:v>
          </c:tx>
          <c:spPr>
            <a:ln>
              <a:solidFill>
                <a:srgbClr val="00B050"/>
              </a:solidFill>
            </a:ln>
          </c:spPr>
          <c:marker>
            <c:symbol val="none"/>
          </c:marker>
          <c:xVal>
            <c:numRef>
              <c:f>'11'!$R$266:$R$267</c:f>
              <c:numCache>
                <c:formatCode>General</c:formatCode>
                <c:ptCount val="2"/>
                <c:pt idx="0">
                  <c:v>1</c:v>
                </c:pt>
                <c:pt idx="1">
                  <c:v>0</c:v>
                </c:pt>
              </c:numCache>
            </c:numRef>
          </c:xVal>
          <c:yVal>
            <c:numRef>
              <c:f>'11'!$T$266:$T$267</c:f>
              <c:numCache>
                <c:formatCode>0%</c:formatCode>
                <c:ptCount val="2"/>
                <c:pt idx="0">
                  <c:v>0.1</c:v>
                </c:pt>
                <c:pt idx="1">
                  <c:v>0.1</c:v>
                </c:pt>
              </c:numCache>
            </c:numRef>
          </c:yVal>
          <c:smooth val="0"/>
          <c:extLst>
            <c:ext xmlns:c16="http://schemas.microsoft.com/office/drawing/2014/chart" uri="{C3380CC4-5D6E-409C-BE32-E72D297353CC}">
              <c16:uniqueId val="{00000002-006E-4FF8-8416-0E8CC10E2540}"/>
            </c:ext>
          </c:extLst>
        </c:ser>
        <c:ser>
          <c:idx val="1"/>
          <c:order val="3"/>
          <c:tx>
            <c:v>c.o. Lift</c:v>
          </c:tx>
          <c:spPr>
            <a:ln>
              <a:solidFill>
                <a:schemeClr val="tx1"/>
              </a:solidFill>
              <a:prstDash val="sysDash"/>
            </a:ln>
          </c:spPr>
          <c:marker>
            <c:symbol val="none"/>
          </c:marker>
          <c:xVal>
            <c:numRef>
              <c:f>'11'!$V$274:$V$275</c:f>
              <c:numCache>
                <c:formatCode>0.0000</c:formatCode>
                <c:ptCount val="2"/>
                <c:pt idx="0">
                  <c:v>0.45</c:v>
                </c:pt>
                <c:pt idx="1">
                  <c:v>0.45</c:v>
                </c:pt>
              </c:numCache>
            </c:numRef>
          </c:xVal>
          <c:yVal>
            <c:numRef>
              <c:f>'11'!$X$274:$X$275</c:f>
              <c:numCache>
                <c:formatCode>General</c:formatCode>
                <c:ptCount val="2"/>
                <c:pt idx="0">
                  <c:v>0</c:v>
                </c:pt>
                <c:pt idx="1">
                  <c:v>0.11</c:v>
                </c:pt>
              </c:numCache>
            </c:numRef>
          </c:yVal>
          <c:smooth val="0"/>
          <c:extLst>
            <c:ext xmlns:c16="http://schemas.microsoft.com/office/drawing/2014/chart" uri="{C3380CC4-5D6E-409C-BE32-E72D297353CC}">
              <c16:uniqueId val="{00000003-006E-4FF8-8416-0E8CC10E2540}"/>
            </c:ext>
          </c:extLst>
        </c:ser>
        <c:dLbls>
          <c:showLegendKey val="0"/>
          <c:showVal val="0"/>
          <c:showCatName val="0"/>
          <c:showSerName val="0"/>
          <c:showPercent val="0"/>
          <c:showBubbleSize val="0"/>
        </c:dLbls>
        <c:axId val="362990592"/>
        <c:axId val="362996864"/>
      </c:scatterChart>
      <c:valAx>
        <c:axId val="362990592"/>
        <c:scaling>
          <c:orientation val="minMax"/>
          <c:max val="0.4"/>
          <c:min val="0.30000000000000016"/>
        </c:scaling>
        <c:delete val="0"/>
        <c:axPos val="b"/>
        <c:title>
          <c:tx>
            <c:rich>
              <a:bodyPr/>
              <a:lstStyle/>
              <a:p>
                <a:pPr>
                  <a:defRPr sz="1400"/>
                </a:pPr>
                <a:r>
                  <a:rPr lang="en-US" sz="1400"/>
                  <a:t>Center-of-Lift, (X/Lfus)</a:t>
                </a:r>
              </a:p>
            </c:rich>
          </c:tx>
          <c:layout>
            <c:manualLayout>
              <c:xMode val="edge"/>
              <c:yMode val="edge"/>
              <c:x val="0.32055565685868215"/>
              <c:y val="0.90812251477572736"/>
            </c:manualLayout>
          </c:layout>
          <c:overlay val="0"/>
        </c:title>
        <c:numFmt formatCode="#,##0.00" sourceLinked="0"/>
        <c:majorTickMark val="out"/>
        <c:minorTickMark val="none"/>
        <c:tickLblPos val="nextTo"/>
        <c:crossAx val="362996864"/>
        <c:crosses val="autoZero"/>
        <c:crossBetween val="midCat"/>
      </c:valAx>
      <c:valAx>
        <c:axId val="362996864"/>
        <c:scaling>
          <c:orientation val="minMax"/>
        </c:scaling>
        <c:delete val="0"/>
        <c:axPos val="l"/>
        <c:majorGridlines/>
        <c:title>
          <c:tx>
            <c:rich>
              <a:bodyPr rot="-5400000" vert="horz"/>
              <a:lstStyle/>
              <a:p>
                <a:pPr>
                  <a:defRPr sz="1400"/>
                </a:pPr>
                <a:r>
                  <a:rPr lang="en-US" sz="1400"/>
                  <a:t>Trim Drag (%)</a:t>
                </a:r>
              </a:p>
            </c:rich>
          </c:tx>
          <c:layout>
            <c:manualLayout>
              <c:xMode val="edge"/>
              <c:yMode val="edge"/>
              <c:x val="3.3694377676474652E-2"/>
              <c:y val="0.35733100771379228"/>
            </c:manualLayout>
          </c:layout>
          <c:overlay val="0"/>
        </c:title>
        <c:numFmt formatCode="0%" sourceLinked="0"/>
        <c:majorTickMark val="out"/>
        <c:minorTickMark val="none"/>
        <c:tickLblPos val="nextTo"/>
        <c:crossAx val="362990592"/>
        <c:crosses val="autoZero"/>
        <c:crossBetween val="midCat"/>
      </c:valAx>
    </c:plotArea>
    <c:legend>
      <c:legendPos val="r"/>
      <c:layout>
        <c:manualLayout>
          <c:xMode val="edge"/>
          <c:yMode val="edge"/>
          <c:x val="0.62568900624265222"/>
          <c:y val="0.34636563648123964"/>
          <c:w val="0.28165450681875015"/>
          <c:h val="0.45857782055057206"/>
        </c:manualLayout>
      </c:layout>
      <c:overlay val="0"/>
    </c:legend>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Force Balance</a:t>
            </a:r>
            <a:r>
              <a:rPr lang="en-US" sz="1600" baseline="0"/>
              <a:t> Diagram</a:t>
            </a:r>
            <a:endParaRPr lang="en-US" sz="1600"/>
          </a:p>
          <a:p>
            <a:pPr algn="l">
              <a:defRPr/>
            </a:pPr>
            <a:r>
              <a:rPr lang="en-US" sz="1200"/>
              <a:t>Longitudinal (Pitch) Stability (x-z</a:t>
            </a:r>
            <a:r>
              <a:rPr lang="en-US" sz="1200" baseline="0"/>
              <a:t> plane)</a:t>
            </a:r>
            <a:endParaRPr lang="en-US" sz="1200"/>
          </a:p>
        </c:rich>
      </c:tx>
      <c:layout>
        <c:manualLayout>
          <c:xMode val="edge"/>
          <c:yMode val="edge"/>
          <c:x val="1.7581151967199209E-2"/>
          <c:y val="1.7933934130213273E-2"/>
        </c:manualLayout>
      </c:layout>
      <c:overlay val="0"/>
    </c:title>
    <c:autoTitleDeleted val="0"/>
    <c:plotArea>
      <c:layout>
        <c:manualLayout>
          <c:layoutTarget val="inner"/>
          <c:xMode val="edge"/>
          <c:yMode val="edge"/>
          <c:x val="0.15553709219402334"/>
          <c:y val="0.21290286579821857"/>
          <c:w val="0.7015846547112542"/>
          <c:h val="0.64856101438024472"/>
        </c:manualLayout>
      </c:layout>
      <c:scatterChart>
        <c:scatterStyle val="lineMarker"/>
        <c:varyColors val="0"/>
        <c:ser>
          <c:idx val="0"/>
          <c:order val="0"/>
          <c:tx>
            <c:strRef>
              <c:f>'11'!$R$276</c:f>
              <c:strCache>
                <c:ptCount val="1"/>
                <c:pt idx="0">
                  <c:v>Fuel </c:v>
                </c:pt>
              </c:strCache>
            </c:strRef>
          </c:tx>
          <c:spPr>
            <a:ln>
              <a:tailEnd type="stealth" w="lg" len="lg"/>
            </a:ln>
          </c:spPr>
          <c:marker>
            <c:symbol val="none"/>
          </c:marker>
          <c:xVal>
            <c:numRef>
              <c:f>'11'!$R$278:$R$279</c:f>
              <c:numCache>
                <c:formatCode>0.0000</c:formatCode>
                <c:ptCount val="2"/>
                <c:pt idx="0">
                  <c:v>0.5</c:v>
                </c:pt>
                <c:pt idx="1">
                  <c:v>0.5</c:v>
                </c:pt>
              </c:numCache>
            </c:numRef>
          </c:xVal>
          <c:yVal>
            <c:numRef>
              <c:f>'11'!$S$278:$S$279</c:f>
              <c:numCache>
                <c:formatCode>0.0000000</c:formatCode>
                <c:ptCount val="2"/>
                <c:pt idx="0">
                  <c:v>0</c:v>
                </c:pt>
                <c:pt idx="1">
                  <c:v>0</c:v>
                </c:pt>
              </c:numCache>
            </c:numRef>
          </c:yVal>
          <c:smooth val="0"/>
          <c:extLst>
            <c:ext xmlns:c16="http://schemas.microsoft.com/office/drawing/2014/chart" uri="{C3380CC4-5D6E-409C-BE32-E72D297353CC}">
              <c16:uniqueId val="{00000000-A528-47C9-82AA-07B3DA6083B2}"/>
            </c:ext>
          </c:extLst>
        </c:ser>
        <c:ser>
          <c:idx val="1"/>
          <c:order val="1"/>
          <c:tx>
            <c:strRef>
              <c:f>'11'!$R$281</c:f>
              <c:strCache>
                <c:ptCount val="1"/>
                <c:pt idx="0">
                  <c:v>Payload</c:v>
                </c:pt>
              </c:strCache>
            </c:strRef>
          </c:tx>
          <c:spPr>
            <a:ln>
              <a:tailEnd type="stealth" w="lg" len="lg"/>
            </a:ln>
          </c:spPr>
          <c:marker>
            <c:symbol val="none"/>
          </c:marker>
          <c:xVal>
            <c:numRef>
              <c:f>'11'!$R$283:$R$284</c:f>
              <c:numCache>
                <c:formatCode>0.0000</c:formatCode>
                <c:ptCount val="2"/>
                <c:pt idx="0">
                  <c:v>0.47500000000000003</c:v>
                </c:pt>
                <c:pt idx="1">
                  <c:v>0.47500000000000003</c:v>
                </c:pt>
              </c:numCache>
            </c:numRef>
          </c:xVal>
          <c:yVal>
            <c:numRef>
              <c:f>'11'!$S$283:$S$284</c:f>
              <c:numCache>
                <c:formatCode>0.0000000</c:formatCode>
                <c:ptCount val="2"/>
                <c:pt idx="0">
                  <c:v>0</c:v>
                </c:pt>
                <c:pt idx="1">
                  <c:v>0</c:v>
                </c:pt>
              </c:numCache>
            </c:numRef>
          </c:yVal>
          <c:smooth val="0"/>
          <c:extLst>
            <c:ext xmlns:c16="http://schemas.microsoft.com/office/drawing/2014/chart" uri="{C3380CC4-5D6E-409C-BE32-E72D297353CC}">
              <c16:uniqueId val="{00000001-A528-47C9-82AA-07B3DA6083B2}"/>
            </c:ext>
          </c:extLst>
        </c:ser>
        <c:ser>
          <c:idx val="2"/>
          <c:order val="2"/>
          <c:tx>
            <c:strRef>
              <c:f>'11'!$R$286</c:f>
              <c:strCache>
                <c:ptCount val="1"/>
                <c:pt idx="0">
                  <c:v>Fuselage Structure</c:v>
                </c:pt>
              </c:strCache>
            </c:strRef>
          </c:tx>
          <c:spPr>
            <a:ln>
              <a:headEnd type="none"/>
              <a:tailEnd type="stealth" w="lg" len="lg"/>
            </a:ln>
          </c:spPr>
          <c:marker>
            <c:symbol val="none"/>
          </c:marker>
          <c:xVal>
            <c:numRef>
              <c:f>'11'!$R$288:$R$289</c:f>
              <c:numCache>
                <c:formatCode>0.0000</c:formatCode>
                <c:ptCount val="2"/>
                <c:pt idx="0">
                  <c:v>0.5</c:v>
                </c:pt>
                <c:pt idx="1">
                  <c:v>0.5</c:v>
                </c:pt>
              </c:numCache>
            </c:numRef>
          </c:xVal>
          <c:yVal>
            <c:numRef>
              <c:f>'11'!$S$288:$S$289</c:f>
              <c:numCache>
                <c:formatCode>0.0000000</c:formatCode>
                <c:ptCount val="2"/>
                <c:pt idx="0">
                  <c:v>0</c:v>
                </c:pt>
                <c:pt idx="1">
                  <c:v>-99.187856136005479</c:v>
                </c:pt>
              </c:numCache>
            </c:numRef>
          </c:yVal>
          <c:smooth val="0"/>
          <c:extLst>
            <c:ext xmlns:c16="http://schemas.microsoft.com/office/drawing/2014/chart" uri="{C3380CC4-5D6E-409C-BE32-E72D297353CC}">
              <c16:uniqueId val="{00000002-A528-47C9-82AA-07B3DA6083B2}"/>
            </c:ext>
          </c:extLst>
        </c:ser>
        <c:ser>
          <c:idx val="3"/>
          <c:order val="3"/>
          <c:tx>
            <c:strRef>
              <c:f>'11'!$R$291</c:f>
              <c:strCache>
                <c:ptCount val="1"/>
                <c:pt idx="0">
                  <c:v>Engine Structure</c:v>
                </c:pt>
              </c:strCache>
            </c:strRef>
          </c:tx>
          <c:spPr>
            <a:ln>
              <a:tailEnd type="stealth" w="lg" len="lg"/>
            </a:ln>
          </c:spPr>
          <c:marker>
            <c:symbol val="none"/>
          </c:marker>
          <c:xVal>
            <c:numRef>
              <c:f>'11'!$R$293:$R$294</c:f>
              <c:numCache>
                <c:formatCode>0.0000</c:formatCode>
                <c:ptCount val="2"/>
                <c:pt idx="0">
                  <c:v>7.5000000000000011E-2</c:v>
                </c:pt>
                <c:pt idx="1">
                  <c:v>7.5000000000000011E-2</c:v>
                </c:pt>
              </c:numCache>
            </c:numRef>
          </c:xVal>
          <c:yVal>
            <c:numRef>
              <c:f>'11'!$S$293:$S$294</c:f>
              <c:numCache>
                <c:formatCode>0.0000000</c:formatCode>
                <c:ptCount val="2"/>
                <c:pt idx="0">
                  <c:v>0</c:v>
                </c:pt>
                <c:pt idx="1">
                  <c:v>-420.46731532835759</c:v>
                </c:pt>
              </c:numCache>
            </c:numRef>
          </c:yVal>
          <c:smooth val="0"/>
          <c:extLst>
            <c:ext xmlns:c16="http://schemas.microsoft.com/office/drawing/2014/chart" uri="{C3380CC4-5D6E-409C-BE32-E72D297353CC}">
              <c16:uniqueId val="{00000003-A528-47C9-82AA-07B3DA6083B2}"/>
            </c:ext>
          </c:extLst>
        </c:ser>
        <c:ser>
          <c:idx val="4"/>
          <c:order val="4"/>
          <c:tx>
            <c:strRef>
              <c:f>'11'!$R$296</c:f>
              <c:strCache>
                <c:ptCount val="1"/>
                <c:pt idx="0">
                  <c:v>Wing Structure</c:v>
                </c:pt>
              </c:strCache>
            </c:strRef>
          </c:tx>
          <c:spPr>
            <a:ln>
              <a:tailEnd type="stealth" w="lg" len="lg"/>
            </a:ln>
          </c:spPr>
          <c:marker>
            <c:symbol val="none"/>
          </c:marker>
          <c:xVal>
            <c:numRef>
              <c:f>'11'!$R$298:$R$299</c:f>
              <c:numCache>
                <c:formatCode>0.0000</c:formatCode>
                <c:ptCount val="2"/>
                <c:pt idx="0">
                  <c:v>0.50190462553416604</c:v>
                </c:pt>
                <c:pt idx="1">
                  <c:v>0.50190462553416604</c:v>
                </c:pt>
              </c:numCache>
            </c:numRef>
          </c:xVal>
          <c:yVal>
            <c:numRef>
              <c:f>'11'!$S$298:$S$299</c:f>
              <c:numCache>
                <c:formatCode>0.0000000</c:formatCode>
                <c:ptCount val="2"/>
                <c:pt idx="0">
                  <c:v>0</c:v>
                </c:pt>
                <c:pt idx="1">
                  <c:v>-127.53072711420064</c:v>
                </c:pt>
              </c:numCache>
            </c:numRef>
          </c:yVal>
          <c:smooth val="0"/>
          <c:extLst>
            <c:ext xmlns:c16="http://schemas.microsoft.com/office/drawing/2014/chart" uri="{C3380CC4-5D6E-409C-BE32-E72D297353CC}">
              <c16:uniqueId val="{00000004-A528-47C9-82AA-07B3DA6083B2}"/>
            </c:ext>
          </c:extLst>
        </c:ser>
        <c:ser>
          <c:idx val="5"/>
          <c:order val="5"/>
          <c:tx>
            <c:strRef>
              <c:f>'11'!$R$301</c:f>
              <c:strCache>
                <c:ptCount val="1"/>
                <c:pt idx="0">
                  <c:v>Horizontal Tail Structure</c:v>
                </c:pt>
              </c:strCache>
            </c:strRef>
          </c:tx>
          <c:spPr>
            <a:ln>
              <a:tailEnd type="stealth" w="lg" len="lg"/>
            </a:ln>
          </c:spPr>
          <c:marker>
            <c:symbol val="none"/>
          </c:marker>
          <c:xVal>
            <c:numRef>
              <c:f>'11'!$R$303:$R$304</c:f>
              <c:numCache>
                <c:formatCode>0.0000</c:formatCode>
                <c:ptCount val="2"/>
                <c:pt idx="0">
                  <c:v>1.0953433941719548</c:v>
                </c:pt>
                <c:pt idx="1">
                  <c:v>1.0953433941719548</c:v>
                </c:pt>
              </c:numCache>
            </c:numRef>
          </c:xVal>
          <c:yVal>
            <c:numRef>
              <c:f>'11'!$S$303:$S$304</c:f>
              <c:numCache>
                <c:formatCode>0.0000000</c:formatCode>
                <c:ptCount val="2"/>
                <c:pt idx="0">
                  <c:v>0</c:v>
                </c:pt>
                <c:pt idx="1">
                  <c:v>-16.713960148368926</c:v>
                </c:pt>
              </c:numCache>
            </c:numRef>
          </c:yVal>
          <c:smooth val="0"/>
          <c:extLst>
            <c:ext xmlns:c16="http://schemas.microsoft.com/office/drawing/2014/chart" uri="{C3380CC4-5D6E-409C-BE32-E72D297353CC}">
              <c16:uniqueId val="{00000005-A528-47C9-82AA-07B3DA6083B2}"/>
            </c:ext>
          </c:extLst>
        </c:ser>
        <c:ser>
          <c:idx val="6"/>
          <c:order val="6"/>
          <c:tx>
            <c:strRef>
              <c:f>'11'!$R$306</c:f>
              <c:strCache>
                <c:ptCount val="1"/>
                <c:pt idx="0">
                  <c:v>Vertical Tail Structure</c:v>
                </c:pt>
              </c:strCache>
            </c:strRef>
          </c:tx>
          <c:spPr>
            <a:ln>
              <a:tailEnd type="stealth" w="lg" len="lg"/>
            </a:ln>
          </c:spPr>
          <c:marker>
            <c:symbol val="none"/>
          </c:marker>
          <c:xVal>
            <c:numRef>
              <c:f>'11'!$R$308:$R$309</c:f>
              <c:numCache>
                <c:formatCode>0.0000</c:formatCode>
                <c:ptCount val="2"/>
                <c:pt idx="0">
                  <c:v>1.0875625122822976</c:v>
                </c:pt>
                <c:pt idx="1">
                  <c:v>1.0875625122822976</c:v>
                </c:pt>
              </c:numCache>
            </c:numRef>
          </c:xVal>
          <c:yVal>
            <c:numRef>
              <c:f>'11'!$S$308:$S$309</c:f>
              <c:numCache>
                <c:formatCode>0.0000000</c:formatCode>
                <c:ptCount val="2"/>
                <c:pt idx="0">
                  <c:v>0</c:v>
                </c:pt>
                <c:pt idx="1">
                  <c:v>-10.456106648627296</c:v>
                </c:pt>
              </c:numCache>
            </c:numRef>
          </c:yVal>
          <c:smooth val="0"/>
          <c:extLst>
            <c:ext xmlns:c16="http://schemas.microsoft.com/office/drawing/2014/chart" uri="{C3380CC4-5D6E-409C-BE32-E72D297353CC}">
              <c16:uniqueId val="{00000006-A528-47C9-82AA-07B3DA6083B2}"/>
            </c:ext>
          </c:extLst>
        </c:ser>
        <c:ser>
          <c:idx val="7"/>
          <c:order val="7"/>
          <c:tx>
            <c:strRef>
              <c:f>'11'!$R$311</c:f>
              <c:strCache>
                <c:ptCount val="1"/>
                <c:pt idx="0">
                  <c:v>Other</c:v>
                </c:pt>
              </c:strCache>
            </c:strRef>
          </c:tx>
          <c:spPr>
            <a:ln>
              <a:tailEnd type="stealth" w="lg" len="lg"/>
            </a:ln>
          </c:spPr>
          <c:marker>
            <c:symbol val="none"/>
          </c:marker>
          <c:xVal>
            <c:numRef>
              <c:f>'11'!$R$313:$R$314</c:f>
              <c:numCache>
                <c:formatCode>0.0000</c:formatCode>
                <c:ptCount val="2"/>
                <c:pt idx="0">
                  <c:v>0.5</c:v>
                </c:pt>
                <c:pt idx="1">
                  <c:v>0.5</c:v>
                </c:pt>
              </c:numCache>
            </c:numRef>
          </c:xVal>
          <c:yVal>
            <c:numRef>
              <c:f>'11'!$S$313:$S$314</c:f>
              <c:numCache>
                <c:formatCode>0.0000000</c:formatCode>
                <c:ptCount val="2"/>
                <c:pt idx="0">
                  <c:v>0</c:v>
                </c:pt>
                <c:pt idx="1">
                  <c:v>-151.9110094124822</c:v>
                </c:pt>
              </c:numCache>
            </c:numRef>
          </c:yVal>
          <c:smooth val="0"/>
          <c:extLst>
            <c:ext xmlns:c16="http://schemas.microsoft.com/office/drawing/2014/chart" uri="{C3380CC4-5D6E-409C-BE32-E72D297353CC}">
              <c16:uniqueId val="{00000007-A528-47C9-82AA-07B3DA6083B2}"/>
            </c:ext>
          </c:extLst>
        </c:ser>
        <c:ser>
          <c:idx val="8"/>
          <c:order val="8"/>
          <c:tx>
            <c:strRef>
              <c:f>'11'!$R$316</c:f>
              <c:strCache>
                <c:ptCount val="1"/>
                <c:pt idx="0">
                  <c:v>Wing Lift</c:v>
                </c:pt>
              </c:strCache>
            </c:strRef>
          </c:tx>
          <c:spPr>
            <a:ln>
              <a:solidFill>
                <a:srgbClr val="FF0000"/>
              </a:solidFill>
              <a:tailEnd type="stealth" w="lg" len="lg"/>
            </a:ln>
          </c:spPr>
          <c:marker>
            <c:symbol val="none"/>
          </c:marker>
          <c:xVal>
            <c:numRef>
              <c:f>'11'!$R$318:$R$319</c:f>
              <c:numCache>
                <c:formatCode>0.0000</c:formatCode>
                <c:ptCount val="2"/>
                <c:pt idx="0">
                  <c:v>0.40730914440364852</c:v>
                </c:pt>
                <c:pt idx="1">
                  <c:v>0.40730914440364852</c:v>
                </c:pt>
              </c:numCache>
            </c:numRef>
          </c:xVal>
          <c:yVal>
            <c:numRef>
              <c:f>'11'!$S$318:$S$319</c:f>
              <c:numCache>
                <c:formatCode>0.0000000</c:formatCode>
                <c:ptCount val="2"/>
                <c:pt idx="0">
                  <c:v>0</c:v>
                </c:pt>
                <c:pt idx="1">
                  <c:v>685.57683923083039</c:v>
                </c:pt>
              </c:numCache>
            </c:numRef>
          </c:yVal>
          <c:smooth val="0"/>
          <c:extLst>
            <c:ext xmlns:c16="http://schemas.microsoft.com/office/drawing/2014/chart" uri="{C3380CC4-5D6E-409C-BE32-E72D297353CC}">
              <c16:uniqueId val="{00000008-A528-47C9-82AA-07B3DA6083B2}"/>
            </c:ext>
          </c:extLst>
        </c:ser>
        <c:ser>
          <c:idx val="9"/>
          <c:order val="9"/>
          <c:tx>
            <c:strRef>
              <c:f>'11'!$R$321</c:f>
              <c:strCache>
                <c:ptCount val="1"/>
                <c:pt idx="0">
                  <c:v>Horizontal Stabilizer Lift</c:v>
                </c:pt>
              </c:strCache>
            </c:strRef>
          </c:tx>
          <c:spPr>
            <a:ln>
              <a:tailEnd type="stealth" w="lg" len="lg"/>
            </a:ln>
          </c:spPr>
          <c:marker>
            <c:symbol val="none"/>
          </c:marker>
          <c:xVal>
            <c:numRef>
              <c:f>'11'!$R$323:$R$324</c:f>
              <c:numCache>
                <c:formatCode>0.0000</c:formatCode>
                <c:ptCount val="2"/>
                <c:pt idx="0">
                  <c:v>1.0953433941719548</c:v>
                </c:pt>
                <c:pt idx="1">
                  <c:v>1.0953433941719548</c:v>
                </c:pt>
              </c:numCache>
            </c:numRef>
          </c:xVal>
          <c:yVal>
            <c:numRef>
              <c:f>'11'!$S$323:$S$324</c:f>
              <c:numCache>
                <c:formatCode>0.0000000</c:formatCode>
                <c:ptCount val="2"/>
                <c:pt idx="0">
                  <c:v>0</c:v>
                </c:pt>
                <c:pt idx="1">
                  <c:v>-38.795356879489923</c:v>
                </c:pt>
              </c:numCache>
            </c:numRef>
          </c:yVal>
          <c:smooth val="0"/>
          <c:extLst>
            <c:ext xmlns:c16="http://schemas.microsoft.com/office/drawing/2014/chart" uri="{C3380CC4-5D6E-409C-BE32-E72D297353CC}">
              <c16:uniqueId val="{00000009-A528-47C9-82AA-07B3DA6083B2}"/>
            </c:ext>
          </c:extLst>
        </c:ser>
        <c:ser>
          <c:idx val="10"/>
          <c:order val="10"/>
          <c:tx>
            <c:strRef>
              <c:f>'11'!$R$326</c:f>
              <c:strCache>
                <c:ptCount val="1"/>
                <c:pt idx="0">
                  <c:v>Center-of-Gravity</c:v>
                </c:pt>
              </c:strCache>
            </c:strRef>
          </c:tx>
          <c:spPr>
            <a:ln>
              <a:solidFill>
                <a:schemeClr val="tx1"/>
              </a:solidFill>
              <a:tailEnd type="stealth" w="lg" len="lg"/>
            </a:ln>
          </c:spPr>
          <c:marker>
            <c:symbol val="none"/>
          </c:marker>
          <c:xVal>
            <c:numRef>
              <c:f>'11'!$R$328:$R$329</c:f>
              <c:numCache>
                <c:formatCode>0.0000</c:formatCode>
                <c:ptCount val="2"/>
                <c:pt idx="0">
                  <c:v>0.30349989333531641</c:v>
                </c:pt>
                <c:pt idx="1">
                  <c:v>0.30349989333531641</c:v>
                </c:pt>
              </c:numCache>
            </c:numRef>
          </c:xVal>
          <c:yVal>
            <c:numRef>
              <c:f>'11'!$S$328:$S$329</c:f>
              <c:numCache>
                <c:formatCode>0.0000000</c:formatCode>
                <c:ptCount val="2"/>
                <c:pt idx="0">
                  <c:v>0</c:v>
                </c:pt>
                <c:pt idx="1">
                  <c:v>-826.26697478804226</c:v>
                </c:pt>
              </c:numCache>
            </c:numRef>
          </c:yVal>
          <c:smooth val="0"/>
          <c:extLst>
            <c:ext xmlns:c16="http://schemas.microsoft.com/office/drawing/2014/chart" uri="{C3380CC4-5D6E-409C-BE32-E72D297353CC}">
              <c16:uniqueId val="{0000000A-A528-47C9-82AA-07B3DA6083B2}"/>
            </c:ext>
          </c:extLst>
        </c:ser>
        <c:dLbls>
          <c:showLegendKey val="0"/>
          <c:showVal val="0"/>
          <c:showCatName val="0"/>
          <c:showSerName val="0"/>
          <c:showPercent val="0"/>
          <c:showBubbleSize val="0"/>
        </c:dLbls>
        <c:axId val="364451712"/>
        <c:axId val="364457984"/>
      </c:scatterChart>
      <c:valAx>
        <c:axId val="364451712"/>
        <c:scaling>
          <c:orientation val="minMax"/>
        </c:scaling>
        <c:delete val="0"/>
        <c:axPos val="b"/>
        <c:title>
          <c:tx>
            <c:rich>
              <a:bodyPr/>
              <a:lstStyle/>
              <a:p>
                <a:pPr>
                  <a:defRPr sz="1400"/>
                </a:pPr>
                <a:r>
                  <a:rPr lang="en-US" sz="1400"/>
                  <a:t>Axial Location,</a:t>
                </a:r>
                <a:r>
                  <a:rPr lang="en-US" sz="1400" baseline="0"/>
                  <a:t> x/Lfuse, (-)</a:t>
                </a:r>
                <a:endParaRPr lang="en-US" sz="1400"/>
              </a:p>
            </c:rich>
          </c:tx>
          <c:layout>
            <c:manualLayout>
              <c:xMode val="edge"/>
              <c:yMode val="edge"/>
              <c:x val="0.27007095237906287"/>
              <c:y val="0.90277830764112232"/>
            </c:manualLayout>
          </c:layout>
          <c:overlay val="0"/>
        </c:title>
        <c:numFmt formatCode="0.0" sourceLinked="0"/>
        <c:majorTickMark val="out"/>
        <c:minorTickMark val="none"/>
        <c:tickLblPos val="nextTo"/>
        <c:crossAx val="364457984"/>
        <c:crosses val="autoZero"/>
        <c:crossBetween val="midCat"/>
      </c:valAx>
      <c:valAx>
        <c:axId val="364457984"/>
        <c:scaling>
          <c:orientation val="minMax"/>
        </c:scaling>
        <c:delete val="0"/>
        <c:axPos val="l"/>
        <c:majorGridlines/>
        <c:title>
          <c:tx>
            <c:rich>
              <a:bodyPr rot="-5400000" vert="horz"/>
              <a:lstStyle/>
              <a:p>
                <a:pPr>
                  <a:defRPr sz="1400"/>
                </a:pPr>
                <a:r>
                  <a:rPr lang="en-US" sz="1400"/>
                  <a:t>Force - lbf</a:t>
                </a:r>
              </a:p>
            </c:rich>
          </c:tx>
          <c:layout>
            <c:manualLayout>
              <c:xMode val="edge"/>
              <c:yMode val="edge"/>
              <c:x val="2.2495735494398275E-2"/>
              <c:y val="0.42840087242615799"/>
            </c:manualLayout>
          </c:layout>
          <c:overlay val="0"/>
        </c:title>
        <c:numFmt formatCode="#,##0" sourceLinked="0"/>
        <c:majorTickMark val="out"/>
        <c:minorTickMark val="none"/>
        <c:tickLblPos val="nextTo"/>
        <c:crossAx val="364451712"/>
        <c:crosses val="autoZero"/>
        <c:crossBetween val="midCat"/>
      </c:valAx>
    </c:plotArea>
    <c:legend>
      <c:legendPos val="r"/>
      <c:layout>
        <c:manualLayout>
          <c:xMode val="edge"/>
          <c:yMode val="edge"/>
          <c:x val="0.60950501857739847"/>
          <c:y val="0.48038685816667498"/>
          <c:w val="0.37007354074192955"/>
          <c:h val="0.44713854710823736"/>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0.33686384962734833</c:v>
                </c:pt>
                <c:pt idx="1">
                  <c:v>0.35762569984101478</c:v>
                </c:pt>
                <c:pt idx="2">
                  <c:v>0.36800662494784797</c:v>
                </c:pt>
                <c:pt idx="3">
                  <c:v>0.37838755005468117</c:v>
                </c:pt>
                <c:pt idx="4">
                  <c:v>0.39914940026834761</c:v>
                </c:pt>
                <c:pt idx="5">
                  <c:v>0.41991125048201405</c:v>
                </c:pt>
                <c:pt idx="6">
                  <c:v>0.47181587601618002</c:v>
                </c:pt>
              </c:numCache>
            </c:numRef>
          </c:xVal>
          <c:yVal>
            <c:numRef>
              <c:f>'11'!$Y$93:$Y$99</c:f>
              <c:numCache>
                <c:formatCode>0.0000</c:formatCode>
                <c:ptCount val="7"/>
                <c:pt idx="0">
                  <c:v>2.2029302459300446</c:v>
                </c:pt>
                <c:pt idx="1">
                  <c:v>1.7485104352671577</c:v>
                </c:pt>
                <c:pt idx="2">
                  <c:v>1.5213005299357154</c:v>
                </c:pt>
                <c:pt idx="3">
                  <c:v>1.2940906246042732</c:v>
                </c:pt>
                <c:pt idx="4">
                  <c:v>0.83967081394138754</c:v>
                </c:pt>
                <c:pt idx="5">
                  <c:v>0.38525100327850104</c:v>
                </c:pt>
                <c:pt idx="6">
                  <c:v>-0.75079852337871156</c:v>
                </c:pt>
              </c:numCache>
            </c:numRef>
          </c:yVal>
          <c:smooth val="0"/>
          <c:extLst>
            <c:ext xmlns:c16="http://schemas.microsoft.com/office/drawing/2014/chart" uri="{C3380CC4-5D6E-409C-BE32-E72D297353CC}">
              <c16:uniqueId val="{00000000-679B-4CD2-8898-36A906DCB8B6}"/>
            </c:ext>
          </c:extLst>
        </c:ser>
        <c:ser>
          <c:idx val="2"/>
          <c:order val="1"/>
          <c:tx>
            <c:v>W=We</c:v>
          </c:tx>
          <c:spPr>
            <a:ln>
              <a:solidFill>
                <a:srgbClr val="FF0000"/>
              </a:solidFill>
            </a:ln>
          </c:spPr>
          <c:marker>
            <c:symbol val="none"/>
          </c:marker>
          <c:xVal>
            <c:numRef>
              <c:f>'11'!$R$103:$R$109</c:f>
              <c:numCache>
                <c:formatCode>0.0000</c:formatCode>
                <c:ptCount val="7"/>
                <c:pt idx="0">
                  <c:v>0.27235711801481677</c:v>
                </c:pt>
                <c:pt idx="1">
                  <c:v>0.29311896822848321</c:v>
                </c:pt>
                <c:pt idx="2">
                  <c:v>0.30349989333531641</c:v>
                </c:pt>
                <c:pt idx="3">
                  <c:v>0.31388081844214966</c:v>
                </c:pt>
                <c:pt idx="4">
                  <c:v>0.33464266865581599</c:v>
                </c:pt>
                <c:pt idx="5">
                  <c:v>0.35540451886948249</c:v>
                </c:pt>
                <c:pt idx="6">
                  <c:v>0.40730914440364852</c:v>
                </c:pt>
              </c:numCache>
            </c:numRef>
          </c:xVal>
          <c:yVal>
            <c:numRef>
              <c:f>'11'!$Y$103:$Y$109</c:f>
              <c:numCache>
                <c:formatCode>0.0000</c:formatCode>
                <c:ptCount val="7"/>
                <c:pt idx="0">
                  <c:v>2.4156486773198931</c:v>
                </c:pt>
                <c:pt idx="1">
                  <c:v>1.961228866657007</c:v>
                </c:pt>
                <c:pt idx="2">
                  <c:v>1.7340189613255639</c:v>
                </c:pt>
                <c:pt idx="3">
                  <c:v>1.5068090559941207</c:v>
                </c:pt>
                <c:pt idx="4">
                  <c:v>1.0523892453312369</c:v>
                </c:pt>
                <c:pt idx="5">
                  <c:v>0.59796943466834951</c:v>
                </c:pt>
                <c:pt idx="6">
                  <c:v>-0.53808009198886397</c:v>
                </c:pt>
              </c:numCache>
            </c:numRef>
          </c:yVal>
          <c:smooth val="0"/>
          <c:extLst>
            <c:ext xmlns:c16="http://schemas.microsoft.com/office/drawing/2014/chart" uri="{C3380CC4-5D6E-409C-BE32-E72D297353CC}">
              <c16:uniqueId val="{00000001-679B-4CD2-8898-36A906DCB8B6}"/>
            </c:ext>
          </c:extLst>
        </c:ser>
        <c:ser>
          <c:idx val="1"/>
          <c:order val="2"/>
          <c:tx>
            <c:v>Lower Cma Bound</c:v>
          </c:tx>
          <c:spPr>
            <a:ln>
              <a:solidFill>
                <a:srgbClr val="00B050"/>
              </a:solidFill>
            </a:ln>
          </c:spPr>
          <c:marker>
            <c:symbol val="none"/>
          </c:marker>
          <c:xVal>
            <c:numRef>
              <c:f>'11'!$V$278:$V$279</c:f>
              <c:numCache>
                <c:formatCode>General</c:formatCode>
                <c:ptCount val="2"/>
                <c:pt idx="0">
                  <c:v>0.2</c:v>
                </c:pt>
                <c:pt idx="1">
                  <c:v>0.8</c:v>
                </c:pt>
              </c:numCache>
            </c:numRef>
          </c:xVal>
          <c:yVal>
            <c:numRef>
              <c:f>'11'!$W$278:$W$279</c:f>
              <c:numCache>
                <c:formatCode>General</c:formatCode>
                <c:ptCount val="2"/>
                <c:pt idx="0">
                  <c:v>-1.5</c:v>
                </c:pt>
                <c:pt idx="1">
                  <c:v>-1.5</c:v>
                </c:pt>
              </c:numCache>
            </c:numRef>
          </c:yVal>
          <c:smooth val="0"/>
          <c:extLst>
            <c:ext xmlns:c16="http://schemas.microsoft.com/office/drawing/2014/chart" uri="{C3380CC4-5D6E-409C-BE32-E72D297353CC}">
              <c16:uniqueId val="{00000002-679B-4CD2-8898-36A906DCB8B6}"/>
            </c:ext>
          </c:extLst>
        </c:ser>
        <c:ser>
          <c:idx val="3"/>
          <c:order val="3"/>
          <c:tx>
            <c:v>Upper Cma Bound</c:v>
          </c:tx>
          <c:spPr>
            <a:ln>
              <a:solidFill>
                <a:srgbClr val="00B050"/>
              </a:solidFill>
            </a:ln>
          </c:spPr>
          <c:marker>
            <c:symbol val="none"/>
          </c:marker>
          <c:xVal>
            <c:numRef>
              <c:f>'11'!$V$278:$V$279</c:f>
              <c:numCache>
                <c:formatCode>General</c:formatCode>
                <c:ptCount val="2"/>
                <c:pt idx="0">
                  <c:v>0.2</c:v>
                </c:pt>
                <c:pt idx="1">
                  <c:v>0.8</c:v>
                </c:pt>
              </c:numCache>
            </c:numRef>
          </c:xVal>
          <c:yVal>
            <c:numRef>
              <c:f>'11'!$X$278:$X$279</c:f>
              <c:numCache>
                <c:formatCode>General</c:formatCode>
                <c:ptCount val="2"/>
                <c:pt idx="0">
                  <c:v>-0.16</c:v>
                </c:pt>
                <c:pt idx="1">
                  <c:v>-0.16</c:v>
                </c:pt>
              </c:numCache>
            </c:numRef>
          </c:yVal>
          <c:smooth val="0"/>
          <c:extLst>
            <c:ext xmlns:c16="http://schemas.microsoft.com/office/drawing/2014/chart" uri="{C3380CC4-5D6E-409C-BE32-E72D297353CC}">
              <c16:uniqueId val="{00000003-679B-4CD2-8898-36A906DCB8B6}"/>
            </c:ext>
          </c:extLst>
        </c:ser>
        <c:ser>
          <c:idx val="4"/>
          <c:order val="4"/>
          <c:tx>
            <c:v>c.o. Lift</c:v>
          </c:tx>
          <c:spPr>
            <a:ln>
              <a:solidFill>
                <a:schemeClr val="tx1"/>
              </a:solidFill>
              <a:prstDash val="sysDash"/>
            </a:ln>
          </c:spPr>
          <c:marker>
            <c:symbol val="none"/>
          </c:marker>
          <c:xVal>
            <c:numRef>
              <c:f>'11'!$V$274:$V$275</c:f>
              <c:numCache>
                <c:formatCode>0.0000</c:formatCode>
                <c:ptCount val="2"/>
                <c:pt idx="0">
                  <c:v>0.45</c:v>
                </c:pt>
                <c:pt idx="1">
                  <c:v>0.45</c:v>
                </c:pt>
              </c:numCache>
            </c:numRef>
          </c:xVal>
          <c:yVal>
            <c:numRef>
              <c:f>'11'!$Y$274:$Y$275</c:f>
              <c:numCache>
                <c:formatCode>General</c:formatCode>
                <c:ptCount val="2"/>
                <c:pt idx="0">
                  <c:v>-3</c:v>
                </c:pt>
                <c:pt idx="1">
                  <c:v>1</c:v>
                </c:pt>
              </c:numCache>
            </c:numRef>
          </c:yVal>
          <c:smooth val="0"/>
          <c:extLst>
            <c:ext xmlns:c16="http://schemas.microsoft.com/office/drawing/2014/chart" uri="{C3380CC4-5D6E-409C-BE32-E72D297353CC}">
              <c16:uniqueId val="{00000004-679B-4CD2-8898-36A906DCB8B6}"/>
            </c:ext>
          </c:extLst>
        </c:ser>
        <c:dLbls>
          <c:showLegendKey val="0"/>
          <c:showVal val="0"/>
          <c:showCatName val="0"/>
          <c:showSerName val="0"/>
          <c:showPercent val="0"/>
          <c:showBubbleSize val="0"/>
        </c:dLbls>
        <c:axId val="364500480"/>
        <c:axId val="364502400"/>
      </c:scatterChart>
      <c:valAx>
        <c:axId val="364500480"/>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4502400"/>
        <c:crosses val="autoZero"/>
        <c:crossBetween val="midCat"/>
      </c:valAx>
      <c:valAx>
        <c:axId val="364502400"/>
        <c:scaling>
          <c:orientation val="minMax"/>
          <c:max val="2"/>
          <c:min val="-4"/>
        </c:scaling>
        <c:delete val="0"/>
        <c:axPos val="l"/>
        <c:majorGridlines/>
        <c:title>
          <c:tx>
            <c:rich>
              <a:bodyPr rot="-5400000" vert="horz"/>
              <a:lstStyle/>
              <a:p>
                <a:pPr>
                  <a:defRPr sz="1400"/>
                </a:pPr>
                <a:r>
                  <a:rPr lang="en-US" sz="1400"/>
                  <a:t>Long. Stability Coeff., C</a:t>
                </a:r>
                <a:r>
                  <a:rPr lang="en-US" sz="1400" baseline="-25000"/>
                  <a:t>M</a:t>
                </a:r>
                <a:r>
                  <a:rPr lang="en-US" sz="1400" baseline="-25000">
                    <a:latin typeface="Symbol" panose="05050102010706020507" pitchFamily="18" charset="2"/>
                  </a:rPr>
                  <a:t>a</a:t>
                </a:r>
              </a:p>
            </c:rich>
          </c:tx>
          <c:layout>
            <c:manualLayout>
              <c:xMode val="edge"/>
              <c:yMode val="edge"/>
              <c:x val="1.2054443931372567E-2"/>
              <c:y val="0.2368515766515101"/>
            </c:manualLayout>
          </c:layout>
          <c:overlay val="0"/>
        </c:title>
        <c:numFmt formatCode="0.00" sourceLinked="0"/>
        <c:majorTickMark val="out"/>
        <c:minorTickMark val="none"/>
        <c:tickLblPos val="nextTo"/>
        <c:crossAx val="364500480"/>
        <c:crosses val="autoZero"/>
        <c:crossBetween val="midCat"/>
      </c:valAx>
    </c:plotArea>
    <c:legend>
      <c:legendPos val="r"/>
      <c:layout>
        <c:manualLayout>
          <c:xMode val="edge"/>
          <c:yMode val="edge"/>
          <c:x val="0.68856463598118178"/>
          <c:y val="4.1424568407822257E-2"/>
          <c:w val="0.3114353640188181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V-Tail Planform</a:t>
            </a:r>
          </a:p>
        </c:rich>
      </c:tx>
      <c:layout>
        <c:manualLayout>
          <c:xMode val="edge"/>
          <c:yMode val="edge"/>
          <c:x val="2.4824298512527852E-2"/>
          <c:y val="1.7706803503494649E-2"/>
        </c:manualLayout>
      </c:layout>
      <c:overlay val="0"/>
      <c:spPr>
        <a:noFill/>
        <a:ln w="25400">
          <a:noFill/>
        </a:ln>
      </c:spPr>
    </c:title>
    <c:autoTitleDeleted val="0"/>
    <c:plotArea>
      <c:layout>
        <c:manualLayout>
          <c:layoutTarget val="inner"/>
          <c:xMode val="edge"/>
          <c:yMode val="edge"/>
          <c:x val="0.19962325932278388"/>
          <c:y val="0.17123123654487038"/>
          <c:w val="0.66716663847139213"/>
          <c:h val="0.65292282284939218"/>
        </c:manualLayout>
      </c:layout>
      <c:scatterChart>
        <c:scatterStyle val="lineMarker"/>
        <c:varyColors val="0"/>
        <c:ser>
          <c:idx val="0"/>
          <c:order val="0"/>
          <c:spPr>
            <a:ln w="28575">
              <a:solidFill>
                <a:srgbClr val="000080"/>
              </a:solidFill>
              <a:prstDash val="solid"/>
            </a:ln>
          </c:spPr>
          <c:marker>
            <c:symbol val="diamond"/>
            <c:size val="5"/>
            <c:spPr>
              <a:solidFill>
                <a:srgbClr val="000080"/>
              </a:solidFill>
              <a:ln>
                <a:solidFill>
                  <a:srgbClr val="000080"/>
                </a:solidFill>
                <a:prstDash val="solid"/>
              </a:ln>
            </c:spPr>
          </c:marker>
          <c:xVal>
            <c:numRef>
              <c:f>'11'!$R$238:$R$242</c:f>
              <c:numCache>
                <c:formatCode>0.0000</c:formatCode>
                <c:ptCount val="5"/>
                <c:pt idx="0">
                  <c:v>0</c:v>
                </c:pt>
                <c:pt idx="1">
                  <c:v>4.7201468973365328</c:v>
                </c:pt>
                <c:pt idx="2">
                  <c:v>4.1474380696714164</c:v>
                </c:pt>
                <c:pt idx="3">
                  <c:v>1.3153499312694972</c:v>
                </c:pt>
                <c:pt idx="4">
                  <c:v>0</c:v>
                </c:pt>
              </c:numCache>
            </c:numRef>
          </c:xVal>
          <c:yVal>
            <c:numRef>
              <c:f>'11'!$S$238:$S$242</c:f>
              <c:numCache>
                <c:formatCode>0.000</c:formatCode>
                <c:ptCount val="5"/>
                <c:pt idx="0">
                  <c:v>0</c:v>
                </c:pt>
                <c:pt idx="1">
                  <c:v>0</c:v>
                </c:pt>
                <c:pt idx="2">
                  <c:v>4.908952773229994</c:v>
                </c:pt>
                <c:pt idx="3">
                  <c:v>4.908952773229994</c:v>
                </c:pt>
                <c:pt idx="4">
                  <c:v>0</c:v>
                </c:pt>
              </c:numCache>
            </c:numRef>
          </c:yVal>
          <c:smooth val="0"/>
          <c:extLst>
            <c:ext xmlns:c16="http://schemas.microsoft.com/office/drawing/2014/chart" uri="{C3380CC4-5D6E-409C-BE32-E72D297353CC}">
              <c16:uniqueId val="{00000000-2658-4AE4-B953-47705DC84195}"/>
            </c:ext>
          </c:extLst>
        </c:ser>
        <c:ser>
          <c:idx val="1"/>
          <c:order val="1"/>
          <c:marker>
            <c:symbol val="none"/>
          </c:marker>
          <c:xVal>
            <c:numRef>
              <c:f>'11'!$R$246:$R$247</c:f>
              <c:numCache>
                <c:formatCode>General</c:formatCode>
                <c:ptCount val="2"/>
                <c:pt idx="0">
                  <c:v>0.60286871849851953</c:v>
                </c:pt>
                <c:pt idx="1">
                  <c:v>4.4576553513233543</c:v>
                </c:pt>
              </c:numCache>
            </c:numRef>
          </c:xVal>
          <c:yVal>
            <c:numRef>
              <c:f>'11'!$S$246:$S$247</c:f>
              <c:numCache>
                <c:formatCode>0.000</c:formatCode>
                <c:ptCount val="2"/>
                <c:pt idx="0">
                  <c:v>2.2499366877304139</c:v>
                </c:pt>
                <c:pt idx="1">
                  <c:v>2.2499366877304139</c:v>
                </c:pt>
              </c:numCache>
            </c:numRef>
          </c:yVal>
          <c:smooth val="0"/>
          <c:extLst>
            <c:ext xmlns:c16="http://schemas.microsoft.com/office/drawing/2014/chart" uri="{C3380CC4-5D6E-409C-BE32-E72D297353CC}">
              <c16:uniqueId val="{00000001-2658-4AE4-B953-47705DC84195}"/>
            </c:ext>
          </c:extLst>
        </c:ser>
        <c:ser>
          <c:idx val="2"/>
          <c:order val="2"/>
          <c:spPr>
            <a:ln>
              <a:solidFill>
                <a:srgbClr val="FFFF00"/>
              </a:solidFill>
            </a:ln>
          </c:spPr>
          <c:marker>
            <c:symbol val="none"/>
          </c:marker>
          <c:xVal>
            <c:numRef>
              <c:f>'11'!$R$252:$R$256</c:f>
              <c:numCache>
                <c:formatCode>0.000</c:formatCode>
                <c:ptCount val="5"/>
                <c:pt idx="0">
                  <c:v>4.6056051318035092</c:v>
                </c:pt>
                <c:pt idx="1">
                  <c:v>4.26197983520444</c:v>
                </c:pt>
                <c:pt idx="2">
                  <c:v>3.6326269155595692</c:v>
                </c:pt>
                <c:pt idx="3">
                  <c:v>3.9762522121586383</c:v>
                </c:pt>
                <c:pt idx="4">
                  <c:v>4.6056051318035092</c:v>
                </c:pt>
              </c:numCache>
            </c:numRef>
          </c:xVal>
          <c:yVal>
            <c:numRef>
              <c:f>'11'!$S$252:$S$256</c:f>
              <c:numCache>
                <c:formatCode>0.000</c:formatCode>
                <c:ptCount val="5"/>
                <c:pt idx="0">
                  <c:v>0.98179055464599885</c:v>
                </c:pt>
                <c:pt idx="1">
                  <c:v>3.9271622185839954</c:v>
                </c:pt>
                <c:pt idx="2">
                  <c:v>3.9271622185839954</c:v>
                </c:pt>
                <c:pt idx="3">
                  <c:v>0.98179055464599885</c:v>
                </c:pt>
                <c:pt idx="4">
                  <c:v>0.98179055464599885</c:v>
                </c:pt>
              </c:numCache>
            </c:numRef>
          </c:yVal>
          <c:smooth val="0"/>
          <c:extLst>
            <c:ext xmlns:c16="http://schemas.microsoft.com/office/drawing/2014/chart" uri="{C3380CC4-5D6E-409C-BE32-E72D297353CC}">
              <c16:uniqueId val="{00000002-2658-4AE4-B953-47705DC84195}"/>
            </c:ext>
          </c:extLst>
        </c:ser>
        <c:dLbls>
          <c:showLegendKey val="0"/>
          <c:showVal val="0"/>
          <c:showCatName val="0"/>
          <c:showSerName val="0"/>
          <c:showPercent val="0"/>
          <c:showBubbleSize val="0"/>
        </c:dLbls>
        <c:axId val="360368384"/>
        <c:axId val="360370560"/>
      </c:scatterChart>
      <c:valAx>
        <c:axId val="36036838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a:t>Axial</a:t>
                </a:r>
                <a:r>
                  <a:rPr lang="en-US" sz="1000" baseline="0"/>
                  <a:t> Position</a:t>
                </a:r>
                <a:r>
                  <a:rPr lang="en-US" sz="1000"/>
                  <a:t>, (ft)</a:t>
                </a:r>
              </a:p>
            </c:rich>
          </c:tx>
          <c:layout>
            <c:manualLayout>
              <c:xMode val="edge"/>
              <c:yMode val="edge"/>
              <c:x val="0.35591361039975666"/>
              <c:y val="0.89893020068768403"/>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70560"/>
        <c:crosses val="autoZero"/>
        <c:crossBetween val="midCat"/>
      </c:valAx>
      <c:valAx>
        <c:axId val="360370560"/>
        <c:scaling>
          <c:orientation val="minMax"/>
          <c:max val="6"/>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sz="1000" baseline="0"/>
                  <a:t>V-Tail Span, (ft)</a:t>
                </a:r>
                <a:endParaRPr lang="en-US" sz="1000"/>
              </a:p>
            </c:rich>
          </c:tx>
          <c:layout>
            <c:manualLayout>
              <c:xMode val="edge"/>
              <c:yMode val="edge"/>
              <c:x val="3.7785534540141247E-2"/>
              <c:y val="0.2930518704617176"/>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0368384"/>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Static Margin</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42"/>
          <c:h val="0.64856101438024472"/>
        </c:manualLayout>
      </c:layout>
      <c:scatterChart>
        <c:scatterStyle val="lineMarker"/>
        <c:varyColors val="0"/>
        <c:ser>
          <c:idx val="0"/>
          <c:order val="0"/>
          <c:tx>
            <c:v>W=Wo</c:v>
          </c:tx>
          <c:marker>
            <c:symbol val="none"/>
          </c:marker>
          <c:xVal>
            <c:numRef>
              <c:f>'11'!$T$93:$T$99</c:f>
              <c:numCache>
                <c:formatCode>0%</c:formatCode>
                <c:ptCount val="7"/>
                <c:pt idx="0">
                  <c:v>-0.15000000000000005</c:v>
                </c:pt>
                <c:pt idx="1">
                  <c:v>-4.9999999999999878E-2</c:v>
                </c:pt>
                <c:pt idx="2">
                  <c:v>0</c:v>
                </c:pt>
                <c:pt idx="3">
                  <c:v>4.9999999999999878E-2</c:v>
                </c:pt>
                <c:pt idx="4">
                  <c:v>0.14999999999999983</c:v>
                </c:pt>
                <c:pt idx="5">
                  <c:v>0.25</c:v>
                </c:pt>
                <c:pt idx="6">
                  <c:v>0.49999999999999961</c:v>
                </c:pt>
              </c:numCache>
            </c:numRef>
          </c:xVal>
          <c:yVal>
            <c:numRef>
              <c:f>'11'!$X$93:$X$99</c:f>
              <c:numCache>
                <c:formatCode>0.0000</c:formatCode>
                <c:ptCount val="7"/>
                <c:pt idx="0">
                  <c:v>1.0694949065110423E-2</c:v>
                </c:pt>
                <c:pt idx="1">
                  <c:v>6.0666899568322585E-3</c:v>
                </c:pt>
                <c:pt idx="2">
                  <c:v>4.1766343448207703E-3</c:v>
                </c:pt>
                <c:pt idx="3">
                  <c:v>2.6026310737096228E-3</c:v>
                </c:pt>
                <c:pt idx="4">
                  <c:v>5.1503404983124475E-4</c:v>
                </c:pt>
                <c:pt idx="5">
                  <c:v>5.1683753212044567E-5</c:v>
                </c:pt>
                <c:pt idx="6">
                  <c:v>8.0243648277049193E-3</c:v>
                </c:pt>
              </c:numCache>
            </c:numRef>
          </c:yVal>
          <c:smooth val="0"/>
          <c:extLst>
            <c:ext xmlns:c16="http://schemas.microsoft.com/office/drawing/2014/chart" uri="{C3380CC4-5D6E-409C-BE32-E72D297353CC}">
              <c16:uniqueId val="{00000000-73ED-4B80-B689-A1ECFFFD07CC}"/>
            </c:ext>
          </c:extLst>
        </c:ser>
        <c:ser>
          <c:idx val="2"/>
          <c:order val="1"/>
          <c:tx>
            <c:v>W=We</c:v>
          </c:tx>
          <c:spPr>
            <a:ln>
              <a:solidFill>
                <a:srgbClr val="FF0000"/>
              </a:solidFill>
            </a:ln>
          </c:spPr>
          <c:marker>
            <c:symbol val="none"/>
          </c:marker>
          <c:xVal>
            <c:numRef>
              <c:f>'11'!$T$103:$T$109</c:f>
              <c:numCache>
                <c:formatCode>0%</c:formatCode>
                <c:ptCount val="7"/>
                <c:pt idx="0">
                  <c:v>-0.15000000000000005</c:v>
                </c:pt>
                <c:pt idx="1">
                  <c:v>-5.0000000000000079E-2</c:v>
                </c:pt>
                <c:pt idx="2">
                  <c:v>0</c:v>
                </c:pt>
                <c:pt idx="3">
                  <c:v>5.0000000000000079E-2</c:v>
                </c:pt>
                <c:pt idx="4">
                  <c:v>0.14999999999999963</c:v>
                </c:pt>
                <c:pt idx="5">
                  <c:v>0.25</c:v>
                </c:pt>
                <c:pt idx="6">
                  <c:v>0.49999999999999978</c:v>
                </c:pt>
              </c:numCache>
            </c:numRef>
          </c:xVal>
          <c:yVal>
            <c:numRef>
              <c:f>'11'!$X$103:$X$109</c:f>
              <c:numCache>
                <c:formatCode>0.0000</c:formatCode>
                <c:ptCount val="7"/>
                <c:pt idx="0">
                  <c:v>4.8965732166517733E-3</c:v>
                </c:pt>
                <c:pt idx="1">
                  <c:v>3.1190320126410868E-3</c:v>
                </c:pt>
                <c:pt idx="2">
                  <c:v>2.3537528002041804E-3</c:v>
                </c:pt>
                <c:pt idx="3">
                  <c:v>1.6805204924658312E-3</c:v>
                </c:pt>
                <c:pt idx="4">
                  <c:v>6.4295658655911516E-4</c:v>
                </c:pt>
                <c:pt idx="5">
                  <c:v>7.8734155788137106E-5</c:v>
                </c:pt>
                <c:pt idx="6">
                  <c:v>1.3327861200294279E-3</c:v>
                </c:pt>
              </c:numCache>
            </c:numRef>
          </c:yVal>
          <c:smooth val="0"/>
          <c:extLst>
            <c:ext xmlns:c16="http://schemas.microsoft.com/office/drawing/2014/chart" uri="{C3380CC4-5D6E-409C-BE32-E72D297353CC}">
              <c16:uniqueId val="{00000001-73ED-4B80-B689-A1ECFFFD07CC}"/>
            </c:ext>
          </c:extLst>
        </c:ser>
        <c:ser>
          <c:idx val="1"/>
          <c:order val="2"/>
          <c:tx>
            <c:v>Design Goal</c:v>
          </c:tx>
          <c:spPr>
            <a:ln>
              <a:solidFill>
                <a:srgbClr val="00B050"/>
              </a:solidFill>
            </a:ln>
          </c:spPr>
          <c:marker>
            <c:symbol val="none"/>
          </c:marker>
          <c:xVal>
            <c:numRef>
              <c:f>'11'!$S$265:$S$269</c:f>
              <c:numCache>
                <c:formatCode>0%</c:formatCode>
                <c:ptCount val="5"/>
                <c:pt idx="0">
                  <c:v>0.03</c:v>
                </c:pt>
                <c:pt idx="1">
                  <c:v>0.03</c:v>
                </c:pt>
                <c:pt idx="2">
                  <c:v>0.12</c:v>
                </c:pt>
                <c:pt idx="3">
                  <c:v>0.12</c:v>
                </c:pt>
                <c:pt idx="4">
                  <c:v>0.03</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73ED-4B80-B689-A1ECFFFD07CC}"/>
            </c:ext>
          </c:extLst>
        </c:ser>
        <c:dLbls>
          <c:showLegendKey val="0"/>
          <c:showVal val="0"/>
          <c:showCatName val="0"/>
          <c:showSerName val="0"/>
          <c:showPercent val="0"/>
          <c:showBubbleSize val="0"/>
        </c:dLbls>
        <c:axId val="360733696"/>
        <c:axId val="360744064"/>
      </c:scatterChart>
      <c:valAx>
        <c:axId val="360733696"/>
        <c:scaling>
          <c:orientation val="minMax"/>
        </c:scaling>
        <c:delete val="0"/>
        <c:axPos val="b"/>
        <c:title>
          <c:tx>
            <c:rich>
              <a:bodyPr/>
              <a:lstStyle/>
              <a:p>
                <a:pPr>
                  <a:defRPr sz="1400"/>
                </a:pPr>
                <a:r>
                  <a:rPr lang="en-US" sz="1400"/>
                  <a:t>Static Margin = (xcl-xcg)/cmac</a:t>
                </a:r>
              </a:p>
            </c:rich>
          </c:tx>
          <c:overlay val="0"/>
        </c:title>
        <c:numFmt formatCode="0%" sourceLinked="1"/>
        <c:majorTickMark val="out"/>
        <c:minorTickMark val="none"/>
        <c:tickLblPos val="nextTo"/>
        <c:crossAx val="360744064"/>
        <c:crosses val="autoZero"/>
        <c:crossBetween val="midCat"/>
      </c:valAx>
      <c:valAx>
        <c:axId val="360744064"/>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19"/>
            </c:manualLayout>
          </c:layout>
          <c:overlay val="0"/>
        </c:title>
        <c:numFmt formatCode="0%" sourceLinked="0"/>
        <c:majorTickMark val="out"/>
        <c:minorTickMark val="none"/>
        <c:tickLblPos val="nextTo"/>
        <c:crossAx val="360733696"/>
        <c:crosses val="autoZero"/>
        <c:crossBetween val="midCat"/>
      </c:valAx>
    </c:plotArea>
    <c:legend>
      <c:legendPos val="r"/>
      <c:layout>
        <c:manualLayout>
          <c:xMode val="edge"/>
          <c:yMode val="edge"/>
          <c:x val="0.68230202939042017"/>
          <c:y val="4.1424470771135015E-2"/>
          <c:w val="0.21898859021551129"/>
          <c:h val="0.20375113674171014"/>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Stability Coeff. (C</a:t>
            </a:r>
            <a:r>
              <a:rPr lang="en-US" sz="1200"/>
              <a:t>M</a:t>
            </a:r>
            <a:r>
              <a:rPr lang="en-US" sz="1200">
                <a:latin typeface="Symbol" pitchFamily="18" charset="2"/>
              </a:rPr>
              <a:t>a</a:t>
            </a:r>
            <a:r>
              <a:rPr lang="en-US" sz="1600"/>
              <a:t>)</a:t>
            </a:r>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'11'!$Y$93:$Y$99</c:f>
              <c:numCache>
                <c:formatCode>0.0000</c:formatCode>
                <c:ptCount val="7"/>
                <c:pt idx="0">
                  <c:v>2.2029302459300446</c:v>
                </c:pt>
                <c:pt idx="1">
                  <c:v>1.7485104352671577</c:v>
                </c:pt>
                <c:pt idx="2">
                  <c:v>1.5213005299357154</c:v>
                </c:pt>
                <c:pt idx="3">
                  <c:v>1.2940906246042732</c:v>
                </c:pt>
                <c:pt idx="4">
                  <c:v>0.83967081394138754</c:v>
                </c:pt>
                <c:pt idx="5">
                  <c:v>0.38525100327850104</c:v>
                </c:pt>
                <c:pt idx="6">
                  <c:v>-0.75079852337871156</c:v>
                </c:pt>
              </c:numCache>
            </c:numRef>
          </c:xVal>
          <c:yVal>
            <c:numRef>
              <c:f>'11'!$X$93:$X$99</c:f>
              <c:numCache>
                <c:formatCode>0.0000</c:formatCode>
                <c:ptCount val="7"/>
                <c:pt idx="0">
                  <c:v>1.0694949065110423E-2</c:v>
                </c:pt>
                <c:pt idx="1">
                  <c:v>6.0666899568322585E-3</c:v>
                </c:pt>
                <c:pt idx="2">
                  <c:v>4.1766343448207703E-3</c:v>
                </c:pt>
                <c:pt idx="3">
                  <c:v>2.6026310737096228E-3</c:v>
                </c:pt>
                <c:pt idx="4">
                  <c:v>5.1503404983124475E-4</c:v>
                </c:pt>
                <c:pt idx="5">
                  <c:v>5.1683753212044567E-5</c:v>
                </c:pt>
                <c:pt idx="6">
                  <c:v>8.0243648277049193E-3</c:v>
                </c:pt>
              </c:numCache>
            </c:numRef>
          </c:yVal>
          <c:smooth val="0"/>
          <c:extLst>
            <c:ext xmlns:c16="http://schemas.microsoft.com/office/drawing/2014/chart" uri="{C3380CC4-5D6E-409C-BE32-E72D297353CC}">
              <c16:uniqueId val="{00000000-A36C-46AA-AADB-FA9BFD36A20E}"/>
            </c:ext>
          </c:extLst>
        </c:ser>
        <c:ser>
          <c:idx val="2"/>
          <c:order val="1"/>
          <c:tx>
            <c:v>W=We</c:v>
          </c:tx>
          <c:spPr>
            <a:ln>
              <a:solidFill>
                <a:srgbClr val="FF0000"/>
              </a:solidFill>
            </a:ln>
          </c:spPr>
          <c:marker>
            <c:symbol val="none"/>
          </c:marker>
          <c:xVal>
            <c:numRef>
              <c:f>'11'!$Y$103:$Y$109</c:f>
              <c:numCache>
                <c:formatCode>0.0000</c:formatCode>
                <c:ptCount val="7"/>
                <c:pt idx="0">
                  <c:v>2.4156486773198931</c:v>
                </c:pt>
                <c:pt idx="1">
                  <c:v>1.961228866657007</c:v>
                </c:pt>
                <c:pt idx="2">
                  <c:v>1.7340189613255639</c:v>
                </c:pt>
                <c:pt idx="3">
                  <c:v>1.5068090559941207</c:v>
                </c:pt>
                <c:pt idx="4">
                  <c:v>1.0523892453312369</c:v>
                </c:pt>
                <c:pt idx="5">
                  <c:v>0.59796943466834951</c:v>
                </c:pt>
                <c:pt idx="6">
                  <c:v>-0.53808009198886397</c:v>
                </c:pt>
              </c:numCache>
            </c:numRef>
          </c:xVal>
          <c:yVal>
            <c:numRef>
              <c:f>'11'!$X$103:$X$109</c:f>
              <c:numCache>
                <c:formatCode>0.0000</c:formatCode>
                <c:ptCount val="7"/>
                <c:pt idx="0">
                  <c:v>4.8965732166517733E-3</c:v>
                </c:pt>
                <c:pt idx="1">
                  <c:v>3.1190320126410868E-3</c:v>
                </c:pt>
                <c:pt idx="2">
                  <c:v>2.3537528002041804E-3</c:v>
                </c:pt>
                <c:pt idx="3">
                  <c:v>1.6805204924658312E-3</c:v>
                </c:pt>
                <c:pt idx="4">
                  <c:v>6.4295658655911516E-4</c:v>
                </c:pt>
                <c:pt idx="5">
                  <c:v>7.8734155788137106E-5</c:v>
                </c:pt>
                <c:pt idx="6">
                  <c:v>1.3327861200294279E-3</c:v>
                </c:pt>
              </c:numCache>
            </c:numRef>
          </c:yVal>
          <c:smooth val="0"/>
          <c:extLst>
            <c:ext xmlns:c16="http://schemas.microsoft.com/office/drawing/2014/chart" uri="{C3380CC4-5D6E-409C-BE32-E72D297353CC}">
              <c16:uniqueId val="{00000001-A36C-46AA-AADB-FA9BFD36A20E}"/>
            </c:ext>
          </c:extLst>
        </c:ser>
        <c:ser>
          <c:idx val="1"/>
          <c:order val="2"/>
          <c:tx>
            <c:v>Design Goal</c:v>
          </c:tx>
          <c:spPr>
            <a:ln>
              <a:solidFill>
                <a:srgbClr val="00B050"/>
              </a:solidFill>
            </a:ln>
          </c:spPr>
          <c:marker>
            <c:symbol val="none"/>
          </c:marker>
          <c:xVal>
            <c:numRef>
              <c:f>'11'!$U$265:$U$269</c:f>
              <c:numCache>
                <c:formatCode>General</c:formatCode>
                <c:ptCount val="5"/>
                <c:pt idx="0">
                  <c:v>-0.16</c:v>
                </c:pt>
                <c:pt idx="1">
                  <c:v>-0.16</c:v>
                </c:pt>
                <c:pt idx="2">
                  <c:v>-1.5</c:v>
                </c:pt>
                <c:pt idx="3">
                  <c:v>-1.5</c:v>
                </c:pt>
                <c:pt idx="4">
                  <c:v>-0.16</c:v>
                </c:pt>
              </c:numCache>
            </c:numRef>
          </c:xVal>
          <c:yVal>
            <c:numRef>
              <c:f>'11'!$T$265:$T$269</c:f>
              <c:numCache>
                <c:formatCode>0%</c:formatCode>
                <c:ptCount val="5"/>
                <c:pt idx="0">
                  <c:v>2E-3</c:v>
                </c:pt>
                <c:pt idx="1">
                  <c:v>0.1</c:v>
                </c:pt>
                <c:pt idx="2">
                  <c:v>0.1</c:v>
                </c:pt>
                <c:pt idx="3">
                  <c:v>2E-3</c:v>
                </c:pt>
                <c:pt idx="4">
                  <c:v>2E-3</c:v>
                </c:pt>
              </c:numCache>
            </c:numRef>
          </c:yVal>
          <c:smooth val="0"/>
          <c:extLst>
            <c:ext xmlns:c16="http://schemas.microsoft.com/office/drawing/2014/chart" uri="{C3380CC4-5D6E-409C-BE32-E72D297353CC}">
              <c16:uniqueId val="{00000002-A36C-46AA-AADB-FA9BFD36A20E}"/>
            </c:ext>
          </c:extLst>
        </c:ser>
        <c:dLbls>
          <c:showLegendKey val="0"/>
          <c:showVal val="0"/>
          <c:showCatName val="0"/>
          <c:showSerName val="0"/>
          <c:showPercent val="0"/>
          <c:showBubbleSize val="0"/>
        </c:dLbls>
        <c:axId val="362889600"/>
        <c:axId val="362891520"/>
      </c:scatterChart>
      <c:valAx>
        <c:axId val="362889600"/>
        <c:scaling>
          <c:orientation val="minMax"/>
        </c:scaling>
        <c:delete val="0"/>
        <c:axPos val="b"/>
        <c:title>
          <c:tx>
            <c:rich>
              <a:bodyPr/>
              <a:lstStyle/>
              <a:p>
                <a:pPr>
                  <a:defRPr sz="1400"/>
                </a:pPr>
                <a:r>
                  <a:rPr lang="en-US" sz="1400"/>
                  <a:t>Longitudunal Stability Coefficient,</a:t>
                </a:r>
                <a:r>
                  <a:rPr lang="en-US" sz="1400" baseline="0"/>
                  <a:t> CM</a:t>
                </a:r>
                <a:r>
                  <a:rPr lang="en-US" sz="1400" baseline="0">
                    <a:latin typeface="Symbol" pitchFamily="18" charset="2"/>
                  </a:rPr>
                  <a:t>a</a:t>
                </a:r>
                <a:r>
                  <a:rPr lang="en-US" sz="1400" baseline="0"/>
                  <a:t> (-)</a:t>
                </a:r>
                <a:endParaRPr lang="en-US" sz="1400"/>
              </a:p>
            </c:rich>
          </c:tx>
          <c:overlay val="0"/>
        </c:title>
        <c:numFmt formatCode="#,##0.00" sourceLinked="0"/>
        <c:majorTickMark val="out"/>
        <c:minorTickMark val="none"/>
        <c:tickLblPos val="nextTo"/>
        <c:crossAx val="362891520"/>
        <c:crosses val="autoZero"/>
        <c:crossBetween val="midCat"/>
      </c:valAx>
      <c:valAx>
        <c:axId val="362891520"/>
        <c:scaling>
          <c:orientation val="minMax"/>
        </c:scaling>
        <c:delete val="0"/>
        <c:axPos val="l"/>
        <c:majorGridlines/>
        <c:title>
          <c:tx>
            <c:rich>
              <a:bodyPr rot="-5400000" vert="horz"/>
              <a:lstStyle/>
              <a:p>
                <a:pPr>
                  <a:defRPr sz="1400"/>
                </a:pPr>
                <a:r>
                  <a:rPr lang="en-US" sz="1400"/>
                  <a:t>Trim Drag - %Total Drag</a:t>
                </a:r>
              </a:p>
            </c:rich>
          </c:tx>
          <c:layout>
            <c:manualLayout>
              <c:xMode val="edge"/>
              <c:yMode val="edge"/>
              <c:x val="3.3694314115705289E-2"/>
              <c:y val="0.23309570810690924"/>
            </c:manualLayout>
          </c:layout>
          <c:overlay val="0"/>
        </c:title>
        <c:numFmt formatCode="0%" sourceLinked="0"/>
        <c:majorTickMark val="out"/>
        <c:minorTickMark val="none"/>
        <c:tickLblPos val="nextTo"/>
        <c:crossAx val="362889600"/>
        <c:crosses val="autoZero"/>
        <c:crossBetween val="midCat"/>
      </c:valAx>
    </c:plotArea>
    <c:legend>
      <c:legendPos val="r"/>
      <c:layout>
        <c:manualLayout>
          <c:xMode val="edge"/>
          <c:yMode val="edge"/>
          <c:x val="0.73995968050397354"/>
          <c:y val="4.1424568407822257E-2"/>
          <c:w val="0.22549907350510626"/>
          <c:h val="0.20375113674171014"/>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Static Margin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0.33686384962734833</c:v>
                </c:pt>
                <c:pt idx="1">
                  <c:v>0.35762569984101478</c:v>
                </c:pt>
                <c:pt idx="2">
                  <c:v>0.36800662494784797</c:v>
                </c:pt>
                <c:pt idx="3">
                  <c:v>0.37838755005468117</c:v>
                </c:pt>
                <c:pt idx="4">
                  <c:v>0.39914940026834761</c:v>
                </c:pt>
                <c:pt idx="5">
                  <c:v>0.41991125048201405</c:v>
                </c:pt>
                <c:pt idx="6">
                  <c:v>0.47181587601618002</c:v>
                </c:pt>
              </c:numCache>
            </c:numRef>
          </c:xVal>
          <c:yVal>
            <c:numRef>
              <c:f>'11'!$T$93:$T$99</c:f>
              <c:numCache>
                <c:formatCode>0%</c:formatCode>
                <c:ptCount val="7"/>
                <c:pt idx="0">
                  <c:v>-0.15000000000000005</c:v>
                </c:pt>
                <c:pt idx="1">
                  <c:v>-4.9999999999999878E-2</c:v>
                </c:pt>
                <c:pt idx="2">
                  <c:v>0</c:v>
                </c:pt>
                <c:pt idx="3">
                  <c:v>4.9999999999999878E-2</c:v>
                </c:pt>
                <c:pt idx="4">
                  <c:v>0.14999999999999983</c:v>
                </c:pt>
                <c:pt idx="5">
                  <c:v>0.25</c:v>
                </c:pt>
                <c:pt idx="6">
                  <c:v>0.49999999999999961</c:v>
                </c:pt>
              </c:numCache>
            </c:numRef>
          </c:yVal>
          <c:smooth val="0"/>
          <c:extLst>
            <c:ext xmlns:c16="http://schemas.microsoft.com/office/drawing/2014/chart" uri="{C3380CC4-5D6E-409C-BE32-E72D297353CC}">
              <c16:uniqueId val="{00000000-E0EA-49CE-BE9B-74019A037FBE}"/>
            </c:ext>
          </c:extLst>
        </c:ser>
        <c:ser>
          <c:idx val="2"/>
          <c:order val="1"/>
          <c:tx>
            <c:v>W=We</c:v>
          </c:tx>
          <c:spPr>
            <a:ln>
              <a:solidFill>
                <a:srgbClr val="FF0000"/>
              </a:solidFill>
            </a:ln>
          </c:spPr>
          <c:marker>
            <c:symbol val="none"/>
          </c:marker>
          <c:xVal>
            <c:numRef>
              <c:f>'11'!$R$103:$R$109</c:f>
              <c:numCache>
                <c:formatCode>0.0000</c:formatCode>
                <c:ptCount val="7"/>
                <c:pt idx="0">
                  <c:v>0.27235711801481677</c:v>
                </c:pt>
                <c:pt idx="1">
                  <c:v>0.29311896822848321</c:v>
                </c:pt>
                <c:pt idx="2">
                  <c:v>0.30349989333531641</c:v>
                </c:pt>
                <c:pt idx="3">
                  <c:v>0.31388081844214966</c:v>
                </c:pt>
                <c:pt idx="4">
                  <c:v>0.33464266865581599</c:v>
                </c:pt>
                <c:pt idx="5">
                  <c:v>0.35540451886948249</c:v>
                </c:pt>
                <c:pt idx="6">
                  <c:v>0.40730914440364852</c:v>
                </c:pt>
              </c:numCache>
            </c:numRef>
          </c:xVal>
          <c:yVal>
            <c:numRef>
              <c:f>'11'!$T$103:$T$109</c:f>
              <c:numCache>
                <c:formatCode>0%</c:formatCode>
                <c:ptCount val="7"/>
                <c:pt idx="0">
                  <c:v>-0.15000000000000005</c:v>
                </c:pt>
                <c:pt idx="1">
                  <c:v>-5.0000000000000079E-2</c:v>
                </c:pt>
                <c:pt idx="2">
                  <c:v>0</c:v>
                </c:pt>
                <c:pt idx="3">
                  <c:v>5.0000000000000079E-2</c:v>
                </c:pt>
                <c:pt idx="4">
                  <c:v>0.14999999999999963</c:v>
                </c:pt>
                <c:pt idx="5">
                  <c:v>0.25</c:v>
                </c:pt>
                <c:pt idx="6">
                  <c:v>0.49999999999999978</c:v>
                </c:pt>
              </c:numCache>
            </c:numRef>
          </c:yVal>
          <c:smooth val="0"/>
          <c:extLst>
            <c:ext xmlns:c16="http://schemas.microsoft.com/office/drawing/2014/chart" uri="{C3380CC4-5D6E-409C-BE32-E72D297353CC}">
              <c16:uniqueId val="{00000001-E0EA-49CE-BE9B-74019A037FBE}"/>
            </c:ext>
          </c:extLst>
        </c:ser>
        <c:ser>
          <c:idx val="1"/>
          <c:order val="2"/>
          <c:tx>
            <c:v>Lower SM Bound</c:v>
          </c:tx>
          <c:spPr>
            <a:ln>
              <a:solidFill>
                <a:srgbClr val="00B050"/>
              </a:solidFill>
            </a:ln>
          </c:spPr>
          <c:marker>
            <c:symbol val="none"/>
          </c:marker>
          <c:xVal>
            <c:numRef>
              <c:f>'11'!$R$265:$R$266</c:f>
              <c:numCache>
                <c:formatCode>General</c:formatCode>
                <c:ptCount val="2"/>
                <c:pt idx="0">
                  <c:v>0</c:v>
                </c:pt>
                <c:pt idx="1">
                  <c:v>1</c:v>
                </c:pt>
              </c:numCache>
            </c:numRef>
          </c:xVal>
          <c:yVal>
            <c:numRef>
              <c:f>'11'!$S$265:$S$266</c:f>
              <c:numCache>
                <c:formatCode>0%</c:formatCode>
                <c:ptCount val="2"/>
                <c:pt idx="0">
                  <c:v>0.03</c:v>
                </c:pt>
                <c:pt idx="1">
                  <c:v>0.03</c:v>
                </c:pt>
              </c:numCache>
            </c:numRef>
          </c:yVal>
          <c:smooth val="0"/>
          <c:extLst>
            <c:ext xmlns:c16="http://schemas.microsoft.com/office/drawing/2014/chart" uri="{C3380CC4-5D6E-409C-BE32-E72D297353CC}">
              <c16:uniqueId val="{00000002-E0EA-49CE-BE9B-74019A037FBE}"/>
            </c:ext>
          </c:extLst>
        </c:ser>
        <c:ser>
          <c:idx val="3"/>
          <c:order val="3"/>
          <c:tx>
            <c:v>Upper SM Bound</c:v>
          </c:tx>
          <c:spPr>
            <a:ln>
              <a:solidFill>
                <a:srgbClr val="00B050"/>
              </a:solidFill>
            </a:ln>
          </c:spPr>
          <c:marker>
            <c:symbol val="none"/>
          </c:marker>
          <c:xVal>
            <c:numRef>
              <c:f>'11'!$R$267:$R$268</c:f>
              <c:numCache>
                <c:formatCode>General</c:formatCode>
                <c:ptCount val="2"/>
                <c:pt idx="0">
                  <c:v>0</c:v>
                </c:pt>
                <c:pt idx="1">
                  <c:v>1</c:v>
                </c:pt>
              </c:numCache>
            </c:numRef>
          </c:xVal>
          <c:yVal>
            <c:numRef>
              <c:f>'11'!$S$267:$S$268</c:f>
              <c:numCache>
                <c:formatCode>0%</c:formatCode>
                <c:ptCount val="2"/>
                <c:pt idx="0">
                  <c:v>0.12</c:v>
                </c:pt>
                <c:pt idx="1">
                  <c:v>0.12</c:v>
                </c:pt>
              </c:numCache>
            </c:numRef>
          </c:yVal>
          <c:smooth val="0"/>
          <c:extLst>
            <c:ext xmlns:c16="http://schemas.microsoft.com/office/drawing/2014/chart" uri="{C3380CC4-5D6E-409C-BE32-E72D297353CC}">
              <c16:uniqueId val="{00000003-E0EA-49CE-BE9B-74019A037FBE}"/>
            </c:ext>
          </c:extLst>
        </c:ser>
        <c:ser>
          <c:idx val="4"/>
          <c:order val="4"/>
          <c:tx>
            <c:v>c.o. Lift</c:v>
          </c:tx>
          <c:spPr>
            <a:ln>
              <a:solidFill>
                <a:schemeClr val="tx1"/>
              </a:solidFill>
              <a:prstDash val="sysDash"/>
            </a:ln>
          </c:spPr>
          <c:marker>
            <c:symbol val="none"/>
          </c:marker>
          <c:xVal>
            <c:numRef>
              <c:f>'11'!$V$274:$V$275</c:f>
              <c:numCache>
                <c:formatCode>0.0000</c:formatCode>
                <c:ptCount val="2"/>
                <c:pt idx="0">
                  <c:v>0.45</c:v>
                </c:pt>
                <c:pt idx="1">
                  <c:v>0.45</c:v>
                </c:pt>
              </c:numCache>
            </c:numRef>
          </c:xVal>
          <c:yVal>
            <c:numRef>
              <c:f>'11'!$W$274:$W$275</c:f>
              <c:numCache>
                <c:formatCode>General</c:formatCode>
                <c:ptCount val="2"/>
                <c:pt idx="0">
                  <c:v>-0.1</c:v>
                </c:pt>
                <c:pt idx="1">
                  <c:v>0.2</c:v>
                </c:pt>
              </c:numCache>
            </c:numRef>
          </c:yVal>
          <c:smooth val="0"/>
          <c:extLst>
            <c:ext xmlns:c16="http://schemas.microsoft.com/office/drawing/2014/chart" uri="{C3380CC4-5D6E-409C-BE32-E72D297353CC}">
              <c16:uniqueId val="{00000004-E0EA-49CE-BE9B-74019A037FBE}"/>
            </c:ext>
          </c:extLst>
        </c:ser>
        <c:dLbls>
          <c:showLegendKey val="0"/>
          <c:showVal val="0"/>
          <c:showCatName val="0"/>
          <c:showSerName val="0"/>
          <c:showPercent val="0"/>
          <c:showBubbleSize val="0"/>
        </c:dLbls>
        <c:axId val="362934272"/>
        <c:axId val="362936192"/>
      </c:scatterChart>
      <c:valAx>
        <c:axId val="362934272"/>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2936192"/>
        <c:crosses val="autoZero"/>
        <c:crossBetween val="midCat"/>
      </c:valAx>
      <c:valAx>
        <c:axId val="362936192"/>
        <c:scaling>
          <c:orientation val="minMax"/>
          <c:max val="0.5"/>
        </c:scaling>
        <c:delete val="0"/>
        <c:axPos val="l"/>
        <c:majorGridlines/>
        <c:title>
          <c:tx>
            <c:rich>
              <a:bodyPr rot="-5400000" vert="horz"/>
              <a:lstStyle/>
              <a:p>
                <a:pPr>
                  <a:defRPr sz="1400"/>
                </a:pPr>
                <a:r>
                  <a:rPr lang="en-US" sz="1400"/>
                  <a:t>Static Margin (%)</a:t>
                </a:r>
              </a:p>
            </c:rich>
          </c:tx>
          <c:layout>
            <c:manualLayout>
              <c:xMode val="edge"/>
              <c:yMode val="edge"/>
              <c:x val="3.3694314115705289E-2"/>
              <c:y val="0.23309570810690924"/>
            </c:manualLayout>
          </c:layout>
          <c:overlay val="0"/>
        </c:title>
        <c:numFmt formatCode="0%" sourceLinked="1"/>
        <c:majorTickMark val="out"/>
        <c:minorTickMark val="none"/>
        <c:tickLblPos val="nextTo"/>
        <c:crossAx val="362934272"/>
        <c:crosses val="autoZero"/>
        <c:crossBetween val="midCat"/>
      </c:valAx>
    </c:plotArea>
    <c:legend>
      <c:legendPos val="r"/>
      <c:layout>
        <c:manualLayout>
          <c:xMode val="edge"/>
          <c:yMode val="edge"/>
          <c:x val="0.73995968050397354"/>
          <c:y val="4.1424568407822257E-2"/>
          <c:w val="0.2600407084480078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Trim Drag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75"/>
          <c:h val="0.64856101438024472"/>
        </c:manualLayout>
      </c:layout>
      <c:scatterChart>
        <c:scatterStyle val="lineMarker"/>
        <c:varyColors val="0"/>
        <c:ser>
          <c:idx val="0"/>
          <c:order val="0"/>
          <c:tx>
            <c:v>W=Wo</c:v>
          </c:tx>
          <c:marker>
            <c:symbol val="none"/>
          </c:marker>
          <c:xVal>
            <c:numRef>
              <c:f>'11'!$R$93:$R$99</c:f>
              <c:numCache>
                <c:formatCode>0.0000</c:formatCode>
                <c:ptCount val="7"/>
                <c:pt idx="0">
                  <c:v>0.33686384962734833</c:v>
                </c:pt>
                <c:pt idx="1">
                  <c:v>0.35762569984101478</c:v>
                </c:pt>
                <c:pt idx="2">
                  <c:v>0.36800662494784797</c:v>
                </c:pt>
                <c:pt idx="3">
                  <c:v>0.37838755005468117</c:v>
                </c:pt>
                <c:pt idx="4">
                  <c:v>0.39914940026834761</c:v>
                </c:pt>
                <c:pt idx="5">
                  <c:v>0.41991125048201405</c:v>
                </c:pt>
                <c:pt idx="6">
                  <c:v>0.47181587601618002</c:v>
                </c:pt>
              </c:numCache>
            </c:numRef>
          </c:xVal>
          <c:yVal>
            <c:numRef>
              <c:f>'11'!$X$93:$X$99</c:f>
              <c:numCache>
                <c:formatCode>0.0000</c:formatCode>
                <c:ptCount val="7"/>
                <c:pt idx="0">
                  <c:v>1.0694949065110423E-2</c:v>
                </c:pt>
                <c:pt idx="1">
                  <c:v>6.0666899568322585E-3</c:v>
                </c:pt>
                <c:pt idx="2">
                  <c:v>4.1766343448207703E-3</c:v>
                </c:pt>
                <c:pt idx="3">
                  <c:v>2.6026310737096228E-3</c:v>
                </c:pt>
                <c:pt idx="4">
                  <c:v>5.1503404983124475E-4</c:v>
                </c:pt>
                <c:pt idx="5">
                  <c:v>5.1683753212044567E-5</c:v>
                </c:pt>
                <c:pt idx="6">
                  <c:v>8.0243648277049193E-3</c:v>
                </c:pt>
              </c:numCache>
            </c:numRef>
          </c:yVal>
          <c:smooth val="0"/>
          <c:extLst>
            <c:ext xmlns:c16="http://schemas.microsoft.com/office/drawing/2014/chart" uri="{C3380CC4-5D6E-409C-BE32-E72D297353CC}">
              <c16:uniqueId val="{00000000-0273-4B25-BB80-B7D05F23F872}"/>
            </c:ext>
          </c:extLst>
        </c:ser>
        <c:ser>
          <c:idx val="2"/>
          <c:order val="1"/>
          <c:tx>
            <c:v>W=We</c:v>
          </c:tx>
          <c:spPr>
            <a:ln>
              <a:solidFill>
                <a:srgbClr val="FF0000"/>
              </a:solidFill>
            </a:ln>
          </c:spPr>
          <c:marker>
            <c:symbol val="none"/>
          </c:marker>
          <c:xVal>
            <c:numRef>
              <c:f>'11'!$R$103:$R$109</c:f>
              <c:numCache>
                <c:formatCode>0.0000</c:formatCode>
                <c:ptCount val="7"/>
                <c:pt idx="0">
                  <c:v>0.27235711801481677</c:v>
                </c:pt>
                <c:pt idx="1">
                  <c:v>0.29311896822848321</c:v>
                </c:pt>
                <c:pt idx="2">
                  <c:v>0.30349989333531641</c:v>
                </c:pt>
                <c:pt idx="3">
                  <c:v>0.31388081844214966</c:v>
                </c:pt>
                <c:pt idx="4">
                  <c:v>0.33464266865581599</c:v>
                </c:pt>
                <c:pt idx="5">
                  <c:v>0.35540451886948249</c:v>
                </c:pt>
                <c:pt idx="6">
                  <c:v>0.40730914440364852</c:v>
                </c:pt>
              </c:numCache>
            </c:numRef>
          </c:xVal>
          <c:yVal>
            <c:numRef>
              <c:f>'11'!$X$103:$X$109</c:f>
              <c:numCache>
                <c:formatCode>0.0000</c:formatCode>
                <c:ptCount val="7"/>
                <c:pt idx="0">
                  <c:v>4.8965732166517733E-3</c:v>
                </c:pt>
                <c:pt idx="1">
                  <c:v>3.1190320126410868E-3</c:v>
                </c:pt>
                <c:pt idx="2">
                  <c:v>2.3537528002041804E-3</c:v>
                </c:pt>
                <c:pt idx="3">
                  <c:v>1.6805204924658312E-3</c:v>
                </c:pt>
                <c:pt idx="4">
                  <c:v>6.4295658655911516E-4</c:v>
                </c:pt>
                <c:pt idx="5">
                  <c:v>7.8734155788137106E-5</c:v>
                </c:pt>
                <c:pt idx="6">
                  <c:v>1.3327861200294279E-3</c:v>
                </c:pt>
              </c:numCache>
            </c:numRef>
          </c:yVal>
          <c:smooth val="0"/>
          <c:extLst>
            <c:ext xmlns:c16="http://schemas.microsoft.com/office/drawing/2014/chart" uri="{C3380CC4-5D6E-409C-BE32-E72D297353CC}">
              <c16:uniqueId val="{00000001-0273-4B25-BB80-B7D05F23F872}"/>
            </c:ext>
          </c:extLst>
        </c:ser>
        <c:ser>
          <c:idx val="3"/>
          <c:order val="2"/>
          <c:tx>
            <c:v>Upper Trim Drag  Bound</c:v>
          </c:tx>
          <c:spPr>
            <a:ln>
              <a:solidFill>
                <a:srgbClr val="00B050"/>
              </a:solidFill>
            </a:ln>
          </c:spPr>
          <c:marker>
            <c:symbol val="none"/>
          </c:marker>
          <c:xVal>
            <c:numRef>
              <c:f>'11'!$R$266:$R$267</c:f>
              <c:numCache>
                <c:formatCode>General</c:formatCode>
                <c:ptCount val="2"/>
                <c:pt idx="0">
                  <c:v>1</c:v>
                </c:pt>
                <c:pt idx="1">
                  <c:v>0</c:v>
                </c:pt>
              </c:numCache>
            </c:numRef>
          </c:xVal>
          <c:yVal>
            <c:numRef>
              <c:f>'11'!$T$266:$T$267</c:f>
              <c:numCache>
                <c:formatCode>0%</c:formatCode>
                <c:ptCount val="2"/>
                <c:pt idx="0">
                  <c:v>0.1</c:v>
                </c:pt>
                <c:pt idx="1">
                  <c:v>0.1</c:v>
                </c:pt>
              </c:numCache>
            </c:numRef>
          </c:yVal>
          <c:smooth val="0"/>
          <c:extLst>
            <c:ext xmlns:c16="http://schemas.microsoft.com/office/drawing/2014/chart" uri="{C3380CC4-5D6E-409C-BE32-E72D297353CC}">
              <c16:uniqueId val="{00000002-0273-4B25-BB80-B7D05F23F872}"/>
            </c:ext>
          </c:extLst>
        </c:ser>
        <c:ser>
          <c:idx val="1"/>
          <c:order val="3"/>
          <c:tx>
            <c:v>c.o. Lift</c:v>
          </c:tx>
          <c:spPr>
            <a:ln>
              <a:solidFill>
                <a:schemeClr val="tx1"/>
              </a:solidFill>
              <a:prstDash val="sysDash"/>
            </a:ln>
          </c:spPr>
          <c:marker>
            <c:symbol val="none"/>
          </c:marker>
          <c:xVal>
            <c:numRef>
              <c:f>'11'!$V$274:$V$275</c:f>
              <c:numCache>
                <c:formatCode>0.0000</c:formatCode>
                <c:ptCount val="2"/>
                <c:pt idx="0">
                  <c:v>0.45</c:v>
                </c:pt>
                <c:pt idx="1">
                  <c:v>0.45</c:v>
                </c:pt>
              </c:numCache>
            </c:numRef>
          </c:xVal>
          <c:yVal>
            <c:numRef>
              <c:f>'11'!$X$274:$X$275</c:f>
              <c:numCache>
                <c:formatCode>General</c:formatCode>
                <c:ptCount val="2"/>
                <c:pt idx="0">
                  <c:v>0</c:v>
                </c:pt>
                <c:pt idx="1">
                  <c:v>0.11</c:v>
                </c:pt>
              </c:numCache>
            </c:numRef>
          </c:yVal>
          <c:smooth val="0"/>
          <c:extLst>
            <c:ext xmlns:c16="http://schemas.microsoft.com/office/drawing/2014/chart" uri="{C3380CC4-5D6E-409C-BE32-E72D297353CC}">
              <c16:uniqueId val="{00000003-0273-4B25-BB80-B7D05F23F872}"/>
            </c:ext>
          </c:extLst>
        </c:ser>
        <c:dLbls>
          <c:showLegendKey val="0"/>
          <c:showVal val="0"/>
          <c:showCatName val="0"/>
          <c:showSerName val="0"/>
          <c:showPercent val="0"/>
          <c:showBubbleSize val="0"/>
        </c:dLbls>
        <c:axId val="362990592"/>
        <c:axId val="362996864"/>
      </c:scatterChart>
      <c:valAx>
        <c:axId val="362990592"/>
        <c:scaling>
          <c:orientation val="minMax"/>
          <c:max val="0.4"/>
          <c:min val="0.30000000000000004"/>
        </c:scaling>
        <c:delete val="0"/>
        <c:axPos val="b"/>
        <c:title>
          <c:tx>
            <c:rich>
              <a:bodyPr/>
              <a:lstStyle/>
              <a:p>
                <a:pPr>
                  <a:defRPr sz="1400"/>
                </a:pPr>
                <a:r>
                  <a:rPr lang="en-US" sz="1400"/>
                  <a:t>Center-of-Lift, (X/Lfus)</a:t>
                </a:r>
              </a:p>
            </c:rich>
          </c:tx>
          <c:layout>
            <c:manualLayout>
              <c:xMode val="edge"/>
              <c:yMode val="edge"/>
              <c:x val="0.32055565685868215"/>
              <c:y val="0.90812251477572736"/>
            </c:manualLayout>
          </c:layout>
          <c:overlay val="0"/>
        </c:title>
        <c:numFmt formatCode="#,##0.00" sourceLinked="0"/>
        <c:majorTickMark val="out"/>
        <c:minorTickMark val="none"/>
        <c:tickLblPos val="nextTo"/>
        <c:crossAx val="362996864"/>
        <c:crosses val="autoZero"/>
        <c:crossBetween val="midCat"/>
      </c:valAx>
      <c:valAx>
        <c:axId val="362996864"/>
        <c:scaling>
          <c:orientation val="minMax"/>
        </c:scaling>
        <c:delete val="0"/>
        <c:axPos val="l"/>
        <c:majorGridlines/>
        <c:title>
          <c:tx>
            <c:rich>
              <a:bodyPr rot="-5400000" vert="horz"/>
              <a:lstStyle/>
              <a:p>
                <a:pPr>
                  <a:defRPr sz="1400"/>
                </a:pPr>
                <a:r>
                  <a:rPr lang="en-US" sz="1400"/>
                  <a:t>Trim Drag (%)</a:t>
                </a:r>
              </a:p>
            </c:rich>
          </c:tx>
          <c:layout>
            <c:manualLayout>
              <c:xMode val="edge"/>
              <c:yMode val="edge"/>
              <c:x val="3.3694377676474652E-2"/>
              <c:y val="0.35733100771379228"/>
            </c:manualLayout>
          </c:layout>
          <c:overlay val="0"/>
        </c:title>
        <c:numFmt formatCode="0%" sourceLinked="0"/>
        <c:majorTickMark val="out"/>
        <c:minorTickMark val="none"/>
        <c:tickLblPos val="nextTo"/>
        <c:crossAx val="362990592"/>
        <c:crosses val="autoZero"/>
        <c:crossBetween val="midCat"/>
      </c:valAx>
    </c:plotArea>
    <c:legend>
      <c:legendPos val="r"/>
      <c:layout>
        <c:manualLayout>
          <c:xMode val="edge"/>
          <c:yMode val="edge"/>
          <c:x val="0.687278947796784"/>
          <c:y val="4.391513748453129E-2"/>
          <c:w val="0.28165450681875015"/>
          <c:h val="0.38016487618115741"/>
        </c:manualLayout>
      </c:layout>
      <c:overlay val="0"/>
    </c:legend>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Force Balance</a:t>
            </a:r>
            <a:r>
              <a:rPr lang="en-US" sz="1600" baseline="0"/>
              <a:t> Diagram</a:t>
            </a:r>
            <a:endParaRPr lang="en-US" sz="1600"/>
          </a:p>
          <a:p>
            <a:pPr algn="l">
              <a:defRPr/>
            </a:pPr>
            <a:r>
              <a:rPr lang="en-US" sz="1200"/>
              <a:t>Longitudinal (Pitch) Stability (x-z</a:t>
            </a:r>
            <a:r>
              <a:rPr lang="en-US" sz="1200" baseline="0"/>
              <a:t> plane)</a:t>
            </a:r>
            <a:endParaRPr lang="en-US" sz="1200"/>
          </a:p>
        </c:rich>
      </c:tx>
      <c:layout>
        <c:manualLayout>
          <c:xMode val="edge"/>
          <c:yMode val="edge"/>
          <c:x val="1.7581151967199209E-2"/>
          <c:y val="1.7933934130213273E-2"/>
        </c:manualLayout>
      </c:layout>
      <c:overlay val="0"/>
    </c:title>
    <c:autoTitleDeleted val="0"/>
    <c:plotArea>
      <c:layout>
        <c:manualLayout>
          <c:layoutTarget val="inner"/>
          <c:xMode val="edge"/>
          <c:yMode val="edge"/>
          <c:x val="0.15553709219402334"/>
          <c:y val="0.21290286579821857"/>
          <c:w val="0.7015846547112542"/>
          <c:h val="0.64856101438024472"/>
        </c:manualLayout>
      </c:layout>
      <c:scatterChart>
        <c:scatterStyle val="lineMarker"/>
        <c:varyColors val="0"/>
        <c:ser>
          <c:idx val="0"/>
          <c:order val="0"/>
          <c:tx>
            <c:strRef>
              <c:f>'11'!$R$276</c:f>
              <c:strCache>
                <c:ptCount val="1"/>
                <c:pt idx="0">
                  <c:v>Fuel </c:v>
                </c:pt>
              </c:strCache>
            </c:strRef>
          </c:tx>
          <c:spPr>
            <a:ln>
              <a:tailEnd type="stealth" w="lg" len="lg"/>
            </a:ln>
          </c:spPr>
          <c:marker>
            <c:symbol val="none"/>
          </c:marker>
          <c:xVal>
            <c:numRef>
              <c:f>'11'!$R$278:$R$279</c:f>
              <c:numCache>
                <c:formatCode>0.0000</c:formatCode>
                <c:ptCount val="2"/>
                <c:pt idx="0">
                  <c:v>0.5</c:v>
                </c:pt>
                <c:pt idx="1">
                  <c:v>0.5</c:v>
                </c:pt>
              </c:numCache>
            </c:numRef>
          </c:xVal>
          <c:yVal>
            <c:numRef>
              <c:f>'11'!$S$278:$S$279</c:f>
              <c:numCache>
                <c:formatCode>0.0000000</c:formatCode>
                <c:ptCount val="2"/>
                <c:pt idx="0">
                  <c:v>0</c:v>
                </c:pt>
                <c:pt idx="1">
                  <c:v>0</c:v>
                </c:pt>
              </c:numCache>
            </c:numRef>
          </c:yVal>
          <c:smooth val="0"/>
          <c:extLst>
            <c:ext xmlns:c16="http://schemas.microsoft.com/office/drawing/2014/chart" uri="{C3380CC4-5D6E-409C-BE32-E72D297353CC}">
              <c16:uniqueId val="{00000000-5614-46BB-9C55-8A34D1FD932E}"/>
            </c:ext>
          </c:extLst>
        </c:ser>
        <c:ser>
          <c:idx val="1"/>
          <c:order val="1"/>
          <c:tx>
            <c:strRef>
              <c:f>'11'!$R$281</c:f>
              <c:strCache>
                <c:ptCount val="1"/>
                <c:pt idx="0">
                  <c:v>Payload</c:v>
                </c:pt>
              </c:strCache>
            </c:strRef>
          </c:tx>
          <c:spPr>
            <a:ln>
              <a:tailEnd type="stealth" w="lg" len="lg"/>
            </a:ln>
          </c:spPr>
          <c:marker>
            <c:symbol val="none"/>
          </c:marker>
          <c:xVal>
            <c:numRef>
              <c:f>'11'!$R$283:$R$284</c:f>
              <c:numCache>
                <c:formatCode>0.0000</c:formatCode>
                <c:ptCount val="2"/>
                <c:pt idx="0">
                  <c:v>0.47500000000000003</c:v>
                </c:pt>
                <c:pt idx="1">
                  <c:v>0.47500000000000003</c:v>
                </c:pt>
              </c:numCache>
            </c:numRef>
          </c:xVal>
          <c:yVal>
            <c:numRef>
              <c:f>'11'!$S$283:$S$284</c:f>
              <c:numCache>
                <c:formatCode>0.0000000</c:formatCode>
                <c:ptCount val="2"/>
                <c:pt idx="0">
                  <c:v>0</c:v>
                </c:pt>
                <c:pt idx="1">
                  <c:v>0</c:v>
                </c:pt>
              </c:numCache>
            </c:numRef>
          </c:yVal>
          <c:smooth val="0"/>
          <c:extLst>
            <c:ext xmlns:c16="http://schemas.microsoft.com/office/drawing/2014/chart" uri="{C3380CC4-5D6E-409C-BE32-E72D297353CC}">
              <c16:uniqueId val="{00000001-5614-46BB-9C55-8A34D1FD932E}"/>
            </c:ext>
          </c:extLst>
        </c:ser>
        <c:ser>
          <c:idx val="2"/>
          <c:order val="2"/>
          <c:tx>
            <c:strRef>
              <c:f>'11'!$R$286</c:f>
              <c:strCache>
                <c:ptCount val="1"/>
                <c:pt idx="0">
                  <c:v>Fuselage Structure</c:v>
                </c:pt>
              </c:strCache>
            </c:strRef>
          </c:tx>
          <c:spPr>
            <a:ln>
              <a:headEnd type="none"/>
              <a:tailEnd type="stealth" w="lg" len="lg"/>
            </a:ln>
          </c:spPr>
          <c:marker>
            <c:symbol val="none"/>
          </c:marker>
          <c:xVal>
            <c:numRef>
              <c:f>'11'!$R$288:$R$289</c:f>
              <c:numCache>
                <c:formatCode>0.0000</c:formatCode>
                <c:ptCount val="2"/>
                <c:pt idx="0">
                  <c:v>0.5</c:v>
                </c:pt>
                <c:pt idx="1">
                  <c:v>0.5</c:v>
                </c:pt>
              </c:numCache>
            </c:numRef>
          </c:xVal>
          <c:yVal>
            <c:numRef>
              <c:f>'11'!$S$288:$S$289</c:f>
              <c:numCache>
                <c:formatCode>0.0000000</c:formatCode>
                <c:ptCount val="2"/>
                <c:pt idx="0">
                  <c:v>0</c:v>
                </c:pt>
                <c:pt idx="1">
                  <c:v>-99.187856136005479</c:v>
                </c:pt>
              </c:numCache>
            </c:numRef>
          </c:yVal>
          <c:smooth val="0"/>
          <c:extLst>
            <c:ext xmlns:c16="http://schemas.microsoft.com/office/drawing/2014/chart" uri="{C3380CC4-5D6E-409C-BE32-E72D297353CC}">
              <c16:uniqueId val="{00000002-5614-46BB-9C55-8A34D1FD932E}"/>
            </c:ext>
          </c:extLst>
        </c:ser>
        <c:ser>
          <c:idx val="3"/>
          <c:order val="3"/>
          <c:tx>
            <c:strRef>
              <c:f>'11'!$R$291</c:f>
              <c:strCache>
                <c:ptCount val="1"/>
                <c:pt idx="0">
                  <c:v>Engine Structure</c:v>
                </c:pt>
              </c:strCache>
            </c:strRef>
          </c:tx>
          <c:spPr>
            <a:ln>
              <a:tailEnd type="stealth" w="lg" len="lg"/>
            </a:ln>
          </c:spPr>
          <c:marker>
            <c:symbol val="none"/>
          </c:marker>
          <c:xVal>
            <c:numRef>
              <c:f>'11'!$R$293:$R$294</c:f>
              <c:numCache>
                <c:formatCode>0.0000</c:formatCode>
                <c:ptCount val="2"/>
                <c:pt idx="0">
                  <c:v>7.5000000000000011E-2</c:v>
                </c:pt>
                <c:pt idx="1">
                  <c:v>7.5000000000000011E-2</c:v>
                </c:pt>
              </c:numCache>
            </c:numRef>
          </c:xVal>
          <c:yVal>
            <c:numRef>
              <c:f>'11'!$S$293:$S$294</c:f>
              <c:numCache>
                <c:formatCode>0.0000000</c:formatCode>
                <c:ptCount val="2"/>
                <c:pt idx="0">
                  <c:v>0</c:v>
                </c:pt>
                <c:pt idx="1">
                  <c:v>-420.46731532835759</c:v>
                </c:pt>
              </c:numCache>
            </c:numRef>
          </c:yVal>
          <c:smooth val="0"/>
          <c:extLst>
            <c:ext xmlns:c16="http://schemas.microsoft.com/office/drawing/2014/chart" uri="{C3380CC4-5D6E-409C-BE32-E72D297353CC}">
              <c16:uniqueId val="{00000003-5614-46BB-9C55-8A34D1FD932E}"/>
            </c:ext>
          </c:extLst>
        </c:ser>
        <c:ser>
          <c:idx val="4"/>
          <c:order val="4"/>
          <c:tx>
            <c:strRef>
              <c:f>'11'!$R$296</c:f>
              <c:strCache>
                <c:ptCount val="1"/>
                <c:pt idx="0">
                  <c:v>Wing Structure</c:v>
                </c:pt>
              </c:strCache>
            </c:strRef>
          </c:tx>
          <c:spPr>
            <a:ln>
              <a:tailEnd type="stealth" w="lg" len="lg"/>
            </a:ln>
          </c:spPr>
          <c:marker>
            <c:symbol val="none"/>
          </c:marker>
          <c:xVal>
            <c:numRef>
              <c:f>'11'!$R$298:$R$299</c:f>
              <c:numCache>
                <c:formatCode>0.0000</c:formatCode>
                <c:ptCount val="2"/>
                <c:pt idx="0">
                  <c:v>0.50190462553416604</c:v>
                </c:pt>
                <c:pt idx="1">
                  <c:v>0.50190462553416604</c:v>
                </c:pt>
              </c:numCache>
            </c:numRef>
          </c:xVal>
          <c:yVal>
            <c:numRef>
              <c:f>'11'!$S$298:$S$299</c:f>
              <c:numCache>
                <c:formatCode>0.0000000</c:formatCode>
                <c:ptCount val="2"/>
                <c:pt idx="0">
                  <c:v>0</c:v>
                </c:pt>
                <c:pt idx="1">
                  <c:v>-127.53072711420064</c:v>
                </c:pt>
              </c:numCache>
            </c:numRef>
          </c:yVal>
          <c:smooth val="0"/>
          <c:extLst>
            <c:ext xmlns:c16="http://schemas.microsoft.com/office/drawing/2014/chart" uri="{C3380CC4-5D6E-409C-BE32-E72D297353CC}">
              <c16:uniqueId val="{00000004-5614-46BB-9C55-8A34D1FD932E}"/>
            </c:ext>
          </c:extLst>
        </c:ser>
        <c:ser>
          <c:idx val="5"/>
          <c:order val="5"/>
          <c:tx>
            <c:strRef>
              <c:f>'11'!$R$301</c:f>
              <c:strCache>
                <c:ptCount val="1"/>
                <c:pt idx="0">
                  <c:v>Horizontal Tail Structure</c:v>
                </c:pt>
              </c:strCache>
            </c:strRef>
          </c:tx>
          <c:spPr>
            <a:ln>
              <a:tailEnd type="stealth" w="lg" len="lg"/>
            </a:ln>
          </c:spPr>
          <c:marker>
            <c:symbol val="none"/>
          </c:marker>
          <c:xVal>
            <c:numRef>
              <c:f>'11'!$R$303:$R$304</c:f>
              <c:numCache>
                <c:formatCode>0.0000</c:formatCode>
                <c:ptCount val="2"/>
                <c:pt idx="0">
                  <c:v>1.0953433941719548</c:v>
                </c:pt>
                <c:pt idx="1">
                  <c:v>1.0953433941719548</c:v>
                </c:pt>
              </c:numCache>
            </c:numRef>
          </c:xVal>
          <c:yVal>
            <c:numRef>
              <c:f>'11'!$S$303:$S$304</c:f>
              <c:numCache>
                <c:formatCode>0.0000000</c:formatCode>
                <c:ptCount val="2"/>
                <c:pt idx="0">
                  <c:v>0</c:v>
                </c:pt>
                <c:pt idx="1">
                  <c:v>-16.713960148368926</c:v>
                </c:pt>
              </c:numCache>
            </c:numRef>
          </c:yVal>
          <c:smooth val="0"/>
          <c:extLst>
            <c:ext xmlns:c16="http://schemas.microsoft.com/office/drawing/2014/chart" uri="{C3380CC4-5D6E-409C-BE32-E72D297353CC}">
              <c16:uniqueId val="{00000005-5614-46BB-9C55-8A34D1FD932E}"/>
            </c:ext>
          </c:extLst>
        </c:ser>
        <c:ser>
          <c:idx val="6"/>
          <c:order val="6"/>
          <c:tx>
            <c:strRef>
              <c:f>'11'!$R$306</c:f>
              <c:strCache>
                <c:ptCount val="1"/>
                <c:pt idx="0">
                  <c:v>Vertical Tail Structure</c:v>
                </c:pt>
              </c:strCache>
            </c:strRef>
          </c:tx>
          <c:spPr>
            <a:ln>
              <a:tailEnd type="stealth" w="lg" len="lg"/>
            </a:ln>
          </c:spPr>
          <c:marker>
            <c:symbol val="none"/>
          </c:marker>
          <c:xVal>
            <c:numRef>
              <c:f>'11'!$R$308:$R$309</c:f>
              <c:numCache>
                <c:formatCode>0.0000</c:formatCode>
                <c:ptCount val="2"/>
                <c:pt idx="0">
                  <c:v>1.0875625122822976</c:v>
                </c:pt>
                <c:pt idx="1">
                  <c:v>1.0875625122822976</c:v>
                </c:pt>
              </c:numCache>
            </c:numRef>
          </c:xVal>
          <c:yVal>
            <c:numRef>
              <c:f>'11'!$S$308:$S$309</c:f>
              <c:numCache>
                <c:formatCode>0.0000000</c:formatCode>
                <c:ptCount val="2"/>
                <c:pt idx="0">
                  <c:v>0</c:v>
                </c:pt>
                <c:pt idx="1">
                  <c:v>-10.456106648627296</c:v>
                </c:pt>
              </c:numCache>
            </c:numRef>
          </c:yVal>
          <c:smooth val="0"/>
          <c:extLst>
            <c:ext xmlns:c16="http://schemas.microsoft.com/office/drawing/2014/chart" uri="{C3380CC4-5D6E-409C-BE32-E72D297353CC}">
              <c16:uniqueId val="{00000006-5614-46BB-9C55-8A34D1FD932E}"/>
            </c:ext>
          </c:extLst>
        </c:ser>
        <c:ser>
          <c:idx val="7"/>
          <c:order val="7"/>
          <c:tx>
            <c:strRef>
              <c:f>'11'!$R$311</c:f>
              <c:strCache>
                <c:ptCount val="1"/>
                <c:pt idx="0">
                  <c:v>Other</c:v>
                </c:pt>
              </c:strCache>
            </c:strRef>
          </c:tx>
          <c:spPr>
            <a:ln>
              <a:tailEnd type="stealth" w="lg" len="lg"/>
            </a:ln>
          </c:spPr>
          <c:marker>
            <c:symbol val="none"/>
          </c:marker>
          <c:xVal>
            <c:numRef>
              <c:f>'11'!$R$313:$R$314</c:f>
              <c:numCache>
                <c:formatCode>0.0000</c:formatCode>
                <c:ptCount val="2"/>
                <c:pt idx="0">
                  <c:v>0.5</c:v>
                </c:pt>
                <c:pt idx="1">
                  <c:v>0.5</c:v>
                </c:pt>
              </c:numCache>
            </c:numRef>
          </c:xVal>
          <c:yVal>
            <c:numRef>
              <c:f>'11'!$S$313:$S$314</c:f>
              <c:numCache>
                <c:formatCode>0.0000000</c:formatCode>
                <c:ptCount val="2"/>
                <c:pt idx="0">
                  <c:v>0</c:v>
                </c:pt>
                <c:pt idx="1">
                  <c:v>-151.9110094124822</c:v>
                </c:pt>
              </c:numCache>
            </c:numRef>
          </c:yVal>
          <c:smooth val="0"/>
          <c:extLst>
            <c:ext xmlns:c16="http://schemas.microsoft.com/office/drawing/2014/chart" uri="{C3380CC4-5D6E-409C-BE32-E72D297353CC}">
              <c16:uniqueId val="{00000007-5614-46BB-9C55-8A34D1FD932E}"/>
            </c:ext>
          </c:extLst>
        </c:ser>
        <c:ser>
          <c:idx val="8"/>
          <c:order val="8"/>
          <c:tx>
            <c:strRef>
              <c:f>'11'!$R$316</c:f>
              <c:strCache>
                <c:ptCount val="1"/>
                <c:pt idx="0">
                  <c:v>Wing Lift</c:v>
                </c:pt>
              </c:strCache>
            </c:strRef>
          </c:tx>
          <c:spPr>
            <a:ln>
              <a:solidFill>
                <a:srgbClr val="FF0000"/>
              </a:solidFill>
              <a:tailEnd type="stealth" w="lg" len="lg"/>
            </a:ln>
          </c:spPr>
          <c:marker>
            <c:symbol val="none"/>
          </c:marker>
          <c:xVal>
            <c:numRef>
              <c:f>'11'!$R$318:$R$319</c:f>
              <c:numCache>
                <c:formatCode>0.0000</c:formatCode>
                <c:ptCount val="2"/>
                <c:pt idx="0">
                  <c:v>0.40730914440364852</c:v>
                </c:pt>
                <c:pt idx="1">
                  <c:v>0.40730914440364852</c:v>
                </c:pt>
              </c:numCache>
            </c:numRef>
          </c:xVal>
          <c:yVal>
            <c:numRef>
              <c:f>'11'!$S$318:$S$319</c:f>
              <c:numCache>
                <c:formatCode>0.0000000</c:formatCode>
                <c:ptCount val="2"/>
                <c:pt idx="0">
                  <c:v>0</c:v>
                </c:pt>
                <c:pt idx="1">
                  <c:v>685.57683923083039</c:v>
                </c:pt>
              </c:numCache>
            </c:numRef>
          </c:yVal>
          <c:smooth val="0"/>
          <c:extLst>
            <c:ext xmlns:c16="http://schemas.microsoft.com/office/drawing/2014/chart" uri="{C3380CC4-5D6E-409C-BE32-E72D297353CC}">
              <c16:uniqueId val="{00000008-5614-46BB-9C55-8A34D1FD932E}"/>
            </c:ext>
          </c:extLst>
        </c:ser>
        <c:ser>
          <c:idx val="9"/>
          <c:order val="9"/>
          <c:tx>
            <c:strRef>
              <c:f>'11'!$R$321</c:f>
              <c:strCache>
                <c:ptCount val="1"/>
                <c:pt idx="0">
                  <c:v>Horizontal Stabilizer Lift</c:v>
                </c:pt>
              </c:strCache>
            </c:strRef>
          </c:tx>
          <c:spPr>
            <a:ln>
              <a:tailEnd type="stealth" w="lg" len="lg"/>
            </a:ln>
          </c:spPr>
          <c:marker>
            <c:symbol val="none"/>
          </c:marker>
          <c:xVal>
            <c:numRef>
              <c:f>'11'!$R$323:$R$324</c:f>
              <c:numCache>
                <c:formatCode>0.0000</c:formatCode>
                <c:ptCount val="2"/>
                <c:pt idx="0">
                  <c:v>1.0953433941719548</c:v>
                </c:pt>
                <c:pt idx="1">
                  <c:v>1.0953433941719548</c:v>
                </c:pt>
              </c:numCache>
            </c:numRef>
          </c:xVal>
          <c:yVal>
            <c:numRef>
              <c:f>'11'!$S$323:$S$324</c:f>
              <c:numCache>
                <c:formatCode>0.0000000</c:formatCode>
                <c:ptCount val="2"/>
                <c:pt idx="0">
                  <c:v>0</c:v>
                </c:pt>
                <c:pt idx="1">
                  <c:v>-38.795356879489923</c:v>
                </c:pt>
              </c:numCache>
            </c:numRef>
          </c:yVal>
          <c:smooth val="0"/>
          <c:extLst>
            <c:ext xmlns:c16="http://schemas.microsoft.com/office/drawing/2014/chart" uri="{C3380CC4-5D6E-409C-BE32-E72D297353CC}">
              <c16:uniqueId val="{00000009-5614-46BB-9C55-8A34D1FD932E}"/>
            </c:ext>
          </c:extLst>
        </c:ser>
        <c:ser>
          <c:idx val="10"/>
          <c:order val="10"/>
          <c:tx>
            <c:strRef>
              <c:f>'11'!$R$326</c:f>
              <c:strCache>
                <c:ptCount val="1"/>
                <c:pt idx="0">
                  <c:v>Center-of-Gravity</c:v>
                </c:pt>
              </c:strCache>
            </c:strRef>
          </c:tx>
          <c:spPr>
            <a:ln>
              <a:solidFill>
                <a:schemeClr val="tx1"/>
              </a:solidFill>
              <a:tailEnd type="stealth" w="lg" len="lg"/>
            </a:ln>
          </c:spPr>
          <c:marker>
            <c:symbol val="none"/>
          </c:marker>
          <c:xVal>
            <c:numRef>
              <c:f>'11'!$R$328:$R$329</c:f>
              <c:numCache>
                <c:formatCode>0.0000</c:formatCode>
                <c:ptCount val="2"/>
                <c:pt idx="0">
                  <c:v>0.30349989333531641</c:v>
                </c:pt>
                <c:pt idx="1">
                  <c:v>0.30349989333531641</c:v>
                </c:pt>
              </c:numCache>
            </c:numRef>
          </c:xVal>
          <c:yVal>
            <c:numRef>
              <c:f>'11'!$S$328:$S$329</c:f>
              <c:numCache>
                <c:formatCode>0.0000000</c:formatCode>
                <c:ptCount val="2"/>
                <c:pt idx="0">
                  <c:v>0</c:v>
                </c:pt>
                <c:pt idx="1">
                  <c:v>-826.26697478804226</c:v>
                </c:pt>
              </c:numCache>
            </c:numRef>
          </c:yVal>
          <c:smooth val="0"/>
          <c:extLst>
            <c:ext xmlns:c16="http://schemas.microsoft.com/office/drawing/2014/chart" uri="{C3380CC4-5D6E-409C-BE32-E72D297353CC}">
              <c16:uniqueId val="{0000000A-5614-46BB-9C55-8A34D1FD932E}"/>
            </c:ext>
          </c:extLst>
        </c:ser>
        <c:dLbls>
          <c:showLegendKey val="0"/>
          <c:showVal val="0"/>
          <c:showCatName val="0"/>
          <c:showSerName val="0"/>
          <c:showPercent val="0"/>
          <c:showBubbleSize val="0"/>
        </c:dLbls>
        <c:axId val="364451712"/>
        <c:axId val="364457984"/>
      </c:scatterChart>
      <c:valAx>
        <c:axId val="364451712"/>
        <c:scaling>
          <c:orientation val="minMax"/>
        </c:scaling>
        <c:delete val="0"/>
        <c:axPos val="b"/>
        <c:title>
          <c:tx>
            <c:rich>
              <a:bodyPr/>
              <a:lstStyle/>
              <a:p>
                <a:pPr>
                  <a:defRPr sz="1400"/>
                </a:pPr>
                <a:r>
                  <a:rPr lang="en-US" sz="1400"/>
                  <a:t>Axial Location,</a:t>
                </a:r>
                <a:r>
                  <a:rPr lang="en-US" sz="1400" baseline="0"/>
                  <a:t> x/Lfuse, (-)</a:t>
                </a:r>
                <a:endParaRPr lang="en-US" sz="1400"/>
              </a:p>
            </c:rich>
          </c:tx>
          <c:layout>
            <c:manualLayout>
              <c:xMode val="edge"/>
              <c:yMode val="edge"/>
              <c:x val="0.27007095237906287"/>
              <c:y val="0.90277830764112232"/>
            </c:manualLayout>
          </c:layout>
          <c:overlay val="0"/>
        </c:title>
        <c:numFmt formatCode="0.0" sourceLinked="0"/>
        <c:majorTickMark val="out"/>
        <c:minorTickMark val="none"/>
        <c:tickLblPos val="nextTo"/>
        <c:crossAx val="364457984"/>
        <c:crosses val="autoZero"/>
        <c:crossBetween val="midCat"/>
      </c:valAx>
      <c:valAx>
        <c:axId val="364457984"/>
        <c:scaling>
          <c:orientation val="minMax"/>
        </c:scaling>
        <c:delete val="0"/>
        <c:axPos val="l"/>
        <c:majorGridlines/>
        <c:title>
          <c:tx>
            <c:rich>
              <a:bodyPr rot="-5400000" vert="horz"/>
              <a:lstStyle/>
              <a:p>
                <a:pPr>
                  <a:defRPr sz="1400"/>
                </a:pPr>
                <a:r>
                  <a:rPr lang="en-US" sz="1400"/>
                  <a:t>Force - lbf</a:t>
                </a:r>
              </a:p>
            </c:rich>
          </c:tx>
          <c:layout>
            <c:manualLayout>
              <c:xMode val="edge"/>
              <c:yMode val="edge"/>
              <c:x val="2.2495735494398275E-2"/>
              <c:y val="0.42840087242615799"/>
            </c:manualLayout>
          </c:layout>
          <c:overlay val="0"/>
        </c:title>
        <c:numFmt formatCode="#,##0" sourceLinked="0"/>
        <c:majorTickMark val="out"/>
        <c:minorTickMark val="none"/>
        <c:tickLblPos val="nextTo"/>
        <c:crossAx val="364451712"/>
        <c:crosses val="autoZero"/>
        <c:crossBetween val="midCat"/>
      </c:valAx>
    </c:plotArea>
    <c:legend>
      <c:legendPos val="r"/>
      <c:layout>
        <c:manualLayout>
          <c:xMode val="edge"/>
          <c:yMode val="edge"/>
          <c:x val="0.62543854036369617"/>
          <c:y val="0.53689908876889936"/>
          <c:w val="0.37007354074192955"/>
          <c:h val="0.44713854710823736"/>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a:pPr>
            <a:r>
              <a:rPr lang="en-US" sz="1600"/>
              <a:t>Cm</a:t>
            </a:r>
            <a:r>
              <a:rPr lang="en-US" sz="1600">
                <a:latin typeface="Symbol" panose="05050102010706020507" pitchFamily="18" charset="2"/>
              </a:rPr>
              <a:t>a</a:t>
            </a:r>
            <a:r>
              <a:rPr lang="en-US" sz="1600"/>
              <a:t> vs. Center-of-Lift</a:t>
            </a:r>
            <a:r>
              <a:rPr lang="en-US" sz="1600" baseline="0"/>
              <a:t> (x/Lfus)</a:t>
            </a:r>
            <a:endParaRPr lang="en-US" sz="1600"/>
          </a:p>
          <a:p>
            <a:pPr algn="l">
              <a:defRPr/>
            </a:pPr>
            <a:r>
              <a:rPr lang="en-US" sz="1200"/>
              <a:t>Selection of Center-of-Lift</a:t>
            </a:r>
          </a:p>
        </c:rich>
      </c:tx>
      <c:layout>
        <c:manualLayout>
          <c:xMode val="edge"/>
          <c:yMode val="edge"/>
          <c:x val="1.7581151967199209E-2"/>
          <c:y val="1.7933934130213273E-2"/>
        </c:manualLayout>
      </c:layout>
      <c:overlay val="0"/>
    </c:title>
    <c:autoTitleDeleted val="0"/>
    <c:plotArea>
      <c:layout>
        <c:manualLayout>
          <c:layoutTarget val="inner"/>
          <c:xMode val="edge"/>
          <c:yMode val="edge"/>
          <c:x val="0.16918934023530224"/>
          <c:y val="0.18285572381983514"/>
          <c:w val="0.70158465471125397"/>
          <c:h val="0.64856101438024472"/>
        </c:manualLayout>
      </c:layout>
      <c:scatterChart>
        <c:scatterStyle val="lineMarker"/>
        <c:varyColors val="0"/>
        <c:ser>
          <c:idx val="0"/>
          <c:order val="0"/>
          <c:tx>
            <c:v>W=Wo</c:v>
          </c:tx>
          <c:marker>
            <c:symbol val="none"/>
          </c:marker>
          <c:xVal>
            <c:numRef>
              <c:f>'11'!$R$93:$R$99</c:f>
              <c:numCache>
                <c:formatCode>0.0000</c:formatCode>
                <c:ptCount val="7"/>
                <c:pt idx="0">
                  <c:v>0.33686384962734833</c:v>
                </c:pt>
                <c:pt idx="1">
                  <c:v>0.35762569984101478</c:v>
                </c:pt>
                <c:pt idx="2">
                  <c:v>0.36800662494784797</c:v>
                </c:pt>
                <c:pt idx="3">
                  <c:v>0.37838755005468117</c:v>
                </c:pt>
                <c:pt idx="4">
                  <c:v>0.39914940026834761</c:v>
                </c:pt>
                <c:pt idx="5">
                  <c:v>0.41991125048201405</c:v>
                </c:pt>
                <c:pt idx="6">
                  <c:v>0.47181587601618002</c:v>
                </c:pt>
              </c:numCache>
            </c:numRef>
          </c:xVal>
          <c:yVal>
            <c:numRef>
              <c:f>'11'!$Y$93:$Y$99</c:f>
              <c:numCache>
                <c:formatCode>0.0000</c:formatCode>
                <c:ptCount val="7"/>
                <c:pt idx="0">
                  <c:v>2.2029302459300446</c:v>
                </c:pt>
                <c:pt idx="1">
                  <c:v>1.7485104352671577</c:v>
                </c:pt>
                <c:pt idx="2">
                  <c:v>1.5213005299357154</c:v>
                </c:pt>
                <c:pt idx="3">
                  <c:v>1.2940906246042732</c:v>
                </c:pt>
                <c:pt idx="4">
                  <c:v>0.83967081394138754</c:v>
                </c:pt>
                <c:pt idx="5">
                  <c:v>0.38525100327850104</c:v>
                </c:pt>
                <c:pt idx="6">
                  <c:v>-0.75079852337871156</c:v>
                </c:pt>
              </c:numCache>
            </c:numRef>
          </c:yVal>
          <c:smooth val="0"/>
          <c:extLst>
            <c:ext xmlns:c16="http://schemas.microsoft.com/office/drawing/2014/chart" uri="{C3380CC4-5D6E-409C-BE32-E72D297353CC}">
              <c16:uniqueId val="{00000000-A1AC-4409-9E40-D5CAE250231C}"/>
            </c:ext>
          </c:extLst>
        </c:ser>
        <c:ser>
          <c:idx val="2"/>
          <c:order val="1"/>
          <c:tx>
            <c:v>W=We</c:v>
          </c:tx>
          <c:spPr>
            <a:ln>
              <a:solidFill>
                <a:srgbClr val="FF0000"/>
              </a:solidFill>
            </a:ln>
          </c:spPr>
          <c:marker>
            <c:symbol val="none"/>
          </c:marker>
          <c:xVal>
            <c:numRef>
              <c:f>'11'!$R$103:$R$109</c:f>
              <c:numCache>
                <c:formatCode>0.0000</c:formatCode>
                <c:ptCount val="7"/>
                <c:pt idx="0">
                  <c:v>0.27235711801481677</c:v>
                </c:pt>
                <c:pt idx="1">
                  <c:v>0.29311896822848321</c:v>
                </c:pt>
                <c:pt idx="2">
                  <c:v>0.30349989333531641</c:v>
                </c:pt>
                <c:pt idx="3">
                  <c:v>0.31388081844214966</c:v>
                </c:pt>
                <c:pt idx="4">
                  <c:v>0.33464266865581599</c:v>
                </c:pt>
                <c:pt idx="5">
                  <c:v>0.35540451886948249</c:v>
                </c:pt>
                <c:pt idx="6">
                  <c:v>0.40730914440364852</c:v>
                </c:pt>
              </c:numCache>
            </c:numRef>
          </c:xVal>
          <c:yVal>
            <c:numRef>
              <c:f>'11'!$Y$103:$Y$109</c:f>
              <c:numCache>
                <c:formatCode>0.0000</c:formatCode>
                <c:ptCount val="7"/>
                <c:pt idx="0">
                  <c:v>2.4156486773198931</c:v>
                </c:pt>
                <c:pt idx="1">
                  <c:v>1.961228866657007</c:v>
                </c:pt>
                <c:pt idx="2">
                  <c:v>1.7340189613255639</c:v>
                </c:pt>
                <c:pt idx="3">
                  <c:v>1.5068090559941207</c:v>
                </c:pt>
                <c:pt idx="4">
                  <c:v>1.0523892453312369</c:v>
                </c:pt>
                <c:pt idx="5">
                  <c:v>0.59796943466834951</c:v>
                </c:pt>
                <c:pt idx="6">
                  <c:v>-0.53808009198886397</c:v>
                </c:pt>
              </c:numCache>
            </c:numRef>
          </c:yVal>
          <c:smooth val="0"/>
          <c:extLst>
            <c:ext xmlns:c16="http://schemas.microsoft.com/office/drawing/2014/chart" uri="{C3380CC4-5D6E-409C-BE32-E72D297353CC}">
              <c16:uniqueId val="{00000001-A1AC-4409-9E40-D5CAE250231C}"/>
            </c:ext>
          </c:extLst>
        </c:ser>
        <c:ser>
          <c:idx val="1"/>
          <c:order val="2"/>
          <c:tx>
            <c:v>Lower Cma Bound</c:v>
          </c:tx>
          <c:spPr>
            <a:ln>
              <a:solidFill>
                <a:srgbClr val="00B050"/>
              </a:solidFill>
            </a:ln>
          </c:spPr>
          <c:marker>
            <c:symbol val="none"/>
          </c:marker>
          <c:xVal>
            <c:numRef>
              <c:f>'11'!$V$278:$V$279</c:f>
              <c:numCache>
                <c:formatCode>General</c:formatCode>
                <c:ptCount val="2"/>
                <c:pt idx="0">
                  <c:v>0.2</c:v>
                </c:pt>
                <c:pt idx="1">
                  <c:v>0.8</c:v>
                </c:pt>
              </c:numCache>
            </c:numRef>
          </c:xVal>
          <c:yVal>
            <c:numRef>
              <c:f>'11'!$W$278:$W$279</c:f>
              <c:numCache>
                <c:formatCode>General</c:formatCode>
                <c:ptCount val="2"/>
                <c:pt idx="0">
                  <c:v>-1.5</c:v>
                </c:pt>
                <c:pt idx="1">
                  <c:v>-1.5</c:v>
                </c:pt>
              </c:numCache>
            </c:numRef>
          </c:yVal>
          <c:smooth val="0"/>
          <c:extLst>
            <c:ext xmlns:c16="http://schemas.microsoft.com/office/drawing/2014/chart" uri="{C3380CC4-5D6E-409C-BE32-E72D297353CC}">
              <c16:uniqueId val="{00000002-A1AC-4409-9E40-D5CAE250231C}"/>
            </c:ext>
          </c:extLst>
        </c:ser>
        <c:ser>
          <c:idx val="3"/>
          <c:order val="3"/>
          <c:tx>
            <c:v>Upper Cma Bound</c:v>
          </c:tx>
          <c:spPr>
            <a:ln>
              <a:solidFill>
                <a:srgbClr val="00B050"/>
              </a:solidFill>
            </a:ln>
          </c:spPr>
          <c:marker>
            <c:symbol val="none"/>
          </c:marker>
          <c:xVal>
            <c:numRef>
              <c:f>'11'!$V$278:$V$279</c:f>
              <c:numCache>
                <c:formatCode>General</c:formatCode>
                <c:ptCount val="2"/>
                <c:pt idx="0">
                  <c:v>0.2</c:v>
                </c:pt>
                <c:pt idx="1">
                  <c:v>0.8</c:v>
                </c:pt>
              </c:numCache>
            </c:numRef>
          </c:xVal>
          <c:yVal>
            <c:numRef>
              <c:f>'11'!$X$278:$X$279</c:f>
              <c:numCache>
                <c:formatCode>General</c:formatCode>
                <c:ptCount val="2"/>
                <c:pt idx="0">
                  <c:v>-0.16</c:v>
                </c:pt>
                <c:pt idx="1">
                  <c:v>-0.16</c:v>
                </c:pt>
              </c:numCache>
            </c:numRef>
          </c:yVal>
          <c:smooth val="0"/>
          <c:extLst>
            <c:ext xmlns:c16="http://schemas.microsoft.com/office/drawing/2014/chart" uri="{C3380CC4-5D6E-409C-BE32-E72D297353CC}">
              <c16:uniqueId val="{00000003-A1AC-4409-9E40-D5CAE250231C}"/>
            </c:ext>
          </c:extLst>
        </c:ser>
        <c:ser>
          <c:idx val="4"/>
          <c:order val="4"/>
          <c:tx>
            <c:v>c.o. Lift</c:v>
          </c:tx>
          <c:spPr>
            <a:ln>
              <a:solidFill>
                <a:schemeClr val="tx1"/>
              </a:solidFill>
              <a:prstDash val="sysDash"/>
            </a:ln>
          </c:spPr>
          <c:marker>
            <c:symbol val="none"/>
          </c:marker>
          <c:xVal>
            <c:numRef>
              <c:f>'11'!$V$274:$V$275</c:f>
              <c:numCache>
                <c:formatCode>0.0000</c:formatCode>
                <c:ptCount val="2"/>
                <c:pt idx="0">
                  <c:v>0.45</c:v>
                </c:pt>
                <c:pt idx="1">
                  <c:v>0.45</c:v>
                </c:pt>
              </c:numCache>
            </c:numRef>
          </c:xVal>
          <c:yVal>
            <c:numRef>
              <c:f>'11'!$Y$274:$Y$275</c:f>
              <c:numCache>
                <c:formatCode>General</c:formatCode>
                <c:ptCount val="2"/>
                <c:pt idx="0">
                  <c:v>-3</c:v>
                </c:pt>
                <c:pt idx="1">
                  <c:v>1</c:v>
                </c:pt>
              </c:numCache>
            </c:numRef>
          </c:yVal>
          <c:smooth val="0"/>
          <c:extLst>
            <c:ext xmlns:c16="http://schemas.microsoft.com/office/drawing/2014/chart" uri="{C3380CC4-5D6E-409C-BE32-E72D297353CC}">
              <c16:uniqueId val="{00000004-A1AC-4409-9E40-D5CAE250231C}"/>
            </c:ext>
          </c:extLst>
        </c:ser>
        <c:dLbls>
          <c:showLegendKey val="0"/>
          <c:showVal val="0"/>
          <c:showCatName val="0"/>
          <c:showSerName val="0"/>
          <c:showPercent val="0"/>
          <c:showBubbleSize val="0"/>
        </c:dLbls>
        <c:axId val="364500480"/>
        <c:axId val="364502400"/>
      </c:scatterChart>
      <c:valAx>
        <c:axId val="364500480"/>
        <c:scaling>
          <c:orientation val="minMax"/>
          <c:max val="0.48000000000000004"/>
          <c:min val="0.35000000000000003"/>
        </c:scaling>
        <c:delete val="0"/>
        <c:axPos val="b"/>
        <c:title>
          <c:tx>
            <c:rich>
              <a:bodyPr/>
              <a:lstStyle/>
              <a:p>
                <a:pPr>
                  <a:defRPr sz="1400"/>
                </a:pPr>
                <a:r>
                  <a:rPr lang="en-US" sz="1400"/>
                  <a:t>Center-of-Lift, (X/Lfus)</a:t>
                </a:r>
              </a:p>
            </c:rich>
          </c:tx>
          <c:layout>
            <c:manualLayout>
              <c:xMode val="edge"/>
              <c:yMode val="edge"/>
              <c:x val="0.33739780754240578"/>
              <c:y val="0.86671082291184198"/>
            </c:manualLayout>
          </c:layout>
          <c:overlay val="0"/>
        </c:title>
        <c:numFmt formatCode="#,##0.00" sourceLinked="0"/>
        <c:majorTickMark val="out"/>
        <c:minorTickMark val="none"/>
        <c:tickLblPos val="nextTo"/>
        <c:crossAx val="364502400"/>
        <c:crosses val="autoZero"/>
        <c:crossBetween val="midCat"/>
      </c:valAx>
      <c:valAx>
        <c:axId val="364502400"/>
        <c:scaling>
          <c:orientation val="minMax"/>
        </c:scaling>
        <c:delete val="0"/>
        <c:axPos val="l"/>
        <c:majorGridlines/>
        <c:title>
          <c:tx>
            <c:rich>
              <a:bodyPr rot="-5400000" vert="horz"/>
              <a:lstStyle/>
              <a:p>
                <a:pPr>
                  <a:defRPr sz="1400"/>
                </a:pPr>
                <a:r>
                  <a:rPr lang="en-US" sz="1400"/>
                  <a:t>Long. Stability Coeff., C</a:t>
                </a:r>
                <a:r>
                  <a:rPr lang="en-US" sz="1400" baseline="-25000"/>
                  <a:t>M</a:t>
                </a:r>
                <a:r>
                  <a:rPr lang="en-US" sz="1400" baseline="-25000">
                    <a:latin typeface="Symbol" panose="05050102010706020507" pitchFamily="18" charset="2"/>
                  </a:rPr>
                  <a:t>a</a:t>
                </a:r>
              </a:p>
            </c:rich>
          </c:tx>
          <c:layout>
            <c:manualLayout>
              <c:xMode val="edge"/>
              <c:yMode val="edge"/>
              <c:x val="1.2054443931372567E-2"/>
              <c:y val="0.2368515766515101"/>
            </c:manualLayout>
          </c:layout>
          <c:overlay val="0"/>
        </c:title>
        <c:numFmt formatCode="0.00" sourceLinked="0"/>
        <c:majorTickMark val="out"/>
        <c:minorTickMark val="none"/>
        <c:tickLblPos val="nextTo"/>
        <c:crossAx val="364500480"/>
        <c:crosses val="autoZero"/>
        <c:crossBetween val="midCat"/>
      </c:valAx>
    </c:plotArea>
    <c:legend>
      <c:legendPos val="r"/>
      <c:layout>
        <c:manualLayout>
          <c:xMode val="edge"/>
          <c:yMode val="edge"/>
          <c:x val="0.68856463598118178"/>
          <c:y val="4.1424568407822257E-2"/>
          <c:w val="0.31143536401881816"/>
          <c:h val="0.33958522790285017"/>
        </c:manualLayout>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1970 CERs Cost Estimate in 2016 Dollars</a:t>
            </a:r>
          </a:p>
        </c:rich>
      </c:tx>
      <c:layout>
        <c:manualLayout>
          <c:xMode val="edge"/>
          <c:yMode val="edge"/>
          <c:x val="0.14447592067988668"/>
          <c:y val="3.5830675880935532E-2"/>
        </c:manualLayout>
      </c:layout>
      <c:overlay val="0"/>
      <c:spPr>
        <a:noFill/>
        <a:ln w="25400">
          <a:noFill/>
        </a:ln>
      </c:spPr>
    </c:title>
    <c:autoTitleDeleted val="0"/>
    <c:plotArea>
      <c:layout>
        <c:manualLayout>
          <c:layoutTarget val="inner"/>
          <c:xMode val="edge"/>
          <c:yMode val="edge"/>
          <c:x val="0.26062322946175637"/>
          <c:y val="0.28338807287649009"/>
          <c:w val="0.48158640226628896"/>
          <c:h val="0.55374680906900364"/>
        </c:manualLayout>
      </c:layout>
      <c:pieChart>
        <c:varyColors val="1"/>
        <c:ser>
          <c:idx val="0"/>
          <c:order val="0"/>
          <c:spPr>
            <a:solidFill>
              <a:srgbClr val="8080FF"/>
            </a:solidFill>
            <a:ln w="12700">
              <a:solidFill>
                <a:srgbClr val="000000"/>
              </a:solidFill>
              <a:prstDash val="solid"/>
            </a:ln>
          </c:spPr>
          <c:dPt>
            <c:idx val="0"/>
            <c:bubble3D val="0"/>
            <c:extLst>
              <c:ext xmlns:c16="http://schemas.microsoft.com/office/drawing/2014/chart" uri="{C3380CC4-5D6E-409C-BE32-E72D297353CC}">
                <c16:uniqueId val="{00000000-0F38-4CE5-A76F-2D4AE3DE8EC5}"/>
              </c:ext>
            </c:extLst>
          </c:dPt>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2-0F38-4CE5-A76F-2D4AE3DE8EC5}"/>
              </c:ext>
            </c:extLst>
          </c:dPt>
          <c:dPt>
            <c:idx val="2"/>
            <c:bubble3D val="0"/>
            <c:spPr>
              <a:solidFill>
                <a:srgbClr val="FFFFC0"/>
              </a:solidFill>
              <a:ln w="12700">
                <a:solidFill>
                  <a:srgbClr val="000000"/>
                </a:solidFill>
                <a:prstDash val="solid"/>
              </a:ln>
            </c:spPr>
            <c:extLst>
              <c:ext xmlns:c16="http://schemas.microsoft.com/office/drawing/2014/chart" uri="{C3380CC4-5D6E-409C-BE32-E72D297353CC}">
                <c16:uniqueId val="{00000004-0F38-4CE5-A76F-2D4AE3DE8EC5}"/>
              </c:ext>
            </c:extLst>
          </c:dPt>
          <c:dPt>
            <c:idx val="3"/>
            <c:bubble3D val="0"/>
            <c:spPr>
              <a:solidFill>
                <a:srgbClr val="A0E0E0"/>
              </a:solidFill>
              <a:ln w="12700">
                <a:solidFill>
                  <a:srgbClr val="000000"/>
                </a:solidFill>
                <a:prstDash val="solid"/>
              </a:ln>
            </c:spPr>
            <c:extLst>
              <c:ext xmlns:c16="http://schemas.microsoft.com/office/drawing/2014/chart" uri="{C3380CC4-5D6E-409C-BE32-E72D297353CC}">
                <c16:uniqueId val="{00000006-0F38-4CE5-A76F-2D4AE3DE8EC5}"/>
              </c:ext>
            </c:extLst>
          </c:dPt>
          <c:dPt>
            <c:idx val="4"/>
            <c:bubble3D val="0"/>
            <c:spPr>
              <a:solidFill>
                <a:srgbClr val="600080"/>
              </a:solidFill>
              <a:ln w="12700">
                <a:solidFill>
                  <a:srgbClr val="000000"/>
                </a:solidFill>
                <a:prstDash val="solid"/>
              </a:ln>
            </c:spPr>
            <c:extLst>
              <c:ext xmlns:c16="http://schemas.microsoft.com/office/drawing/2014/chart" uri="{C3380CC4-5D6E-409C-BE32-E72D297353CC}">
                <c16:uniqueId val="{00000008-0F38-4CE5-A76F-2D4AE3DE8EC5}"/>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0F38-4CE5-A76F-2D4AE3DE8EC5}"/>
              </c:ext>
            </c:extLst>
          </c:dPt>
          <c:dPt>
            <c:idx val="6"/>
            <c:bubble3D val="0"/>
            <c:spPr>
              <a:solidFill>
                <a:srgbClr val="0080C0"/>
              </a:solidFill>
              <a:ln w="12700">
                <a:solidFill>
                  <a:srgbClr val="000000"/>
                </a:solidFill>
                <a:prstDash val="solid"/>
              </a:ln>
            </c:spPr>
            <c:extLst>
              <c:ext xmlns:c16="http://schemas.microsoft.com/office/drawing/2014/chart" uri="{C3380CC4-5D6E-409C-BE32-E72D297353CC}">
                <c16:uniqueId val="{0000000C-0F38-4CE5-A76F-2D4AE3DE8EC5}"/>
              </c:ext>
            </c:extLst>
          </c:dPt>
          <c:dPt>
            <c:idx val="7"/>
            <c:bubble3D val="0"/>
            <c:spPr>
              <a:solidFill>
                <a:srgbClr val="C0C0FF"/>
              </a:solidFill>
              <a:ln w="12700">
                <a:solidFill>
                  <a:srgbClr val="000000"/>
                </a:solidFill>
                <a:prstDash val="solid"/>
              </a:ln>
            </c:spPr>
            <c:extLst>
              <c:ext xmlns:c16="http://schemas.microsoft.com/office/drawing/2014/chart" uri="{C3380CC4-5D6E-409C-BE32-E72D297353CC}">
                <c16:uniqueId val="{0000000E-0F38-4CE5-A76F-2D4AE3DE8EC5}"/>
              </c:ext>
            </c:extLst>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'12'!$C$128:$C$135</c:f>
              <c:strCache>
                <c:ptCount val="8"/>
                <c:pt idx="0">
                  <c:v>C_E ($)</c:v>
                </c:pt>
                <c:pt idx="1">
                  <c:v>C_D ($)</c:v>
                </c:pt>
                <c:pt idx="2">
                  <c:v>C_ML ($)</c:v>
                </c:pt>
                <c:pt idx="3">
                  <c:v>C_MM ($)</c:v>
                </c:pt>
                <c:pt idx="4">
                  <c:v>C_T ($)</c:v>
                </c:pt>
                <c:pt idx="5">
                  <c:v>C_QC ($)</c:v>
                </c:pt>
                <c:pt idx="6">
                  <c:v>C_EN ($)</c:v>
                </c:pt>
                <c:pt idx="7">
                  <c:v>C_P ($)</c:v>
                </c:pt>
              </c:strCache>
            </c:strRef>
          </c:cat>
          <c:val>
            <c:numRef>
              <c:f>'12'!$D$128:$D$135</c:f>
              <c:numCache>
                <c:formatCode>"$"#,##0_);[Red]\("$"#,##0\)</c:formatCode>
                <c:ptCount val="8"/>
                <c:pt idx="0" formatCode="&quot;$&quot;#,##0">
                  <c:v>17007162.15947542</c:v>
                </c:pt>
                <c:pt idx="1">
                  <c:v>193253.38074756201</c:v>
                </c:pt>
                <c:pt idx="2">
                  <c:v>1680870880.2281747</c:v>
                </c:pt>
                <c:pt idx="3">
                  <c:v>1331256310.7773054</c:v>
                </c:pt>
                <c:pt idx="4">
                  <c:v>56942904.417873666</c:v>
                </c:pt>
                <c:pt idx="5">
                  <c:v>242177406.74598518</c:v>
                </c:pt>
                <c:pt idx="6" formatCode="&quot;$&quot;#,##0;[Red]&quot;$&quot;#,##0">
                  <c:v>1192051328.3967595</c:v>
                </c:pt>
                <c:pt idx="7">
                  <c:v>452051111.0595926</c:v>
                </c:pt>
              </c:numCache>
            </c:numRef>
          </c:val>
          <c:extLst>
            <c:ext xmlns:c16="http://schemas.microsoft.com/office/drawing/2014/chart" uri="{C3380CC4-5D6E-409C-BE32-E72D297353CC}">
              <c16:uniqueId val="{0000000F-0F38-4CE5-A76F-2D4AE3DE8EC5}"/>
            </c:ext>
          </c:extLst>
        </c:ser>
        <c:dLbls>
          <c:dLblPos val="outEnd"/>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1986 CERs Cost Estimate in 2016 Dollars</a:t>
            </a:r>
          </a:p>
        </c:rich>
      </c:tx>
      <c:layout>
        <c:manualLayout>
          <c:xMode val="edge"/>
          <c:yMode val="edge"/>
          <c:x val="0.1420456515858759"/>
          <c:y val="3.4161542485840579E-2"/>
        </c:manualLayout>
      </c:layout>
      <c:overlay val="0"/>
      <c:spPr>
        <a:noFill/>
        <a:ln w="25400">
          <a:noFill/>
        </a:ln>
      </c:spPr>
    </c:title>
    <c:autoTitleDeleted val="0"/>
    <c:plotArea>
      <c:layout>
        <c:manualLayout>
          <c:layoutTarget val="inner"/>
          <c:xMode val="edge"/>
          <c:yMode val="edge"/>
          <c:x val="0.24147760769598903"/>
          <c:y val="0.27329233988672463"/>
          <c:w val="0.51988708480430579"/>
          <c:h val="0.56832384317352969"/>
        </c:manualLayout>
      </c:layout>
      <c:pieChart>
        <c:varyColors val="1"/>
        <c:ser>
          <c:idx val="0"/>
          <c:order val="0"/>
          <c:spPr>
            <a:solidFill>
              <a:srgbClr val="8080FF"/>
            </a:solidFill>
            <a:ln w="12700">
              <a:solidFill>
                <a:srgbClr val="000000"/>
              </a:solidFill>
              <a:prstDash val="solid"/>
            </a:ln>
          </c:spPr>
          <c:dPt>
            <c:idx val="0"/>
            <c:bubble3D val="0"/>
            <c:extLst>
              <c:ext xmlns:c16="http://schemas.microsoft.com/office/drawing/2014/chart" uri="{C3380CC4-5D6E-409C-BE32-E72D297353CC}">
                <c16:uniqueId val="{00000000-0210-4C01-BF6F-8DBA67BF20C3}"/>
              </c:ext>
            </c:extLst>
          </c:dPt>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2-0210-4C01-BF6F-8DBA67BF20C3}"/>
              </c:ext>
            </c:extLst>
          </c:dPt>
          <c:dPt>
            <c:idx val="2"/>
            <c:bubble3D val="0"/>
            <c:spPr>
              <a:solidFill>
                <a:srgbClr val="FFFFC0"/>
              </a:solidFill>
              <a:ln w="12700">
                <a:solidFill>
                  <a:srgbClr val="000000"/>
                </a:solidFill>
                <a:prstDash val="solid"/>
              </a:ln>
            </c:spPr>
            <c:extLst>
              <c:ext xmlns:c16="http://schemas.microsoft.com/office/drawing/2014/chart" uri="{C3380CC4-5D6E-409C-BE32-E72D297353CC}">
                <c16:uniqueId val="{00000004-0210-4C01-BF6F-8DBA67BF20C3}"/>
              </c:ext>
            </c:extLst>
          </c:dPt>
          <c:dPt>
            <c:idx val="3"/>
            <c:bubble3D val="0"/>
            <c:spPr>
              <a:solidFill>
                <a:srgbClr val="A0E0E0"/>
              </a:solidFill>
              <a:ln w="12700">
                <a:solidFill>
                  <a:srgbClr val="000000"/>
                </a:solidFill>
                <a:prstDash val="solid"/>
              </a:ln>
            </c:spPr>
            <c:extLst>
              <c:ext xmlns:c16="http://schemas.microsoft.com/office/drawing/2014/chart" uri="{C3380CC4-5D6E-409C-BE32-E72D297353CC}">
                <c16:uniqueId val="{00000006-0210-4C01-BF6F-8DBA67BF20C3}"/>
              </c:ext>
            </c:extLst>
          </c:dPt>
          <c:dPt>
            <c:idx val="4"/>
            <c:bubble3D val="0"/>
            <c:spPr>
              <a:solidFill>
                <a:srgbClr val="600080"/>
              </a:solidFill>
              <a:ln w="12700">
                <a:solidFill>
                  <a:srgbClr val="000000"/>
                </a:solidFill>
                <a:prstDash val="solid"/>
              </a:ln>
            </c:spPr>
            <c:extLst>
              <c:ext xmlns:c16="http://schemas.microsoft.com/office/drawing/2014/chart" uri="{C3380CC4-5D6E-409C-BE32-E72D297353CC}">
                <c16:uniqueId val="{00000008-0210-4C01-BF6F-8DBA67BF20C3}"/>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0210-4C01-BF6F-8DBA67BF20C3}"/>
              </c:ext>
            </c:extLst>
          </c:dPt>
          <c:dPt>
            <c:idx val="6"/>
            <c:bubble3D val="0"/>
            <c:spPr>
              <a:solidFill>
                <a:srgbClr val="0080C0"/>
              </a:solidFill>
              <a:ln w="12700">
                <a:solidFill>
                  <a:srgbClr val="000000"/>
                </a:solidFill>
                <a:prstDash val="solid"/>
              </a:ln>
            </c:spPr>
            <c:extLst>
              <c:ext xmlns:c16="http://schemas.microsoft.com/office/drawing/2014/chart" uri="{C3380CC4-5D6E-409C-BE32-E72D297353CC}">
                <c16:uniqueId val="{0000000C-0210-4C01-BF6F-8DBA67BF20C3}"/>
              </c:ext>
            </c:extLst>
          </c:dPt>
          <c:dPt>
            <c:idx val="7"/>
            <c:bubble3D val="0"/>
            <c:spPr>
              <a:solidFill>
                <a:srgbClr val="C0C0FF"/>
              </a:solidFill>
              <a:ln w="12700">
                <a:solidFill>
                  <a:srgbClr val="000000"/>
                </a:solidFill>
                <a:prstDash val="solid"/>
              </a:ln>
            </c:spPr>
            <c:extLst>
              <c:ext xmlns:c16="http://schemas.microsoft.com/office/drawing/2014/chart" uri="{C3380CC4-5D6E-409C-BE32-E72D297353CC}">
                <c16:uniqueId val="{0000000E-0210-4C01-BF6F-8DBA67BF20C3}"/>
              </c:ext>
            </c:extLst>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'12'!$C$128:$C$135</c:f>
              <c:strCache>
                <c:ptCount val="8"/>
                <c:pt idx="0">
                  <c:v>C_E ($)</c:v>
                </c:pt>
                <c:pt idx="1">
                  <c:v>C_D ($)</c:v>
                </c:pt>
                <c:pt idx="2">
                  <c:v>C_ML ($)</c:v>
                </c:pt>
                <c:pt idx="3">
                  <c:v>C_MM ($)</c:v>
                </c:pt>
                <c:pt idx="4">
                  <c:v>C_T ($)</c:v>
                </c:pt>
                <c:pt idx="5">
                  <c:v>C_QC ($)</c:v>
                </c:pt>
                <c:pt idx="6">
                  <c:v>C_EN ($)</c:v>
                </c:pt>
                <c:pt idx="7">
                  <c:v>C_P ($)</c:v>
                </c:pt>
              </c:strCache>
            </c:strRef>
          </c:cat>
          <c:val>
            <c:numRef>
              <c:f>'12'!$E$128:$E$135</c:f>
              <c:numCache>
                <c:formatCode>"$"#,##0_);[Red]\("$"#,##0\)</c:formatCode>
                <c:ptCount val="8"/>
                <c:pt idx="0" formatCode="&quot;$&quot;#,##0">
                  <c:v>88744347.56703347</c:v>
                </c:pt>
                <c:pt idx="1">
                  <c:v>5612849.5358813265</c:v>
                </c:pt>
                <c:pt idx="2">
                  <c:v>2684802676.7508349</c:v>
                </c:pt>
                <c:pt idx="3">
                  <c:v>1507963348.23559</c:v>
                </c:pt>
                <c:pt idx="4">
                  <c:v>112373369.30563757</c:v>
                </c:pt>
                <c:pt idx="5">
                  <c:v>386822424.92768615</c:v>
                </c:pt>
                <c:pt idx="6" formatCode="&quot;$&quot;#,##0;[Red]&quot;$&quot;#,##0">
                  <c:v>1192051328.3967595</c:v>
                </c:pt>
                <c:pt idx="7">
                  <c:v>598005058.2082237</c:v>
                </c:pt>
              </c:numCache>
            </c:numRef>
          </c:val>
          <c:extLst>
            <c:ext xmlns:c16="http://schemas.microsoft.com/office/drawing/2014/chart" uri="{C3380CC4-5D6E-409C-BE32-E72D297353CC}">
              <c16:uniqueId val="{0000000F-0210-4C01-BF6F-8DBA67BF20C3}"/>
            </c:ext>
          </c:extLst>
        </c:ser>
        <c:dLbls>
          <c:dLblPos val="outEnd"/>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Top View (X-Y</a:t>
            </a:r>
            <a:r>
              <a:rPr lang="en-US" sz="1400" baseline="0"/>
              <a:t> Plane)</a:t>
            </a:r>
            <a:endParaRPr lang="en-US" sz="1400"/>
          </a:p>
        </c:rich>
      </c:tx>
      <c:layout>
        <c:manualLayout>
          <c:xMode val="edge"/>
          <c:yMode val="edge"/>
          <c:x val="2.4824274067618356E-2"/>
          <c:y val="1.7706813444248355E-2"/>
        </c:manualLayout>
      </c:layout>
      <c:overlay val="0"/>
      <c:spPr>
        <a:noFill/>
        <a:ln w="25400">
          <a:noFill/>
        </a:ln>
      </c:spPr>
    </c:title>
    <c:autoTitleDeleted val="0"/>
    <c:plotArea>
      <c:layout>
        <c:manualLayout>
          <c:layoutTarget val="inner"/>
          <c:xMode val="edge"/>
          <c:yMode val="edge"/>
          <c:x val="9.8928903679607286E-2"/>
          <c:y val="9.4391887096887492E-2"/>
          <c:w val="0.78063483140060264"/>
          <c:h val="0.77073047477858325"/>
        </c:manualLayout>
      </c:layout>
      <c:scatterChart>
        <c:scatterStyle val="lineMarker"/>
        <c:varyColors val="0"/>
        <c:ser>
          <c:idx val="0"/>
          <c:order val="0"/>
          <c:tx>
            <c:v>Main Wing</c:v>
          </c:tx>
          <c:spPr>
            <a:ln w="31750">
              <a:solidFill>
                <a:schemeClr val="accent1"/>
              </a:solidFill>
              <a:prstDash val="solid"/>
            </a:ln>
          </c:spPr>
          <c:marker>
            <c:symbol val="none"/>
          </c:marker>
          <c:xVal>
            <c:numRef>
              <c:f>'3-view'!$B$9:$B$13</c:f>
              <c:numCache>
                <c:formatCode>0.00</c:formatCode>
                <c:ptCount val="5"/>
                <c:pt idx="0">
                  <c:v>0</c:v>
                </c:pt>
                <c:pt idx="1">
                  <c:v>4.3859408576370313</c:v>
                </c:pt>
                <c:pt idx="2">
                  <c:v>4.3859408576370313</c:v>
                </c:pt>
                <c:pt idx="3">
                  <c:v>0</c:v>
                </c:pt>
                <c:pt idx="4">
                  <c:v>0</c:v>
                </c:pt>
              </c:numCache>
            </c:numRef>
          </c:xVal>
          <c:yVal>
            <c:numRef>
              <c:f>'3-view'!$C$9:$C$13</c:f>
              <c:numCache>
                <c:formatCode>0.00</c:formatCode>
                <c:ptCount val="5"/>
                <c:pt idx="0">
                  <c:v>0</c:v>
                </c:pt>
                <c:pt idx="1">
                  <c:v>0</c:v>
                </c:pt>
                <c:pt idx="2">
                  <c:v>12.938525530029244</c:v>
                </c:pt>
                <c:pt idx="3">
                  <c:v>12.938525530029244</c:v>
                </c:pt>
                <c:pt idx="4">
                  <c:v>0</c:v>
                </c:pt>
              </c:numCache>
            </c:numRef>
          </c:yVal>
          <c:smooth val="0"/>
          <c:extLst>
            <c:ext xmlns:c16="http://schemas.microsoft.com/office/drawing/2014/chart" uri="{C3380CC4-5D6E-409C-BE32-E72D297353CC}">
              <c16:uniqueId val="{00000000-ED2F-4FEE-A222-7607B92AFB61}"/>
            </c:ext>
          </c:extLst>
        </c:ser>
        <c:ser>
          <c:idx val="3"/>
          <c:order val="1"/>
          <c:tx>
            <c:v>Main Wing m.a.c.</c:v>
          </c:tx>
          <c:spPr>
            <a:ln>
              <a:solidFill>
                <a:schemeClr val="accent1"/>
              </a:solidFill>
              <a:prstDash val="sysDash"/>
            </a:ln>
          </c:spPr>
          <c:marker>
            <c:symbol val="none"/>
          </c:marker>
          <c:xVal>
            <c:numRef>
              <c:f>'3-view'!$E$9:$E$10</c:f>
              <c:numCache>
                <c:formatCode>General</c:formatCode>
                <c:ptCount val="2"/>
                <c:pt idx="0">
                  <c:v>0</c:v>
                </c:pt>
                <c:pt idx="1">
                  <c:v>4.3859408576370313</c:v>
                </c:pt>
              </c:numCache>
            </c:numRef>
          </c:xVal>
          <c:yVal>
            <c:numRef>
              <c:f>'3-view'!$F$9:$F$10</c:f>
              <c:numCache>
                <c:formatCode>General</c:formatCode>
                <c:ptCount val="2"/>
                <c:pt idx="0">
                  <c:v>6.4692627650146219</c:v>
                </c:pt>
                <c:pt idx="1">
                  <c:v>6.4692627650146219</c:v>
                </c:pt>
              </c:numCache>
            </c:numRef>
          </c:yVal>
          <c:smooth val="0"/>
          <c:extLst>
            <c:ext xmlns:c16="http://schemas.microsoft.com/office/drawing/2014/chart" uri="{C3380CC4-5D6E-409C-BE32-E72D297353CC}">
              <c16:uniqueId val="{00000001-ED2F-4FEE-A222-7607B92AFB61}"/>
            </c:ext>
          </c:extLst>
        </c:ser>
        <c:ser>
          <c:idx val="6"/>
          <c:order val="2"/>
          <c:tx>
            <c:v>HT</c:v>
          </c:tx>
          <c:spPr>
            <a:ln w="31750">
              <a:solidFill>
                <a:srgbClr val="00B050"/>
              </a:solidFill>
            </a:ln>
          </c:spPr>
          <c:marker>
            <c:symbol val="none"/>
          </c:marker>
          <c:xVal>
            <c:numRef>
              <c:f>'3-view'!$E$27:$E$31</c:f>
              <c:numCache>
                <c:formatCode>0.000</c:formatCode>
                <c:ptCount val="5"/>
                <c:pt idx="0">
                  <c:v>12.977739179687477</c:v>
                </c:pt>
                <c:pt idx="1">
                  <c:v>16.480989652896124</c:v>
                </c:pt>
                <c:pt idx="2">
                  <c:v>15.25096014675815</c:v>
                </c:pt>
                <c:pt idx="3">
                  <c:v>13.149009862832962</c:v>
                </c:pt>
                <c:pt idx="4">
                  <c:v>12.977739179687477</c:v>
                </c:pt>
              </c:numCache>
            </c:numRef>
          </c:xVal>
          <c:yVal>
            <c:numRef>
              <c:f>'3-view'!$F$27:$F$31</c:f>
              <c:numCache>
                <c:formatCode>0.00</c:formatCode>
                <c:ptCount val="5"/>
                <c:pt idx="0">
                  <c:v>0</c:v>
                </c:pt>
                <c:pt idx="1">
                  <c:v>0</c:v>
                </c:pt>
                <c:pt idx="2">
                  <c:v>4.9045506624921051</c:v>
                </c:pt>
                <c:pt idx="3">
                  <c:v>4.9045506624921051</c:v>
                </c:pt>
                <c:pt idx="4">
                  <c:v>0</c:v>
                </c:pt>
              </c:numCache>
            </c:numRef>
          </c:yVal>
          <c:smooth val="0"/>
          <c:extLst>
            <c:ext xmlns:c16="http://schemas.microsoft.com/office/drawing/2014/chart" uri="{C3380CC4-5D6E-409C-BE32-E72D297353CC}">
              <c16:uniqueId val="{00000002-ED2F-4FEE-A222-7607B92AFB61}"/>
            </c:ext>
          </c:extLst>
        </c:ser>
        <c:ser>
          <c:idx val="7"/>
          <c:order val="3"/>
          <c:tx>
            <c:v>HT m.a.c.</c:v>
          </c:tx>
          <c:spPr>
            <a:ln>
              <a:solidFill>
                <a:srgbClr val="00B050"/>
              </a:solidFill>
              <a:prstDash val="sysDash"/>
            </a:ln>
          </c:spPr>
          <c:marker>
            <c:symbol val="none"/>
          </c:marker>
          <c:xVal>
            <c:numRef>
              <c:f>'3-view'!$I$29:$I$30</c:f>
              <c:numCache>
                <c:formatCode>0.00</c:formatCode>
                <c:ptCount val="2"/>
                <c:pt idx="0">
                  <c:v>13.056238242795825</c:v>
                </c:pt>
                <c:pt idx="1">
                  <c:v>15.917226129249553</c:v>
                </c:pt>
              </c:numCache>
            </c:numRef>
          </c:xVal>
          <c:yVal>
            <c:numRef>
              <c:f>'3-view'!$J$29:$J$30</c:f>
              <c:numCache>
                <c:formatCode>0.000</c:formatCode>
                <c:ptCount val="2"/>
                <c:pt idx="0">
                  <c:v>2.2479190536422147</c:v>
                </c:pt>
                <c:pt idx="1">
                  <c:v>2.2479190536422147</c:v>
                </c:pt>
              </c:numCache>
            </c:numRef>
          </c:yVal>
          <c:smooth val="0"/>
          <c:extLst>
            <c:ext xmlns:c16="http://schemas.microsoft.com/office/drawing/2014/chart" uri="{C3380CC4-5D6E-409C-BE32-E72D297353CC}">
              <c16:uniqueId val="{00000003-ED2F-4FEE-A222-7607B92AFB61}"/>
            </c:ext>
          </c:extLst>
        </c:ser>
        <c:ser>
          <c:idx val="1"/>
          <c:order val="4"/>
          <c:tx>
            <c:v>VT m.a.c.</c:v>
          </c:tx>
          <c:spPr>
            <a:ln w="41275">
              <a:solidFill>
                <a:srgbClr val="FF0000"/>
              </a:solidFill>
            </a:ln>
          </c:spPr>
          <c:marker>
            <c:symbol val="none"/>
          </c:marker>
          <c:xVal>
            <c:numRef>
              <c:f>'3-view'!$I$27:$I$28</c:f>
              <c:numCache>
                <c:formatCode>0.00</c:formatCode>
                <c:ptCount val="2"/>
                <c:pt idx="0">
                  <c:v>12.807788556203048</c:v>
                </c:pt>
                <c:pt idx="1">
                  <c:v>16.662575189027883</c:v>
                </c:pt>
              </c:numCache>
            </c:numRef>
          </c:xVal>
          <c:yVal>
            <c:numRef>
              <c:f>'3-view'!$K$27:$K$28</c:f>
              <c:numCache>
                <c:formatCode>0.000</c:formatCode>
                <c:ptCount val="2"/>
                <c:pt idx="0">
                  <c:v>0.2</c:v>
                </c:pt>
                <c:pt idx="1">
                  <c:v>0.2</c:v>
                </c:pt>
              </c:numCache>
            </c:numRef>
          </c:yVal>
          <c:smooth val="0"/>
          <c:extLst>
            <c:ext xmlns:c16="http://schemas.microsoft.com/office/drawing/2014/chart" uri="{C3380CC4-5D6E-409C-BE32-E72D297353CC}">
              <c16:uniqueId val="{00000004-ED2F-4FEE-A222-7607B92AFB61}"/>
            </c:ext>
          </c:extLst>
        </c:ser>
        <c:ser>
          <c:idx val="2"/>
          <c:order val="5"/>
          <c:tx>
            <c:v>Fuse</c:v>
          </c:tx>
          <c:spPr>
            <a:ln>
              <a:solidFill>
                <a:schemeClr val="tx1"/>
              </a:solidFill>
            </a:ln>
          </c:spPr>
          <c:marker>
            <c:symbol val="none"/>
          </c:marker>
          <c:xVal>
            <c:numRef>
              <c:f>'3-view'!$E$47:$E$57</c:f>
              <c:numCache>
                <c:formatCode>0.00</c:formatCode>
                <c:ptCount val="11"/>
                <c:pt idx="0">
                  <c:v>-8.4097647855907418</c:v>
                </c:pt>
                <c:pt idx="1">
                  <c:v>-6.2972647855907411</c:v>
                </c:pt>
                <c:pt idx="2">
                  <c:v>-4.1847647855907413</c:v>
                </c:pt>
                <c:pt idx="3">
                  <c:v>-2.0722647855907423</c:v>
                </c:pt>
                <c:pt idx="4">
                  <c:v>4.0235214409259257E-2</c:v>
                </c:pt>
                <c:pt idx="5">
                  <c:v>2.1527352144092582</c:v>
                </c:pt>
                <c:pt idx="6">
                  <c:v>4.2652352144092571</c:v>
                </c:pt>
                <c:pt idx="7">
                  <c:v>6.3777352144092578</c:v>
                </c:pt>
                <c:pt idx="8">
                  <c:v>8.4902352144092621</c:v>
                </c:pt>
                <c:pt idx="9">
                  <c:v>10.602735214409259</c:v>
                </c:pt>
                <c:pt idx="10">
                  <c:v>12.715235214409256</c:v>
                </c:pt>
              </c:numCache>
            </c:numRef>
          </c:xVal>
          <c:yVal>
            <c:numRef>
              <c:f>'3-view'!$G$47:$G$57</c:f>
              <c:numCache>
                <c:formatCode>0.000</c:formatCode>
                <c:ptCount val="11"/>
                <c:pt idx="0">
                  <c:v>0</c:v>
                </c:pt>
                <c:pt idx="1">
                  <c:v>1.25</c:v>
                </c:pt>
                <c:pt idx="2">
                  <c:v>1.75</c:v>
                </c:pt>
                <c:pt idx="3">
                  <c:v>1.625</c:v>
                </c:pt>
                <c:pt idx="4">
                  <c:v>1.5</c:v>
                </c:pt>
                <c:pt idx="5">
                  <c:v>1.25</c:v>
                </c:pt>
                <c:pt idx="6">
                  <c:v>1</c:v>
                </c:pt>
                <c:pt idx="7">
                  <c:v>0.75</c:v>
                </c:pt>
                <c:pt idx="8">
                  <c:v>0.5</c:v>
                </c:pt>
                <c:pt idx="9">
                  <c:v>0.25</c:v>
                </c:pt>
                <c:pt idx="10">
                  <c:v>0.125</c:v>
                </c:pt>
              </c:numCache>
            </c:numRef>
          </c:yVal>
          <c:smooth val="0"/>
          <c:extLst>
            <c:ext xmlns:c16="http://schemas.microsoft.com/office/drawing/2014/chart" uri="{C3380CC4-5D6E-409C-BE32-E72D297353CC}">
              <c16:uniqueId val="{00000005-ED2F-4FEE-A222-7607B92AFB61}"/>
            </c:ext>
          </c:extLst>
        </c:ser>
        <c:ser>
          <c:idx val="4"/>
          <c:order val="6"/>
          <c:tx>
            <c:v>Prop</c:v>
          </c:tx>
          <c:spPr>
            <a:ln>
              <a:solidFill>
                <a:schemeClr val="accent6"/>
              </a:solidFill>
            </a:ln>
          </c:spPr>
          <c:marker>
            <c:symbol val="none"/>
          </c:marker>
          <c:xVal>
            <c:numRef>
              <c:f>'3-view'!$K$63:$K$64</c:f>
              <c:numCache>
                <c:formatCode>0.00</c:formatCode>
                <c:ptCount val="2"/>
                <c:pt idx="0">
                  <c:v>-8.4097647855907418</c:v>
                </c:pt>
                <c:pt idx="1">
                  <c:v>-8.4097647855907418</c:v>
                </c:pt>
              </c:numCache>
            </c:numRef>
          </c:xVal>
          <c:yVal>
            <c:numRef>
              <c:f>'3-view'!$L$63:$L$64</c:f>
              <c:numCache>
                <c:formatCode>0.00</c:formatCode>
                <c:ptCount val="2"/>
                <c:pt idx="0">
                  <c:v>0</c:v>
                </c:pt>
                <c:pt idx="1">
                  <c:v>3</c:v>
                </c:pt>
              </c:numCache>
            </c:numRef>
          </c:yVal>
          <c:smooth val="0"/>
          <c:extLst>
            <c:ext xmlns:c16="http://schemas.microsoft.com/office/drawing/2014/chart" uri="{C3380CC4-5D6E-409C-BE32-E72D297353CC}">
              <c16:uniqueId val="{00000000-AE9A-4ADF-9344-5CEBB9A468F0}"/>
            </c:ext>
          </c:extLst>
        </c:ser>
        <c:dLbls>
          <c:showLegendKey val="0"/>
          <c:showVal val="0"/>
          <c:showCatName val="0"/>
          <c:showSerName val="0"/>
          <c:showPercent val="0"/>
          <c:showBubbleSize val="0"/>
        </c:dLbls>
        <c:axId val="346206592"/>
        <c:axId val="346208512"/>
      </c:scatterChart>
      <c:valAx>
        <c:axId val="346206592"/>
        <c:scaling>
          <c:orientation val="minMax"/>
          <c:max val="20"/>
          <c:min val="-20"/>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a:t>
                </a:r>
                <a:r>
                  <a:rPr lang="en-US" sz="1400" baseline="0"/>
                  <a:t> Length</a:t>
                </a:r>
                <a:r>
                  <a:rPr lang="en-US" sz="1400"/>
                  <a:t>, (ft)</a:t>
                </a:r>
              </a:p>
            </c:rich>
          </c:tx>
          <c:layout>
            <c:manualLayout>
              <c:xMode val="edge"/>
              <c:yMode val="edge"/>
              <c:x val="0.29689366198913802"/>
              <c:y val="0.91708736204319252"/>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208512"/>
        <c:crosses val="autoZero"/>
        <c:crossBetween val="midCat"/>
      </c:valAx>
      <c:valAx>
        <c:axId val="346208512"/>
        <c:scaling>
          <c:orientation val="minMax"/>
          <c:max val="40"/>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Wing Half</a:t>
                </a:r>
                <a:r>
                  <a:rPr lang="en-US" sz="1400" baseline="0"/>
                  <a:t> Span, b/2, (ft)</a:t>
                </a:r>
                <a:endParaRPr lang="en-US" sz="1400"/>
              </a:p>
            </c:rich>
          </c:tx>
          <c:layout>
            <c:manualLayout>
              <c:xMode val="edge"/>
              <c:yMode val="edge"/>
              <c:x val="2.2018587238783346E-2"/>
              <c:y val="0.2803741531757899"/>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206592"/>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64387303935751894"/>
          <c:y val="3.1787713495117852E-2"/>
          <c:w val="0.25828356802896629"/>
          <c:h val="0.26235111001558475"/>
        </c:manualLayout>
      </c:layout>
      <c:overlay val="1"/>
      <c:spPr>
        <a:solidFill>
          <a:schemeClr val="lt1"/>
        </a:solidFill>
        <a:ln>
          <a:solidFill>
            <a:schemeClr val="tx1"/>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 r="0.750000000000001" t="1"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Side View (X-Z Plane)</a:t>
            </a:r>
          </a:p>
        </c:rich>
      </c:tx>
      <c:layout>
        <c:manualLayout>
          <c:xMode val="edge"/>
          <c:yMode val="edge"/>
          <c:x val="2.4824274067618356E-2"/>
          <c:y val="1.7706813444248355E-2"/>
        </c:manualLayout>
      </c:layout>
      <c:overlay val="0"/>
      <c:spPr>
        <a:noFill/>
        <a:ln w="25400">
          <a:noFill/>
        </a:ln>
      </c:spPr>
    </c:title>
    <c:autoTitleDeleted val="0"/>
    <c:plotArea>
      <c:layout>
        <c:manualLayout>
          <c:layoutTarget val="inner"/>
          <c:xMode val="edge"/>
          <c:yMode val="edge"/>
          <c:x val="9.8928903679607286E-2"/>
          <c:y val="9.4391887096887492E-2"/>
          <c:w val="0.78063483140060264"/>
          <c:h val="0.77073047477858325"/>
        </c:manualLayout>
      </c:layout>
      <c:scatterChart>
        <c:scatterStyle val="lineMarker"/>
        <c:varyColors val="0"/>
        <c:ser>
          <c:idx val="0"/>
          <c:order val="0"/>
          <c:tx>
            <c:v>VT</c:v>
          </c:tx>
          <c:spPr>
            <a:ln w="31750">
              <a:solidFill>
                <a:srgbClr val="FF0000"/>
              </a:solidFill>
              <a:prstDash val="solid"/>
            </a:ln>
          </c:spPr>
          <c:marker>
            <c:symbol val="none"/>
          </c:marker>
          <c:xVal>
            <c:numRef>
              <c:f>'3-view'!$B$27:$B$31</c:f>
              <c:numCache>
                <c:formatCode>0.0000</c:formatCode>
                <c:ptCount val="5"/>
                <c:pt idx="0">
                  <c:v>12.204919837704528</c:v>
                </c:pt>
                <c:pt idx="1">
                  <c:v>16.92506673504106</c:v>
                </c:pt>
                <c:pt idx="2">
                  <c:v>16.352357907375946</c:v>
                </c:pt>
                <c:pt idx="3">
                  <c:v>13.520269768974025</c:v>
                </c:pt>
                <c:pt idx="4">
                  <c:v>12.204919837704528</c:v>
                </c:pt>
              </c:numCache>
            </c:numRef>
          </c:xVal>
          <c:yVal>
            <c:numRef>
              <c:f>'3-view'!$C$27:$C$31</c:f>
              <c:numCache>
                <c:formatCode>0.000</c:formatCode>
                <c:ptCount val="5"/>
                <c:pt idx="0">
                  <c:v>0</c:v>
                </c:pt>
                <c:pt idx="1">
                  <c:v>0</c:v>
                </c:pt>
                <c:pt idx="2">
                  <c:v>4.908952773229994</c:v>
                </c:pt>
                <c:pt idx="3">
                  <c:v>4.908952773229994</c:v>
                </c:pt>
                <c:pt idx="4">
                  <c:v>0</c:v>
                </c:pt>
              </c:numCache>
            </c:numRef>
          </c:yVal>
          <c:smooth val="0"/>
          <c:extLst>
            <c:ext xmlns:c16="http://schemas.microsoft.com/office/drawing/2014/chart" uri="{C3380CC4-5D6E-409C-BE32-E72D297353CC}">
              <c16:uniqueId val="{00000000-D0B1-4EB4-A41D-EE83039FF464}"/>
            </c:ext>
          </c:extLst>
        </c:ser>
        <c:ser>
          <c:idx val="3"/>
          <c:order val="1"/>
          <c:tx>
            <c:v>Main Wing m.a.c.</c:v>
          </c:tx>
          <c:spPr>
            <a:ln w="41275">
              <a:solidFill>
                <a:schemeClr val="accent1"/>
              </a:solidFill>
              <a:prstDash val="solid"/>
            </a:ln>
          </c:spPr>
          <c:marker>
            <c:symbol val="none"/>
          </c:marker>
          <c:xVal>
            <c:numRef>
              <c:f>'3-view'!$E$15:$E$16</c:f>
              <c:numCache>
                <c:formatCode>General</c:formatCode>
                <c:ptCount val="2"/>
                <c:pt idx="0">
                  <c:v>0</c:v>
                </c:pt>
                <c:pt idx="1">
                  <c:v>4.3859408576370313</c:v>
                </c:pt>
              </c:numCache>
            </c:numRef>
          </c:xVal>
          <c:yVal>
            <c:numRef>
              <c:f>'3-view'!$F$15:$F$16</c:f>
              <c:numCache>
                <c:formatCode>0.0</c:formatCode>
                <c:ptCount val="2"/>
                <c:pt idx="0">
                  <c:v>0.2</c:v>
                </c:pt>
                <c:pt idx="1">
                  <c:v>0.2</c:v>
                </c:pt>
              </c:numCache>
            </c:numRef>
          </c:yVal>
          <c:smooth val="0"/>
          <c:extLst>
            <c:ext xmlns:c16="http://schemas.microsoft.com/office/drawing/2014/chart" uri="{C3380CC4-5D6E-409C-BE32-E72D297353CC}">
              <c16:uniqueId val="{00000001-D0B1-4EB4-A41D-EE83039FF464}"/>
            </c:ext>
          </c:extLst>
        </c:ser>
        <c:ser>
          <c:idx val="7"/>
          <c:order val="2"/>
          <c:tx>
            <c:v>HT m.a.c.</c:v>
          </c:tx>
          <c:spPr>
            <a:ln w="41275">
              <a:solidFill>
                <a:srgbClr val="00B050"/>
              </a:solidFill>
              <a:prstDash val="solid"/>
            </a:ln>
          </c:spPr>
          <c:marker>
            <c:symbol val="none"/>
          </c:marker>
          <c:xVal>
            <c:numRef>
              <c:f>'3-view'!$I$29:$I$30</c:f>
              <c:numCache>
                <c:formatCode>0.00</c:formatCode>
                <c:ptCount val="2"/>
                <c:pt idx="0">
                  <c:v>13.056238242795825</c:v>
                </c:pt>
                <c:pt idx="1">
                  <c:v>15.917226129249553</c:v>
                </c:pt>
              </c:numCache>
            </c:numRef>
          </c:xVal>
          <c:yVal>
            <c:numRef>
              <c:f>'3-view'!$K$29:$K$30</c:f>
              <c:numCache>
                <c:formatCode>0.000</c:formatCode>
                <c:ptCount val="2"/>
                <c:pt idx="0">
                  <c:v>0.2</c:v>
                </c:pt>
                <c:pt idx="1">
                  <c:v>0.2</c:v>
                </c:pt>
              </c:numCache>
            </c:numRef>
          </c:yVal>
          <c:smooth val="0"/>
          <c:extLst>
            <c:ext xmlns:c16="http://schemas.microsoft.com/office/drawing/2014/chart" uri="{C3380CC4-5D6E-409C-BE32-E72D297353CC}">
              <c16:uniqueId val="{00000002-D0B1-4EB4-A41D-EE83039FF464}"/>
            </c:ext>
          </c:extLst>
        </c:ser>
        <c:ser>
          <c:idx val="1"/>
          <c:order val="3"/>
          <c:tx>
            <c:v>Fuse</c:v>
          </c:tx>
          <c:spPr>
            <a:ln>
              <a:solidFill>
                <a:schemeClr val="tx1"/>
              </a:solidFill>
            </a:ln>
          </c:spPr>
          <c:marker>
            <c:symbol val="none"/>
          </c:marker>
          <c:xVal>
            <c:numRef>
              <c:f>'3-view'!$E$47:$E$57</c:f>
              <c:numCache>
                <c:formatCode>0.00</c:formatCode>
                <c:ptCount val="11"/>
                <c:pt idx="0">
                  <c:v>-8.4097647855907418</c:v>
                </c:pt>
                <c:pt idx="1">
                  <c:v>-6.2972647855907411</c:v>
                </c:pt>
                <c:pt idx="2">
                  <c:v>-4.1847647855907413</c:v>
                </c:pt>
                <c:pt idx="3">
                  <c:v>-2.0722647855907423</c:v>
                </c:pt>
                <c:pt idx="4">
                  <c:v>4.0235214409259257E-2</c:v>
                </c:pt>
                <c:pt idx="5">
                  <c:v>2.1527352144092582</c:v>
                </c:pt>
                <c:pt idx="6">
                  <c:v>4.2652352144092571</c:v>
                </c:pt>
                <c:pt idx="7">
                  <c:v>6.3777352144092578</c:v>
                </c:pt>
                <c:pt idx="8">
                  <c:v>8.4902352144092621</c:v>
                </c:pt>
                <c:pt idx="9">
                  <c:v>10.602735214409259</c:v>
                </c:pt>
                <c:pt idx="10">
                  <c:v>12.715235214409256</c:v>
                </c:pt>
              </c:numCache>
            </c:numRef>
          </c:xVal>
          <c:yVal>
            <c:numRef>
              <c:f>'3-view'!$F$47:$F$57</c:f>
              <c:numCache>
                <c:formatCode>0.000</c:formatCode>
                <c:ptCount val="11"/>
                <c:pt idx="0">
                  <c:v>0</c:v>
                </c:pt>
                <c:pt idx="1">
                  <c:v>1.25</c:v>
                </c:pt>
                <c:pt idx="2">
                  <c:v>1.5</c:v>
                </c:pt>
                <c:pt idx="3">
                  <c:v>1.45</c:v>
                </c:pt>
                <c:pt idx="4">
                  <c:v>1.25</c:v>
                </c:pt>
                <c:pt idx="5">
                  <c:v>1.125</c:v>
                </c:pt>
                <c:pt idx="6">
                  <c:v>1</c:v>
                </c:pt>
                <c:pt idx="7">
                  <c:v>0.875</c:v>
                </c:pt>
                <c:pt idx="8">
                  <c:v>0.75</c:v>
                </c:pt>
                <c:pt idx="9">
                  <c:v>0.625</c:v>
                </c:pt>
                <c:pt idx="10">
                  <c:v>0.5</c:v>
                </c:pt>
              </c:numCache>
            </c:numRef>
          </c:yVal>
          <c:smooth val="0"/>
          <c:extLst>
            <c:ext xmlns:c16="http://schemas.microsoft.com/office/drawing/2014/chart" uri="{C3380CC4-5D6E-409C-BE32-E72D297353CC}">
              <c16:uniqueId val="{00000003-D0B1-4EB4-A41D-EE83039FF464}"/>
            </c:ext>
          </c:extLst>
        </c:ser>
        <c:ser>
          <c:idx val="2"/>
          <c:order val="4"/>
          <c:tx>
            <c:v>Prop</c:v>
          </c:tx>
          <c:spPr>
            <a:ln>
              <a:solidFill>
                <a:schemeClr val="accent6"/>
              </a:solidFill>
            </a:ln>
          </c:spPr>
          <c:marker>
            <c:symbol val="none"/>
          </c:marker>
          <c:xVal>
            <c:numRef>
              <c:f>'3-view'!$N$63:$N$64</c:f>
              <c:numCache>
                <c:formatCode>0.00</c:formatCode>
                <c:ptCount val="2"/>
                <c:pt idx="0">
                  <c:v>-8.4097647855907418</c:v>
                </c:pt>
                <c:pt idx="1">
                  <c:v>-8.4097647855907418</c:v>
                </c:pt>
              </c:numCache>
            </c:numRef>
          </c:xVal>
          <c:yVal>
            <c:numRef>
              <c:f>'3-view'!$O$63:$O$64</c:f>
              <c:numCache>
                <c:formatCode>0.00</c:formatCode>
                <c:ptCount val="2"/>
                <c:pt idx="0">
                  <c:v>0</c:v>
                </c:pt>
                <c:pt idx="1">
                  <c:v>3</c:v>
                </c:pt>
              </c:numCache>
            </c:numRef>
          </c:yVal>
          <c:smooth val="0"/>
          <c:extLst>
            <c:ext xmlns:c16="http://schemas.microsoft.com/office/drawing/2014/chart" uri="{C3380CC4-5D6E-409C-BE32-E72D297353CC}">
              <c16:uniqueId val="{00000000-A2B0-4B50-A291-C142987D0DC5}"/>
            </c:ext>
          </c:extLst>
        </c:ser>
        <c:dLbls>
          <c:showLegendKey val="0"/>
          <c:showVal val="0"/>
          <c:showCatName val="0"/>
          <c:showSerName val="0"/>
          <c:showPercent val="0"/>
          <c:showBubbleSize val="0"/>
        </c:dLbls>
        <c:axId val="346135168"/>
        <c:axId val="346141440"/>
      </c:scatterChart>
      <c:valAx>
        <c:axId val="346135168"/>
        <c:scaling>
          <c:orientation val="minMax"/>
          <c:max val="20"/>
          <c:min val="-20"/>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 Length, (ft)</a:t>
                </a:r>
              </a:p>
            </c:rich>
          </c:tx>
          <c:layout>
            <c:manualLayout>
              <c:xMode val="edge"/>
              <c:yMode val="edge"/>
              <c:x val="0.29689366198913802"/>
              <c:y val="0.91708736204319252"/>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141440"/>
        <c:crosses val="autoZero"/>
        <c:crossBetween val="midCat"/>
      </c:valAx>
      <c:valAx>
        <c:axId val="346141440"/>
        <c:scaling>
          <c:orientation val="minMax"/>
          <c:max val="40"/>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 Height</a:t>
                </a:r>
                <a:r>
                  <a:rPr lang="en-US" sz="1400" baseline="0"/>
                  <a:t>, (ft)</a:t>
                </a:r>
                <a:endParaRPr lang="en-US" sz="1400"/>
              </a:p>
            </c:rich>
          </c:tx>
          <c:layout>
            <c:manualLayout>
              <c:xMode val="edge"/>
              <c:yMode val="edge"/>
              <c:x val="2.2018587238783346E-2"/>
              <c:y val="0.2803741531757899"/>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135168"/>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68059255527430307"/>
          <c:y val="3.1787713495117852E-2"/>
          <c:w val="0.23877679749002645"/>
          <c:h val="0.18739365001113195"/>
        </c:manualLayout>
      </c:layout>
      <c:overlay val="1"/>
      <c:spPr>
        <a:solidFill>
          <a:schemeClr val="lt1"/>
        </a:solidFill>
        <a:ln>
          <a:solidFill>
            <a:schemeClr val="tx1"/>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 r="0.750000000000001" t="1"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Front View (Y-Z Plane)</a:t>
            </a:r>
          </a:p>
        </c:rich>
      </c:tx>
      <c:layout>
        <c:manualLayout>
          <c:xMode val="edge"/>
          <c:yMode val="edge"/>
          <c:x val="2.4824274067618356E-2"/>
          <c:y val="1.7706813444248355E-2"/>
        </c:manualLayout>
      </c:layout>
      <c:overlay val="0"/>
      <c:spPr>
        <a:noFill/>
        <a:ln w="25400">
          <a:noFill/>
        </a:ln>
      </c:spPr>
    </c:title>
    <c:autoTitleDeleted val="0"/>
    <c:plotArea>
      <c:layout>
        <c:manualLayout>
          <c:layoutTarget val="inner"/>
          <c:xMode val="edge"/>
          <c:yMode val="edge"/>
          <c:x val="9.8928903679607286E-2"/>
          <c:y val="9.4391887096887492E-2"/>
          <c:w val="0.78063483140060264"/>
          <c:h val="0.77073047477858325"/>
        </c:manualLayout>
      </c:layout>
      <c:scatterChart>
        <c:scatterStyle val="lineMarker"/>
        <c:varyColors val="0"/>
        <c:ser>
          <c:idx val="0"/>
          <c:order val="0"/>
          <c:tx>
            <c:v>Wing Span</c:v>
          </c:tx>
          <c:marker>
            <c:symbol val="none"/>
          </c:marker>
          <c:xVal>
            <c:numRef>
              <c:f>'3-view'!$H$35:$H$36</c:f>
              <c:numCache>
                <c:formatCode>0.00</c:formatCode>
                <c:ptCount val="2"/>
                <c:pt idx="0">
                  <c:v>-12.938525530029244</c:v>
                </c:pt>
                <c:pt idx="1">
                  <c:v>12.938525530029244</c:v>
                </c:pt>
              </c:numCache>
            </c:numRef>
          </c:xVal>
          <c:yVal>
            <c:numRef>
              <c:f>'3-view'!$I$35:$I$36</c:f>
              <c:numCache>
                <c:formatCode>0.0</c:formatCode>
                <c:ptCount val="2"/>
                <c:pt idx="0">
                  <c:v>0.2</c:v>
                </c:pt>
                <c:pt idx="1">
                  <c:v>0.2</c:v>
                </c:pt>
              </c:numCache>
            </c:numRef>
          </c:yVal>
          <c:smooth val="0"/>
          <c:extLst>
            <c:ext xmlns:c16="http://schemas.microsoft.com/office/drawing/2014/chart" uri="{C3380CC4-5D6E-409C-BE32-E72D297353CC}">
              <c16:uniqueId val="{00000000-6912-4F80-A36C-CB0644C12CBA}"/>
            </c:ext>
          </c:extLst>
        </c:ser>
        <c:ser>
          <c:idx val="6"/>
          <c:order val="1"/>
          <c:tx>
            <c:v>HT Span (Starboard)</c:v>
          </c:tx>
          <c:spPr>
            <a:ln>
              <a:solidFill>
                <a:srgbClr val="00B050"/>
              </a:solidFill>
            </a:ln>
          </c:spPr>
          <c:marker>
            <c:symbol val="none"/>
          </c:marker>
          <c:xVal>
            <c:numRef>
              <c:f>'3-view'!$E$35:$E$36</c:f>
              <c:numCache>
                <c:formatCode>0.000</c:formatCode>
                <c:ptCount val="2"/>
                <c:pt idx="0">
                  <c:v>-4.9045506624921051</c:v>
                </c:pt>
                <c:pt idx="1">
                  <c:v>0</c:v>
                </c:pt>
              </c:numCache>
            </c:numRef>
          </c:xVal>
          <c:yVal>
            <c:numRef>
              <c:f>'3-view'!$F$35:$F$36</c:f>
              <c:numCache>
                <c:formatCode>0.000</c:formatCode>
                <c:ptCount val="2"/>
                <c:pt idx="0">
                  <c:v>0.2</c:v>
                </c:pt>
                <c:pt idx="1">
                  <c:v>0.2</c:v>
                </c:pt>
              </c:numCache>
            </c:numRef>
          </c:yVal>
          <c:smooth val="0"/>
          <c:extLst>
            <c:ext xmlns:c16="http://schemas.microsoft.com/office/drawing/2014/chart" uri="{C3380CC4-5D6E-409C-BE32-E72D297353CC}">
              <c16:uniqueId val="{00000001-6912-4F80-A36C-CB0644C12CBA}"/>
            </c:ext>
          </c:extLst>
        </c:ser>
        <c:ser>
          <c:idx val="4"/>
          <c:order val="2"/>
          <c:tx>
            <c:v>HT Span (Port)</c:v>
          </c:tx>
          <c:spPr>
            <a:ln>
              <a:solidFill>
                <a:srgbClr val="00B050"/>
              </a:solidFill>
            </a:ln>
          </c:spPr>
          <c:marker>
            <c:symbol val="none"/>
          </c:marker>
          <c:xVal>
            <c:numRef>
              <c:f>'3-view'!$E$37:$E$38</c:f>
              <c:numCache>
                <c:formatCode>0.000</c:formatCode>
                <c:ptCount val="2"/>
                <c:pt idx="0">
                  <c:v>4.9045506624921051</c:v>
                </c:pt>
                <c:pt idx="1">
                  <c:v>0</c:v>
                </c:pt>
              </c:numCache>
            </c:numRef>
          </c:xVal>
          <c:yVal>
            <c:numRef>
              <c:f>'3-view'!$F$37:$F$38</c:f>
              <c:numCache>
                <c:formatCode>0.000</c:formatCode>
                <c:ptCount val="2"/>
                <c:pt idx="0">
                  <c:v>0.2</c:v>
                </c:pt>
                <c:pt idx="1">
                  <c:v>0.2</c:v>
                </c:pt>
              </c:numCache>
            </c:numRef>
          </c:yVal>
          <c:smooth val="0"/>
          <c:extLst>
            <c:ext xmlns:c16="http://schemas.microsoft.com/office/drawing/2014/chart" uri="{C3380CC4-5D6E-409C-BE32-E72D297353CC}">
              <c16:uniqueId val="{00000002-6912-4F80-A36C-CB0644C12CBA}"/>
            </c:ext>
          </c:extLst>
        </c:ser>
        <c:ser>
          <c:idx val="1"/>
          <c:order val="3"/>
          <c:tx>
            <c:v>VT Span</c:v>
          </c:tx>
          <c:spPr>
            <a:ln w="41275">
              <a:solidFill>
                <a:srgbClr val="FF0000"/>
              </a:solidFill>
            </a:ln>
          </c:spPr>
          <c:marker>
            <c:symbol val="none"/>
          </c:marker>
          <c:xVal>
            <c:numRef>
              <c:f>'3-view'!$B$35:$B$36</c:f>
              <c:numCache>
                <c:formatCode>General</c:formatCode>
                <c:ptCount val="2"/>
                <c:pt idx="0">
                  <c:v>0</c:v>
                </c:pt>
                <c:pt idx="1">
                  <c:v>0</c:v>
                </c:pt>
              </c:numCache>
            </c:numRef>
          </c:xVal>
          <c:yVal>
            <c:numRef>
              <c:f>'3-view'!$C$35:$C$36</c:f>
              <c:numCache>
                <c:formatCode>0.000</c:formatCode>
                <c:ptCount val="2"/>
                <c:pt idx="0">
                  <c:v>0</c:v>
                </c:pt>
                <c:pt idx="1">
                  <c:v>4.908952773229994</c:v>
                </c:pt>
              </c:numCache>
            </c:numRef>
          </c:yVal>
          <c:smooth val="0"/>
          <c:extLst>
            <c:ext xmlns:c16="http://schemas.microsoft.com/office/drawing/2014/chart" uri="{C3380CC4-5D6E-409C-BE32-E72D297353CC}">
              <c16:uniqueId val="{00000003-6912-4F80-A36C-CB0644C12CBA}"/>
            </c:ext>
          </c:extLst>
        </c:ser>
        <c:ser>
          <c:idx val="2"/>
          <c:order val="4"/>
          <c:tx>
            <c:v>Upper Fuse</c:v>
          </c:tx>
          <c:spPr>
            <a:ln>
              <a:solidFill>
                <a:schemeClr val="tx1"/>
              </a:solidFill>
            </a:ln>
          </c:spPr>
          <c:marker>
            <c:symbol val="none"/>
          </c:marker>
          <c:xVal>
            <c:numRef>
              <c:f>'3-view'!$C$63:$C$88</c:f>
              <c:numCache>
                <c:formatCode>0.000</c:formatCode>
                <c:ptCount val="26"/>
                <c:pt idx="0">
                  <c:v>-1.75</c:v>
                </c:pt>
                <c:pt idx="1">
                  <c:v>-1.6099999999999999</c:v>
                </c:pt>
                <c:pt idx="2">
                  <c:v>-1.4699999999999998</c:v>
                </c:pt>
                <c:pt idx="3">
                  <c:v>-1.3299999999999996</c:v>
                </c:pt>
                <c:pt idx="4">
                  <c:v>-1.1899999999999995</c:v>
                </c:pt>
                <c:pt idx="5">
                  <c:v>-1.0499999999999994</c:v>
                </c:pt>
                <c:pt idx="6">
                  <c:v>-0.90999999999999936</c:v>
                </c:pt>
                <c:pt idx="7">
                  <c:v>-0.76999999999999935</c:v>
                </c:pt>
                <c:pt idx="8">
                  <c:v>-0.62999999999999934</c:v>
                </c:pt>
                <c:pt idx="9">
                  <c:v>-0.48999999999999932</c:v>
                </c:pt>
                <c:pt idx="10">
                  <c:v>-0.34999999999999931</c:v>
                </c:pt>
                <c:pt idx="11">
                  <c:v>-0.2099999999999993</c:v>
                </c:pt>
                <c:pt idx="12">
                  <c:v>-6.9999999999999285E-2</c:v>
                </c:pt>
                <c:pt idx="13">
                  <c:v>7.0000000000000728E-2</c:v>
                </c:pt>
                <c:pt idx="14">
                  <c:v>0.21000000000000074</c:v>
                </c:pt>
                <c:pt idx="15">
                  <c:v>0.35000000000000075</c:v>
                </c:pt>
                <c:pt idx="16">
                  <c:v>0.49000000000000077</c:v>
                </c:pt>
                <c:pt idx="17">
                  <c:v>0.63000000000000078</c:v>
                </c:pt>
                <c:pt idx="18">
                  <c:v>0.77000000000000079</c:v>
                </c:pt>
                <c:pt idx="19">
                  <c:v>0.91000000000000081</c:v>
                </c:pt>
                <c:pt idx="20">
                  <c:v>1.0500000000000007</c:v>
                </c:pt>
                <c:pt idx="21">
                  <c:v>1.1900000000000008</c:v>
                </c:pt>
                <c:pt idx="22">
                  <c:v>1.330000000000001</c:v>
                </c:pt>
                <c:pt idx="23">
                  <c:v>1.4700000000000011</c:v>
                </c:pt>
                <c:pt idx="24">
                  <c:v>1.6100000000000012</c:v>
                </c:pt>
                <c:pt idx="25">
                  <c:v>1.7500000000000013</c:v>
                </c:pt>
              </c:numCache>
            </c:numRef>
          </c:xVal>
          <c:yVal>
            <c:numRef>
              <c:f>'3-view'!$D$63:$D$88</c:f>
              <c:numCache>
                <c:formatCode>0.000</c:formatCode>
                <c:ptCount val="26"/>
                <c:pt idx="0">
                  <c:v>0</c:v>
                </c:pt>
                <c:pt idx="1">
                  <c:v>0.58787753826796307</c:v>
                </c:pt>
                <c:pt idx="2">
                  <c:v>0.81387959797503251</c:v>
                </c:pt>
                <c:pt idx="3">
                  <c:v>0.97488460855631565</c:v>
                </c:pt>
                <c:pt idx="4">
                  <c:v>1.099818166789402</c:v>
                </c:pt>
                <c:pt idx="5">
                  <c:v>1.2000000000000004</c:v>
                </c:pt>
                <c:pt idx="6">
                  <c:v>1.2812493902437576</c:v>
                </c:pt>
                <c:pt idx="7">
                  <c:v>1.3469966592386191</c:v>
                </c:pt>
                <c:pt idx="8">
                  <c:v>1.3994284547628724</c:v>
                </c:pt>
                <c:pt idx="9">
                  <c:v>1.4400000000000002</c:v>
                </c:pt>
                <c:pt idx="10">
                  <c:v>1.4696938456699069</c:v>
                </c:pt>
                <c:pt idx="11">
                  <c:v>1.4891608375189027</c:v>
                </c:pt>
                <c:pt idx="12">
                  <c:v>1.4987995196156156</c:v>
                </c:pt>
                <c:pt idx="13">
                  <c:v>1.4987995196156154</c:v>
                </c:pt>
                <c:pt idx="14">
                  <c:v>1.4891608375189027</c:v>
                </c:pt>
                <c:pt idx="15">
                  <c:v>1.4696938456699069</c:v>
                </c:pt>
                <c:pt idx="16">
                  <c:v>1.4399999999999997</c:v>
                </c:pt>
                <c:pt idx="17">
                  <c:v>1.3994284547628719</c:v>
                </c:pt>
                <c:pt idx="18">
                  <c:v>1.3469966592386184</c:v>
                </c:pt>
                <c:pt idx="19">
                  <c:v>1.2812493902437569</c:v>
                </c:pt>
                <c:pt idx="20">
                  <c:v>1.1999999999999995</c:v>
                </c:pt>
                <c:pt idx="21">
                  <c:v>1.0998181667894009</c:v>
                </c:pt>
                <c:pt idx="22">
                  <c:v>0.97488460855631409</c:v>
                </c:pt>
                <c:pt idx="23">
                  <c:v>0.81387959797503062</c:v>
                </c:pt>
                <c:pt idx="24">
                  <c:v>0.58787753826796041</c:v>
                </c:pt>
                <c:pt idx="25">
                  <c:v>0</c:v>
                </c:pt>
              </c:numCache>
            </c:numRef>
          </c:yVal>
          <c:smooth val="0"/>
          <c:extLst>
            <c:ext xmlns:c16="http://schemas.microsoft.com/office/drawing/2014/chart" uri="{C3380CC4-5D6E-409C-BE32-E72D297353CC}">
              <c16:uniqueId val="{00000004-6912-4F80-A36C-CB0644C12CBA}"/>
            </c:ext>
          </c:extLst>
        </c:ser>
        <c:ser>
          <c:idx val="3"/>
          <c:order val="5"/>
          <c:tx>
            <c:v>Lower Fuse</c:v>
          </c:tx>
          <c:spPr>
            <a:ln>
              <a:solidFill>
                <a:schemeClr val="tx1"/>
              </a:solidFill>
            </a:ln>
          </c:spPr>
          <c:marker>
            <c:symbol val="none"/>
          </c:marker>
          <c:xVal>
            <c:numRef>
              <c:f>'3-view'!$C$63:$C$88</c:f>
              <c:numCache>
                <c:formatCode>0.000</c:formatCode>
                <c:ptCount val="26"/>
                <c:pt idx="0">
                  <c:v>-1.75</c:v>
                </c:pt>
                <c:pt idx="1">
                  <c:v>-1.6099999999999999</c:v>
                </c:pt>
                <c:pt idx="2">
                  <c:v>-1.4699999999999998</c:v>
                </c:pt>
                <c:pt idx="3">
                  <c:v>-1.3299999999999996</c:v>
                </c:pt>
                <c:pt idx="4">
                  <c:v>-1.1899999999999995</c:v>
                </c:pt>
                <c:pt idx="5">
                  <c:v>-1.0499999999999994</c:v>
                </c:pt>
                <c:pt idx="6">
                  <c:v>-0.90999999999999936</c:v>
                </c:pt>
                <c:pt idx="7">
                  <c:v>-0.76999999999999935</c:v>
                </c:pt>
                <c:pt idx="8">
                  <c:v>-0.62999999999999934</c:v>
                </c:pt>
                <c:pt idx="9">
                  <c:v>-0.48999999999999932</c:v>
                </c:pt>
                <c:pt idx="10">
                  <c:v>-0.34999999999999931</c:v>
                </c:pt>
                <c:pt idx="11">
                  <c:v>-0.2099999999999993</c:v>
                </c:pt>
                <c:pt idx="12">
                  <c:v>-6.9999999999999285E-2</c:v>
                </c:pt>
                <c:pt idx="13">
                  <c:v>7.0000000000000728E-2</c:v>
                </c:pt>
                <c:pt idx="14">
                  <c:v>0.21000000000000074</c:v>
                </c:pt>
                <c:pt idx="15">
                  <c:v>0.35000000000000075</c:v>
                </c:pt>
                <c:pt idx="16">
                  <c:v>0.49000000000000077</c:v>
                </c:pt>
                <c:pt idx="17">
                  <c:v>0.63000000000000078</c:v>
                </c:pt>
                <c:pt idx="18">
                  <c:v>0.77000000000000079</c:v>
                </c:pt>
                <c:pt idx="19">
                  <c:v>0.91000000000000081</c:v>
                </c:pt>
                <c:pt idx="20">
                  <c:v>1.0500000000000007</c:v>
                </c:pt>
                <c:pt idx="21">
                  <c:v>1.1900000000000008</c:v>
                </c:pt>
                <c:pt idx="22">
                  <c:v>1.330000000000001</c:v>
                </c:pt>
                <c:pt idx="23">
                  <c:v>1.4700000000000011</c:v>
                </c:pt>
                <c:pt idx="24">
                  <c:v>1.6100000000000012</c:v>
                </c:pt>
                <c:pt idx="25">
                  <c:v>1.7500000000000013</c:v>
                </c:pt>
              </c:numCache>
            </c:numRef>
          </c:xVal>
          <c:yVal>
            <c:numRef>
              <c:f>'3-view'!$E$63:$E$88</c:f>
              <c:numCache>
                <c:formatCode>0.000</c:formatCode>
                <c:ptCount val="26"/>
                <c:pt idx="0">
                  <c:v>0</c:v>
                </c:pt>
                <c:pt idx="1">
                  <c:v>-0.58787753826796307</c:v>
                </c:pt>
                <c:pt idx="2">
                  <c:v>-0.81387959797503251</c:v>
                </c:pt>
                <c:pt idx="3">
                  <c:v>-0.97488460855631565</c:v>
                </c:pt>
                <c:pt idx="4">
                  <c:v>-1.099818166789402</c:v>
                </c:pt>
                <c:pt idx="5">
                  <c:v>-1.2000000000000004</c:v>
                </c:pt>
                <c:pt idx="6">
                  <c:v>-1.2812493902437576</c:v>
                </c:pt>
                <c:pt idx="7">
                  <c:v>-1.3469966592386191</c:v>
                </c:pt>
                <c:pt idx="8">
                  <c:v>-1.3994284547628724</c:v>
                </c:pt>
                <c:pt idx="9">
                  <c:v>-1.4400000000000002</c:v>
                </c:pt>
                <c:pt idx="10">
                  <c:v>-1.4696938456699069</c:v>
                </c:pt>
                <c:pt idx="11">
                  <c:v>-1.4891608375189027</c:v>
                </c:pt>
                <c:pt idx="12">
                  <c:v>-1.4987995196156156</c:v>
                </c:pt>
                <c:pt idx="13">
                  <c:v>-1.4987995196156154</c:v>
                </c:pt>
                <c:pt idx="14">
                  <c:v>-1.4891608375189027</c:v>
                </c:pt>
                <c:pt idx="15">
                  <c:v>-1.4696938456699069</c:v>
                </c:pt>
                <c:pt idx="16">
                  <c:v>-1.4399999999999997</c:v>
                </c:pt>
                <c:pt idx="17">
                  <c:v>-1.3994284547628719</c:v>
                </c:pt>
                <c:pt idx="18">
                  <c:v>-1.3469966592386184</c:v>
                </c:pt>
                <c:pt idx="19">
                  <c:v>-1.2812493902437569</c:v>
                </c:pt>
                <c:pt idx="20">
                  <c:v>-1.1999999999999995</c:v>
                </c:pt>
                <c:pt idx="21">
                  <c:v>-1.0998181667894009</c:v>
                </c:pt>
                <c:pt idx="22">
                  <c:v>-0.97488460855631409</c:v>
                </c:pt>
                <c:pt idx="23">
                  <c:v>-0.81387959797503062</c:v>
                </c:pt>
                <c:pt idx="24">
                  <c:v>-0.58787753826796041</c:v>
                </c:pt>
                <c:pt idx="25">
                  <c:v>0</c:v>
                </c:pt>
              </c:numCache>
            </c:numRef>
          </c:yVal>
          <c:smooth val="0"/>
          <c:extLst>
            <c:ext xmlns:c16="http://schemas.microsoft.com/office/drawing/2014/chart" uri="{C3380CC4-5D6E-409C-BE32-E72D297353CC}">
              <c16:uniqueId val="{00000005-6912-4F80-A36C-CB0644C12CBA}"/>
            </c:ext>
          </c:extLst>
        </c:ser>
        <c:ser>
          <c:idx val="5"/>
          <c:order val="6"/>
          <c:tx>
            <c:v>Prop up</c:v>
          </c:tx>
          <c:spPr>
            <a:ln>
              <a:solidFill>
                <a:schemeClr val="accent6"/>
              </a:solidFill>
            </a:ln>
          </c:spPr>
          <c:marker>
            <c:symbol val="none"/>
          </c:marker>
          <c:xVal>
            <c:numRef>
              <c:f>'3-view'!$G$63:$G$88</c:f>
              <c:numCache>
                <c:formatCode>0.000</c:formatCode>
                <c:ptCount val="26"/>
                <c:pt idx="0">
                  <c:v>-3</c:v>
                </c:pt>
                <c:pt idx="1">
                  <c:v>-2.76</c:v>
                </c:pt>
                <c:pt idx="2">
                  <c:v>-2.5199999999999996</c:v>
                </c:pt>
                <c:pt idx="3">
                  <c:v>-2.2799999999999994</c:v>
                </c:pt>
                <c:pt idx="4">
                  <c:v>-2.0399999999999991</c:v>
                </c:pt>
                <c:pt idx="5">
                  <c:v>-1.7999999999999992</c:v>
                </c:pt>
                <c:pt idx="6">
                  <c:v>-1.5599999999999992</c:v>
                </c:pt>
                <c:pt idx="7">
                  <c:v>-1.3199999999999992</c:v>
                </c:pt>
                <c:pt idx="8">
                  <c:v>-1.0799999999999992</c:v>
                </c:pt>
                <c:pt idx="9">
                  <c:v>-0.83999999999999919</c:v>
                </c:pt>
                <c:pt idx="10">
                  <c:v>-0.5999999999999992</c:v>
                </c:pt>
                <c:pt idx="11">
                  <c:v>-0.35999999999999921</c:v>
                </c:pt>
                <c:pt idx="12">
                  <c:v>-0.11999999999999922</c:v>
                </c:pt>
                <c:pt idx="13">
                  <c:v>0.12000000000000077</c:v>
                </c:pt>
                <c:pt idx="14">
                  <c:v>0.36000000000000076</c:v>
                </c:pt>
                <c:pt idx="15">
                  <c:v>0.60000000000000075</c:v>
                </c:pt>
                <c:pt idx="16">
                  <c:v>0.84000000000000075</c:v>
                </c:pt>
                <c:pt idx="17">
                  <c:v>1.0800000000000007</c:v>
                </c:pt>
                <c:pt idx="18">
                  <c:v>1.3200000000000007</c:v>
                </c:pt>
                <c:pt idx="19">
                  <c:v>1.5600000000000007</c:v>
                </c:pt>
                <c:pt idx="20">
                  <c:v>1.8000000000000007</c:v>
                </c:pt>
                <c:pt idx="21">
                  <c:v>2.0400000000000009</c:v>
                </c:pt>
                <c:pt idx="22">
                  <c:v>2.2800000000000011</c:v>
                </c:pt>
                <c:pt idx="23">
                  <c:v>2.5200000000000014</c:v>
                </c:pt>
                <c:pt idx="24">
                  <c:v>2.7600000000000016</c:v>
                </c:pt>
                <c:pt idx="25">
                  <c:v>3.0000000000000018</c:v>
                </c:pt>
              </c:numCache>
            </c:numRef>
          </c:xVal>
          <c:yVal>
            <c:numRef>
              <c:f>'3-view'!$H$63:$H$88</c:f>
              <c:numCache>
                <c:formatCode>0.000</c:formatCode>
                <c:ptCount val="26"/>
                <c:pt idx="0">
                  <c:v>0</c:v>
                </c:pt>
                <c:pt idx="1">
                  <c:v>1.1757550765359261</c:v>
                </c:pt>
                <c:pt idx="2">
                  <c:v>1.627759195950065</c:v>
                </c:pt>
                <c:pt idx="3">
                  <c:v>1.9497692171126313</c:v>
                </c:pt>
                <c:pt idx="4">
                  <c:v>2.1996363335788041</c:v>
                </c:pt>
                <c:pt idx="5">
                  <c:v>2.4000000000000008</c:v>
                </c:pt>
                <c:pt idx="6">
                  <c:v>2.5624987804875152</c:v>
                </c:pt>
                <c:pt idx="7">
                  <c:v>2.6939933184772382</c:v>
                </c:pt>
                <c:pt idx="8">
                  <c:v>2.7988569095257443</c:v>
                </c:pt>
                <c:pt idx="9">
                  <c:v>2.8800000000000003</c:v>
                </c:pt>
                <c:pt idx="10">
                  <c:v>2.9393876913398138</c:v>
                </c:pt>
                <c:pt idx="11">
                  <c:v>2.9783216750378054</c:v>
                </c:pt>
                <c:pt idx="12">
                  <c:v>2.9975990392312313</c:v>
                </c:pt>
                <c:pt idx="13">
                  <c:v>2.9975990392312308</c:v>
                </c:pt>
                <c:pt idx="14">
                  <c:v>2.9783216750378054</c:v>
                </c:pt>
                <c:pt idx="15">
                  <c:v>2.9393876913398138</c:v>
                </c:pt>
                <c:pt idx="16">
                  <c:v>2.88</c:v>
                </c:pt>
                <c:pt idx="17">
                  <c:v>2.7988569095257443</c:v>
                </c:pt>
                <c:pt idx="18">
                  <c:v>2.6939933184772373</c:v>
                </c:pt>
                <c:pt idx="19">
                  <c:v>2.5624987804875143</c:v>
                </c:pt>
                <c:pt idx="20">
                  <c:v>2.3999999999999995</c:v>
                </c:pt>
                <c:pt idx="21">
                  <c:v>2.1996363335788027</c:v>
                </c:pt>
                <c:pt idx="22">
                  <c:v>1.9497692171126293</c:v>
                </c:pt>
                <c:pt idx="23">
                  <c:v>1.6277591959500624</c:v>
                </c:pt>
                <c:pt idx="24">
                  <c:v>1.1757550765359219</c:v>
                </c:pt>
                <c:pt idx="25">
                  <c:v>0</c:v>
                </c:pt>
              </c:numCache>
            </c:numRef>
          </c:yVal>
          <c:smooth val="0"/>
          <c:extLst>
            <c:ext xmlns:c16="http://schemas.microsoft.com/office/drawing/2014/chart" uri="{C3380CC4-5D6E-409C-BE32-E72D297353CC}">
              <c16:uniqueId val="{00000000-D78D-4CC0-A306-B70A245B3F56}"/>
            </c:ext>
          </c:extLst>
        </c:ser>
        <c:ser>
          <c:idx val="7"/>
          <c:order val="7"/>
          <c:tx>
            <c:v>Prop down</c:v>
          </c:tx>
          <c:spPr>
            <a:ln>
              <a:solidFill>
                <a:schemeClr val="accent6"/>
              </a:solidFill>
            </a:ln>
          </c:spPr>
          <c:marker>
            <c:symbol val="none"/>
          </c:marker>
          <c:xVal>
            <c:numRef>
              <c:f>'3-view'!$G$63:$G$88</c:f>
              <c:numCache>
                <c:formatCode>0.000</c:formatCode>
                <c:ptCount val="26"/>
                <c:pt idx="0">
                  <c:v>-3</c:v>
                </c:pt>
                <c:pt idx="1">
                  <c:v>-2.76</c:v>
                </c:pt>
                <c:pt idx="2">
                  <c:v>-2.5199999999999996</c:v>
                </c:pt>
                <c:pt idx="3">
                  <c:v>-2.2799999999999994</c:v>
                </c:pt>
                <c:pt idx="4">
                  <c:v>-2.0399999999999991</c:v>
                </c:pt>
                <c:pt idx="5">
                  <c:v>-1.7999999999999992</c:v>
                </c:pt>
                <c:pt idx="6">
                  <c:v>-1.5599999999999992</c:v>
                </c:pt>
                <c:pt idx="7">
                  <c:v>-1.3199999999999992</c:v>
                </c:pt>
                <c:pt idx="8">
                  <c:v>-1.0799999999999992</c:v>
                </c:pt>
                <c:pt idx="9">
                  <c:v>-0.83999999999999919</c:v>
                </c:pt>
                <c:pt idx="10">
                  <c:v>-0.5999999999999992</c:v>
                </c:pt>
                <c:pt idx="11">
                  <c:v>-0.35999999999999921</c:v>
                </c:pt>
                <c:pt idx="12">
                  <c:v>-0.11999999999999922</c:v>
                </c:pt>
                <c:pt idx="13">
                  <c:v>0.12000000000000077</c:v>
                </c:pt>
                <c:pt idx="14">
                  <c:v>0.36000000000000076</c:v>
                </c:pt>
                <c:pt idx="15">
                  <c:v>0.60000000000000075</c:v>
                </c:pt>
                <c:pt idx="16">
                  <c:v>0.84000000000000075</c:v>
                </c:pt>
                <c:pt idx="17">
                  <c:v>1.0800000000000007</c:v>
                </c:pt>
                <c:pt idx="18">
                  <c:v>1.3200000000000007</c:v>
                </c:pt>
                <c:pt idx="19">
                  <c:v>1.5600000000000007</c:v>
                </c:pt>
                <c:pt idx="20">
                  <c:v>1.8000000000000007</c:v>
                </c:pt>
                <c:pt idx="21">
                  <c:v>2.0400000000000009</c:v>
                </c:pt>
                <c:pt idx="22">
                  <c:v>2.2800000000000011</c:v>
                </c:pt>
                <c:pt idx="23">
                  <c:v>2.5200000000000014</c:v>
                </c:pt>
                <c:pt idx="24">
                  <c:v>2.7600000000000016</c:v>
                </c:pt>
                <c:pt idx="25">
                  <c:v>3.0000000000000018</c:v>
                </c:pt>
              </c:numCache>
            </c:numRef>
          </c:xVal>
          <c:yVal>
            <c:numRef>
              <c:f>'3-view'!$I$63:$I$88</c:f>
              <c:numCache>
                <c:formatCode>0.000</c:formatCode>
                <c:ptCount val="26"/>
                <c:pt idx="0">
                  <c:v>0</c:v>
                </c:pt>
                <c:pt idx="1">
                  <c:v>-1.1757550765359261</c:v>
                </c:pt>
                <c:pt idx="2">
                  <c:v>-1.627759195950065</c:v>
                </c:pt>
                <c:pt idx="3">
                  <c:v>-1.9497692171126313</c:v>
                </c:pt>
                <c:pt idx="4">
                  <c:v>-2.1996363335788041</c:v>
                </c:pt>
                <c:pt idx="5">
                  <c:v>-2.4000000000000008</c:v>
                </c:pt>
                <c:pt idx="6">
                  <c:v>-2.5624987804875152</c:v>
                </c:pt>
                <c:pt idx="7">
                  <c:v>-2.6939933184772382</c:v>
                </c:pt>
                <c:pt idx="8">
                  <c:v>-2.7988569095257443</c:v>
                </c:pt>
                <c:pt idx="9">
                  <c:v>-2.8800000000000003</c:v>
                </c:pt>
                <c:pt idx="10">
                  <c:v>-2.9393876913398138</c:v>
                </c:pt>
                <c:pt idx="11">
                  <c:v>-2.9783216750378054</c:v>
                </c:pt>
                <c:pt idx="12">
                  <c:v>-2.9975990392312313</c:v>
                </c:pt>
                <c:pt idx="13">
                  <c:v>-2.9975990392312308</c:v>
                </c:pt>
                <c:pt idx="14">
                  <c:v>-2.9783216750378054</c:v>
                </c:pt>
                <c:pt idx="15">
                  <c:v>-2.9393876913398138</c:v>
                </c:pt>
                <c:pt idx="16">
                  <c:v>-2.88</c:v>
                </c:pt>
                <c:pt idx="17">
                  <c:v>-2.7988569095257443</c:v>
                </c:pt>
                <c:pt idx="18">
                  <c:v>-2.6939933184772373</c:v>
                </c:pt>
                <c:pt idx="19">
                  <c:v>-2.5624987804875143</c:v>
                </c:pt>
                <c:pt idx="20">
                  <c:v>-2.3999999999999995</c:v>
                </c:pt>
                <c:pt idx="21">
                  <c:v>-2.1996363335788027</c:v>
                </c:pt>
                <c:pt idx="22">
                  <c:v>-1.9497692171126293</c:v>
                </c:pt>
                <c:pt idx="23">
                  <c:v>-1.6277591959500624</c:v>
                </c:pt>
                <c:pt idx="24">
                  <c:v>-1.1757550765359219</c:v>
                </c:pt>
                <c:pt idx="25">
                  <c:v>0</c:v>
                </c:pt>
              </c:numCache>
            </c:numRef>
          </c:yVal>
          <c:smooth val="0"/>
          <c:extLst>
            <c:ext xmlns:c16="http://schemas.microsoft.com/office/drawing/2014/chart" uri="{C3380CC4-5D6E-409C-BE32-E72D297353CC}">
              <c16:uniqueId val="{00000001-D78D-4CC0-A306-B70A245B3F56}"/>
            </c:ext>
          </c:extLst>
        </c:ser>
        <c:dLbls>
          <c:showLegendKey val="0"/>
          <c:showVal val="0"/>
          <c:showCatName val="0"/>
          <c:showSerName val="0"/>
          <c:showPercent val="0"/>
          <c:showBubbleSize val="0"/>
        </c:dLbls>
        <c:axId val="346250624"/>
        <c:axId val="346252800"/>
      </c:scatterChart>
      <c:valAx>
        <c:axId val="346250624"/>
        <c:scaling>
          <c:orientation val="minMax"/>
          <c:max val="20"/>
          <c:min val="-20"/>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 Width, (ft)</a:t>
                </a:r>
              </a:p>
            </c:rich>
          </c:tx>
          <c:layout>
            <c:manualLayout>
              <c:xMode val="edge"/>
              <c:yMode val="edge"/>
              <c:x val="0.34110900854406789"/>
              <c:y val="0.90193994306796799"/>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252800"/>
        <c:crosses val="autoZero"/>
        <c:crossBetween val="midCat"/>
      </c:valAx>
      <c:valAx>
        <c:axId val="346252800"/>
        <c:scaling>
          <c:orientation val="minMax"/>
          <c:max val="20"/>
          <c:min val="-20"/>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Arial"/>
                    <a:ea typeface="Arial"/>
                    <a:cs typeface="Arial"/>
                  </a:defRPr>
                </a:pPr>
                <a:r>
                  <a:rPr lang="en-US" sz="1400"/>
                  <a:t>Aircraft Height,</a:t>
                </a:r>
                <a:r>
                  <a:rPr lang="en-US" sz="1400" baseline="0"/>
                  <a:t> (ft)</a:t>
                </a:r>
                <a:endParaRPr lang="en-US" sz="1400"/>
              </a:p>
            </c:rich>
          </c:tx>
          <c:layout>
            <c:manualLayout>
              <c:xMode val="edge"/>
              <c:yMode val="edge"/>
              <c:x val="2.2018587238783346E-2"/>
              <c:y val="0.2803741531757899"/>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46250624"/>
        <c:crosses val="autoZero"/>
        <c:crossBetween val="midCat"/>
        <c:majorUnit val="5"/>
      </c:valAx>
      <c:spPr>
        <a:solidFill>
          <a:schemeClr val="bg1">
            <a:lumMod val="95000"/>
          </a:schemeClr>
        </a:solidFill>
        <a:ln w="12700">
          <a:solidFill>
            <a:srgbClr val="808080"/>
          </a:solidFill>
          <a:prstDash val="solid"/>
        </a:ln>
      </c:spPr>
    </c:plotArea>
    <c:legend>
      <c:legendPos val="r"/>
      <c:layout>
        <c:manualLayout>
          <c:xMode val="edge"/>
          <c:yMode val="edge"/>
          <c:x val="0.68059255527430307"/>
          <c:y val="3.1787713495117852E-2"/>
          <c:w val="0.27118425040754301"/>
          <c:h val="0.29982984001781116"/>
        </c:manualLayout>
      </c:layout>
      <c:overlay val="1"/>
      <c:spPr>
        <a:solidFill>
          <a:schemeClr val="lt1"/>
        </a:solidFill>
        <a:ln>
          <a:solidFill>
            <a:schemeClr val="tx1"/>
          </a:solidFill>
        </a:ln>
      </c:sp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 r="0.750000000000001"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chart" Target="../charts/chart24.xml"/><Relationship Id="rId3" Type="http://schemas.openxmlformats.org/officeDocument/2006/relationships/chart" Target="../charts/chart14.xml"/><Relationship Id="rId7" Type="http://schemas.openxmlformats.org/officeDocument/2006/relationships/chart" Target="../charts/chart18.xml"/><Relationship Id="rId12" Type="http://schemas.openxmlformats.org/officeDocument/2006/relationships/chart" Target="../charts/chart23.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5" Type="http://schemas.openxmlformats.org/officeDocument/2006/relationships/chart" Target="../charts/chart2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 Id="rId14" Type="http://schemas.openxmlformats.org/officeDocument/2006/relationships/chart" Target="../charts/chart25.xml"/></Relationships>
</file>

<file path=xl/drawings/_rels/drawing8.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0.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10" Type="http://schemas.openxmlformats.org/officeDocument/2006/relationships/chart" Target="../charts/chart39.xml"/><Relationship Id="rId4" Type="http://schemas.openxmlformats.org/officeDocument/2006/relationships/chart" Target="../charts/chart34.xml"/><Relationship Id="rId9" Type="http://schemas.openxmlformats.org/officeDocument/2006/relationships/chart" Target="../charts/chart38.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47.xml"/><Relationship Id="rId13" Type="http://schemas.openxmlformats.org/officeDocument/2006/relationships/chart" Target="../charts/chart52.xml"/><Relationship Id="rId18" Type="http://schemas.openxmlformats.org/officeDocument/2006/relationships/chart" Target="../charts/chart57.xml"/><Relationship Id="rId3" Type="http://schemas.openxmlformats.org/officeDocument/2006/relationships/chart" Target="../charts/chart42.xml"/><Relationship Id="rId21" Type="http://schemas.openxmlformats.org/officeDocument/2006/relationships/chart" Target="../charts/chart60.xml"/><Relationship Id="rId7" Type="http://schemas.openxmlformats.org/officeDocument/2006/relationships/chart" Target="../charts/chart46.xml"/><Relationship Id="rId12" Type="http://schemas.openxmlformats.org/officeDocument/2006/relationships/chart" Target="../charts/chart51.xml"/><Relationship Id="rId17" Type="http://schemas.openxmlformats.org/officeDocument/2006/relationships/chart" Target="../charts/chart56.xml"/><Relationship Id="rId2" Type="http://schemas.openxmlformats.org/officeDocument/2006/relationships/chart" Target="../charts/chart41.xml"/><Relationship Id="rId16" Type="http://schemas.openxmlformats.org/officeDocument/2006/relationships/chart" Target="../charts/chart55.xml"/><Relationship Id="rId20" Type="http://schemas.openxmlformats.org/officeDocument/2006/relationships/chart" Target="../charts/chart59.xml"/><Relationship Id="rId1" Type="http://schemas.openxmlformats.org/officeDocument/2006/relationships/chart" Target="../charts/chart40.xml"/><Relationship Id="rId6" Type="http://schemas.openxmlformats.org/officeDocument/2006/relationships/chart" Target="../charts/chart45.xml"/><Relationship Id="rId11" Type="http://schemas.openxmlformats.org/officeDocument/2006/relationships/chart" Target="../charts/chart50.xml"/><Relationship Id="rId5" Type="http://schemas.openxmlformats.org/officeDocument/2006/relationships/chart" Target="../charts/chart44.xml"/><Relationship Id="rId15" Type="http://schemas.openxmlformats.org/officeDocument/2006/relationships/chart" Target="../charts/chart54.xml"/><Relationship Id="rId10" Type="http://schemas.openxmlformats.org/officeDocument/2006/relationships/chart" Target="../charts/chart49.xml"/><Relationship Id="rId19" Type="http://schemas.openxmlformats.org/officeDocument/2006/relationships/chart" Target="../charts/chart58.xml"/><Relationship Id="rId4" Type="http://schemas.openxmlformats.org/officeDocument/2006/relationships/chart" Target="../charts/chart43.xml"/><Relationship Id="rId9" Type="http://schemas.openxmlformats.org/officeDocument/2006/relationships/chart" Target="../charts/chart48.xml"/><Relationship Id="rId14" Type="http://schemas.openxmlformats.org/officeDocument/2006/relationships/chart" Target="../charts/chart53.xml"/></Relationships>
</file>

<file path=xl/drawings/_rels/drawing1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62.xml"/><Relationship Id="rId1" Type="http://schemas.openxmlformats.org/officeDocument/2006/relationships/chart" Target="../charts/chart61.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65.xml"/><Relationship Id="rId2" Type="http://schemas.openxmlformats.org/officeDocument/2006/relationships/chart" Target="../charts/chart64.xml"/><Relationship Id="rId1" Type="http://schemas.openxmlformats.org/officeDocument/2006/relationships/chart" Target="../charts/chart63.xml"/></Relationships>
</file>

<file path=xl/drawings/drawing1.xml><?xml version="1.0" encoding="utf-8"?>
<xdr:wsDr xmlns:xdr="http://schemas.openxmlformats.org/drawingml/2006/spreadsheetDrawing" xmlns:a="http://schemas.openxmlformats.org/drawingml/2006/main">
  <xdr:twoCellAnchor>
    <xdr:from>
      <xdr:col>1</xdr:col>
      <xdr:colOff>152400</xdr:colOff>
      <xdr:row>3</xdr:row>
      <xdr:rowOff>180975</xdr:rowOff>
    </xdr:from>
    <xdr:to>
      <xdr:col>13</xdr:col>
      <xdr:colOff>266700</xdr:colOff>
      <xdr:row>20</xdr:row>
      <xdr:rowOff>104775</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762000" y="752475"/>
          <a:ext cx="7429500" cy="3162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Users</a:t>
          </a:r>
          <a:r>
            <a:rPr lang="en-US" sz="1800" baseline="0"/>
            <a:t> </a:t>
          </a:r>
          <a:r>
            <a:rPr lang="en-US" sz="1800"/>
            <a:t>are free to use this</a:t>
          </a:r>
          <a:r>
            <a:rPr lang="en-US" sz="1800" baseline="0"/>
            <a:t> worksheet without restriction, but must first acknowledge the following ;</a:t>
          </a:r>
        </a:p>
        <a:p>
          <a:endParaRPr lang="en-US" sz="1800"/>
        </a:p>
        <a:p>
          <a:r>
            <a:rPr lang="en-US" sz="1800"/>
            <a:t>“The provision of these aircraft design worksheets in Microsoft Excel format are made with no warranty of any kind, expressed or implied, with regard to these programs and tools or the documentation included therein.  The recipient acknowledges that the provider of these worksheets shall not be liable in any event for any direct,  incidental, special or consequential damages in connection with, or arising out of, the furnishing, performance, or use of these programs and tools."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442859</xdr:colOff>
      <xdr:row>1</xdr:row>
      <xdr:rowOff>84667</xdr:rowOff>
    </xdr:from>
    <xdr:to>
      <xdr:col>32</xdr:col>
      <xdr:colOff>582420</xdr:colOff>
      <xdr:row>27</xdr:row>
      <xdr:rowOff>99538</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226218</xdr:colOff>
      <xdr:row>2</xdr:row>
      <xdr:rowOff>168805</xdr:rowOff>
    </xdr:from>
    <xdr:to>
      <xdr:col>18</xdr:col>
      <xdr:colOff>84667</xdr:colOff>
      <xdr:row>23</xdr:row>
      <xdr:rowOff>95250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137585</xdr:colOff>
      <xdr:row>2</xdr:row>
      <xdr:rowOff>168805</xdr:rowOff>
    </xdr:from>
    <xdr:to>
      <xdr:col>24</xdr:col>
      <xdr:colOff>52916</xdr:colOff>
      <xdr:row>23</xdr:row>
      <xdr:rowOff>105833</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62933</xdr:colOff>
      <xdr:row>22</xdr:row>
      <xdr:rowOff>117363</xdr:rowOff>
    </xdr:from>
    <xdr:to>
      <xdr:col>22</xdr:col>
      <xdr:colOff>367393</xdr:colOff>
      <xdr:row>34</xdr:row>
      <xdr:rowOff>181996</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544289</xdr:colOff>
      <xdr:row>22</xdr:row>
      <xdr:rowOff>134370</xdr:rowOff>
    </xdr:from>
    <xdr:to>
      <xdr:col>32</xdr:col>
      <xdr:colOff>149679</xdr:colOff>
      <xdr:row>35</xdr:row>
      <xdr:rowOff>40821</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290850</xdr:colOff>
      <xdr:row>22</xdr:row>
      <xdr:rowOff>136071</xdr:rowOff>
    </xdr:from>
    <xdr:to>
      <xdr:col>41</xdr:col>
      <xdr:colOff>517071</xdr:colOff>
      <xdr:row>35</xdr:row>
      <xdr:rowOff>1246</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14</xdr:col>
      <xdr:colOff>585105</xdr:colOff>
      <xdr:row>3</xdr:row>
      <xdr:rowOff>122465</xdr:rowOff>
    </xdr:from>
    <xdr:to>
      <xdr:col>19</xdr:col>
      <xdr:colOff>587977</xdr:colOff>
      <xdr:row>20</xdr:row>
      <xdr:rowOff>1512</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204106</xdr:colOff>
      <xdr:row>3</xdr:row>
      <xdr:rowOff>68036</xdr:rowOff>
    </xdr:from>
    <xdr:to>
      <xdr:col>25</xdr:col>
      <xdr:colOff>234192</xdr:colOff>
      <xdr:row>19</xdr:row>
      <xdr:rowOff>110369</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190500</xdr:colOff>
      <xdr:row>19</xdr:row>
      <xdr:rowOff>191820</xdr:rowOff>
    </xdr:from>
    <xdr:to>
      <xdr:col>25</xdr:col>
      <xdr:colOff>231321</xdr:colOff>
      <xdr:row>35</xdr:row>
      <xdr:rowOff>81643</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95250</xdr:colOff>
      <xdr:row>125</xdr:row>
      <xdr:rowOff>57150</xdr:rowOff>
    </xdr:from>
    <xdr:to>
      <xdr:col>13</xdr:col>
      <xdr:colOff>149678</xdr:colOff>
      <xdr:row>140</xdr:row>
      <xdr:rowOff>10886</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235743</xdr:colOff>
      <xdr:row>184</xdr:row>
      <xdr:rowOff>50006</xdr:rowOff>
    </xdr:from>
    <xdr:to>
      <xdr:col>17</xdr:col>
      <xdr:colOff>490537</xdr:colOff>
      <xdr:row>200</xdr:row>
      <xdr:rowOff>35719</xdr:rowOff>
    </xdr:to>
    <xdr:graphicFrame macro="">
      <xdr:nvGraphicFramePr>
        <xdr:cNvPr id="3" name="Chart 2">
          <a:extLst>
            <a:ext uri="{FF2B5EF4-FFF2-40B4-BE49-F238E27FC236}">
              <a16:creationId xmlns:a16="http://schemas.microsoft.com/office/drawing/2014/main" id="{9FFDFF75-4F07-4EA3-A7A7-C96AF67F1B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95250</xdr:colOff>
      <xdr:row>125</xdr:row>
      <xdr:rowOff>57150</xdr:rowOff>
    </xdr:from>
    <xdr:to>
      <xdr:col>13</xdr:col>
      <xdr:colOff>149678</xdr:colOff>
      <xdr:row>140</xdr:row>
      <xdr:rowOff>10886</xdr:rowOff>
    </xdr:to>
    <xdr:graphicFrame macro="">
      <xdr:nvGraphicFramePr>
        <xdr:cNvPr id="2" name="Chart 1">
          <a:extLst>
            <a:ext uri="{FF2B5EF4-FFF2-40B4-BE49-F238E27FC236}">
              <a16:creationId xmlns:a16="http://schemas.microsoft.com/office/drawing/2014/main" id="{ADF39166-82E5-4FDB-B971-705A93D962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61</xdr:col>
      <xdr:colOff>17690</xdr:colOff>
      <xdr:row>2</xdr:row>
      <xdr:rowOff>19051</xdr:rowOff>
    </xdr:from>
    <xdr:to>
      <xdr:col>67</xdr:col>
      <xdr:colOff>413317</xdr:colOff>
      <xdr:row>28</xdr:row>
      <xdr:rowOff>13607</xdr:rowOff>
    </xdr:to>
    <xdr:graphicFrame macro="">
      <xdr:nvGraphicFramePr>
        <xdr:cNvPr id="9" name="Chart 8">
          <a:extLst>
            <a:ext uri="{FF2B5EF4-FFF2-40B4-BE49-F238E27FC236}">
              <a16:creationId xmlns:a16="http://schemas.microsoft.com/office/drawing/2014/main" id="{2F1D1D00-3CF0-4085-AC70-1704D0B3B0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276226</xdr:colOff>
      <xdr:row>94</xdr:row>
      <xdr:rowOff>9525</xdr:rowOff>
    </xdr:from>
    <xdr:to>
      <xdr:col>56</xdr:col>
      <xdr:colOff>557213</xdr:colOff>
      <xdr:row>106</xdr:row>
      <xdr:rowOff>30957</xdr:rowOff>
    </xdr:to>
    <xdr:graphicFrame macro="">
      <xdr:nvGraphicFramePr>
        <xdr:cNvPr id="10" name="Chart 3">
          <a:extLst>
            <a:ext uri="{FF2B5EF4-FFF2-40B4-BE49-F238E27FC236}">
              <a16:creationId xmlns:a16="http://schemas.microsoft.com/office/drawing/2014/main" id="{290658B8-C27A-4914-830E-FEC64FF72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57</xdr:col>
      <xdr:colOff>95250</xdr:colOff>
      <xdr:row>94</xdr:row>
      <xdr:rowOff>19050</xdr:rowOff>
    </xdr:from>
    <xdr:to>
      <xdr:col>61</xdr:col>
      <xdr:colOff>390525</xdr:colOff>
      <xdr:row>106</xdr:row>
      <xdr:rowOff>23813</xdr:rowOff>
    </xdr:to>
    <xdr:graphicFrame macro="">
      <xdr:nvGraphicFramePr>
        <xdr:cNvPr id="11" name="Chart 4">
          <a:extLst>
            <a:ext uri="{FF2B5EF4-FFF2-40B4-BE49-F238E27FC236}">
              <a16:creationId xmlns:a16="http://schemas.microsoft.com/office/drawing/2014/main" id="{9C5695E1-6CAA-47F0-A258-D19F044A4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53</xdr:col>
      <xdr:colOff>276226</xdr:colOff>
      <xdr:row>148</xdr:row>
      <xdr:rowOff>9525</xdr:rowOff>
    </xdr:from>
    <xdr:to>
      <xdr:col>56</xdr:col>
      <xdr:colOff>557213</xdr:colOff>
      <xdr:row>160</xdr:row>
      <xdr:rowOff>30957</xdr:rowOff>
    </xdr:to>
    <xdr:graphicFrame macro="">
      <xdr:nvGraphicFramePr>
        <xdr:cNvPr id="13" name="Chart 3">
          <a:extLst>
            <a:ext uri="{FF2B5EF4-FFF2-40B4-BE49-F238E27FC236}">
              <a16:creationId xmlns:a16="http://schemas.microsoft.com/office/drawing/2014/main" id="{9F03B616-BB59-45AA-8E99-15FAB8B760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57</xdr:col>
      <xdr:colOff>95250</xdr:colOff>
      <xdr:row>148</xdr:row>
      <xdr:rowOff>19050</xdr:rowOff>
    </xdr:from>
    <xdr:to>
      <xdr:col>61</xdr:col>
      <xdr:colOff>390525</xdr:colOff>
      <xdr:row>160</xdr:row>
      <xdr:rowOff>23813</xdr:rowOff>
    </xdr:to>
    <xdr:graphicFrame macro="">
      <xdr:nvGraphicFramePr>
        <xdr:cNvPr id="14" name="Chart 4">
          <a:extLst>
            <a:ext uri="{FF2B5EF4-FFF2-40B4-BE49-F238E27FC236}">
              <a16:creationId xmlns:a16="http://schemas.microsoft.com/office/drawing/2014/main" id="{FCACB4FC-2A10-48D3-89DB-568A710A7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53</xdr:col>
      <xdr:colOff>276226</xdr:colOff>
      <xdr:row>202</xdr:row>
      <xdr:rowOff>9525</xdr:rowOff>
    </xdr:from>
    <xdr:to>
      <xdr:col>56</xdr:col>
      <xdr:colOff>557213</xdr:colOff>
      <xdr:row>214</xdr:row>
      <xdr:rowOff>30957</xdr:rowOff>
    </xdr:to>
    <xdr:graphicFrame macro="">
      <xdr:nvGraphicFramePr>
        <xdr:cNvPr id="16" name="Chart 3">
          <a:extLst>
            <a:ext uri="{FF2B5EF4-FFF2-40B4-BE49-F238E27FC236}">
              <a16:creationId xmlns:a16="http://schemas.microsoft.com/office/drawing/2014/main" id="{9BAED845-C60F-4D4F-997B-60AEBDCC8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57</xdr:col>
      <xdr:colOff>95250</xdr:colOff>
      <xdr:row>202</xdr:row>
      <xdr:rowOff>19050</xdr:rowOff>
    </xdr:from>
    <xdr:to>
      <xdr:col>61</xdr:col>
      <xdr:colOff>390525</xdr:colOff>
      <xdr:row>214</xdr:row>
      <xdr:rowOff>23813</xdr:rowOff>
    </xdr:to>
    <xdr:graphicFrame macro="">
      <xdr:nvGraphicFramePr>
        <xdr:cNvPr id="17" name="Chart 4">
          <a:extLst>
            <a:ext uri="{FF2B5EF4-FFF2-40B4-BE49-F238E27FC236}">
              <a16:creationId xmlns:a16="http://schemas.microsoft.com/office/drawing/2014/main" id="{FBEAD64A-E04A-4A57-9F9B-A0107ABD3E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53</xdr:col>
      <xdr:colOff>276226</xdr:colOff>
      <xdr:row>256</xdr:row>
      <xdr:rowOff>9525</xdr:rowOff>
    </xdr:from>
    <xdr:to>
      <xdr:col>56</xdr:col>
      <xdr:colOff>557213</xdr:colOff>
      <xdr:row>268</xdr:row>
      <xdr:rowOff>30957</xdr:rowOff>
    </xdr:to>
    <xdr:graphicFrame macro="">
      <xdr:nvGraphicFramePr>
        <xdr:cNvPr id="19" name="Chart 3">
          <a:extLst>
            <a:ext uri="{FF2B5EF4-FFF2-40B4-BE49-F238E27FC236}">
              <a16:creationId xmlns:a16="http://schemas.microsoft.com/office/drawing/2014/main" id="{C06642AF-9C4F-4522-8F71-D7AAC2D1B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57</xdr:col>
      <xdr:colOff>95250</xdr:colOff>
      <xdr:row>256</xdr:row>
      <xdr:rowOff>19050</xdr:rowOff>
    </xdr:from>
    <xdr:to>
      <xdr:col>61</xdr:col>
      <xdr:colOff>390525</xdr:colOff>
      <xdr:row>268</xdr:row>
      <xdr:rowOff>23813</xdr:rowOff>
    </xdr:to>
    <xdr:graphicFrame macro="">
      <xdr:nvGraphicFramePr>
        <xdr:cNvPr id="20" name="Chart 4">
          <a:extLst>
            <a:ext uri="{FF2B5EF4-FFF2-40B4-BE49-F238E27FC236}">
              <a16:creationId xmlns:a16="http://schemas.microsoft.com/office/drawing/2014/main" id="{34C6846E-FAA0-464E-AA53-1136F6839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53</xdr:col>
      <xdr:colOff>276226</xdr:colOff>
      <xdr:row>310</xdr:row>
      <xdr:rowOff>9525</xdr:rowOff>
    </xdr:from>
    <xdr:to>
      <xdr:col>56</xdr:col>
      <xdr:colOff>557213</xdr:colOff>
      <xdr:row>322</xdr:row>
      <xdr:rowOff>30957</xdr:rowOff>
    </xdr:to>
    <xdr:graphicFrame macro="">
      <xdr:nvGraphicFramePr>
        <xdr:cNvPr id="22" name="Chart 3">
          <a:extLst>
            <a:ext uri="{FF2B5EF4-FFF2-40B4-BE49-F238E27FC236}">
              <a16:creationId xmlns:a16="http://schemas.microsoft.com/office/drawing/2014/main" id="{CE19991B-A192-4A72-B571-1768011B3D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57</xdr:col>
      <xdr:colOff>95250</xdr:colOff>
      <xdr:row>310</xdr:row>
      <xdr:rowOff>19050</xdr:rowOff>
    </xdr:from>
    <xdr:to>
      <xdr:col>61</xdr:col>
      <xdr:colOff>390525</xdr:colOff>
      <xdr:row>322</xdr:row>
      <xdr:rowOff>23813</xdr:rowOff>
    </xdr:to>
    <xdr:graphicFrame macro="">
      <xdr:nvGraphicFramePr>
        <xdr:cNvPr id="23" name="Chart 4">
          <a:extLst>
            <a:ext uri="{FF2B5EF4-FFF2-40B4-BE49-F238E27FC236}">
              <a16:creationId xmlns:a16="http://schemas.microsoft.com/office/drawing/2014/main" id="{0C8D536C-5744-44B3-A792-E38FE3B06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53</xdr:col>
      <xdr:colOff>276226</xdr:colOff>
      <xdr:row>364</xdr:row>
      <xdr:rowOff>9525</xdr:rowOff>
    </xdr:from>
    <xdr:to>
      <xdr:col>56</xdr:col>
      <xdr:colOff>557213</xdr:colOff>
      <xdr:row>376</xdr:row>
      <xdr:rowOff>30957</xdr:rowOff>
    </xdr:to>
    <xdr:graphicFrame macro="">
      <xdr:nvGraphicFramePr>
        <xdr:cNvPr id="25" name="Chart 3">
          <a:extLst>
            <a:ext uri="{FF2B5EF4-FFF2-40B4-BE49-F238E27FC236}">
              <a16:creationId xmlns:a16="http://schemas.microsoft.com/office/drawing/2014/main" id="{27331A90-657F-495C-8520-36E3701FFD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57</xdr:col>
      <xdr:colOff>95250</xdr:colOff>
      <xdr:row>364</xdr:row>
      <xdr:rowOff>19050</xdr:rowOff>
    </xdr:from>
    <xdr:to>
      <xdr:col>61</xdr:col>
      <xdr:colOff>390525</xdr:colOff>
      <xdr:row>376</xdr:row>
      <xdr:rowOff>23813</xdr:rowOff>
    </xdr:to>
    <xdr:graphicFrame macro="">
      <xdr:nvGraphicFramePr>
        <xdr:cNvPr id="26" name="Chart 4">
          <a:extLst>
            <a:ext uri="{FF2B5EF4-FFF2-40B4-BE49-F238E27FC236}">
              <a16:creationId xmlns:a16="http://schemas.microsoft.com/office/drawing/2014/main" id="{34C55CB0-BD66-4695-BF16-4B5F94776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235743</xdr:colOff>
      <xdr:row>184</xdr:row>
      <xdr:rowOff>50006</xdr:rowOff>
    </xdr:from>
    <xdr:to>
      <xdr:col>17</xdr:col>
      <xdr:colOff>490537</xdr:colOff>
      <xdr:row>200</xdr:row>
      <xdr:rowOff>35719</xdr:rowOff>
    </xdr:to>
    <xdr:graphicFrame macro="">
      <xdr:nvGraphicFramePr>
        <xdr:cNvPr id="31" name="Chart 30">
          <a:extLst>
            <a:ext uri="{FF2B5EF4-FFF2-40B4-BE49-F238E27FC236}">
              <a16:creationId xmlns:a16="http://schemas.microsoft.com/office/drawing/2014/main" id="{2461A7BA-2ADD-446F-A9DC-93F087B25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59529</xdr:colOff>
      <xdr:row>62</xdr:row>
      <xdr:rowOff>154781</xdr:rowOff>
    </xdr:from>
    <xdr:to>
      <xdr:col>9</xdr:col>
      <xdr:colOff>607219</xdr:colOff>
      <xdr:row>68</xdr:row>
      <xdr:rowOff>142874</xdr:rowOff>
    </xdr:to>
    <xdr:sp macro="" textlink="">
      <xdr:nvSpPr>
        <xdr:cNvPr id="32" name="TextBox 31">
          <a:extLst>
            <a:ext uri="{FF2B5EF4-FFF2-40B4-BE49-F238E27FC236}">
              <a16:creationId xmlns:a16="http://schemas.microsoft.com/office/drawing/2014/main" id="{8FB96811-418E-4672-B078-E4BCF9839AB8}"/>
            </a:ext>
          </a:extLst>
        </xdr:cNvPr>
        <xdr:cNvSpPr txBox="1"/>
      </xdr:nvSpPr>
      <xdr:spPr>
        <a:xfrm>
          <a:off x="8465342" y="11644312"/>
          <a:ext cx="1762127" cy="105965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not using a supercharger</a:t>
          </a:r>
          <a:endParaRPr lang="en-US">
            <a:effectLst/>
          </a:endParaRPr>
        </a:p>
        <a:p>
          <a:r>
            <a:rPr lang="en-US" sz="1100"/>
            <a:t>make sure to use ;</a:t>
          </a:r>
        </a:p>
        <a:p>
          <a:r>
            <a:rPr lang="en-US" sz="1100">
              <a:latin typeface="Symbol" panose="05050102010706020507" pitchFamily="18" charset="2"/>
            </a:rPr>
            <a:t>D</a:t>
          </a:r>
          <a:r>
            <a:rPr lang="en-US" sz="1100"/>
            <a:t>W s/c = 0.0</a:t>
          </a:r>
        </a:p>
        <a:p>
          <a:r>
            <a:rPr lang="en-US" sz="1100">
              <a:latin typeface="Symbol" panose="05050102010706020507" pitchFamily="18" charset="2"/>
            </a:rPr>
            <a:t>D</a:t>
          </a:r>
          <a:r>
            <a:rPr lang="en-US" sz="1100"/>
            <a:t>D</a:t>
          </a:r>
          <a:r>
            <a:rPr lang="en-US" sz="1100" baseline="0"/>
            <a:t> s/c = 0.0</a:t>
          </a:r>
        </a:p>
        <a:p>
          <a:r>
            <a:rPr lang="en-US" sz="1100" baseline="0">
              <a:latin typeface="Symbol" panose="05050102010706020507" pitchFamily="18" charset="2"/>
            </a:rPr>
            <a:t>D</a:t>
          </a:r>
          <a:r>
            <a:rPr lang="en-US" sz="1100" baseline="0"/>
            <a:t>cp s/c = 1.0</a:t>
          </a:r>
        </a:p>
        <a:p>
          <a:endParaRPr lang="en-US" sz="1100" baseline="0"/>
        </a:p>
      </xdr:txBody>
    </xdr:sp>
    <xdr:clientData/>
  </xdr:twoCellAnchor>
  <xdr:twoCellAnchor>
    <xdr:from>
      <xdr:col>6</xdr:col>
      <xdr:colOff>107156</xdr:colOff>
      <xdr:row>63</xdr:row>
      <xdr:rowOff>214313</xdr:rowOff>
    </xdr:from>
    <xdr:to>
      <xdr:col>6</xdr:col>
      <xdr:colOff>202406</xdr:colOff>
      <xdr:row>66</xdr:row>
      <xdr:rowOff>107156</xdr:rowOff>
    </xdr:to>
    <xdr:sp macro="" textlink="">
      <xdr:nvSpPr>
        <xdr:cNvPr id="33" name="Right Brace 32">
          <a:extLst>
            <a:ext uri="{FF2B5EF4-FFF2-40B4-BE49-F238E27FC236}">
              <a16:creationId xmlns:a16="http://schemas.microsoft.com/office/drawing/2014/main" id="{53793774-AD08-417D-BE30-AA8CACADCFD7}"/>
            </a:ext>
          </a:extLst>
        </xdr:cNvPr>
        <xdr:cNvSpPr/>
      </xdr:nvSpPr>
      <xdr:spPr bwMode="auto">
        <a:xfrm>
          <a:off x="7905750" y="11870532"/>
          <a:ext cx="95250" cy="464343"/>
        </a:xfrm>
        <a:prstGeom prst="rightBrac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6</xdr:col>
      <xdr:colOff>297656</xdr:colOff>
      <xdr:row>65</xdr:row>
      <xdr:rowOff>47625</xdr:rowOff>
    </xdr:from>
    <xdr:to>
      <xdr:col>7</xdr:col>
      <xdr:colOff>35718</xdr:colOff>
      <xdr:row>65</xdr:row>
      <xdr:rowOff>47626</xdr:rowOff>
    </xdr:to>
    <xdr:cxnSp macro="">
      <xdr:nvCxnSpPr>
        <xdr:cNvPr id="34" name="Straight Arrow Connector 33">
          <a:extLst>
            <a:ext uri="{FF2B5EF4-FFF2-40B4-BE49-F238E27FC236}">
              <a16:creationId xmlns:a16="http://schemas.microsoft.com/office/drawing/2014/main" id="{BEE5A06A-880B-44EA-9121-BCEE2B24A085}"/>
            </a:ext>
          </a:extLst>
        </xdr:cNvPr>
        <xdr:cNvCxnSpPr/>
      </xdr:nvCxnSpPr>
      <xdr:spPr bwMode="auto">
        <a:xfrm flipV="1">
          <a:off x="8096250" y="12108656"/>
          <a:ext cx="345281" cy="1"/>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60</xdr:col>
      <xdr:colOff>381000</xdr:colOff>
      <xdr:row>29</xdr:row>
      <xdr:rowOff>95248</xdr:rowOff>
    </xdr:from>
    <xdr:to>
      <xdr:col>70</xdr:col>
      <xdr:colOff>243417</xdr:colOff>
      <xdr:row>59</xdr:row>
      <xdr:rowOff>42333</xdr:rowOff>
    </xdr:to>
    <xdr:sp macro="" textlink="">
      <xdr:nvSpPr>
        <xdr:cNvPr id="37" name="TextBox 36">
          <a:extLst>
            <a:ext uri="{FF2B5EF4-FFF2-40B4-BE49-F238E27FC236}">
              <a16:creationId xmlns:a16="http://schemas.microsoft.com/office/drawing/2014/main" id="{7B55E099-31A7-4D06-B8AC-754E7B44F83E}"/>
            </a:ext>
          </a:extLst>
        </xdr:cNvPr>
        <xdr:cNvSpPr txBox="1"/>
      </xdr:nvSpPr>
      <xdr:spPr>
        <a:xfrm>
          <a:off x="46915917" y="4963581"/>
          <a:ext cx="6000750" cy="55139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 for Propeller Design</a:t>
          </a:r>
        </a:p>
        <a:p>
          <a:endParaRPr lang="en-US" sz="1100" b="1"/>
        </a:p>
        <a:p>
          <a:r>
            <a:rPr lang="en-US" sz="1100" b="1"/>
            <a:t>Must Run SOLVER</a:t>
          </a:r>
          <a:r>
            <a:rPr lang="en-US" sz="1100" b="1" baseline="0"/>
            <a:t> for converged case!</a:t>
          </a:r>
          <a:endParaRPr lang="en-US" sz="1100" b="1"/>
        </a:p>
        <a:p>
          <a:r>
            <a:rPr lang="en-US" sz="1100"/>
            <a:t>Solver</a:t>
          </a:r>
          <a:r>
            <a:rPr lang="en-US" sz="1100" baseline="0"/>
            <a:t> will vary propulsor parameters such that the drag matches the thrust  (Drag/Thrust=1.0, see black-bordered yellow-shaded cellsbelow) at each of the cruise and loiter flight segments AND the power required at takeoff is equal to the power available (Pr/Pa=1.0, see below).</a:t>
          </a:r>
        </a:p>
        <a:p>
          <a:endParaRPr lang="en-US" sz="1100" baseline="0"/>
        </a:p>
        <a:p>
          <a:r>
            <a:rPr lang="en-US" sz="1100" b="1" baseline="0"/>
            <a:t>Option 1 - Constant Speed Propeller</a:t>
          </a:r>
        </a:p>
        <a:p>
          <a:r>
            <a:rPr lang="en-US" sz="1100" baseline="0"/>
            <a:t>For this option, Solver varies blade pitch (bite angle) such that the thrust and power are correct.  The Solver is setup to run this case, i.e. no chnages to the Solver setup is required for Option 1.</a:t>
          </a:r>
        </a:p>
        <a:p>
          <a:endParaRPr lang="en-US" sz="1100" baseline="0"/>
        </a:p>
        <a:p>
          <a:r>
            <a:rPr lang="en-US" sz="1100" b="1" baseline="0"/>
            <a:t>Option 2 - Constant Pitch Propeller</a:t>
          </a:r>
        </a:p>
        <a:p>
          <a:r>
            <a:rPr lang="en-US" sz="1100" baseline="0"/>
            <a:t>For this option Solver will vary rotational speed such that the thrust and power are correct.  (For this option the user must update the Solver setup, i.e. instead of varying bite angle one must change the Solver setup so that rotaional speed is varied.  And the rotaional speed inputs must be updated to include numerical values for each cruise and loiter and takeoff segment.)</a:t>
          </a:r>
        </a:p>
        <a:p>
          <a:endParaRPr lang="en-US" sz="1100" baseline="0"/>
        </a:p>
        <a:p>
          <a:r>
            <a:rPr lang="en-US" sz="1100" b="1" baseline="0"/>
            <a:t>Other Inputs (Blue Cells).</a:t>
          </a:r>
        </a:p>
        <a:p>
          <a:r>
            <a:rPr lang="en-US" sz="1100" baseline="0"/>
            <a:t>All of the other blue cell propeller inputs are fixed for a given Solver run and they must be determined using competitive analysis at first and then tweaked to optimize the efficiciency.  The lift curve slope, cdo, clo and k values are representative for all propellers and needn't be updated.  The blade chords root and tip can be scaled from existing propellers.  Diameter and # of blades are powerful parameters.  I recommend using your competitors values to start, then perhaps tweak by +/-10 to 20% to see if the efficiency improves.</a:t>
          </a:r>
        </a:p>
        <a:p>
          <a:endParaRPr lang="en-US" sz="1100" baseline="0"/>
        </a:p>
        <a:p>
          <a:r>
            <a:rPr lang="en-US" sz="1100" b="1" baseline="0"/>
            <a:t>Propeller Figure-of-Merit - Efficiency</a:t>
          </a:r>
        </a:p>
        <a:p>
          <a:r>
            <a:rPr lang="en-US" sz="1100" baseline="0"/>
            <a:t>Efficiency's in the 85 to 90% range is typical, but there is usually a trade-off between cruise/loiter/takeoff efficiency's, i.e. it's difficult to get high efficiency at ALL three flight segments.  Depending on your design objectives, one can optimize for highest efficiency at one of the three flight segments and live with the off-design efficiency loss at the other two flight segments.  Optimizing for cruise is typical, but this isn't always the best design.  You need to decide which is best for your design.</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97633</xdr:colOff>
      <xdr:row>5</xdr:row>
      <xdr:rowOff>7145</xdr:rowOff>
    </xdr:from>
    <xdr:to>
      <xdr:col>9</xdr:col>
      <xdr:colOff>500065</xdr:colOff>
      <xdr:row>18</xdr:row>
      <xdr:rowOff>80963</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496096</xdr:colOff>
      <xdr:row>5</xdr:row>
      <xdr:rowOff>6083</xdr:rowOff>
    </xdr:from>
    <xdr:to>
      <xdr:col>12</xdr:col>
      <xdr:colOff>112714</xdr:colOff>
      <xdr:row>18</xdr:row>
      <xdr:rowOff>84664</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606196</xdr:colOff>
      <xdr:row>16</xdr:row>
      <xdr:rowOff>154783</xdr:rowOff>
    </xdr:from>
    <xdr:to>
      <xdr:col>13</xdr:col>
      <xdr:colOff>83342</xdr:colOff>
      <xdr:row>37</xdr:row>
      <xdr:rowOff>11906</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135730</xdr:colOff>
      <xdr:row>16</xdr:row>
      <xdr:rowOff>169069</xdr:rowOff>
    </xdr:from>
    <xdr:to>
      <xdr:col>19</xdr:col>
      <xdr:colOff>95250</xdr:colOff>
      <xdr:row>37</xdr:row>
      <xdr:rowOff>47625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60</xdr:col>
      <xdr:colOff>0</xdr:colOff>
      <xdr:row>21</xdr:row>
      <xdr:rowOff>0</xdr:rowOff>
    </xdr:from>
    <xdr:to>
      <xdr:col>65</xdr:col>
      <xdr:colOff>276225</xdr:colOff>
      <xdr:row>21</xdr:row>
      <xdr:rowOff>0</xdr:rowOff>
    </xdr:to>
    <xdr:graphicFrame macro="">
      <xdr:nvGraphicFramePr>
        <xdr:cNvPr id="2" name="Chart 2">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299774</xdr:colOff>
      <xdr:row>4</xdr:row>
      <xdr:rowOff>31486</xdr:rowOff>
    </xdr:from>
    <xdr:to>
      <xdr:col>27</xdr:col>
      <xdr:colOff>325174</xdr:colOff>
      <xdr:row>14</xdr:row>
      <xdr:rowOff>5292</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299773</xdr:colOff>
      <xdr:row>14</xdr:row>
      <xdr:rowOff>30692</xdr:rowOff>
    </xdr:from>
    <xdr:to>
      <xdr:col>27</xdr:col>
      <xdr:colOff>325173</xdr:colOff>
      <xdr:row>23</xdr:row>
      <xdr:rowOff>42599</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309298</xdr:colOff>
      <xdr:row>23</xdr:row>
      <xdr:rowOff>98161</xdr:rowOff>
    </xdr:from>
    <xdr:to>
      <xdr:col>27</xdr:col>
      <xdr:colOff>334698</xdr:colOff>
      <xdr:row>34</xdr:row>
      <xdr:rowOff>76729</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431272</xdr:colOff>
      <xdr:row>4</xdr:row>
      <xdr:rowOff>36249</xdr:rowOff>
    </xdr:from>
    <xdr:to>
      <xdr:col>46</xdr:col>
      <xdr:colOff>220928</xdr:colOff>
      <xdr:row>13</xdr:row>
      <xdr:rowOff>127530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39</xdr:col>
      <xdr:colOff>431271</xdr:colOff>
      <xdr:row>13</xdr:row>
      <xdr:rowOff>156105</xdr:rowOff>
    </xdr:from>
    <xdr:to>
      <xdr:col>46</xdr:col>
      <xdr:colOff>220927</xdr:colOff>
      <xdr:row>22</xdr:row>
      <xdr:rowOff>91282</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39</xdr:col>
      <xdr:colOff>440796</xdr:colOff>
      <xdr:row>22</xdr:row>
      <xdr:rowOff>138907</xdr:rowOff>
    </xdr:from>
    <xdr:to>
      <xdr:col>46</xdr:col>
      <xdr:colOff>230452</xdr:colOff>
      <xdr:row>33</xdr:row>
      <xdr:rowOff>32280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57</xdr:col>
      <xdr:colOff>113460</xdr:colOff>
      <xdr:row>34</xdr:row>
      <xdr:rowOff>140288</xdr:rowOff>
    </xdr:from>
    <xdr:ext cx="4601414" cy="2810710"/>
    <xdr:pic>
      <xdr:nvPicPr>
        <xdr:cNvPr id="13" name="Picture 12">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1183335" y="6395038"/>
          <a:ext cx="4601414" cy="2810710"/>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oneCellAnchor>
  <xdr:twoCellAnchor>
    <xdr:from>
      <xdr:col>57</xdr:col>
      <xdr:colOff>2405064</xdr:colOff>
      <xdr:row>19</xdr:row>
      <xdr:rowOff>87311</xdr:rowOff>
    </xdr:from>
    <xdr:to>
      <xdr:col>59</xdr:col>
      <xdr:colOff>837406</xdr:colOff>
      <xdr:row>31</xdr:row>
      <xdr:rowOff>91281</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57</xdr:col>
      <xdr:colOff>15876</xdr:colOff>
      <xdr:row>19</xdr:row>
      <xdr:rowOff>63502</xdr:rowOff>
    </xdr:from>
    <xdr:to>
      <xdr:col>57</xdr:col>
      <xdr:colOff>2254250</xdr:colOff>
      <xdr:row>31</xdr:row>
      <xdr:rowOff>67471</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60</xdr:col>
      <xdr:colOff>174625</xdr:colOff>
      <xdr:row>19</xdr:row>
      <xdr:rowOff>79374</xdr:rowOff>
    </xdr:from>
    <xdr:to>
      <xdr:col>71</xdr:col>
      <xdr:colOff>3016250</xdr:colOff>
      <xdr:row>54</xdr:row>
      <xdr:rowOff>15875</xdr:rowOff>
    </xdr:to>
    <xdr:sp macro="" textlink="">
      <xdr:nvSpPr>
        <xdr:cNvPr id="16" name="TextBox 15">
          <a:extLst>
            <a:ext uri="{FF2B5EF4-FFF2-40B4-BE49-F238E27FC236}">
              <a16:creationId xmlns:a16="http://schemas.microsoft.com/office/drawing/2014/main" id="{00000000-0008-0000-0800-000010000000}"/>
            </a:ext>
          </a:extLst>
        </xdr:cNvPr>
        <xdr:cNvSpPr txBox="1"/>
      </xdr:nvSpPr>
      <xdr:spPr>
        <a:xfrm>
          <a:off x="56356250" y="3619499"/>
          <a:ext cx="13636625" cy="6143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Notes</a:t>
          </a:r>
        </a:p>
        <a:p>
          <a:r>
            <a:rPr lang="en-US" sz="1100"/>
            <a:t>There are multiple solutions to getting a</a:t>
          </a:r>
          <a:r>
            <a:rPr lang="en-US" sz="1100" baseline="0"/>
            <a:t> </a:t>
          </a:r>
          <a:r>
            <a:rPr lang="en-US" sz="1100"/>
            <a:t> Stress Ratio &lt;1.00.  Some general rules-of-thumb:</a:t>
          </a:r>
        </a:p>
        <a:p>
          <a:endParaRPr lang="en-US" sz="1100"/>
        </a:p>
        <a:p>
          <a:r>
            <a:rPr lang="en-US" sz="1100" b="1" u="sng"/>
            <a:t>Skin Thickness</a:t>
          </a:r>
        </a:p>
        <a:p>
          <a:r>
            <a:rPr lang="en-US" sz="1100"/>
            <a:t>1)</a:t>
          </a:r>
          <a:r>
            <a:rPr lang="en-US" sz="1100" baseline="0"/>
            <a:t> Generally, 20 mils &lt; t skin &lt; 125 mils is considered sheet metal.  Anything greater then 125 mils is considered stock.  1 mil = 0.001 inches</a:t>
          </a:r>
        </a:p>
        <a:p>
          <a:r>
            <a:rPr lang="en-US" sz="1100" baseline="0"/>
            <a:t>2) Sheet metal is preferred and cheaper.  It's easier to work with and has less machining and labor costs.</a:t>
          </a:r>
        </a:p>
        <a:p>
          <a:r>
            <a:rPr lang="en-US" sz="1100" baseline="0"/>
            <a:t>3) Magnesium is not realistic, due to corrosion problems.</a:t>
          </a:r>
        </a:p>
        <a:p>
          <a:r>
            <a:rPr lang="en-US" sz="1100" baseline="0"/>
            <a:t>4) Aluminum is most prevalent, but relatively expensive.</a:t>
          </a:r>
        </a:p>
        <a:p>
          <a:r>
            <a:rPr lang="en-US" sz="1100" baseline="0"/>
            <a:t>5) Steel is much cheaper, but heavier.</a:t>
          </a:r>
        </a:p>
        <a:p>
          <a:endParaRPr lang="en-US" sz="1100"/>
        </a:p>
        <a:p>
          <a:r>
            <a:rPr lang="en-US" sz="1100" b="1" u="sng"/>
            <a:t>Longerons</a:t>
          </a:r>
        </a:p>
        <a:p>
          <a:r>
            <a:rPr lang="en-US" sz="1100"/>
            <a:t>1)</a:t>
          </a:r>
          <a:r>
            <a:rPr lang="en-US" sz="1100" baseline="0"/>
            <a:t> Try for L&gt;36 in. so that all doors and windows fit without disturbing the  lattice of longerons and bulkheads.</a:t>
          </a:r>
        </a:p>
        <a:p>
          <a:r>
            <a:rPr lang="en-US" sz="1100" baseline="0"/>
            <a:t>2) Start with b=h=2 in. for longerons, which is standard size, and vary thickness=t.</a:t>
          </a:r>
        </a:p>
        <a:p>
          <a:r>
            <a:rPr lang="en-US" sz="1100" baseline="0"/>
            <a:t>3) Try for Magnesium (lowest weight) for longerons, unless corrosion is a specific concern, i.e. operation near high humidity and/or water. </a:t>
          </a:r>
        </a:p>
        <a:p>
          <a:r>
            <a:rPr lang="en-US" sz="1100" baseline="0"/>
            <a:t>4) Consider Aluminum (Light, expensive) vs. Steel (heavy, cheap) trade-off.</a:t>
          </a:r>
        </a:p>
        <a:p>
          <a:r>
            <a:rPr lang="en-US" sz="1100" baseline="0"/>
            <a:t>5) Minimize weight by reducing # of longerons and beam dimensions.</a:t>
          </a:r>
        </a:p>
        <a:p>
          <a:r>
            <a:rPr lang="en-US" sz="1100" baseline="0"/>
            <a:t>6) U-Channel (C configuration) is best for assembly and maintenance.</a:t>
          </a:r>
          <a:endParaRPr lang="en-US" sz="1100"/>
        </a:p>
        <a:p>
          <a:endParaRPr lang="en-US" sz="1100"/>
        </a:p>
        <a:p>
          <a:r>
            <a:rPr lang="en-US" sz="1100" b="1" u="sng"/>
            <a:t>Spars</a:t>
          </a:r>
        </a:p>
        <a:p>
          <a:r>
            <a:rPr lang="en-US" sz="1100"/>
            <a:t>1)</a:t>
          </a:r>
          <a:r>
            <a:rPr lang="en-US" sz="1100" baseline="0"/>
            <a:t> Same comments for lonerons in regards to materials</a:t>
          </a:r>
        </a:p>
        <a:p>
          <a:r>
            <a:rPr lang="en-US" sz="1100" baseline="0"/>
            <a:t>2) I-Beam is most prevalent shape</a:t>
          </a:r>
        </a:p>
        <a:p>
          <a:r>
            <a:rPr lang="en-US" sz="1100" baseline="0"/>
            <a:t>3) Watch the beam deflection at the tip.  </a:t>
          </a:r>
          <a:r>
            <a:rPr lang="en-US" sz="1100" baseline="0">
              <a:solidFill>
                <a:schemeClr val="dk1"/>
              </a:solidFill>
              <a:effectLst/>
              <a:latin typeface="+mn-lt"/>
              <a:ea typeface="+mn-ea"/>
              <a:cs typeface="+mn-cs"/>
            </a:rPr>
            <a:t>More than 5% wing span is a concern.</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r>
            <a:rPr lang="en-US" sz="1200" b="1" baseline="0">
              <a:solidFill>
                <a:schemeClr val="dk1"/>
              </a:solidFill>
              <a:effectLst/>
              <a:latin typeface="+mn-lt"/>
              <a:ea typeface="+mn-ea"/>
              <a:cs typeface="+mn-cs"/>
            </a:rPr>
            <a:t>Comparison Table of Design Characteristics</a:t>
          </a:r>
        </a:p>
        <a:p>
          <a:r>
            <a:rPr lang="en-US" b="1">
              <a:effectLst/>
            </a:rPr>
            <a:t>				Labor	Corrosion	Fatigue	Heat	</a:t>
          </a:r>
        </a:p>
        <a:p>
          <a:r>
            <a:rPr lang="en-US" b="1" u="sng">
              <a:effectLst/>
            </a:rPr>
            <a:t>Material</a:t>
          </a:r>
          <a:r>
            <a:rPr lang="en-US" b="1">
              <a:effectLst/>
            </a:rPr>
            <a:t>	</a:t>
          </a:r>
          <a:r>
            <a:rPr lang="en-US" b="1" u="sng">
              <a:effectLst/>
            </a:rPr>
            <a:t>Cost</a:t>
          </a:r>
          <a:r>
            <a:rPr lang="en-US" b="1">
              <a:effectLst/>
            </a:rPr>
            <a:t>	</a:t>
          </a:r>
          <a:r>
            <a:rPr lang="en-US" b="1" u="sng">
              <a:effectLst/>
            </a:rPr>
            <a:t>Weight</a:t>
          </a:r>
          <a:r>
            <a:rPr lang="en-US" b="1">
              <a:effectLst/>
            </a:rPr>
            <a:t>	</a:t>
          </a:r>
          <a:r>
            <a:rPr lang="en-US" b="1" u="sng">
              <a:effectLst/>
            </a:rPr>
            <a:t>Strength</a:t>
          </a:r>
          <a:r>
            <a:rPr lang="en-US" b="1">
              <a:effectLst/>
            </a:rPr>
            <a:t>	</a:t>
          </a:r>
          <a:r>
            <a:rPr lang="en-US" b="1" u="sng">
              <a:effectLst/>
            </a:rPr>
            <a:t>Cost</a:t>
          </a:r>
          <a:r>
            <a:rPr lang="en-US" b="1">
              <a:effectLst/>
            </a:rPr>
            <a:t>	</a:t>
          </a:r>
          <a:r>
            <a:rPr lang="en-US" b="1" u="sng">
              <a:effectLst/>
            </a:rPr>
            <a:t>Resistance</a:t>
          </a:r>
          <a:r>
            <a:rPr lang="en-US" b="1">
              <a:effectLst/>
            </a:rPr>
            <a:t>	</a:t>
          </a:r>
          <a:r>
            <a:rPr lang="en-US" b="1" u="sng">
              <a:effectLst/>
            </a:rPr>
            <a:t>Resistance</a:t>
          </a:r>
          <a:r>
            <a:rPr lang="en-US" b="1">
              <a:effectLst/>
            </a:rPr>
            <a:t>	</a:t>
          </a:r>
          <a:r>
            <a:rPr lang="en-US" b="1" u="sng">
              <a:effectLst/>
            </a:rPr>
            <a:t>Resistance</a:t>
          </a:r>
          <a:r>
            <a:rPr lang="en-US" b="1">
              <a:effectLst/>
            </a:rPr>
            <a:t>	</a:t>
          </a:r>
          <a:r>
            <a:rPr lang="en-US" b="1" u="sng">
              <a:effectLst/>
            </a:rPr>
            <a:t>Comments</a:t>
          </a:r>
        </a:p>
        <a:p>
          <a:r>
            <a:rPr lang="en-US">
              <a:effectLst/>
            </a:rPr>
            <a:t>Aluminum	BASE	BASE	BASE	 -	 +	0	0	Most widely used metal for all aircraft parts.</a:t>
          </a:r>
        </a:p>
        <a:p>
          <a:r>
            <a:rPr lang="en-US">
              <a:effectLst/>
            </a:rPr>
            <a:t>Steel	(1/6)X	3X	2 to 3X	 ++	 +(Stainless)	 +	 +	Used for high strength and fatigue resistance.  Cheap, but heavy.</a:t>
          </a:r>
        </a:p>
        <a:p>
          <a:r>
            <a:rPr lang="en-US">
              <a:effectLst/>
            </a:rPr>
            <a:t>Titanium	5 to 10X	1.5 to 2X	2 to 3X	 +	 +	0	 +	Used for high risk, strength parts, i.e landing gear, control surface spindles, etc.</a:t>
          </a:r>
        </a:p>
        <a:p>
          <a:r>
            <a:rPr lang="en-US">
              <a:effectLst/>
            </a:rPr>
            <a:t>Magnesium	0	(7/10)X	(5/10)X	 -	 - -	0	 +	Good for longerons and spars, but corrodes easily.   Lowest weight option, other than composites.</a:t>
          </a:r>
        </a:p>
        <a:p>
          <a:r>
            <a:rPr lang="en-US" sz="900">
              <a:effectLst/>
            </a:rPr>
            <a:t>Heat Resist. Steels</a:t>
          </a:r>
          <a:r>
            <a:rPr lang="en-US">
              <a:effectLst/>
            </a:rPr>
            <a:t>	0	3X	2 to 3X	 +	0	0	 ++	Good for high temperature exposure, i.e. engines, exhaust shields</a:t>
          </a:r>
        </a:p>
        <a:p>
          <a:r>
            <a:rPr lang="en-US">
              <a:effectLst/>
            </a:rPr>
            <a:t>Composites	20X	(5/10)X	2 to 4X	 +	0	0	 -	Huge weight savings possible, but expensive and unproven.</a:t>
          </a:r>
        </a:p>
        <a:p>
          <a:endParaRPr lang="en-US">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19</xdr:col>
      <xdr:colOff>171978</xdr:colOff>
      <xdr:row>60</xdr:row>
      <xdr:rowOff>260617</xdr:rowOff>
    </xdr:from>
    <xdr:to>
      <xdr:col>20</xdr:col>
      <xdr:colOff>637645</xdr:colOff>
      <xdr:row>67</xdr:row>
      <xdr:rowOff>140228</xdr:rowOff>
    </xdr:to>
    <xdr:sp macro="" textlink="">
      <xdr:nvSpPr>
        <xdr:cNvPr id="80" name="TextBox 79">
          <a:extLst>
            <a:ext uri="{FF2B5EF4-FFF2-40B4-BE49-F238E27FC236}">
              <a16:creationId xmlns:a16="http://schemas.microsoft.com/office/drawing/2014/main" id="{00000000-0008-0000-0900-000050000000}"/>
            </a:ext>
          </a:extLst>
        </xdr:cNvPr>
        <xdr:cNvSpPr txBox="1"/>
      </xdr:nvSpPr>
      <xdr:spPr>
        <a:xfrm>
          <a:off x="4543953" y="10261867"/>
          <a:ext cx="1075267" cy="11083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IMPORTANT!</a:t>
          </a:r>
        </a:p>
        <a:p>
          <a:r>
            <a:rPr lang="en-US" sz="900"/>
            <a:t>These cells </a:t>
          </a:r>
          <a:r>
            <a:rPr lang="en-US" sz="900" baseline="0"/>
            <a:t>need to be ZERO for a balanced case.</a:t>
          </a:r>
        </a:p>
        <a:p>
          <a:endParaRPr lang="en-US" sz="900" baseline="0"/>
        </a:p>
        <a:p>
          <a:r>
            <a:rPr lang="en-US" sz="1200" b="1" baseline="0"/>
            <a:t>Use Solver!</a:t>
          </a:r>
        </a:p>
        <a:p>
          <a:endParaRPr lang="en-US" sz="1100" baseline="0"/>
        </a:p>
        <a:p>
          <a:endParaRPr lang="en-US" sz="1100" baseline="0"/>
        </a:p>
      </xdr:txBody>
    </xdr:sp>
    <xdr:clientData/>
  </xdr:twoCellAnchor>
  <xdr:twoCellAnchor>
    <xdr:from>
      <xdr:col>25</xdr:col>
      <xdr:colOff>724957</xdr:colOff>
      <xdr:row>194</xdr:row>
      <xdr:rowOff>63499</xdr:rowOff>
    </xdr:from>
    <xdr:to>
      <xdr:col>29</xdr:col>
      <xdr:colOff>363802</xdr:colOff>
      <xdr:row>212</xdr:row>
      <xdr:rowOff>164041</xdr:rowOff>
    </xdr:to>
    <xdr:graphicFrame macro="">
      <xdr:nvGraphicFramePr>
        <xdr:cNvPr id="81" name="Chart 80">
          <a:extLst>
            <a:ext uri="{FF2B5EF4-FFF2-40B4-BE49-F238E27FC236}">
              <a16:creationId xmlns:a16="http://schemas.microsoft.com/office/drawing/2014/main" id="{00000000-0008-0000-09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952500</xdr:colOff>
      <xdr:row>67</xdr:row>
      <xdr:rowOff>142875</xdr:rowOff>
    </xdr:from>
    <xdr:to>
      <xdr:col>19</xdr:col>
      <xdr:colOff>166687</xdr:colOff>
      <xdr:row>69</xdr:row>
      <xdr:rowOff>0</xdr:rowOff>
    </xdr:to>
    <xdr:cxnSp macro="">
      <xdr:nvCxnSpPr>
        <xdr:cNvPr id="82" name="Straight Arrow Connector 81">
          <a:extLst>
            <a:ext uri="{FF2B5EF4-FFF2-40B4-BE49-F238E27FC236}">
              <a16:creationId xmlns:a16="http://schemas.microsoft.com/office/drawing/2014/main" id="{00000000-0008-0000-0900-000052000000}"/>
            </a:ext>
          </a:extLst>
        </xdr:cNvPr>
        <xdr:cNvCxnSpPr/>
      </xdr:nvCxnSpPr>
      <xdr:spPr bwMode="auto">
        <a:xfrm flipH="1">
          <a:off x="4362450" y="11372850"/>
          <a:ext cx="176212" cy="18097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640557</xdr:colOff>
      <xdr:row>67</xdr:row>
      <xdr:rowOff>140494</xdr:rowOff>
    </xdr:from>
    <xdr:to>
      <xdr:col>21</xdr:col>
      <xdr:colOff>642938</xdr:colOff>
      <xdr:row>68</xdr:row>
      <xdr:rowOff>154782</xdr:rowOff>
    </xdr:to>
    <xdr:cxnSp macro="">
      <xdr:nvCxnSpPr>
        <xdr:cNvPr id="83" name="Straight Arrow Connector 82">
          <a:extLst>
            <a:ext uri="{FF2B5EF4-FFF2-40B4-BE49-F238E27FC236}">
              <a16:creationId xmlns:a16="http://schemas.microsoft.com/office/drawing/2014/main" id="{00000000-0008-0000-0900-000053000000}"/>
            </a:ext>
          </a:extLst>
        </xdr:cNvPr>
        <xdr:cNvCxnSpPr/>
      </xdr:nvCxnSpPr>
      <xdr:spPr bwMode="auto">
        <a:xfrm>
          <a:off x="5622132" y="11370469"/>
          <a:ext cx="735806" cy="176213"/>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130969</xdr:colOff>
      <xdr:row>57</xdr:row>
      <xdr:rowOff>0</xdr:rowOff>
    </xdr:from>
    <xdr:to>
      <xdr:col>22</xdr:col>
      <xdr:colOff>428625</xdr:colOff>
      <xdr:row>61</xdr:row>
      <xdr:rowOff>11906</xdr:rowOff>
    </xdr:to>
    <xdr:cxnSp macro="">
      <xdr:nvCxnSpPr>
        <xdr:cNvPr id="84" name="Straight Arrow Connector 83">
          <a:extLst>
            <a:ext uri="{FF2B5EF4-FFF2-40B4-BE49-F238E27FC236}">
              <a16:creationId xmlns:a16="http://schemas.microsoft.com/office/drawing/2014/main" id="{00000000-0008-0000-0900-000054000000}"/>
            </a:ext>
          </a:extLst>
        </xdr:cNvPr>
        <xdr:cNvCxnSpPr/>
      </xdr:nvCxnSpPr>
      <xdr:spPr bwMode="auto">
        <a:xfrm flipV="1">
          <a:off x="6588919" y="9610725"/>
          <a:ext cx="297656" cy="659606"/>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631031</xdr:colOff>
      <xdr:row>61</xdr:row>
      <xdr:rowOff>11906</xdr:rowOff>
    </xdr:from>
    <xdr:to>
      <xdr:col>22</xdr:col>
      <xdr:colOff>130969</xdr:colOff>
      <xdr:row>61</xdr:row>
      <xdr:rowOff>11906</xdr:rowOff>
    </xdr:to>
    <xdr:cxnSp macro="">
      <xdr:nvCxnSpPr>
        <xdr:cNvPr id="85" name="Straight Connector 84">
          <a:extLst>
            <a:ext uri="{FF2B5EF4-FFF2-40B4-BE49-F238E27FC236}">
              <a16:creationId xmlns:a16="http://schemas.microsoft.com/office/drawing/2014/main" id="{00000000-0008-0000-0900-000055000000}"/>
            </a:ext>
          </a:extLst>
        </xdr:cNvPr>
        <xdr:cNvCxnSpPr/>
      </xdr:nvCxnSpPr>
      <xdr:spPr bwMode="auto">
        <a:xfrm>
          <a:off x="5612606" y="10270331"/>
          <a:ext cx="976313" cy="0"/>
        </a:xfrm>
        <a:prstGeom prst="line">
          <a:avLst/>
        </a:pr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28</xdr:col>
      <xdr:colOff>3968</xdr:colOff>
      <xdr:row>43</xdr:row>
      <xdr:rowOff>154783</xdr:rowOff>
    </xdr:from>
    <xdr:to>
      <xdr:col>33</xdr:col>
      <xdr:colOff>83344</xdr:colOff>
      <xdr:row>64</xdr:row>
      <xdr:rowOff>35719</xdr:rowOff>
    </xdr:to>
    <xdr:graphicFrame macro="">
      <xdr:nvGraphicFramePr>
        <xdr:cNvPr id="86" name="Chart 85">
          <a:extLst>
            <a:ext uri="{FF2B5EF4-FFF2-40B4-BE49-F238E27FC236}">
              <a16:creationId xmlns:a16="http://schemas.microsoft.com/office/drawing/2014/main" id="{00000000-0008-0000-0900-00005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746124</xdr:colOff>
      <xdr:row>64</xdr:row>
      <xdr:rowOff>142874</xdr:rowOff>
    </xdr:from>
    <xdr:to>
      <xdr:col>33</xdr:col>
      <xdr:colOff>71438</xdr:colOff>
      <xdr:row>84</xdr:row>
      <xdr:rowOff>67467</xdr:rowOff>
    </xdr:to>
    <xdr:graphicFrame macro="">
      <xdr:nvGraphicFramePr>
        <xdr:cNvPr id="87" name="Chart 86">
          <a:extLst>
            <a:ext uri="{FF2B5EF4-FFF2-40B4-BE49-F238E27FC236}">
              <a16:creationId xmlns:a16="http://schemas.microsoft.com/office/drawing/2014/main" id="{00000000-0008-0000-09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166685</xdr:colOff>
      <xdr:row>64</xdr:row>
      <xdr:rowOff>115095</xdr:rowOff>
    </xdr:from>
    <xdr:to>
      <xdr:col>38</xdr:col>
      <xdr:colOff>119061</xdr:colOff>
      <xdr:row>84</xdr:row>
      <xdr:rowOff>162720</xdr:rowOff>
    </xdr:to>
    <xdr:graphicFrame macro="">
      <xdr:nvGraphicFramePr>
        <xdr:cNvPr id="88" name="Chart 87">
          <a:extLst>
            <a:ext uri="{FF2B5EF4-FFF2-40B4-BE49-F238E27FC236}">
              <a16:creationId xmlns:a16="http://schemas.microsoft.com/office/drawing/2014/main" id="{00000000-0008-0000-09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722311</xdr:colOff>
      <xdr:row>86</xdr:row>
      <xdr:rowOff>31749</xdr:rowOff>
    </xdr:from>
    <xdr:to>
      <xdr:col>37</xdr:col>
      <xdr:colOff>619123</xdr:colOff>
      <xdr:row>103</xdr:row>
      <xdr:rowOff>166687</xdr:rowOff>
    </xdr:to>
    <xdr:sp macro="" textlink="">
      <xdr:nvSpPr>
        <xdr:cNvPr id="89" name="TextBox 88">
          <a:extLst>
            <a:ext uri="{FF2B5EF4-FFF2-40B4-BE49-F238E27FC236}">
              <a16:creationId xmlns:a16="http://schemas.microsoft.com/office/drawing/2014/main" id="{00000000-0008-0000-0900-000059000000}"/>
            </a:ext>
          </a:extLst>
        </xdr:cNvPr>
        <xdr:cNvSpPr txBox="1"/>
      </xdr:nvSpPr>
      <xdr:spPr>
        <a:xfrm>
          <a:off x="10714036" y="14347824"/>
          <a:ext cx="9136062" cy="28971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Notes</a:t>
          </a:r>
          <a:endParaRPr lang="en-US">
            <a:effectLst/>
          </a:endParaRPr>
        </a:p>
        <a:p>
          <a:r>
            <a:rPr lang="en-US" sz="1100">
              <a:solidFill>
                <a:schemeClr val="dk1"/>
              </a:solidFill>
              <a:effectLst/>
              <a:latin typeface="+mn-lt"/>
              <a:ea typeface="+mn-ea"/>
              <a:cs typeface="+mn-cs"/>
            </a:rPr>
            <a:t>-You can only choose one (1) center-of-lift</a:t>
          </a:r>
          <a:r>
            <a:rPr lang="en-US" sz="1100" baseline="0">
              <a:solidFill>
                <a:schemeClr val="dk1"/>
              </a:solidFill>
              <a:effectLst/>
              <a:latin typeface="+mn-lt"/>
              <a:ea typeface="+mn-ea"/>
              <a:cs typeface="+mn-cs"/>
            </a:rPr>
            <a:t> location, (x/Lfus)cl in Cell N10 above for s design., i.e. the wing is attached to the fuselage in only one place. This is the purpose of the analysis, i.e. to determine where to attach the wing to the fuselage  or determine the value for (x/Lfus)cl for stability.</a:t>
          </a:r>
          <a:endParaRPr lang="en-US">
            <a:effectLst/>
          </a:endParaRPr>
        </a:p>
        <a:p>
          <a:r>
            <a:rPr lang="en-US" sz="1100" baseline="0">
              <a:solidFill>
                <a:schemeClr val="dk1"/>
              </a:solidFill>
              <a:effectLst/>
              <a:latin typeface="+mn-lt"/>
              <a:ea typeface="+mn-ea"/>
              <a:cs typeface="+mn-cs"/>
            </a:rPr>
            <a:t>-Task at hand:  Select the center-of-lift location that results in acceptable stability coefficients AND trim drag.</a:t>
          </a:r>
          <a:endParaRPr lang="en-US">
            <a:effectLst/>
          </a:endParaRPr>
        </a:p>
        <a:p>
          <a:r>
            <a:rPr lang="en-US" sz="1100" baseline="0">
              <a:solidFill>
                <a:schemeClr val="dk1"/>
              </a:solidFill>
              <a:effectLst/>
              <a:latin typeface="+mn-lt"/>
              <a:ea typeface="+mn-ea"/>
              <a:cs typeface="+mn-cs"/>
            </a:rPr>
            <a:t>-The four plots help demonstrate the relationship amongst the key parameters.</a:t>
          </a:r>
          <a:endParaRPr lang="en-US">
            <a:effectLst/>
          </a:endParaRPr>
        </a:p>
        <a:p>
          <a:r>
            <a:rPr lang="en-US" sz="1100" baseline="0">
              <a:solidFill>
                <a:schemeClr val="dk1"/>
              </a:solidFill>
              <a:effectLst/>
              <a:latin typeface="+mn-lt"/>
              <a:ea typeface="+mn-ea"/>
              <a:cs typeface="+mn-cs"/>
            </a:rPr>
            <a:t>-The plots and the results box above require mutiple Solver runs for a range of Static Margin solutions.</a:t>
          </a:r>
          <a:endParaRPr lang="en-US">
            <a:effectLst/>
          </a:endParaRPr>
        </a:p>
        <a:p>
          <a:r>
            <a:rPr lang="en-US" sz="1100" baseline="0">
              <a:solidFill>
                <a:schemeClr val="dk1"/>
              </a:solidFill>
              <a:effectLst/>
              <a:latin typeface="+mn-lt"/>
              <a:ea typeface="+mn-ea"/>
              <a:cs typeface="+mn-cs"/>
            </a:rPr>
            <a:t>    -Results shown in Cells B93-K99 are for design gross weight.  Each row is a result from one (1) Solver run.  Copy and past results from row 86.</a:t>
          </a:r>
          <a:endParaRPr lang="en-US">
            <a:effectLst/>
          </a:endParaRPr>
        </a:p>
        <a:p>
          <a:r>
            <a:rPr lang="en-US" sz="1100" baseline="0">
              <a:solidFill>
                <a:schemeClr val="dk1"/>
              </a:solidFill>
              <a:effectLst/>
              <a:latin typeface="+mn-lt"/>
              <a:ea typeface="+mn-ea"/>
              <a:cs typeface="+mn-cs"/>
            </a:rPr>
            <a:t>    -Similarly, results shown in Cells B103-K109 are for the design empty weight.  To do these calcualtions the fuel (C49) and payload (c50) must be zero.</a:t>
          </a:r>
          <a:endParaRPr lang="en-US">
            <a:effectLst/>
          </a:endParaRPr>
        </a:p>
        <a:p>
          <a:r>
            <a:rPr lang="en-US" sz="1100" baseline="0">
              <a:solidFill>
                <a:schemeClr val="dk1"/>
              </a:solidFill>
              <a:effectLst/>
              <a:latin typeface="+mn-lt"/>
              <a:ea typeface="+mn-ea"/>
              <a:cs typeface="+mn-cs"/>
            </a:rPr>
            <a:t>    -Each Solver varies the center-of-gravity position, center-of-lift position, wing lift and H-Stab lift such that the moments and forces balance.</a:t>
          </a:r>
          <a:endParaRPr lang="en-US">
            <a:effectLst/>
          </a:endParaRPr>
        </a:p>
        <a:p>
          <a:r>
            <a:rPr lang="en-US" sz="1100" baseline="0">
              <a:solidFill>
                <a:schemeClr val="dk1"/>
              </a:solidFill>
              <a:effectLst/>
              <a:latin typeface="+mn-lt"/>
              <a:ea typeface="+mn-ea"/>
              <a:cs typeface="+mn-cs"/>
            </a:rPr>
            <a:t>    -In addition, the Static Margin is a constraint in the Solver.  By running the Solver for a number of Static Margin values the plots/results are created.</a:t>
          </a:r>
          <a:endParaRPr lang="en-US">
            <a:effectLst/>
          </a:endParaRPr>
        </a:p>
        <a:p>
          <a:r>
            <a:rPr lang="en-US" sz="1100" baseline="0">
              <a:solidFill>
                <a:schemeClr val="dk1"/>
              </a:solidFill>
              <a:effectLst/>
              <a:latin typeface="+mn-lt"/>
              <a:ea typeface="+mn-ea"/>
              <a:cs typeface="+mn-cs"/>
            </a:rPr>
            <a:t>    -Note:  The blue and red curves above must be smooth curves, so the values of Static Margin chosen needs to be careful.</a:t>
          </a:r>
        </a:p>
        <a:p>
          <a:endParaRPr lang="en-US">
            <a:effectLst/>
          </a:endParaRPr>
        </a:p>
        <a:p>
          <a:r>
            <a:rPr lang="en-US" sz="1100" baseline="0">
              <a:solidFill>
                <a:schemeClr val="dk1"/>
              </a:solidFill>
              <a:effectLst/>
              <a:latin typeface="+mn-lt"/>
              <a:ea typeface="+mn-ea"/>
              <a:cs typeface="+mn-cs"/>
            </a:rPr>
            <a:t>Solving Stability Problems</a:t>
          </a:r>
          <a:endParaRPr lang="en-US">
            <a:effectLst/>
          </a:endParaRPr>
        </a:p>
        <a:p>
          <a:r>
            <a:rPr lang="en-US" sz="1100" baseline="0">
              <a:solidFill>
                <a:schemeClr val="dk1"/>
              </a:solidFill>
              <a:effectLst/>
              <a:latin typeface="+mn-lt"/>
              <a:ea typeface="+mn-ea"/>
              <a:cs typeface="+mn-cs"/>
            </a:rPr>
            <a:t>-Longitudinal - Review Corke Sections 11.2.1 and 11.2.6, specifically page 279.  The longitudinal stability problem also involves contraints on trim drag, stall control and spin recovery.</a:t>
          </a:r>
          <a:endParaRPr lang="en-US">
            <a:effectLst/>
          </a:endParaRPr>
        </a:p>
        <a:p>
          <a:r>
            <a:rPr lang="en-US" sz="1100" baseline="0">
              <a:solidFill>
                <a:schemeClr val="dk1"/>
              </a:solidFill>
              <a:effectLst/>
              <a:latin typeface="+mn-lt"/>
              <a:ea typeface="+mn-ea"/>
              <a:cs typeface="+mn-cs"/>
            </a:rPr>
            <a:t>-Directional/Lateral - Review Corke Section 11.2.3, specifically Equation 11.38 through 11.45.   </a:t>
          </a:r>
          <a:endParaRPr lang="en-US">
            <a:effectLst/>
          </a:endParaRPr>
        </a:p>
      </xdr:txBody>
    </xdr:sp>
    <xdr:clientData/>
  </xdr:twoCellAnchor>
  <xdr:twoCellAnchor>
    <xdr:from>
      <xdr:col>33</xdr:col>
      <xdr:colOff>162717</xdr:colOff>
      <xdr:row>44</xdr:row>
      <xdr:rowOff>3968</xdr:rowOff>
    </xdr:from>
    <xdr:to>
      <xdr:col>38</xdr:col>
      <xdr:colOff>130968</xdr:colOff>
      <xdr:row>64</xdr:row>
      <xdr:rowOff>11906</xdr:rowOff>
    </xdr:to>
    <xdr:graphicFrame macro="">
      <xdr:nvGraphicFramePr>
        <xdr:cNvPr id="90" name="Chart 89">
          <a:extLst>
            <a:ext uri="{FF2B5EF4-FFF2-40B4-BE49-F238E27FC236}">
              <a16:creationId xmlns:a16="http://schemas.microsoft.com/office/drawing/2014/main" id="{00000000-0008-0000-09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11905</xdr:colOff>
      <xdr:row>22</xdr:row>
      <xdr:rowOff>150813</xdr:rowOff>
    </xdr:from>
    <xdr:to>
      <xdr:col>33</xdr:col>
      <xdr:colOff>91279</xdr:colOff>
      <xdr:row>43</xdr:row>
      <xdr:rowOff>55561</xdr:rowOff>
    </xdr:to>
    <xdr:graphicFrame macro="">
      <xdr:nvGraphicFramePr>
        <xdr:cNvPr id="91" name="Chart 90">
          <a:extLst>
            <a:ext uri="{FF2B5EF4-FFF2-40B4-BE49-F238E27FC236}">
              <a16:creationId xmlns:a16="http://schemas.microsoft.com/office/drawing/2014/main" id="{00000000-0008-0000-09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33</xdr:col>
      <xdr:colOff>190500</xdr:colOff>
      <xdr:row>23</xdr:row>
      <xdr:rowOff>11906</xdr:rowOff>
    </xdr:from>
    <xdr:to>
      <xdr:col>38</xdr:col>
      <xdr:colOff>111125</xdr:colOff>
      <xdr:row>43</xdr:row>
      <xdr:rowOff>59532</xdr:rowOff>
    </xdr:to>
    <xdr:graphicFrame macro="">
      <xdr:nvGraphicFramePr>
        <xdr:cNvPr id="92" name="Chart 91">
          <a:extLst>
            <a:ext uri="{FF2B5EF4-FFF2-40B4-BE49-F238E27FC236}">
              <a16:creationId xmlns:a16="http://schemas.microsoft.com/office/drawing/2014/main" id="{00000000-0008-0000-09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171978</xdr:colOff>
      <xdr:row>60</xdr:row>
      <xdr:rowOff>260617</xdr:rowOff>
    </xdr:from>
    <xdr:to>
      <xdr:col>20</xdr:col>
      <xdr:colOff>637645</xdr:colOff>
      <xdr:row>67</xdr:row>
      <xdr:rowOff>140228</xdr:rowOff>
    </xdr:to>
    <xdr:sp macro="" textlink="">
      <xdr:nvSpPr>
        <xdr:cNvPr id="93" name="TextBox 92">
          <a:extLst>
            <a:ext uri="{FF2B5EF4-FFF2-40B4-BE49-F238E27FC236}">
              <a16:creationId xmlns:a16="http://schemas.microsoft.com/office/drawing/2014/main" id="{00000000-0008-0000-0900-00005D000000}"/>
            </a:ext>
          </a:extLst>
        </xdr:cNvPr>
        <xdr:cNvSpPr txBox="1"/>
      </xdr:nvSpPr>
      <xdr:spPr>
        <a:xfrm>
          <a:off x="4543953" y="10261867"/>
          <a:ext cx="1075267" cy="11083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IMPORTANT!</a:t>
          </a:r>
        </a:p>
        <a:p>
          <a:r>
            <a:rPr lang="en-US" sz="900"/>
            <a:t>These cells </a:t>
          </a:r>
          <a:r>
            <a:rPr lang="en-US" sz="900" baseline="0"/>
            <a:t>need to be ZERO for a balanced case.</a:t>
          </a:r>
        </a:p>
        <a:p>
          <a:endParaRPr lang="en-US" sz="900" baseline="0"/>
        </a:p>
        <a:p>
          <a:r>
            <a:rPr lang="en-US" sz="1200" b="1" baseline="0"/>
            <a:t>Use Solver!</a:t>
          </a:r>
        </a:p>
        <a:p>
          <a:endParaRPr lang="en-US" sz="1100" baseline="0"/>
        </a:p>
        <a:p>
          <a:endParaRPr lang="en-US" sz="1100" baseline="0"/>
        </a:p>
      </xdr:txBody>
    </xdr:sp>
    <xdr:clientData/>
  </xdr:twoCellAnchor>
  <xdr:twoCellAnchor>
    <xdr:from>
      <xdr:col>25</xdr:col>
      <xdr:colOff>724957</xdr:colOff>
      <xdr:row>194</xdr:row>
      <xdr:rowOff>63499</xdr:rowOff>
    </xdr:from>
    <xdr:to>
      <xdr:col>29</xdr:col>
      <xdr:colOff>363802</xdr:colOff>
      <xdr:row>212</xdr:row>
      <xdr:rowOff>164041</xdr:rowOff>
    </xdr:to>
    <xdr:graphicFrame macro="">
      <xdr:nvGraphicFramePr>
        <xdr:cNvPr id="94" name="Chart 93">
          <a:extLst>
            <a:ext uri="{FF2B5EF4-FFF2-40B4-BE49-F238E27FC236}">
              <a16:creationId xmlns:a16="http://schemas.microsoft.com/office/drawing/2014/main" id="{00000000-0008-0000-09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952500</xdr:colOff>
      <xdr:row>67</xdr:row>
      <xdr:rowOff>142875</xdr:rowOff>
    </xdr:from>
    <xdr:to>
      <xdr:col>19</xdr:col>
      <xdr:colOff>166687</xdr:colOff>
      <xdr:row>69</xdr:row>
      <xdr:rowOff>0</xdr:rowOff>
    </xdr:to>
    <xdr:cxnSp macro="">
      <xdr:nvCxnSpPr>
        <xdr:cNvPr id="95" name="Straight Arrow Connector 94">
          <a:extLst>
            <a:ext uri="{FF2B5EF4-FFF2-40B4-BE49-F238E27FC236}">
              <a16:creationId xmlns:a16="http://schemas.microsoft.com/office/drawing/2014/main" id="{00000000-0008-0000-0900-00005F000000}"/>
            </a:ext>
          </a:extLst>
        </xdr:cNvPr>
        <xdr:cNvCxnSpPr/>
      </xdr:nvCxnSpPr>
      <xdr:spPr bwMode="auto">
        <a:xfrm flipH="1">
          <a:off x="4362450" y="11372850"/>
          <a:ext cx="176212" cy="18097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640557</xdr:colOff>
      <xdr:row>67</xdr:row>
      <xdr:rowOff>140494</xdr:rowOff>
    </xdr:from>
    <xdr:to>
      <xdr:col>21</xdr:col>
      <xdr:colOff>642938</xdr:colOff>
      <xdr:row>68</xdr:row>
      <xdr:rowOff>154782</xdr:rowOff>
    </xdr:to>
    <xdr:cxnSp macro="">
      <xdr:nvCxnSpPr>
        <xdr:cNvPr id="96" name="Straight Arrow Connector 95">
          <a:extLst>
            <a:ext uri="{FF2B5EF4-FFF2-40B4-BE49-F238E27FC236}">
              <a16:creationId xmlns:a16="http://schemas.microsoft.com/office/drawing/2014/main" id="{00000000-0008-0000-0900-000060000000}"/>
            </a:ext>
          </a:extLst>
        </xdr:cNvPr>
        <xdr:cNvCxnSpPr/>
      </xdr:nvCxnSpPr>
      <xdr:spPr bwMode="auto">
        <a:xfrm>
          <a:off x="5622132" y="11370469"/>
          <a:ext cx="735806" cy="176213"/>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130969</xdr:colOff>
      <xdr:row>57</xdr:row>
      <xdr:rowOff>0</xdr:rowOff>
    </xdr:from>
    <xdr:to>
      <xdr:col>22</xdr:col>
      <xdr:colOff>428625</xdr:colOff>
      <xdr:row>61</xdr:row>
      <xdr:rowOff>11906</xdr:rowOff>
    </xdr:to>
    <xdr:cxnSp macro="">
      <xdr:nvCxnSpPr>
        <xdr:cNvPr id="97" name="Straight Arrow Connector 96">
          <a:extLst>
            <a:ext uri="{FF2B5EF4-FFF2-40B4-BE49-F238E27FC236}">
              <a16:creationId xmlns:a16="http://schemas.microsoft.com/office/drawing/2014/main" id="{00000000-0008-0000-0900-000061000000}"/>
            </a:ext>
          </a:extLst>
        </xdr:cNvPr>
        <xdr:cNvCxnSpPr/>
      </xdr:nvCxnSpPr>
      <xdr:spPr bwMode="auto">
        <a:xfrm flipV="1">
          <a:off x="6588919" y="9610725"/>
          <a:ext cx="297656" cy="659606"/>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631031</xdr:colOff>
      <xdr:row>61</xdr:row>
      <xdr:rowOff>11906</xdr:rowOff>
    </xdr:from>
    <xdr:to>
      <xdr:col>22</xdr:col>
      <xdr:colOff>130969</xdr:colOff>
      <xdr:row>61</xdr:row>
      <xdr:rowOff>11906</xdr:rowOff>
    </xdr:to>
    <xdr:cxnSp macro="">
      <xdr:nvCxnSpPr>
        <xdr:cNvPr id="98" name="Straight Connector 97">
          <a:extLst>
            <a:ext uri="{FF2B5EF4-FFF2-40B4-BE49-F238E27FC236}">
              <a16:creationId xmlns:a16="http://schemas.microsoft.com/office/drawing/2014/main" id="{00000000-0008-0000-0900-000062000000}"/>
            </a:ext>
          </a:extLst>
        </xdr:cNvPr>
        <xdr:cNvCxnSpPr/>
      </xdr:nvCxnSpPr>
      <xdr:spPr bwMode="auto">
        <a:xfrm>
          <a:off x="5612606" y="10270331"/>
          <a:ext cx="976313" cy="0"/>
        </a:xfrm>
        <a:prstGeom prst="line">
          <a:avLst/>
        </a:pr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28</xdr:col>
      <xdr:colOff>3968</xdr:colOff>
      <xdr:row>43</xdr:row>
      <xdr:rowOff>154783</xdr:rowOff>
    </xdr:from>
    <xdr:to>
      <xdr:col>33</xdr:col>
      <xdr:colOff>83344</xdr:colOff>
      <xdr:row>64</xdr:row>
      <xdr:rowOff>35719</xdr:rowOff>
    </xdr:to>
    <xdr:graphicFrame macro="">
      <xdr:nvGraphicFramePr>
        <xdr:cNvPr id="99" name="Chart 98">
          <a:extLst>
            <a:ext uri="{FF2B5EF4-FFF2-40B4-BE49-F238E27FC236}">
              <a16:creationId xmlns:a16="http://schemas.microsoft.com/office/drawing/2014/main" id="{00000000-0008-0000-09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27</xdr:col>
      <xdr:colOff>746124</xdr:colOff>
      <xdr:row>64</xdr:row>
      <xdr:rowOff>142874</xdr:rowOff>
    </xdr:from>
    <xdr:to>
      <xdr:col>33</xdr:col>
      <xdr:colOff>71438</xdr:colOff>
      <xdr:row>84</xdr:row>
      <xdr:rowOff>67467</xdr:rowOff>
    </xdr:to>
    <xdr:graphicFrame macro="">
      <xdr:nvGraphicFramePr>
        <xdr:cNvPr id="100" name="Chart 99">
          <a:extLst>
            <a:ext uri="{FF2B5EF4-FFF2-40B4-BE49-F238E27FC236}">
              <a16:creationId xmlns:a16="http://schemas.microsoft.com/office/drawing/2014/main" id="{00000000-0008-0000-09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166685</xdr:colOff>
      <xdr:row>64</xdr:row>
      <xdr:rowOff>115095</xdr:rowOff>
    </xdr:from>
    <xdr:to>
      <xdr:col>38</xdr:col>
      <xdr:colOff>119061</xdr:colOff>
      <xdr:row>84</xdr:row>
      <xdr:rowOff>162720</xdr:rowOff>
    </xdr:to>
    <xdr:graphicFrame macro="">
      <xdr:nvGraphicFramePr>
        <xdr:cNvPr id="101" name="Chart 100">
          <a:extLst>
            <a:ext uri="{FF2B5EF4-FFF2-40B4-BE49-F238E27FC236}">
              <a16:creationId xmlns:a16="http://schemas.microsoft.com/office/drawing/2014/main" id="{00000000-0008-0000-0900-00006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27</xdr:col>
      <xdr:colOff>722311</xdr:colOff>
      <xdr:row>86</xdr:row>
      <xdr:rowOff>31749</xdr:rowOff>
    </xdr:from>
    <xdr:to>
      <xdr:col>37</xdr:col>
      <xdr:colOff>619123</xdr:colOff>
      <xdr:row>103</xdr:row>
      <xdr:rowOff>166687</xdr:rowOff>
    </xdr:to>
    <xdr:sp macro="" textlink="">
      <xdr:nvSpPr>
        <xdr:cNvPr id="102" name="TextBox 101">
          <a:extLst>
            <a:ext uri="{FF2B5EF4-FFF2-40B4-BE49-F238E27FC236}">
              <a16:creationId xmlns:a16="http://schemas.microsoft.com/office/drawing/2014/main" id="{00000000-0008-0000-0900-000066000000}"/>
            </a:ext>
          </a:extLst>
        </xdr:cNvPr>
        <xdr:cNvSpPr txBox="1"/>
      </xdr:nvSpPr>
      <xdr:spPr>
        <a:xfrm>
          <a:off x="10714036" y="14347824"/>
          <a:ext cx="9136062" cy="28971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Notes</a:t>
          </a:r>
          <a:endParaRPr lang="en-US">
            <a:effectLst/>
          </a:endParaRPr>
        </a:p>
        <a:p>
          <a:r>
            <a:rPr lang="en-US" sz="1100">
              <a:solidFill>
                <a:schemeClr val="dk1"/>
              </a:solidFill>
              <a:effectLst/>
              <a:latin typeface="+mn-lt"/>
              <a:ea typeface="+mn-ea"/>
              <a:cs typeface="+mn-cs"/>
            </a:rPr>
            <a:t>-You can only choose one (1) center-of-lift</a:t>
          </a:r>
          <a:r>
            <a:rPr lang="en-US" sz="1100" baseline="0">
              <a:solidFill>
                <a:schemeClr val="dk1"/>
              </a:solidFill>
              <a:effectLst/>
              <a:latin typeface="+mn-lt"/>
              <a:ea typeface="+mn-ea"/>
              <a:cs typeface="+mn-cs"/>
            </a:rPr>
            <a:t> location, (x/Lfus)cl in Cell N10 above for s design., i.e. the wing is attached to the fuselage in only one place. This is the purpose of the analysis, i.e. to determine where to attach the wing to the fuselage  or determine the value for (x/Lfus)cl for stability.</a:t>
          </a:r>
          <a:endParaRPr lang="en-US">
            <a:effectLst/>
          </a:endParaRPr>
        </a:p>
        <a:p>
          <a:r>
            <a:rPr lang="en-US" sz="1100" baseline="0">
              <a:solidFill>
                <a:schemeClr val="dk1"/>
              </a:solidFill>
              <a:effectLst/>
              <a:latin typeface="+mn-lt"/>
              <a:ea typeface="+mn-ea"/>
              <a:cs typeface="+mn-cs"/>
            </a:rPr>
            <a:t>-Task at hand:  Select the center-of-lift location that results in acceptable stability coefficients AND trim drag.</a:t>
          </a:r>
          <a:endParaRPr lang="en-US">
            <a:effectLst/>
          </a:endParaRPr>
        </a:p>
        <a:p>
          <a:r>
            <a:rPr lang="en-US" sz="1100" baseline="0">
              <a:solidFill>
                <a:schemeClr val="dk1"/>
              </a:solidFill>
              <a:effectLst/>
              <a:latin typeface="+mn-lt"/>
              <a:ea typeface="+mn-ea"/>
              <a:cs typeface="+mn-cs"/>
            </a:rPr>
            <a:t>-The four plots help demonstrate the relationship amongst the key parameters.</a:t>
          </a:r>
          <a:endParaRPr lang="en-US">
            <a:effectLst/>
          </a:endParaRPr>
        </a:p>
        <a:p>
          <a:r>
            <a:rPr lang="en-US" sz="1100" baseline="0">
              <a:solidFill>
                <a:schemeClr val="dk1"/>
              </a:solidFill>
              <a:effectLst/>
              <a:latin typeface="+mn-lt"/>
              <a:ea typeface="+mn-ea"/>
              <a:cs typeface="+mn-cs"/>
            </a:rPr>
            <a:t>-The plots and the results box above require mutiple Solver runs for a range of Static Margin solutions.</a:t>
          </a:r>
          <a:endParaRPr lang="en-US">
            <a:effectLst/>
          </a:endParaRPr>
        </a:p>
        <a:p>
          <a:r>
            <a:rPr lang="en-US" sz="1100" baseline="0">
              <a:solidFill>
                <a:schemeClr val="dk1"/>
              </a:solidFill>
              <a:effectLst/>
              <a:latin typeface="+mn-lt"/>
              <a:ea typeface="+mn-ea"/>
              <a:cs typeface="+mn-cs"/>
            </a:rPr>
            <a:t>    -Results shown in Cells B93-K99 are for design gross weight.  Each row is a result from one (1) Solver run.  Copy and past results from row 86.</a:t>
          </a:r>
          <a:endParaRPr lang="en-US">
            <a:effectLst/>
          </a:endParaRPr>
        </a:p>
        <a:p>
          <a:r>
            <a:rPr lang="en-US" sz="1100" baseline="0">
              <a:solidFill>
                <a:schemeClr val="dk1"/>
              </a:solidFill>
              <a:effectLst/>
              <a:latin typeface="+mn-lt"/>
              <a:ea typeface="+mn-ea"/>
              <a:cs typeface="+mn-cs"/>
            </a:rPr>
            <a:t>    -Similarly, results shown in Cells B103-K109 are for the design empty weight.  To do these calcualtions the fuel (C49) and payload (c50) must be zero.</a:t>
          </a:r>
          <a:endParaRPr lang="en-US">
            <a:effectLst/>
          </a:endParaRPr>
        </a:p>
        <a:p>
          <a:r>
            <a:rPr lang="en-US" sz="1100" baseline="0">
              <a:solidFill>
                <a:schemeClr val="dk1"/>
              </a:solidFill>
              <a:effectLst/>
              <a:latin typeface="+mn-lt"/>
              <a:ea typeface="+mn-ea"/>
              <a:cs typeface="+mn-cs"/>
            </a:rPr>
            <a:t>    -Each Solver varies the center-of-gravity position, center-of-lift position, wing lift and H-Stab lift such that the moments and forces balance.</a:t>
          </a:r>
          <a:endParaRPr lang="en-US">
            <a:effectLst/>
          </a:endParaRPr>
        </a:p>
        <a:p>
          <a:r>
            <a:rPr lang="en-US" sz="1100" baseline="0">
              <a:solidFill>
                <a:schemeClr val="dk1"/>
              </a:solidFill>
              <a:effectLst/>
              <a:latin typeface="+mn-lt"/>
              <a:ea typeface="+mn-ea"/>
              <a:cs typeface="+mn-cs"/>
            </a:rPr>
            <a:t>    -In addition, the Static Margin is a constraint in the Solver.  By running the Solver for a number of Static Margin values the plots/results are created.</a:t>
          </a:r>
          <a:endParaRPr lang="en-US">
            <a:effectLst/>
          </a:endParaRPr>
        </a:p>
        <a:p>
          <a:r>
            <a:rPr lang="en-US" sz="1100" baseline="0">
              <a:solidFill>
                <a:schemeClr val="dk1"/>
              </a:solidFill>
              <a:effectLst/>
              <a:latin typeface="+mn-lt"/>
              <a:ea typeface="+mn-ea"/>
              <a:cs typeface="+mn-cs"/>
            </a:rPr>
            <a:t>    -Note:  The blue and red curves above must be smooth curves, so the values of Static Margin chosen needs to be careful.</a:t>
          </a:r>
        </a:p>
        <a:p>
          <a:endParaRPr lang="en-US">
            <a:effectLst/>
          </a:endParaRPr>
        </a:p>
        <a:p>
          <a:r>
            <a:rPr lang="en-US" sz="1100" baseline="0">
              <a:solidFill>
                <a:schemeClr val="dk1"/>
              </a:solidFill>
              <a:effectLst/>
              <a:latin typeface="+mn-lt"/>
              <a:ea typeface="+mn-ea"/>
              <a:cs typeface="+mn-cs"/>
            </a:rPr>
            <a:t>Solving Stability Problems</a:t>
          </a:r>
          <a:endParaRPr lang="en-US">
            <a:effectLst/>
          </a:endParaRPr>
        </a:p>
        <a:p>
          <a:r>
            <a:rPr lang="en-US" sz="1100" baseline="0">
              <a:solidFill>
                <a:schemeClr val="dk1"/>
              </a:solidFill>
              <a:effectLst/>
              <a:latin typeface="+mn-lt"/>
              <a:ea typeface="+mn-ea"/>
              <a:cs typeface="+mn-cs"/>
            </a:rPr>
            <a:t>-Longitudinal - Review Corke Sections 11.2.1 and 11.2.6, specifically page 279.  The longitudinal stability problem also involves contraints on trim drag, stall control and spin recovery.</a:t>
          </a:r>
          <a:endParaRPr lang="en-US">
            <a:effectLst/>
          </a:endParaRPr>
        </a:p>
        <a:p>
          <a:r>
            <a:rPr lang="en-US" sz="1100" baseline="0">
              <a:solidFill>
                <a:schemeClr val="dk1"/>
              </a:solidFill>
              <a:effectLst/>
              <a:latin typeface="+mn-lt"/>
              <a:ea typeface="+mn-ea"/>
              <a:cs typeface="+mn-cs"/>
            </a:rPr>
            <a:t>-Directional/Lateral - Review Corke Section 11.2.3, specifically Equation 11.38 through 11.45.   </a:t>
          </a:r>
          <a:endParaRPr lang="en-US">
            <a:effectLst/>
          </a:endParaRPr>
        </a:p>
      </xdr:txBody>
    </xdr:sp>
    <xdr:clientData/>
  </xdr:twoCellAnchor>
  <xdr:twoCellAnchor>
    <xdr:from>
      <xdr:col>33</xdr:col>
      <xdr:colOff>162717</xdr:colOff>
      <xdr:row>44</xdr:row>
      <xdr:rowOff>3968</xdr:rowOff>
    </xdr:from>
    <xdr:to>
      <xdr:col>38</xdr:col>
      <xdr:colOff>130968</xdr:colOff>
      <xdr:row>64</xdr:row>
      <xdr:rowOff>11906</xdr:rowOff>
    </xdr:to>
    <xdr:graphicFrame macro="">
      <xdr:nvGraphicFramePr>
        <xdr:cNvPr id="103" name="Chart 102">
          <a:extLst>
            <a:ext uri="{FF2B5EF4-FFF2-40B4-BE49-F238E27FC236}">
              <a16:creationId xmlns:a16="http://schemas.microsoft.com/office/drawing/2014/main" id="{00000000-0008-0000-09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11905</xdr:colOff>
      <xdr:row>22</xdr:row>
      <xdr:rowOff>150813</xdr:rowOff>
    </xdr:from>
    <xdr:to>
      <xdr:col>33</xdr:col>
      <xdr:colOff>91279</xdr:colOff>
      <xdr:row>43</xdr:row>
      <xdr:rowOff>55561</xdr:rowOff>
    </xdr:to>
    <xdr:graphicFrame macro="">
      <xdr:nvGraphicFramePr>
        <xdr:cNvPr id="104" name="Chart 103">
          <a:extLst>
            <a:ext uri="{FF2B5EF4-FFF2-40B4-BE49-F238E27FC236}">
              <a16:creationId xmlns:a16="http://schemas.microsoft.com/office/drawing/2014/main" id="{00000000-0008-0000-09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33</xdr:col>
      <xdr:colOff>190500</xdr:colOff>
      <xdr:row>23</xdr:row>
      <xdr:rowOff>11906</xdr:rowOff>
    </xdr:from>
    <xdr:to>
      <xdr:col>38</xdr:col>
      <xdr:colOff>111125</xdr:colOff>
      <xdr:row>43</xdr:row>
      <xdr:rowOff>59532</xdr:rowOff>
    </xdr:to>
    <xdr:graphicFrame macro="">
      <xdr:nvGraphicFramePr>
        <xdr:cNvPr id="105" name="Chart 104">
          <a:extLst>
            <a:ext uri="{FF2B5EF4-FFF2-40B4-BE49-F238E27FC236}">
              <a16:creationId xmlns:a16="http://schemas.microsoft.com/office/drawing/2014/main" id="{00000000-0008-0000-0900-00006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171978</xdr:colOff>
      <xdr:row>60</xdr:row>
      <xdr:rowOff>260617</xdr:rowOff>
    </xdr:from>
    <xdr:to>
      <xdr:col>20</xdr:col>
      <xdr:colOff>637645</xdr:colOff>
      <xdr:row>67</xdr:row>
      <xdr:rowOff>140228</xdr:rowOff>
    </xdr:to>
    <xdr:sp macro="" textlink="">
      <xdr:nvSpPr>
        <xdr:cNvPr id="106" name="TextBox 105">
          <a:extLst>
            <a:ext uri="{FF2B5EF4-FFF2-40B4-BE49-F238E27FC236}">
              <a16:creationId xmlns:a16="http://schemas.microsoft.com/office/drawing/2014/main" id="{00000000-0008-0000-0900-00006A000000}"/>
            </a:ext>
          </a:extLst>
        </xdr:cNvPr>
        <xdr:cNvSpPr txBox="1"/>
      </xdr:nvSpPr>
      <xdr:spPr>
        <a:xfrm>
          <a:off x="4543953" y="9880867"/>
          <a:ext cx="1075267" cy="11083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IMPORTANT!</a:t>
          </a:r>
        </a:p>
        <a:p>
          <a:r>
            <a:rPr lang="en-US" sz="900"/>
            <a:t>These cells </a:t>
          </a:r>
          <a:r>
            <a:rPr lang="en-US" sz="900" baseline="0"/>
            <a:t>need to be ZERO for a balanced case.</a:t>
          </a:r>
        </a:p>
        <a:p>
          <a:endParaRPr lang="en-US" sz="900" baseline="0"/>
        </a:p>
        <a:p>
          <a:r>
            <a:rPr lang="en-US" sz="1200" b="1" baseline="0"/>
            <a:t>Use Solver!</a:t>
          </a:r>
        </a:p>
        <a:p>
          <a:endParaRPr lang="en-US" sz="1100" baseline="0"/>
        </a:p>
        <a:p>
          <a:endParaRPr lang="en-US" sz="1100" baseline="0"/>
        </a:p>
      </xdr:txBody>
    </xdr:sp>
    <xdr:clientData/>
  </xdr:twoCellAnchor>
  <xdr:twoCellAnchor>
    <xdr:from>
      <xdr:col>25</xdr:col>
      <xdr:colOff>724957</xdr:colOff>
      <xdr:row>194</xdr:row>
      <xdr:rowOff>63499</xdr:rowOff>
    </xdr:from>
    <xdr:to>
      <xdr:col>29</xdr:col>
      <xdr:colOff>363802</xdr:colOff>
      <xdr:row>212</xdr:row>
      <xdr:rowOff>164041</xdr:rowOff>
    </xdr:to>
    <xdr:graphicFrame macro="">
      <xdr:nvGraphicFramePr>
        <xdr:cNvPr id="107" name="Chart 106">
          <a:extLst>
            <a:ext uri="{FF2B5EF4-FFF2-40B4-BE49-F238E27FC236}">
              <a16:creationId xmlns:a16="http://schemas.microsoft.com/office/drawing/2014/main" id="{00000000-0008-0000-0900-00006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952500</xdr:colOff>
      <xdr:row>67</xdr:row>
      <xdr:rowOff>142875</xdr:rowOff>
    </xdr:from>
    <xdr:to>
      <xdr:col>19</xdr:col>
      <xdr:colOff>166687</xdr:colOff>
      <xdr:row>69</xdr:row>
      <xdr:rowOff>0</xdr:rowOff>
    </xdr:to>
    <xdr:cxnSp macro="">
      <xdr:nvCxnSpPr>
        <xdr:cNvPr id="108" name="Straight Arrow Connector 107">
          <a:extLst>
            <a:ext uri="{FF2B5EF4-FFF2-40B4-BE49-F238E27FC236}">
              <a16:creationId xmlns:a16="http://schemas.microsoft.com/office/drawing/2014/main" id="{00000000-0008-0000-0900-00006C000000}"/>
            </a:ext>
          </a:extLst>
        </xdr:cNvPr>
        <xdr:cNvCxnSpPr/>
      </xdr:nvCxnSpPr>
      <xdr:spPr bwMode="auto">
        <a:xfrm flipH="1">
          <a:off x="4362450" y="10991850"/>
          <a:ext cx="176212" cy="18097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640557</xdr:colOff>
      <xdr:row>67</xdr:row>
      <xdr:rowOff>140494</xdr:rowOff>
    </xdr:from>
    <xdr:to>
      <xdr:col>21</xdr:col>
      <xdr:colOff>642938</xdr:colOff>
      <xdr:row>68</xdr:row>
      <xdr:rowOff>154782</xdr:rowOff>
    </xdr:to>
    <xdr:cxnSp macro="">
      <xdr:nvCxnSpPr>
        <xdr:cNvPr id="109" name="Straight Arrow Connector 108">
          <a:extLst>
            <a:ext uri="{FF2B5EF4-FFF2-40B4-BE49-F238E27FC236}">
              <a16:creationId xmlns:a16="http://schemas.microsoft.com/office/drawing/2014/main" id="{00000000-0008-0000-0900-00006D000000}"/>
            </a:ext>
          </a:extLst>
        </xdr:cNvPr>
        <xdr:cNvCxnSpPr/>
      </xdr:nvCxnSpPr>
      <xdr:spPr bwMode="auto">
        <a:xfrm>
          <a:off x="5622132" y="10989469"/>
          <a:ext cx="735806" cy="176213"/>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130969</xdr:colOff>
      <xdr:row>57</xdr:row>
      <xdr:rowOff>0</xdr:rowOff>
    </xdr:from>
    <xdr:to>
      <xdr:col>22</xdr:col>
      <xdr:colOff>428625</xdr:colOff>
      <xdr:row>61</xdr:row>
      <xdr:rowOff>11906</xdr:rowOff>
    </xdr:to>
    <xdr:cxnSp macro="">
      <xdr:nvCxnSpPr>
        <xdr:cNvPr id="110" name="Straight Arrow Connector 109">
          <a:extLst>
            <a:ext uri="{FF2B5EF4-FFF2-40B4-BE49-F238E27FC236}">
              <a16:creationId xmlns:a16="http://schemas.microsoft.com/office/drawing/2014/main" id="{00000000-0008-0000-0900-00006E000000}"/>
            </a:ext>
          </a:extLst>
        </xdr:cNvPr>
        <xdr:cNvCxnSpPr/>
      </xdr:nvCxnSpPr>
      <xdr:spPr bwMode="auto">
        <a:xfrm flipV="1">
          <a:off x="6588919" y="9229725"/>
          <a:ext cx="297656" cy="659606"/>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631031</xdr:colOff>
      <xdr:row>61</xdr:row>
      <xdr:rowOff>11906</xdr:rowOff>
    </xdr:from>
    <xdr:to>
      <xdr:col>22</xdr:col>
      <xdr:colOff>130969</xdr:colOff>
      <xdr:row>61</xdr:row>
      <xdr:rowOff>11906</xdr:rowOff>
    </xdr:to>
    <xdr:cxnSp macro="">
      <xdr:nvCxnSpPr>
        <xdr:cNvPr id="111" name="Straight Connector 110">
          <a:extLst>
            <a:ext uri="{FF2B5EF4-FFF2-40B4-BE49-F238E27FC236}">
              <a16:creationId xmlns:a16="http://schemas.microsoft.com/office/drawing/2014/main" id="{00000000-0008-0000-0900-00006F000000}"/>
            </a:ext>
          </a:extLst>
        </xdr:cNvPr>
        <xdr:cNvCxnSpPr/>
      </xdr:nvCxnSpPr>
      <xdr:spPr bwMode="auto">
        <a:xfrm>
          <a:off x="5612606" y="9889331"/>
          <a:ext cx="976313" cy="0"/>
        </a:xfrm>
        <a:prstGeom prst="line">
          <a:avLst/>
        </a:pr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28</xdr:col>
      <xdr:colOff>3968</xdr:colOff>
      <xdr:row>43</xdr:row>
      <xdr:rowOff>154783</xdr:rowOff>
    </xdr:from>
    <xdr:to>
      <xdr:col>33</xdr:col>
      <xdr:colOff>83344</xdr:colOff>
      <xdr:row>64</xdr:row>
      <xdr:rowOff>35719</xdr:rowOff>
    </xdr:to>
    <xdr:graphicFrame macro="">
      <xdr:nvGraphicFramePr>
        <xdr:cNvPr id="112" name="Chart 111">
          <a:extLst>
            <a:ext uri="{FF2B5EF4-FFF2-40B4-BE49-F238E27FC236}">
              <a16:creationId xmlns:a16="http://schemas.microsoft.com/office/drawing/2014/main" id="{00000000-0008-0000-09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27</xdr:col>
      <xdr:colOff>746124</xdr:colOff>
      <xdr:row>64</xdr:row>
      <xdr:rowOff>142874</xdr:rowOff>
    </xdr:from>
    <xdr:to>
      <xdr:col>33</xdr:col>
      <xdr:colOff>71438</xdr:colOff>
      <xdr:row>84</xdr:row>
      <xdr:rowOff>67467</xdr:rowOff>
    </xdr:to>
    <xdr:graphicFrame macro="">
      <xdr:nvGraphicFramePr>
        <xdr:cNvPr id="113" name="Chart 112">
          <a:extLst>
            <a:ext uri="{FF2B5EF4-FFF2-40B4-BE49-F238E27FC236}">
              <a16:creationId xmlns:a16="http://schemas.microsoft.com/office/drawing/2014/main" id="{00000000-0008-0000-09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33</xdr:col>
      <xdr:colOff>166685</xdr:colOff>
      <xdr:row>64</xdr:row>
      <xdr:rowOff>115095</xdr:rowOff>
    </xdr:from>
    <xdr:to>
      <xdr:col>38</xdr:col>
      <xdr:colOff>119061</xdr:colOff>
      <xdr:row>84</xdr:row>
      <xdr:rowOff>162720</xdr:rowOff>
    </xdr:to>
    <xdr:graphicFrame macro="">
      <xdr:nvGraphicFramePr>
        <xdr:cNvPr id="114" name="Chart 113">
          <a:extLst>
            <a:ext uri="{FF2B5EF4-FFF2-40B4-BE49-F238E27FC236}">
              <a16:creationId xmlns:a16="http://schemas.microsoft.com/office/drawing/2014/main" id="{00000000-0008-0000-09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27</xdr:col>
      <xdr:colOff>722311</xdr:colOff>
      <xdr:row>86</xdr:row>
      <xdr:rowOff>31749</xdr:rowOff>
    </xdr:from>
    <xdr:to>
      <xdr:col>37</xdr:col>
      <xdr:colOff>619123</xdr:colOff>
      <xdr:row>103</xdr:row>
      <xdr:rowOff>166687</xdr:rowOff>
    </xdr:to>
    <xdr:sp macro="" textlink="">
      <xdr:nvSpPr>
        <xdr:cNvPr id="115" name="TextBox 114">
          <a:extLst>
            <a:ext uri="{FF2B5EF4-FFF2-40B4-BE49-F238E27FC236}">
              <a16:creationId xmlns:a16="http://schemas.microsoft.com/office/drawing/2014/main" id="{00000000-0008-0000-0900-000073000000}"/>
            </a:ext>
          </a:extLst>
        </xdr:cNvPr>
        <xdr:cNvSpPr txBox="1"/>
      </xdr:nvSpPr>
      <xdr:spPr>
        <a:xfrm>
          <a:off x="10714036" y="13957299"/>
          <a:ext cx="9136062" cy="28876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Notes</a:t>
          </a:r>
          <a:endParaRPr lang="en-US">
            <a:effectLst/>
          </a:endParaRPr>
        </a:p>
        <a:p>
          <a:r>
            <a:rPr lang="en-US" sz="1100">
              <a:solidFill>
                <a:schemeClr val="dk1"/>
              </a:solidFill>
              <a:effectLst/>
              <a:latin typeface="+mn-lt"/>
              <a:ea typeface="+mn-ea"/>
              <a:cs typeface="+mn-cs"/>
            </a:rPr>
            <a:t>-You can only choose one (1) center-of-lift</a:t>
          </a:r>
          <a:r>
            <a:rPr lang="en-US" sz="1100" baseline="0">
              <a:solidFill>
                <a:schemeClr val="dk1"/>
              </a:solidFill>
              <a:effectLst/>
              <a:latin typeface="+mn-lt"/>
              <a:ea typeface="+mn-ea"/>
              <a:cs typeface="+mn-cs"/>
            </a:rPr>
            <a:t> location, (x/Lfus)cl in Cell N10 above for s design., i.e. the wing is attached to the fuselage in only one place. This is the purpose of the analysis, i.e. to determine where to attach the wing to the fuselage  or determine the value for (x/Lfus)cl for stability.</a:t>
          </a:r>
          <a:endParaRPr lang="en-US">
            <a:effectLst/>
          </a:endParaRPr>
        </a:p>
        <a:p>
          <a:r>
            <a:rPr lang="en-US" sz="1100" baseline="0">
              <a:solidFill>
                <a:schemeClr val="dk1"/>
              </a:solidFill>
              <a:effectLst/>
              <a:latin typeface="+mn-lt"/>
              <a:ea typeface="+mn-ea"/>
              <a:cs typeface="+mn-cs"/>
            </a:rPr>
            <a:t>-Task at hand:  Select the center-of-lift location that results in acceptable stability coefficients AND trim drag.</a:t>
          </a:r>
          <a:endParaRPr lang="en-US">
            <a:effectLst/>
          </a:endParaRPr>
        </a:p>
        <a:p>
          <a:r>
            <a:rPr lang="en-US" sz="1100" baseline="0">
              <a:solidFill>
                <a:schemeClr val="dk1"/>
              </a:solidFill>
              <a:effectLst/>
              <a:latin typeface="+mn-lt"/>
              <a:ea typeface="+mn-ea"/>
              <a:cs typeface="+mn-cs"/>
            </a:rPr>
            <a:t>-The four plots help demonstrate the relationship amongst the key parameters.</a:t>
          </a:r>
          <a:endParaRPr lang="en-US">
            <a:effectLst/>
          </a:endParaRPr>
        </a:p>
        <a:p>
          <a:r>
            <a:rPr lang="en-US" sz="1100" baseline="0">
              <a:solidFill>
                <a:schemeClr val="dk1"/>
              </a:solidFill>
              <a:effectLst/>
              <a:latin typeface="+mn-lt"/>
              <a:ea typeface="+mn-ea"/>
              <a:cs typeface="+mn-cs"/>
            </a:rPr>
            <a:t>-The plots and the results box above require mutiple Solver runs for a range of Static Margin solutions.</a:t>
          </a:r>
          <a:endParaRPr lang="en-US">
            <a:effectLst/>
          </a:endParaRPr>
        </a:p>
        <a:p>
          <a:r>
            <a:rPr lang="en-US" sz="1100" baseline="0">
              <a:solidFill>
                <a:schemeClr val="dk1"/>
              </a:solidFill>
              <a:effectLst/>
              <a:latin typeface="+mn-lt"/>
              <a:ea typeface="+mn-ea"/>
              <a:cs typeface="+mn-cs"/>
            </a:rPr>
            <a:t>    -Results shown in Cells B93-K99 are for design gross weight.  Each row is a result from one (1) Solver run.  Copy and past results from row 86.</a:t>
          </a:r>
          <a:endParaRPr lang="en-US">
            <a:effectLst/>
          </a:endParaRPr>
        </a:p>
        <a:p>
          <a:r>
            <a:rPr lang="en-US" sz="1100" baseline="0">
              <a:solidFill>
                <a:schemeClr val="dk1"/>
              </a:solidFill>
              <a:effectLst/>
              <a:latin typeface="+mn-lt"/>
              <a:ea typeface="+mn-ea"/>
              <a:cs typeface="+mn-cs"/>
            </a:rPr>
            <a:t>    -Similarly, results shown in Cells B103-K109 are for the design empty weight.  To do these calcualtions the fuel (C49) and payload (c50) must be zero.</a:t>
          </a:r>
          <a:endParaRPr lang="en-US">
            <a:effectLst/>
          </a:endParaRPr>
        </a:p>
        <a:p>
          <a:r>
            <a:rPr lang="en-US" sz="1100" baseline="0">
              <a:solidFill>
                <a:schemeClr val="dk1"/>
              </a:solidFill>
              <a:effectLst/>
              <a:latin typeface="+mn-lt"/>
              <a:ea typeface="+mn-ea"/>
              <a:cs typeface="+mn-cs"/>
            </a:rPr>
            <a:t>    -Each Solver varies the center-of-gravity position, center-of-lift position, wing lift and H-Stab lift such that the moments and forces balance.</a:t>
          </a:r>
          <a:endParaRPr lang="en-US">
            <a:effectLst/>
          </a:endParaRPr>
        </a:p>
        <a:p>
          <a:r>
            <a:rPr lang="en-US" sz="1100" baseline="0">
              <a:solidFill>
                <a:schemeClr val="dk1"/>
              </a:solidFill>
              <a:effectLst/>
              <a:latin typeface="+mn-lt"/>
              <a:ea typeface="+mn-ea"/>
              <a:cs typeface="+mn-cs"/>
            </a:rPr>
            <a:t>    -In addition, the Static Margin is a constraint in the Solver.  By running the Solver for a number of Static Margin values the plots/results are created.</a:t>
          </a:r>
          <a:endParaRPr lang="en-US">
            <a:effectLst/>
          </a:endParaRPr>
        </a:p>
        <a:p>
          <a:r>
            <a:rPr lang="en-US" sz="1100" baseline="0">
              <a:solidFill>
                <a:schemeClr val="dk1"/>
              </a:solidFill>
              <a:effectLst/>
              <a:latin typeface="+mn-lt"/>
              <a:ea typeface="+mn-ea"/>
              <a:cs typeface="+mn-cs"/>
            </a:rPr>
            <a:t>    -Note:  The blue and red curves above must be smooth curves, so the values of Static Margin chosen needs to be careful.</a:t>
          </a:r>
        </a:p>
        <a:p>
          <a:endParaRPr lang="en-US">
            <a:effectLst/>
          </a:endParaRPr>
        </a:p>
        <a:p>
          <a:r>
            <a:rPr lang="en-US" sz="1100" baseline="0">
              <a:solidFill>
                <a:schemeClr val="dk1"/>
              </a:solidFill>
              <a:effectLst/>
              <a:latin typeface="+mn-lt"/>
              <a:ea typeface="+mn-ea"/>
              <a:cs typeface="+mn-cs"/>
            </a:rPr>
            <a:t>Solving Stability Problems</a:t>
          </a:r>
          <a:endParaRPr lang="en-US">
            <a:effectLst/>
          </a:endParaRPr>
        </a:p>
        <a:p>
          <a:r>
            <a:rPr lang="en-US" sz="1100" baseline="0">
              <a:solidFill>
                <a:schemeClr val="dk1"/>
              </a:solidFill>
              <a:effectLst/>
              <a:latin typeface="+mn-lt"/>
              <a:ea typeface="+mn-ea"/>
              <a:cs typeface="+mn-cs"/>
            </a:rPr>
            <a:t>-Longitudinal - Review Corke Sections 11.2.1 and 11.2.6, specifically page 279.  The longitudinal stability problem also involves contraints on trim drag, stall control and spin recovery.</a:t>
          </a:r>
          <a:endParaRPr lang="en-US">
            <a:effectLst/>
          </a:endParaRPr>
        </a:p>
        <a:p>
          <a:r>
            <a:rPr lang="en-US" sz="1100" baseline="0">
              <a:solidFill>
                <a:schemeClr val="dk1"/>
              </a:solidFill>
              <a:effectLst/>
              <a:latin typeface="+mn-lt"/>
              <a:ea typeface="+mn-ea"/>
              <a:cs typeface="+mn-cs"/>
            </a:rPr>
            <a:t>-Directional/Lateral - Review Corke Section 11.2.3, specifically Equation 11.38 through 11.45.   </a:t>
          </a:r>
          <a:endParaRPr lang="en-US">
            <a:effectLst/>
          </a:endParaRPr>
        </a:p>
      </xdr:txBody>
    </xdr:sp>
    <xdr:clientData/>
  </xdr:twoCellAnchor>
  <xdr:twoCellAnchor>
    <xdr:from>
      <xdr:col>33</xdr:col>
      <xdr:colOff>162717</xdr:colOff>
      <xdr:row>44</xdr:row>
      <xdr:rowOff>3968</xdr:rowOff>
    </xdr:from>
    <xdr:to>
      <xdr:col>38</xdr:col>
      <xdr:colOff>130968</xdr:colOff>
      <xdr:row>64</xdr:row>
      <xdr:rowOff>11906</xdr:rowOff>
    </xdr:to>
    <xdr:graphicFrame macro="">
      <xdr:nvGraphicFramePr>
        <xdr:cNvPr id="116" name="Chart 115">
          <a:extLst>
            <a:ext uri="{FF2B5EF4-FFF2-40B4-BE49-F238E27FC236}">
              <a16:creationId xmlns:a16="http://schemas.microsoft.com/office/drawing/2014/main" id="{00000000-0008-0000-0900-00007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28</xdr:col>
      <xdr:colOff>11905</xdr:colOff>
      <xdr:row>22</xdr:row>
      <xdr:rowOff>150813</xdr:rowOff>
    </xdr:from>
    <xdr:to>
      <xdr:col>33</xdr:col>
      <xdr:colOff>91279</xdr:colOff>
      <xdr:row>43</xdr:row>
      <xdr:rowOff>55561</xdr:rowOff>
    </xdr:to>
    <xdr:graphicFrame macro="">
      <xdr:nvGraphicFramePr>
        <xdr:cNvPr id="117" name="Chart 116">
          <a:extLst>
            <a:ext uri="{FF2B5EF4-FFF2-40B4-BE49-F238E27FC236}">
              <a16:creationId xmlns:a16="http://schemas.microsoft.com/office/drawing/2014/main" id="{00000000-0008-0000-0900-00007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33</xdr:col>
      <xdr:colOff>190500</xdr:colOff>
      <xdr:row>23</xdr:row>
      <xdr:rowOff>11906</xdr:rowOff>
    </xdr:from>
    <xdr:to>
      <xdr:col>38</xdr:col>
      <xdr:colOff>111125</xdr:colOff>
      <xdr:row>43</xdr:row>
      <xdr:rowOff>59532</xdr:rowOff>
    </xdr:to>
    <xdr:graphicFrame macro="">
      <xdr:nvGraphicFramePr>
        <xdr:cNvPr id="118" name="Chart 117">
          <a:extLst>
            <a:ext uri="{FF2B5EF4-FFF2-40B4-BE49-F238E27FC236}">
              <a16:creationId xmlns:a16="http://schemas.microsoft.com/office/drawing/2014/main" id="{00000000-0008-0000-0900-00007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619125</xdr:colOff>
      <xdr:row>18</xdr:row>
      <xdr:rowOff>38100</xdr:rowOff>
    </xdr:from>
    <xdr:to>
      <xdr:col>9</xdr:col>
      <xdr:colOff>1190625</xdr:colOff>
      <xdr:row>36</xdr:row>
      <xdr:rowOff>9525</xdr:rowOff>
    </xdr:to>
    <xdr:graphicFrame macro="">
      <xdr:nvGraphicFramePr>
        <xdr:cNvPr id="2" name="Chart 3">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1323975</xdr:colOff>
      <xdr:row>18</xdr:row>
      <xdr:rowOff>44450</xdr:rowOff>
    </xdr:from>
    <xdr:to>
      <xdr:col>13</xdr:col>
      <xdr:colOff>396875</xdr:colOff>
      <xdr:row>36</xdr:row>
      <xdr:rowOff>47625</xdr:rowOff>
    </xdr:to>
    <xdr:graphicFrame macro="">
      <xdr:nvGraphicFramePr>
        <xdr:cNvPr id="3" name="Chart 4">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437092</xdr:colOff>
      <xdr:row>127</xdr:row>
      <xdr:rowOff>130175</xdr:rowOff>
    </xdr:from>
    <xdr:to>
      <xdr:col>10</xdr:col>
      <xdr:colOff>208492</xdr:colOff>
      <xdr:row>133</xdr:row>
      <xdr:rowOff>111125</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6702425" y="20513675"/>
          <a:ext cx="332740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p>
        <a:p>
          <a:r>
            <a:rPr lang="en-US" sz="1100"/>
            <a:t>For large Delta</a:t>
          </a:r>
          <a:r>
            <a:rPr lang="en-US" sz="1100" baseline="0"/>
            <a:t> ($) and </a:t>
          </a:r>
          <a:r>
            <a:rPr lang="en-US" sz="1100"/>
            <a:t>Delta% between the two Cost models, one should investigate to</a:t>
          </a:r>
          <a:r>
            <a:rPr lang="en-US" sz="1100" baseline="0"/>
            <a:t> see which model makes more sense, if any.</a:t>
          </a:r>
          <a:endParaRPr lang="en-US" sz="1100"/>
        </a:p>
      </xdr:txBody>
    </xdr:sp>
    <xdr:clientData/>
  </xdr:twoCellAnchor>
  <xdr:twoCellAnchor>
    <xdr:from>
      <xdr:col>14</xdr:col>
      <xdr:colOff>409044</xdr:colOff>
      <xdr:row>40</xdr:row>
      <xdr:rowOff>108743</xdr:rowOff>
    </xdr:from>
    <xdr:to>
      <xdr:col>20</xdr:col>
      <xdr:colOff>193144</xdr:colOff>
      <xdr:row>48</xdr:row>
      <xdr:rowOff>91281</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13039194" y="6747668"/>
          <a:ext cx="3441700" cy="12779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For</a:t>
          </a:r>
          <a:r>
            <a:rPr lang="en-US" sz="1200" baseline="0"/>
            <a:t> example in January:</a:t>
          </a:r>
        </a:p>
        <a:p>
          <a:endParaRPr lang="en-US" sz="1200" baseline="0"/>
        </a:p>
        <a:p>
          <a:r>
            <a:rPr lang="en-US" sz="1200" baseline="0"/>
            <a:t>CPI (70-98) = 161.6/37.8 = 4.275  (Corke uses 3.95)</a:t>
          </a:r>
        </a:p>
        <a:p>
          <a:r>
            <a:rPr lang="en-US" sz="1200" baseline="0"/>
            <a:t>CPI (86-98) = 161.6/109.6 =  1.474  (Corke uses 1.49)</a:t>
          </a:r>
          <a:endParaRPr lang="en-US" sz="1200"/>
        </a:p>
      </xdr:txBody>
    </xdr:sp>
    <xdr:clientData/>
  </xdr:twoCellAnchor>
  <xdr:twoCellAnchor editAs="oneCell">
    <xdr:from>
      <xdr:col>5</xdr:col>
      <xdr:colOff>931333</xdr:colOff>
      <xdr:row>39</xdr:row>
      <xdr:rowOff>137583</xdr:rowOff>
    </xdr:from>
    <xdr:to>
      <xdr:col>12</xdr:col>
      <xdr:colOff>472017</xdr:colOff>
      <xdr:row>84</xdr:row>
      <xdr:rowOff>28575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3"/>
        <a:srcRect l="16821" t="17145" r="59813" b="9990"/>
        <a:stretch/>
      </xdr:blipFill>
      <xdr:spPr>
        <a:xfrm>
          <a:off x="5627158" y="6614583"/>
          <a:ext cx="6579659" cy="7215717"/>
        </a:xfrm>
        <a:prstGeom prst="rect">
          <a:avLst/>
        </a:prstGeom>
      </xdr:spPr>
    </xdr:pic>
    <xdr:clientData/>
  </xdr:twoCellAnchor>
  <xdr:twoCellAnchor>
    <xdr:from>
      <xdr:col>12</xdr:col>
      <xdr:colOff>550333</xdr:colOff>
      <xdr:row>4</xdr:row>
      <xdr:rowOff>21167</xdr:rowOff>
    </xdr:from>
    <xdr:to>
      <xdr:col>19</xdr:col>
      <xdr:colOff>285750</xdr:colOff>
      <xdr:row>15</xdr:row>
      <xdr:rowOff>74083</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1980333" y="740834"/>
          <a:ext cx="4032250" cy="18414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Which CER is best to use?  1970 or 1986?</a:t>
          </a:r>
        </a:p>
        <a:p>
          <a:r>
            <a:rPr lang="en-US" sz="1100"/>
            <a:t>-Both</a:t>
          </a:r>
          <a:r>
            <a:rPr lang="en-US" sz="1100" baseline="0"/>
            <a:t> are valid.</a:t>
          </a:r>
        </a:p>
        <a:p>
          <a:r>
            <a:rPr lang="en-US" sz="1100" baseline="0"/>
            <a:t>-One interpretation is to assume that the difference in cost values for the 1970 CER's and the 1986 CER's is a statistical prediction interval, i.e. the real answer is likely to fall somewhere between the two predictions.</a:t>
          </a:r>
        </a:p>
        <a:p>
          <a:r>
            <a:rPr lang="en-US" sz="1100" baseline="0"/>
            <a:t>-You should work to have your design requirement cost be within the range on BOTH Initial Unit Cost and Markup.</a:t>
          </a:r>
        </a:p>
        <a:p>
          <a:r>
            <a:rPr lang="en-US" sz="1100" baseline="0"/>
            <a:t>-The closer you can get to the Lower CER value implies a low risk design.</a:t>
          </a:r>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451080</xdr:colOff>
      <xdr:row>4</xdr:row>
      <xdr:rowOff>152060</xdr:rowOff>
    </xdr:from>
    <xdr:to>
      <xdr:col>19</xdr:col>
      <xdr:colOff>435429</xdr:colOff>
      <xdr:row>35</xdr:row>
      <xdr:rowOff>120762</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462646</xdr:colOff>
      <xdr:row>4</xdr:row>
      <xdr:rowOff>136071</xdr:rowOff>
    </xdr:from>
    <xdr:to>
      <xdr:col>35</xdr:col>
      <xdr:colOff>446994</xdr:colOff>
      <xdr:row>35</xdr:row>
      <xdr:rowOff>104773</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462644</xdr:colOff>
      <xdr:row>4</xdr:row>
      <xdr:rowOff>136071</xdr:rowOff>
    </xdr:from>
    <xdr:to>
      <xdr:col>27</xdr:col>
      <xdr:colOff>446993</xdr:colOff>
      <xdr:row>35</xdr:row>
      <xdr:rowOff>104773</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9.109375" defaultRowHeight="14.4"/>
  <cols>
    <col min="1" max="16384" width="9.109375" style="21"/>
  </cols>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4:C13"/>
  <sheetViews>
    <sheetView workbookViewId="0"/>
  </sheetViews>
  <sheetFormatPr defaultColWidth="9.109375" defaultRowHeight="13.2"/>
  <cols>
    <col min="1" max="1" width="9.109375" style="303"/>
    <col min="2" max="2" width="26.33203125" style="303" bestFit="1" customWidth="1"/>
    <col min="3" max="3" width="115.77734375" style="1226" customWidth="1"/>
    <col min="4" max="16384" width="9.109375" style="303"/>
  </cols>
  <sheetData>
    <row r="4" spans="2:3">
      <c r="B4" s="1216" t="s">
        <v>2583</v>
      </c>
      <c r="C4" s="1217" t="s">
        <v>2541</v>
      </c>
    </row>
    <row r="5" spans="2:3">
      <c r="B5" s="1218"/>
      <c r="C5" s="1219"/>
    </row>
    <row r="6" spans="2:3" ht="26.4">
      <c r="B6" s="1220" t="s">
        <v>2584</v>
      </c>
      <c r="C6" s="1221" t="s">
        <v>2585</v>
      </c>
    </row>
    <row r="7" spans="2:3">
      <c r="B7" s="1218"/>
      <c r="C7" s="1219"/>
    </row>
    <row r="8" spans="2:3" ht="26.4">
      <c r="B8" s="1222" t="s">
        <v>2586</v>
      </c>
      <c r="C8" s="1223" t="s">
        <v>2587</v>
      </c>
    </row>
    <row r="10" spans="2:3">
      <c r="B10" s="1224" t="s">
        <v>2588</v>
      </c>
      <c r="C10" s="1225" t="s">
        <v>2589</v>
      </c>
    </row>
    <row r="11" spans="2:3" ht="13.8" thickBot="1"/>
    <row r="12" spans="2:3" ht="14.4" thickTop="1" thickBot="1">
      <c r="B12" s="1227" t="s">
        <v>2590</v>
      </c>
      <c r="C12" s="1228" t="s">
        <v>2591</v>
      </c>
    </row>
    <row r="13" spans="2:3" ht="13.8" thickTop="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O143"/>
  <sheetViews>
    <sheetView topLeftCell="F1" zoomScale="70" zoomScaleNormal="70" workbookViewId="0">
      <pane ySplit="9576" topLeftCell="A141"/>
      <selection activeCell="I18" sqref="I18"/>
      <selection pane="bottomLeft" activeCell="D148" sqref="D148"/>
    </sheetView>
  </sheetViews>
  <sheetFormatPr defaultColWidth="9.109375" defaultRowHeight="14.4"/>
  <cols>
    <col min="1" max="1" width="9.109375" style="360"/>
    <col min="2" max="2" width="9.109375" style="359"/>
    <col min="3" max="3" width="43" style="367" customWidth="1"/>
    <col min="4" max="4" width="19.44140625" style="360" bestFit="1" customWidth="1"/>
    <col min="5" max="5" width="8.6640625" style="361" bestFit="1" customWidth="1"/>
    <col min="6" max="6" width="46.109375" style="360" customWidth="1"/>
    <col min="7" max="7" width="22.109375" style="362" bestFit="1" customWidth="1"/>
    <col min="8" max="8" width="8.33203125" style="360" bestFit="1" customWidth="1"/>
    <col min="9" max="9" width="45" style="360" customWidth="1"/>
    <col min="10" max="10" width="11.44140625" style="360" bestFit="1" customWidth="1"/>
    <col min="11" max="12" width="9.109375" style="360"/>
    <col min="13" max="14" width="6.33203125" style="360" bestFit="1" customWidth="1"/>
    <col min="15" max="15" width="8.109375" style="360" bestFit="1" customWidth="1"/>
    <col min="16" max="16384" width="9.109375" style="360"/>
  </cols>
  <sheetData>
    <row r="2" spans="2:15" ht="21">
      <c r="C2" s="1016" t="s">
        <v>1028</v>
      </c>
    </row>
    <row r="3" spans="2:15" ht="18.600000000000001" thickBot="1">
      <c r="C3" s="1017" t="s">
        <v>1029</v>
      </c>
    </row>
    <row r="4" spans="2:15" ht="18">
      <c r="C4" s="363"/>
      <c r="K4" s="364" t="s">
        <v>1030</v>
      </c>
      <c r="L4" s="365"/>
      <c r="M4" s="365"/>
      <c r="N4" s="365"/>
      <c r="O4" s="366"/>
    </row>
    <row r="5" spans="2:15">
      <c r="H5" s="362"/>
      <c r="K5" s="368" t="s">
        <v>1031</v>
      </c>
      <c r="L5" s="369" t="s">
        <v>1032</v>
      </c>
      <c r="M5" s="369" t="s">
        <v>1033</v>
      </c>
      <c r="N5" s="369" t="s">
        <v>1034</v>
      </c>
      <c r="O5" s="370" t="s">
        <v>1035</v>
      </c>
    </row>
    <row r="6" spans="2:15">
      <c r="H6" s="362"/>
      <c r="K6" s="371">
        <v>1</v>
      </c>
      <c r="L6" s="372">
        <f>1</f>
        <v>1</v>
      </c>
      <c r="M6" s="373">
        <f>COUNTIF($H11,"Y")/$L6</f>
        <v>0</v>
      </c>
      <c r="N6" s="373">
        <f>COUNTIF($H11,"N")/$L6</f>
        <v>1</v>
      </c>
      <c r="O6" s="374">
        <f>1-M6-N6</f>
        <v>0</v>
      </c>
    </row>
    <row r="7" spans="2:15" ht="15.6">
      <c r="C7" s="375"/>
      <c r="H7" s="362"/>
      <c r="K7" s="371">
        <v>2</v>
      </c>
      <c r="L7" s="372">
        <f>COUNTA(H13:H21)</f>
        <v>9</v>
      </c>
      <c r="M7" s="373">
        <f>COUNTIF($H13:$H21,"Y")/L7</f>
        <v>0.55555555555555558</v>
      </c>
      <c r="N7" s="373">
        <f>COUNTIF($H13:$H21,"N")/L7</f>
        <v>0.33333333333333331</v>
      </c>
      <c r="O7" s="374">
        <f t="shared" ref="O7:O20" si="0">1-M7-N7</f>
        <v>0.1111111111111111</v>
      </c>
    </row>
    <row r="8" spans="2:15">
      <c r="B8" s="359" t="s">
        <v>732</v>
      </c>
      <c r="D8" s="360" t="s">
        <v>732</v>
      </c>
      <c r="F8" s="376" t="s">
        <v>1037</v>
      </c>
      <c r="G8" s="362" t="s">
        <v>777</v>
      </c>
      <c r="H8" s="360" t="s">
        <v>777</v>
      </c>
      <c r="K8" s="371">
        <v>3</v>
      </c>
      <c r="L8" s="372">
        <f>COUNTA(H23:H29)</f>
        <v>7</v>
      </c>
      <c r="M8" s="373">
        <f>COUNTIF($H23:$H29,"Y")/L8</f>
        <v>0.5714285714285714</v>
      </c>
      <c r="N8" s="373">
        <f>COUNTIF($H23:$H29,"N")/L8</f>
        <v>0</v>
      </c>
      <c r="O8" s="374">
        <f t="shared" si="0"/>
        <v>0.4285714285714286</v>
      </c>
    </row>
    <row r="9" spans="2:15">
      <c r="B9" s="377" t="s">
        <v>1031</v>
      </c>
      <c r="C9" s="378" t="s">
        <v>2541</v>
      </c>
      <c r="D9" s="379" t="s">
        <v>776</v>
      </c>
      <c r="E9" s="380" t="s">
        <v>1038</v>
      </c>
      <c r="F9" s="379" t="s">
        <v>1039</v>
      </c>
      <c r="G9" s="381" t="s">
        <v>91</v>
      </c>
      <c r="H9" s="381" t="s">
        <v>1040</v>
      </c>
      <c r="I9" s="379" t="s">
        <v>1041</v>
      </c>
      <c r="K9" s="371">
        <v>4</v>
      </c>
      <c r="L9" s="372">
        <f>COUNTA(H31:H41)</f>
        <v>11</v>
      </c>
      <c r="M9" s="373">
        <f>COUNTIF($H31:$H41,"Y")/$L9</f>
        <v>0.36363636363636365</v>
      </c>
      <c r="N9" s="373">
        <f>COUNTIF($H31:$H41,"N")/$L9</f>
        <v>0.36363636363636365</v>
      </c>
      <c r="O9" s="374">
        <f t="shared" si="0"/>
        <v>0.27272727272727271</v>
      </c>
    </row>
    <row r="10" spans="2:15">
      <c r="B10" s="377"/>
      <c r="C10" s="378"/>
      <c r="D10" s="379"/>
      <c r="E10" s="380"/>
      <c r="F10" s="379"/>
      <c r="G10" s="381"/>
      <c r="H10" s="381"/>
      <c r="K10" s="371">
        <v>5</v>
      </c>
      <c r="L10" s="372">
        <f>COUNTA(H43:H77)</f>
        <v>35</v>
      </c>
      <c r="M10" s="373">
        <f>COUNTIF($H43:$H77,"Y")/$L10</f>
        <v>0.34285714285714286</v>
      </c>
      <c r="N10" s="373">
        <f>COUNTIF($H43:$H77,"N")/$L10</f>
        <v>0.14285714285714285</v>
      </c>
      <c r="O10" s="374">
        <f t="shared" si="0"/>
        <v>0.51428571428571423</v>
      </c>
    </row>
    <row r="11" spans="2:15">
      <c r="B11" s="359">
        <v>1</v>
      </c>
      <c r="C11" s="367" t="s">
        <v>1042</v>
      </c>
      <c r="D11" s="360" t="s">
        <v>1043</v>
      </c>
      <c r="E11" s="361">
        <v>6</v>
      </c>
      <c r="F11" s="862" t="s">
        <v>1044</v>
      </c>
      <c r="G11" s="863">
        <v>5.9</v>
      </c>
      <c r="H11" s="862" t="s">
        <v>1045</v>
      </c>
      <c r="I11" s="360" t="s">
        <v>1046</v>
      </c>
      <c r="K11" s="371">
        <v>6</v>
      </c>
      <c r="L11" s="372">
        <f>COUNTA(H79:H100)</f>
        <v>22</v>
      </c>
      <c r="M11" s="373">
        <f>COUNTIF($H79:$H100,"Y")/$L11</f>
        <v>0.5</v>
      </c>
      <c r="N11" s="373">
        <f>COUNTIF($H79:$H100,"N")/$L11</f>
        <v>9.0909090909090912E-2</v>
      </c>
      <c r="O11" s="374">
        <f t="shared" si="0"/>
        <v>0.40909090909090906</v>
      </c>
    </row>
    <row r="12" spans="2:15">
      <c r="F12" s="864"/>
      <c r="G12" s="865"/>
      <c r="H12" s="864"/>
      <c r="K12" s="371">
        <v>7</v>
      </c>
      <c r="L12" s="372">
        <f>COUNTA(H102:H106)</f>
        <v>5</v>
      </c>
      <c r="M12" s="373">
        <f>COUNTIF(H102:H106,"Y")/$L12</f>
        <v>0.6</v>
      </c>
      <c r="N12" s="373">
        <f>COUNTIF(H102:H106,"N")/$L12</f>
        <v>0</v>
      </c>
      <c r="O12" s="374">
        <f t="shared" si="0"/>
        <v>0.4</v>
      </c>
    </row>
    <row r="13" spans="2:15">
      <c r="B13" s="359">
        <v>2</v>
      </c>
      <c r="C13" s="367" t="s">
        <v>1047</v>
      </c>
      <c r="D13" s="360" t="s">
        <v>1048</v>
      </c>
      <c r="E13" s="361">
        <v>24</v>
      </c>
      <c r="F13" s="864" t="s">
        <v>1049</v>
      </c>
      <c r="G13" s="863">
        <v>0.97499999999999998</v>
      </c>
      <c r="H13" s="862" t="s">
        <v>1050</v>
      </c>
      <c r="K13" s="371">
        <v>8</v>
      </c>
      <c r="L13" s="372">
        <f>COUNTA(H108:H121)</f>
        <v>14</v>
      </c>
      <c r="M13" s="373">
        <f>COUNTIF(H108:H121,"Y")/$L13</f>
        <v>0.7857142857142857</v>
      </c>
      <c r="N13" s="373">
        <f>COUNTIF(H108:H121,"N")/$L13</f>
        <v>0</v>
      </c>
      <c r="O13" s="374">
        <f t="shared" si="0"/>
        <v>0.2142857142857143</v>
      </c>
    </row>
    <row r="14" spans="2:15">
      <c r="B14" s="359">
        <v>2</v>
      </c>
      <c r="C14" s="367" t="s">
        <v>1051</v>
      </c>
      <c r="D14" s="360" t="s">
        <v>1052</v>
      </c>
      <c r="E14" s="361">
        <v>26</v>
      </c>
      <c r="F14" s="862" t="s">
        <v>1053</v>
      </c>
      <c r="G14" s="863" t="s">
        <v>1054</v>
      </c>
      <c r="H14" s="862" t="s">
        <v>1045</v>
      </c>
      <c r="I14" s="360" t="s">
        <v>1055</v>
      </c>
      <c r="K14" s="371">
        <v>9</v>
      </c>
      <c r="L14" s="372">
        <v>1</v>
      </c>
      <c r="M14" s="373">
        <f>COUNTIF(H123,"Y")/$L14</f>
        <v>0</v>
      </c>
      <c r="N14" s="373">
        <f>COUNTIF(H123,"N")/$L14</f>
        <v>0</v>
      </c>
      <c r="O14" s="374">
        <f t="shared" si="0"/>
        <v>1</v>
      </c>
    </row>
    <row r="15" spans="2:15">
      <c r="B15" s="359">
        <v>2</v>
      </c>
      <c r="C15" s="367" t="s">
        <v>1056</v>
      </c>
      <c r="D15" s="360" t="s">
        <v>1057</v>
      </c>
      <c r="E15" s="361">
        <v>26</v>
      </c>
      <c r="F15" s="864" t="s">
        <v>1058</v>
      </c>
      <c r="G15" s="863" t="s">
        <v>1058</v>
      </c>
      <c r="H15" s="862" t="s">
        <v>1050</v>
      </c>
      <c r="K15" s="371">
        <v>10</v>
      </c>
      <c r="L15" s="372">
        <f>COUNTA(H125:H130)</f>
        <v>6</v>
      </c>
      <c r="M15" s="373">
        <f>COUNTIF(H125:H130,"Y")/$L15</f>
        <v>0.5</v>
      </c>
      <c r="N15" s="373">
        <f>COUNTIF(H125:H130,"N")/$L15</f>
        <v>0</v>
      </c>
      <c r="O15" s="374">
        <f t="shared" si="0"/>
        <v>0.5</v>
      </c>
    </row>
    <row r="16" spans="2:15">
      <c r="B16" s="359">
        <v>2</v>
      </c>
      <c r="C16" s="367" t="s">
        <v>1059</v>
      </c>
      <c r="D16" s="360" t="s">
        <v>1060</v>
      </c>
      <c r="E16" s="361">
        <v>26</v>
      </c>
      <c r="F16" s="864" t="s">
        <v>1061</v>
      </c>
      <c r="G16" s="863" t="s">
        <v>1062</v>
      </c>
      <c r="H16" s="862" t="s">
        <v>1050</v>
      </c>
      <c r="K16" s="371">
        <v>11</v>
      </c>
      <c r="L16" s="372">
        <f>COUNTA(H131:H139)</f>
        <v>9</v>
      </c>
      <c r="M16" s="373">
        <f>COUNTIF(H131:H139,"Y")/$L16</f>
        <v>0.88888888888888884</v>
      </c>
      <c r="N16" s="373">
        <f>COUNTIF(H131:H139,"N")/$L16</f>
        <v>0.1111111111111111</v>
      </c>
      <c r="O16" s="374">
        <f t="shared" si="0"/>
        <v>0</v>
      </c>
    </row>
    <row r="17" spans="2:15" ht="28.8">
      <c r="B17" s="359">
        <v>2</v>
      </c>
      <c r="C17" s="367" t="s">
        <v>1063</v>
      </c>
      <c r="D17" s="367" t="s">
        <v>1064</v>
      </c>
      <c r="E17" s="361">
        <v>27</v>
      </c>
      <c r="F17" s="866" t="s">
        <v>1065</v>
      </c>
      <c r="G17" s="863"/>
      <c r="H17" s="862" t="s">
        <v>97</v>
      </c>
      <c r="K17" s="371">
        <v>12</v>
      </c>
      <c r="L17" s="372">
        <v>2</v>
      </c>
      <c r="M17" s="373">
        <f>COUNTIF(H140:H141,"Y")/$L17</f>
        <v>1</v>
      </c>
      <c r="N17" s="373">
        <f>COUNTIF(H140:H141,"N")/$L17</f>
        <v>0</v>
      </c>
      <c r="O17" s="374">
        <f t="shared" si="0"/>
        <v>0</v>
      </c>
    </row>
    <row r="18" spans="2:15" ht="28.8">
      <c r="B18" s="359">
        <v>2</v>
      </c>
      <c r="C18" s="367" t="s">
        <v>1066</v>
      </c>
      <c r="D18" s="367" t="s">
        <v>1067</v>
      </c>
      <c r="E18" s="361">
        <v>28</v>
      </c>
      <c r="F18" s="862" t="s">
        <v>1068</v>
      </c>
      <c r="G18" s="863" t="s">
        <v>2493</v>
      </c>
      <c r="H18" s="862" t="s">
        <v>1045</v>
      </c>
      <c r="I18" s="360" t="s">
        <v>1069</v>
      </c>
      <c r="K18" s="371">
        <v>13</v>
      </c>
      <c r="L18" s="372">
        <v>2</v>
      </c>
      <c r="M18" s="373">
        <f>COUNTIF(H142:H143,"Y")/$L18</f>
        <v>1</v>
      </c>
      <c r="N18" s="373">
        <f>COUNTIF(H142:H143,"N")/$L18</f>
        <v>0</v>
      </c>
      <c r="O18" s="374">
        <f t="shared" si="0"/>
        <v>0</v>
      </c>
    </row>
    <row r="19" spans="2:15">
      <c r="B19" s="359">
        <v>2</v>
      </c>
      <c r="C19" s="367" t="s">
        <v>1070</v>
      </c>
      <c r="D19" s="360" t="s">
        <v>1067</v>
      </c>
      <c r="E19" s="361">
        <v>28</v>
      </c>
      <c r="F19" s="862" t="s">
        <v>1071</v>
      </c>
      <c r="G19" s="863" t="s">
        <v>2494</v>
      </c>
      <c r="H19" s="862" t="s">
        <v>1045</v>
      </c>
      <c r="K19" s="383"/>
      <c r="L19" s="384"/>
      <c r="M19" s="384"/>
      <c r="N19" s="384"/>
      <c r="O19" s="374"/>
    </row>
    <row r="20" spans="2:15" ht="15" thickBot="1">
      <c r="B20" s="359">
        <v>2</v>
      </c>
      <c r="C20" s="367" t="s">
        <v>1072</v>
      </c>
      <c r="D20" s="360" t="s">
        <v>1073</v>
      </c>
      <c r="E20" s="361">
        <v>30</v>
      </c>
      <c r="F20" s="864" t="s">
        <v>1074</v>
      </c>
      <c r="G20" s="863">
        <v>0.995</v>
      </c>
      <c r="H20" s="862" t="s">
        <v>1050</v>
      </c>
      <c r="K20" s="385" t="s">
        <v>146</v>
      </c>
      <c r="L20" s="386">
        <f>SUM(L6:L18)</f>
        <v>124</v>
      </c>
      <c r="M20" s="387">
        <f>((M6*$L6)+(M7*$L7)+(M8*$L8)+(M9*$L9)+(M10*$L10)+(M11*$L11)+(M12*$L12)+(M13*$L13)+(M14*$L14)+(M15*$L15)+(M16*$L16)+(M17*$L17)+(M18*$L18))/$L20</f>
        <v>0.52419354838709675</v>
      </c>
      <c r="N20" s="387">
        <f>((N6*$L6)+(N7*$L7)+(N8*$L8)+(N9*$L9)+(N10*$L10)+(N11*$L11)+(N12*$L12)+(N13*$L13)+(N14*$L14)+(N15*$L15)+(N16*$L16)+(N17*$L17)+(N18*$L18))/$L20</f>
        <v>0.12903225806451613</v>
      </c>
      <c r="O20" s="388">
        <f t="shared" si="0"/>
        <v>0.34677419354838712</v>
      </c>
    </row>
    <row r="21" spans="2:15">
      <c r="B21" s="359">
        <v>2</v>
      </c>
      <c r="C21" s="367" t="s">
        <v>846</v>
      </c>
      <c r="D21" s="360" t="s">
        <v>1075</v>
      </c>
      <c r="E21" s="361">
        <v>31</v>
      </c>
      <c r="F21" s="862" t="s">
        <v>1076</v>
      </c>
      <c r="G21" s="863">
        <v>0.503</v>
      </c>
      <c r="H21" s="862" t="s">
        <v>1050</v>
      </c>
    </row>
    <row r="22" spans="2:15">
      <c r="F22" s="864"/>
      <c r="G22" s="865"/>
      <c r="H22" s="864"/>
    </row>
    <row r="23" spans="2:15">
      <c r="B23" s="359">
        <v>3</v>
      </c>
      <c r="C23" s="367" t="s">
        <v>1027</v>
      </c>
      <c r="D23" s="360" t="s">
        <v>1077</v>
      </c>
      <c r="E23" s="361">
        <v>39</v>
      </c>
      <c r="F23" s="862" t="s">
        <v>1078</v>
      </c>
      <c r="G23" s="863" t="s">
        <v>1079</v>
      </c>
      <c r="H23" s="862" t="s">
        <v>1050</v>
      </c>
    </row>
    <row r="24" spans="2:15">
      <c r="B24" s="359">
        <v>3</v>
      </c>
      <c r="C24" s="367" t="s">
        <v>1080</v>
      </c>
      <c r="D24" s="360" t="s">
        <v>1081</v>
      </c>
      <c r="E24" s="361">
        <v>41</v>
      </c>
      <c r="F24" s="862" t="s">
        <v>1082</v>
      </c>
      <c r="G24" s="863" t="s">
        <v>2495</v>
      </c>
      <c r="H24" s="862" t="s">
        <v>1050</v>
      </c>
      <c r="I24" s="360" t="s">
        <v>1083</v>
      </c>
    </row>
    <row r="25" spans="2:15">
      <c r="B25" s="359">
        <v>3</v>
      </c>
      <c r="C25" s="367" t="s">
        <v>1084</v>
      </c>
      <c r="D25" s="360" t="s">
        <v>1085</v>
      </c>
      <c r="E25" s="361">
        <v>49</v>
      </c>
      <c r="F25" s="864" t="s">
        <v>1086</v>
      </c>
      <c r="G25" s="863" t="s">
        <v>1087</v>
      </c>
      <c r="H25" s="862" t="s">
        <v>1050</v>
      </c>
    </row>
    <row r="26" spans="2:15" ht="28.8">
      <c r="B26" s="389">
        <v>3</v>
      </c>
      <c r="C26" s="390" t="s">
        <v>1088</v>
      </c>
      <c r="D26" s="376" t="s">
        <v>1089</v>
      </c>
      <c r="E26" s="391">
        <v>44</v>
      </c>
      <c r="F26" s="867" t="s">
        <v>1090</v>
      </c>
      <c r="G26" s="868" t="s">
        <v>1091</v>
      </c>
      <c r="H26" s="869" t="s">
        <v>1050</v>
      </c>
    </row>
    <row r="27" spans="2:15" ht="28.8">
      <c r="B27" s="389">
        <v>3</v>
      </c>
      <c r="C27" s="390" t="s">
        <v>1092</v>
      </c>
      <c r="D27" s="376" t="s">
        <v>1089</v>
      </c>
      <c r="E27" s="391">
        <v>44</v>
      </c>
      <c r="F27" s="867" t="s">
        <v>1093</v>
      </c>
      <c r="G27" s="868" t="s">
        <v>97</v>
      </c>
      <c r="H27" s="869" t="s">
        <v>97</v>
      </c>
    </row>
    <row r="28" spans="2:15" ht="28.8">
      <c r="B28" s="389">
        <v>3</v>
      </c>
      <c r="C28" s="390" t="s">
        <v>1094</v>
      </c>
      <c r="D28" s="376" t="s">
        <v>1089</v>
      </c>
      <c r="E28" s="391">
        <v>44</v>
      </c>
      <c r="F28" s="867" t="s">
        <v>2512</v>
      </c>
      <c r="G28" s="868" t="s">
        <v>1095</v>
      </c>
      <c r="H28" s="869" t="s">
        <v>97</v>
      </c>
    </row>
    <row r="29" spans="2:15" ht="28.8">
      <c r="B29" s="389">
        <v>3</v>
      </c>
      <c r="C29" s="390" t="s">
        <v>1096</v>
      </c>
      <c r="D29" s="376" t="s">
        <v>1089</v>
      </c>
      <c r="E29" s="391">
        <v>44</v>
      </c>
      <c r="F29" s="867" t="s">
        <v>2513</v>
      </c>
      <c r="G29" s="868" t="s">
        <v>1095</v>
      </c>
      <c r="H29" s="869" t="s">
        <v>97</v>
      </c>
    </row>
    <row r="30" spans="2:15">
      <c r="B30" s="389"/>
      <c r="C30" s="390"/>
      <c r="D30" s="376"/>
      <c r="E30" s="391"/>
      <c r="F30" s="867"/>
      <c r="G30" s="870"/>
      <c r="H30" s="867"/>
    </row>
    <row r="31" spans="2:15" ht="28.8">
      <c r="B31" s="359">
        <v>4</v>
      </c>
      <c r="C31" s="367" t="s">
        <v>1097</v>
      </c>
      <c r="D31" s="367" t="s">
        <v>1098</v>
      </c>
      <c r="E31" s="361">
        <v>63</v>
      </c>
      <c r="F31" s="866" t="s">
        <v>1099</v>
      </c>
      <c r="G31" s="863" t="s">
        <v>1100</v>
      </c>
      <c r="H31" s="862" t="s">
        <v>1045</v>
      </c>
      <c r="I31" s="360" t="s">
        <v>1101</v>
      </c>
    </row>
    <row r="32" spans="2:15" ht="28.8">
      <c r="B32" s="359">
        <v>4</v>
      </c>
      <c r="C32" s="367" t="s">
        <v>1102</v>
      </c>
      <c r="D32" s="367" t="s">
        <v>1103</v>
      </c>
      <c r="E32" s="361">
        <v>64</v>
      </c>
      <c r="F32" s="871" t="s">
        <v>1104</v>
      </c>
      <c r="G32" s="863" t="s">
        <v>1105</v>
      </c>
      <c r="H32" s="862" t="s">
        <v>1050</v>
      </c>
    </row>
    <row r="33" spans="2:9" ht="28.8">
      <c r="B33" s="359">
        <v>4</v>
      </c>
      <c r="C33" s="367" t="s">
        <v>1106</v>
      </c>
      <c r="D33" s="367" t="s">
        <v>1107</v>
      </c>
      <c r="E33" s="361">
        <v>65</v>
      </c>
      <c r="F33" s="871" t="s">
        <v>97</v>
      </c>
      <c r="G33" s="863" t="s">
        <v>97</v>
      </c>
      <c r="H33" s="862" t="s">
        <v>97</v>
      </c>
    </row>
    <row r="34" spans="2:9" ht="28.8">
      <c r="B34" s="359">
        <v>4</v>
      </c>
      <c r="C34" s="367" t="s">
        <v>1108</v>
      </c>
      <c r="D34" s="360" t="s">
        <v>1109</v>
      </c>
      <c r="E34" s="361">
        <v>67</v>
      </c>
      <c r="F34" s="866" t="s">
        <v>2514</v>
      </c>
      <c r="G34" s="863">
        <v>0.56000000000000005</v>
      </c>
      <c r="H34" s="862" t="s">
        <v>1050</v>
      </c>
    </row>
    <row r="35" spans="2:9">
      <c r="B35" s="359">
        <v>4</v>
      </c>
      <c r="C35" s="367" t="s">
        <v>1110</v>
      </c>
      <c r="D35" s="360" t="s">
        <v>1109</v>
      </c>
      <c r="E35" s="361">
        <v>68</v>
      </c>
      <c r="F35" s="866" t="s">
        <v>1111</v>
      </c>
      <c r="G35" s="863" t="s">
        <v>1112</v>
      </c>
      <c r="H35" s="862" t="s">
        <v>1045</v>
      </c>
      <c r="I35" s="360" t="s">
        <v>1113</v>
      </c>
    </row>
    <row r="36" spans="2:9">
      <c r="B36" s="359">
        <v>4</v>
      </c>
      <c r="C36" s="367" t="s">
        <v>1114</v>
      </c>
      <c r="D36" s="360" t="s">
        <v>1109</v>
      </c>
      <c r="E36" s="361">
        <v>69</v>
      </c>
      <c r="F36" s="866" t="s">
        <v>1115</v>
      </c>
      <c r="G36" s="863" t="s">
        <v>97</v>
      </c>
      <c r="H36" s="863" t="s">
        <v>97</v>
      </c>
    </row>
    <row r="37" spans="2:9">
      <c r="B37" s="359">
        <v>4</v>
      </c>
      <c r="C37" s="367" t="s">
        <v>1116</v>
      </c>
      <c r="D37" s="360" t="s">
        <v>1109</v>
      </c>
      <c r="E37" s="361">
        <v>69</v>
      </c>
      <c r="F37" s="866" t="s">
        <v>1117</v>
      </c>
      <c r="G37" s="863" t="s">
        <v>97</v>
      </c>
      <c r="H37" s="863" t="s">
        <v>97</v>
      </c>
    </row>
    <row r="38" spans="2:9">
      <c r="B38" s="359">
        <v>4</v>
      </c>
      <c r="C38" s="367" t="s">
        <v>1118</v>
      </c>
      <c r="D38" s="360" t="s">
        <v>1119</v>
      </c>
      <c r="E38" s="361">
        <v>71</v>
      </c>
      <c r="F38" s="862" t="s">
        <v>2537</v>
      </c>
      <c r="G38" s="863">
        <v>1</v>
      </c>
      <c r="H38" s="862" t="s">
        <v>1045</v>
      </c>
      <c r="I38" s="360" t="s">
        <v>1120</v>
      </c>
    </row>
    <row r="39" spans="2:9" ht="15.6">
      <c r="B39" s="359">
        <v>4</v>
      </c>
      <c r="C39" s="367" t="s">
        <v>1121</v>
      </c>
      <c r="D39" s="360" t="s">
        <v>1122</v>
      </c>
      <c r="E39" s="361">
        <v>72</v>
      </c>
      <c r="F39" s="862" t="s">
        <v>2515</v>
      </c>
      <c r="G39" s="863">
        <v>0</v>
      </c>
      <c r="H39" s="862" t="s">
        <v>1050</v>
      </c>
    </row>
    <row r="40" spans="2:9">
      <c r="B40" s="359">
        <v>4</v>
      </c>
      <c r="C40" s="367" t="s">
        <v>1123</v>
      </c>
      <c r="D40" s="360" t="s">
        <v>1124</v>
      </c>
      <c r="E40" s="361">
        <v>26</v>
      </c>
      <c r="F40" s="864" t="s">
        <v>1125</v>
      </c>
      <c r="G40" s="863" t="s">
        <v>1058</v>
      </c>
      <c r="H40" s="862" t="s">
        <v>1045</v>
      </c>
      <c r="I40" s="879" t="s">
        <v>2539</v>
      </c>
    </row>
    <row r="41" spans="2:9">
      <c r="B41" s="359">
        <v>4</v>
      </c>
      <c r="C41" s="367" t="s">
        <v>1126</v>
      </c>
      <c r="D41" s="360" t="s">
        <v>1127</v>
      </c>
      <c r="E41" s="361">
        <v>75</v>
      </c>
      <c r="F41" s="862" t="s">
        <v>1128</v>
      </c>
      <c r="G41" s="863" t="s">
        <v>1129</v>
      </c>
      <c r="H41" s="862" t="s">
        <v>1050</v>
      </c>
      <c r="I41" s="360" t="s">
        <v>1130</v>
      </c>
    </row>
    <row r="42" spans="2:9">
      <c r="F42" s="864"/>
      <c r="G42" s="865"/>
      <c r="H42" s="864"/>
    </row>
    <row r="43" spans="2:9">
      <c r="B43" s="359">
        <v>5</v>
      </c>
      <c r="C43" s="367" t="s">
        <v>1131</v>
      </c>
      <c r="D43" s="360" t="s">
        <v>262</v>
      </c>
      <c r="E43" s="361">
        <v>87</v>
      </c>
      <c r="F43" s="864" t="s">
        <v>1132</v>
      </c>
      <c r="G43" s="863">
        <v>24</v>
      </c>
      <c r="H43" s="862" t="s">
        <v>1045</v>
      </c>
      <c r="I43" s="360" t="s">
        <v>1133</v>
      </c>
    </row>
    <row r="44" spans="2:9">
      <c r="B44" s="359">
        <v>5</v>
      </c>
      <c r="C44" s="367" t="s">
        <v>1134</v>
      </c>
      <c r="D44" s="360" t="s">
        <v>262</v>
      </c>
      <c r="E44" s="361">
        <v>87</v>
      </c>
      <c r="F44" s="864" t="s">
        <v>1135</v>
      </c>
      <c r="G44" s="863">
        <v>40</v>
      </c>
      <c r="H44" s="862" t="s">
        <v>1045</v>
      </c>
      <c r="I44" s="360" t="s">
        <v>1136</v>
      </c>
    </row>
    <row r="45" spans="2:9">
      <c r="B45" s="359">
        <v>5</v>
      </c>
      <c r="C45" s="367" t="s">
        <v>1137</v>
      </c>
      <c r="D45" s="360" t="s">
        <v>262</v>
      </c>
      <c r="E45" s="361">
        <v>87</v>
      </c>
      <c r="F45" s="864" t="s">
        <v>1138</v>
      </c>
      <c r="G45" s="863">
        <v>45</v>
      </c>
      <c r="H45" s="862" t="s">
        <v>97</v>
      </c>
      <c r="I45" s="360" t="s">
        <v>1139</v>
      </c>
    </row>
    <row r="46" spans="2:9">
      <c r="B46" s="359">
        <v>5</v>
      </c>
      <c r="C46" s="367" t="s">
        <v>1140</v>
      </c>
      <c r="D46" s="360" t="s">
        <v>262</v>
      </c>
      <c r="E46" s="361">
        <v>87</v>
      </c>
      <c r="F46" s="864" t="s">
        <v>1141</v>
      </c>
      <c r="G46" s="862" t="s">
        <v>97</v>
      </c>
      <c r="H46" s="862" t="s">
        <v>97</v>
      </c>
    </row>
    <row r="47" spans="2:9">
      <c r="B47" s="359">
        <v>5</v>
      </c>
      <c r="C47" s="367" t="s">
        <v>1142</v>
      </c>
      <c r="D47" s="360" t="s">
        <v>262</v>
      </c>
      <c r="E47" s="361">
        <v>87</v>
      </c>
      <c r="F47" s="864" t="s">
        <v>1143</v>
      </c>
      <c r="G47" s="862" t="s">
        <v>97</v>
      </c>
      <c r="H47" s="862" t="s">
        <v>97</v>
      </c>
    </row>
    <row r="48" spans="2:9">
      <c r="B48" s="359">
        <v>5</v>
      </c>
      <c r="C48" s="367" t="s">
        <v>1144</v>
      </c>
      <c r="D48" s="360" t="s">
        <v>262</v>
      </c>
      <c r="E48" s="361">
        <v>87</v>
      </c>
      <c r="F48" s="864" t="s">
        <v>1145</v>
      </c>
      <c r="G48" s="863">
        <v>2</v>
      </c>
      <c r="H48" s="862" t="s">
        <v>1050</v>
      </c>
    </row>
    <row r="49" spans="2:8">
      <c r="B49" s="359">
        <v>5</v>
      </c>
      <c r="C49" s="367" t="s">
        <v>1146</v>
      </c>
      <c r="D49" s="360" t="s">
        <v>262</v>
      </c>
      <c r="E49" s="361">
        <v>87</v>
      </c>
      <c r="F49" s="864" t="s">
        <v>1147</v>
      </c>
      <c r="G49" s="862" t="s">
        <v>97</v>
      </c>
      <c r="H49" s="862" t="s">
        <v>97</v>
      </c>
    </row>
    <row r="50" spans="2:8">
      <c r="B50" s="359">
        <v>5</v>
      </c>
      <c r="C50" s="367" t="s">
        <v>1148</v>
      </c>
      <c r="D50" s="360" t="s">
        <v>262</v>
      </c>
      <c r="E50" s="361">
        <v>87</v>
      </c>
      <c r="F50" s="864" t="s">
        <v>1149</v>
      </c>
      <c r="G50" s="862" t="s">
        <v>97</v>
      </c>
      <c r="H50" s="862" t="s">
        <v>97</v>
      </c>
    </row>
    <row r="51" spans="2:8">
      <c r="B51" s="359">
        <v>5</v>
      </c>
      <c r="C51" s="367" t="s">
        <v>1150</v>
      </c>
      <c r="D51" s="360" t="s">
        <v>262</v>
      </c>
      <c r="E51" s="361">
        <v>87</v>
      </c>
      <c r="F51" s="864" t="s">
        <v>1151</v>
      </c>
      <c r="G51" s="863">
        <v>30</v>
      </c>
      <c r="H51" s="862" t="s">
        <v>97</v>
      </c>
    </row>
    <row r="52" spans="2:8" ht="28.8">
      <c r="B52" s="359">
        <v>5</v>
      </c>
      <c r="C52" s="367" t="s">
        <v>1152</v>
      </c>
      <c r="D52" s="360" t="s">
        <v>1153</v>
      </c>
      <c r="E52" s="361">
        <v>87</v>
      </c>
      <c r="F52" s="864" t="s">
        <v>1154</v>
      </c>
      <c r="G52" s="863">
        <v>15</v>
      </c>
      <c r="H52" s="862" t="s">
        <v>1050</v>
      </c>
    </row>
    <row r="53" spans="2:8" ht="28.8">
      <c r="B53" s="359">
        <v>5</v>
      </c>
      <c r="C53" s="367" t="s">
        <v>1155</v>
      </c>
      <c r="D53" s="360" t="s">
        <v>1153</v>
      </c>
      <c r="E53" s="361">
        <v>87</v>
      </c>
      <c r="F53" s="864" t="s">
        <v>1156</v>
      </c>
      <c r="G53" s="863" t="s">
        <v>97</v>
      </c>
      <c r="H53" s="862" t="s">
        <v>97</v>
      </c>
    </row>
    <row r="54" spans="2:8" ht="28.8">
      <c r="B54" s="359">
        <v>5</v>
      </c>
      <c r="C54" s="367" t="s">
        <v>1157</v>
      </c>
      <c r="D54" s="360" t="s">
        <v>1158</v>
      </c>
      <c r="E54" s="361">
        <v>91</v>
      </c>
      <c r="F54" s="862" t="s">
        <v>97</v>
      </c>
      <c r="G54" s="863" t="s">
        <v>97</v>
      </c>
      <c r="H54" s="862" t="s">
        <v>97</v>
      </c>
    </row>
    <row r="55" spans="2:8" ht="28.8">
      <c r="B55" s="359">
        <v>5</v>
      </c>
      <c r="C55" s="367" t="s">
        <v>1159</v>
      </c>
      <c r="D55" s="360" t="s">
        <v>1153</v>
      </c>
      <c r="E55" s="361">
        <v>91</v>
      </c>
      <c r="F55" s="864" t="s">
        <v>1160</v>
      </c>
      <c r="G55" s="863" t="s">
        <v>97</v>
      </c>
      <c r="H55" s="863" t="s">
        <v>97</v>
      </c>
    </row>
    <row r="56" spans="2:8">
      <c r="B56" s="389">
        <v>5</v>
      </c>
      <c r="C56" s="390" t="s">
        <v>1161</v>
      </c>
      <c r="D56" s="376" t="s">
        <v>1162</v>
      </c>
      <c r="E56" s="391">
        <v>92</v>
      </c>
      <c r="F56" s="869" t="s">
        <v>1163</v>
      </c>
      <c r="G56" s="868" t="s">
        <v>97</v>
      </c>
      <c r="H56" s="868" t="s">
        <v>97</v>
      </c>
    </row>
    <row r="57" spans="2:8">
      <c r="B57" s="389">
        <v>5</v>
      </c>
      <c r="C57" s="390" t="s">
        <v>1164</v>
      </c>
      <c r="D57" s="376" t="s">
        <v>1162</v>
      </c>
      <c r="E57" s="391">
        <v>92</v>
      </c>
      <c r="F57" s="869" t="s">
        <v>1163</v>
      </c>
      <c r="G57" s="868" t="s">
        <v>97</v>
      </c>
      <c r="H57" s="868" t="s">
        <v>97</v>
      </c>
    </row>
    <row r="58" spans="2:8">
      <c r="B58" s="389">
        <v>5</v>
      </c>
      <c r="C58" s="390" t="s">
        <v>1165</v>
      </c>
      <c r="D58" s="376" t="s">
        <v>1162</v>
      </c>
      <c r="E58" s="391">
        <v>92</v>
      </c>
      <c r="F58" s="869" t="s">
        <v>1163</v>
      </c>
      <c r="G58" s="868" t="s">
        <v>97</v>
      </c>
      <c r="H58" s="868" t="s">
        <v>97</v>
      </c>
    </row>
    <row r="59" spans="2:8">
      <c r="B59" s="389">
        <v>5</v>
      </c>
      <c r="C59" s="390" t="s">
        <v>1166</v>
      </c>
      <c r="D59" s="376" t="s">
        <v>1162</v>
      </c>
      <c r="E59" s="391">
        <v>92</v>
      </c>
      <c r="F59" s="869" t="s">
        <v>1167</v>
      </c>
      <c r="G59" s="868" t="s">
        <v>1050</v>
      </c>
      <c r="H59" s="868" t="s">
        <v>1050</v>
      </c>
    </row>
    <row r="60" spans="2:8">
      <c r="B60" s="389">
        <v>5</v>
      </c>
      <c r="C60" s="390" t="s">
        <v>1168</v>
      </c>
      <c r="D60" s="376" t="s">
        <v>1162</v>
      </c>
      <c r="E60" s="391">
        <v>92</v>
      </c>
      <c r="F60" s="869" t="s">
        <v>1163</v>
      </c>
      <c r="G60" s="868" t="s">
        <v>97</v>
      </c>
      <c r="H60" s="868" t="s">
        <v>97</v>
      </c>
    </row>
    <row r="61" spans="2:8">
      <c r="B61" s="389">
        <v>5</v>
      </c>
      <c r="C61" s="390" t="s">
        <v>1169</v>
      </c>
      <c r="D61" s="376" t="s">
        <v>1162</v>
      </c>
      <c r="E61" s="391">
        <v>92</v>
      </c>
      <c r="F61" s="869" t="s">
        <v>1163</v>
      </c>
      <c r="G61" s="868" t="s">
        <v>97</v>
      </c>
      <c r="H61" s="868" t="s">
        <v>97</v>
      </c>
    </row>
    <row r="62" spans="2:8">
      <c r="B62" s="389">
        <v>5</v>
      </c>
      <c r="C62" s="390" t="s">
        <v>1170</v>
      </c>
      <c r="D62" s="376" t="s">
        <v>1162</v>
      </c>
      <c r="E62" s="391">
        <v>92</v>
      </c>
      <c r="F62" s="869" t="s">
        <v>1163</v>
      </c>
      <c r="G62" s="868" t="s">
        <v>97</v>
      </c>
      <c r="H62" s="868" t="s">
        <v>97</v>
      </c>
    </row>
    <row r="63" spans="2:8">
      <c r="B63" s="389">
        <v>5</v>
      </c>
      <c r="C63" s="390" t="s">
        <v>1171</v>
      </c>
      <c r="D63" s="376" t="s">
        <v>1172</v>
      </c>
      <c r="E63" s="391">
        <v>93</v>
      </c>
      <c r="F63" s="869" t="s">
        <v>1173</v>
      </c>
      <c r="G63" s="868" t="s">
        <v>97</v>
      </c>
      <c r="H63" s="868" t="s">
        <v>97</v>
      </c>
    </row>
    <row r="64" spans="2:8">
      <c r="B64" s="359">
        <v>5</v>
      </c>
      <c r="C64" s="367" t="s">
        <v>1174</v>
      </c>
      <c r="D64" s="360" t="s">
        <v>1175</v>
      </c>
      <c r="E64" s="361">
        <v>93</v>
      </c>
      <c r="F64" s="864" t="s">
        <v>1176</v>
      </c>
      <c r="G64" s="863" t="s">
        <v>1177</v>
      </c>
      <c r="H64" s="862" t="s">
        <v>1050</v>
      </c>
    </row>
    <row r="65" spans="2:9" ht="15.6">
      <c r="B65" s="359">
        <v>5</v>
      </c>
      <c r="C65" s="367" t="s">
        <v>1178</v>
      </c>
      <c r="D65" s="360" t="s">
        <v>1179</v>
      </c>
      <c r="E65" s="361">
        <v>95</v>
      </c>
      <c r="F65" s="862" t="s">
        <v>1180</v>
      </c>
      <c r="G65" s="863">
        <v>8</v>
      </c>
      <c r="H65" s="862" t="s">
        <v>1050</v>
      </c>
    </row>
    <row r="66" spans="2:9" ht="15.6">
      <c r="B66" s="359">
        <v>5</v>
      </c>
      <c r="C66" s="367" t="s">
        <v>1181</v>
      </c>
      <c r="D66" s="360" t="s">
        <v>1179</v>
      </c>
      <c r="E66" s="361">
        <v>95</v>
      </c>
      <c r="F66" s="862" t="s">
        <v>1182</v>
      </c>
      <c r="G66" s="863">
        <v>35</v>
      </c>
      <c r="H66" s="862" t="s">
        <v>1050</v>
      </c>
    </row>
    <row r="67" spans="2:9" ht="15.6">
      <c r="B67" s="359">
        <v>5</v>
      </c>
      <c r="C67" s="367" t="s">
        <v>1183</v>
      </c>
      <c r="D67" s="360" t="s">
        <v>1175</v>
      </c>
      <c r="E67" s="361">
        <v>95</v>
      </c>
      <c r="F67" s="862" t="s">
        <v>1184</v>
      </c>
      <c r="G67" s="863">
        <v>120</v>
      </c>
      <c r="H67" s="862" t="s">
        <v>1050</v>
      </c>
    </row>
    <row r="68" spans="2:9" ht="28.8">
      <c r="B68" s="359">
        <v>5</v>
      </c>
      <c r="C68" s="367" t="s">
        <v>1185</v>
      </c>
      <c r="D68" s="360" t="s">
        <v>1175</v>
      </c>
      <c r="E68" s="361">
        <v>95</v>
      </c>
      <c r="F68" s="864" t="s">
        <v>2516</v>
      </c>
      <c r="G68" s="863">
        <v>30</v>
      </c>
      <c r="H68" s="862" t="s">
        <v>1050</v>
      </c>
    </row>
    <row r="69" spans="2:9">
      <c r="B69" s="359">
        <v>5</v>
      </c>
      <c r="C69" s="367" t="s">
        <v>1186</v>
      </c>
      <c r="D69" s="360" t="s">
        <v>1187</v>
      </c>
      <c r="E69" s="361">
        <v>96</v>
      </c>
      <c r="F69" s="862" t="s">
        <v>1188</v>
      </c>
      <c r="G69" s="863" t="s">
        <v>1189</v>
      </c>
      <c r="H69" s="862" t="s">
        <v>1050</v>
      </c>
    </row>
    <row r="70" spans="2:9">
      <c r="B70" s="359">
        <v>5</v>
      </c>
      <c r="C70" s="367" t="s">
        <v>1190</v>
      </c>
      <c r="D70" s="360" t="s">
        <v>1187</v>
      </c>
      <c r="E70" s="361">
        <v>96</v>
      </c>
      <c r="F70" s="863">
        <v>2.35E-2</v>
      </c>
      <c r="G70" s="863">
        <v>2.35E-2</v>
      </c>
      <c r="H70" s="862" t="s">
        <v>1050</v>
      </c>
    </row>
    <row r="71" spans="2:9">
      <c r="B71" s="359">
        <v>5</v>
      </c>
      <c r="C71" s="367" t="s">
        <v>1191</v>
      </c>
      <c r="D71" s="360" t="s">
        <v>1192</v>
      </c>
      <c r="E71" s="361">
        <v>96</v>
      </c>
      <c r="F71" s="862" t="s">
        <v>1193</v>
      </c>
      <c r="G71" s="863" t="s">
        <v>1194</v>
      </c>
      <c r="H71" s="862" t="s">
        <v>1050</v>
      </c>
    </row>
    <row r="72" spans="2:9">
      <c r="B72" s="359">
        <v>5</v>
      </c>
      <c r="C72" s="367" t="s">
        <v>1195</v>
      </c>
      <c r="D72" s="360" t="s">
        <v>1196</v>
      </c>
      <c r="E72" s="361">
        <v>97</v>
      </c>
      <c r="F72" s="864" t="s">
        <v>1197</v>
      </c>
      <c r="G72" s="863">
        <v>0.1</v>
      </c>
      <c r="H72" s="862" t="s">
        <v>1050</v>
      </c>
    </row>
    <row r="73" spans="2:9">
      <c r="B73" s="359">
        <v>5</v>
      </c>
      <c r="C73" s="367" t="s">
        <v>1198</v>
      </c>
      <c r="D73" s="360" t="s">
        <v>1199</v>
      </c>
      <c r="E73" s="361">
        <v>102</v>
      </c>
      <c r="F73" s="864" t="s">
        <v>1200</v>
      </c>
      <c r="G73" s="863" t="s">
        <v>1201</v>
      </c>
      <c r="H73" s="862" t="s">
        <v>1045</v>
      </c>
      <c r="I73" s="360" t="s">
        <v>1202</v>
      </c>
    </row>
    <row r="74" spans="2:9" ht="28.8">
      <c r="B74" s="359">
        <v>5</v>
      </c>
      <c r="C74" s="367" t="s">
        <v>1203</v>
      </c>
      <c r="D74" s="360" t="s">
        <v>1199</v>
      </c>
      <c r="E74" s="361">
        <v>102</v>
      </c>
      <c r="F74" s="864" t="s">
        <v>1204</v>
      </c>
      <c r="G74" s="863" t="s">
        <v>97</v>
      </c>
      <c r="H74" s="862" t="s">
        <v>97</v>
      </c>
    </row>
    <row r="75" spans="2:9" ht="28.8">
      <c r="B75" s="359">
        <v>5</v>
      </c>
      <c r="C75" s="367" t="s">
        <v>1205</v>
      </c>
      <c r="D75" s="360" t="s">
        <v>1199</v>
      </c>
      <c r="E75" s="361">
        <v>102</v>
      </c>
      <c r="F75" s="864" t="s">
        <v>1206</v>
      </c>
      <c r="G75" s="863" t="s">
        <v>97</v>
      </c>
      <c r="H75" s="862" t="s">
        <v>97</v>
      </c>
    </row>
    <row r="76" spans="2:9" ht="15.6">
      <c r="B76" s="359">
        <v>5</v>
      </c>
      <c r="C76" s="367" t="s">
        <v>1207</v>
      </c>
      <c r="D76" s="360" t="s">
        <v>1208</v>
      </c>
      <c r="E76" s="361">
        <v>103</v>
      </c>
      <c r="F76" s="866" t="s">
        <v>2517</v>
      </c>
      <c r="G76" s="863" t="s">
        <v>1209</v>
      </c>
      <c r="H76" s="862" t="s">
        <v>1045</v>
      </c>
      <c r="I76" s="360" t="s">
        <v>1210</v>
      </c>
    </row>
    <row r="77" spans="2:9" ht="15.6">
      <c r="B77" s="359">
        <v>5</v>
      </c>
      <c r="C77" s="367" t="s">
        <v>1211</v>
      </c>
      <c r="D77" s="360" t="s">
        <v>1208</v>
      </c>
      <c r="E77" s="361">
        <v>103</v>
      </c>
      <c r="F77" s="866" t="s">
        <v>2518</v>
      </c>
      <c r="G77" s="863" t="s">
        <v>1209</v>
      </c>
      <c r="H77" s="862" t="s">
        <v>1045</v>
      </c>
      <c r="I77" s="360" t="s">
        <v>1210</v>
      </c>
    </row>
    <row r="78" spans="2:9">
      <c r="F78" s="864"/>
      <c r="G78" s="865"/>
      <c r="H78" s="864"/>
    </row>
    <row r="79" spans="2:9">
      <c r="B79" s="359">
        <v>6</v>
      </c>
      <c r="C79" s="367" t="s">
        <v>1212</v>
      </c>
      <c r="D79" s="360" t="s">
        <v>1213</v>
      </c>
      <c r="E79" s="361">
        <v>123</v>
      </c>
      <c r="F79" s="862" t="s">
        <v>1214</v>
      </c>
      <c r="G79" s="863">
        <v>0.04</v>
      </c>
      <c r="H79" s="862" t="s">
        <v>1050</v>
      </c>
    </row>
    <row r="80" spans="2:9">
      <c r="B80" s="359">
        <v>6</v>
      </c>
      <c r="C80" s="367" t="s">
        <v>1215</v>
      </c>
      <c r="D80" s="360" t="s">
        <v>1213</v>
      </c>
      <c r="E80" s="361">
        <v>123</v>
      </c>
      <c r="F80" s="862" t="s">
        <v>1216</v>
      </c>
      <c r="G80" s="863">
        <v>0.5</v>
      </c>
      <c r="H80" s="862" t="s">
        <v>1050</v>
      </c>
    </row>
    <row r="81" spans="2:9">
      <c r="B81" s="359">
        <v>6</v>
      </c>
      <c r="C81" s="367" t="s">
        <v>1217</v>
      </c>
      <c r="D81" s="360" t="s">
        <v>1218</v>
      </c>
      <c r="E81" s="361">
        <v>123</v>
      </c>
      <c r="F81" s="862" t="s">
        <v>97</v>
      </c>
      <c r="G81" s="862" t="s">
        <v>97</v>
      </c>
      <c r="H81" s="862" t="s">
        <v>97</v>
      </c>
    </row>
    <row r="82" spans="2:9">
      <c r="B82" s="359">
        <v>6</v>
      </c>
      <c r="C82" s="367" t="s">
        <v>1219</v>
      </c>
      <c r="D82" s="360" t="s">
        <v>1220</v>
      </c>
      <c r="E82" s="361">
        <v>124</v>
      </c>
      <c r="F82" s="864" t="s">
        <v>1221</v>
      </c>
      <c r="G82" s="862" t="s">
        <v>97</v>
      </c>
      <c r="H82" s="862" t="s">
        <v>97</v>
      </c>
    </row>
    <row r="83" spans="2:9">
      <c r="B83" s="359">
        <v>6</v>
      </c>
      <c r="C83" s="367" t="s">
        <v>1222</v>
      </c>
      <c r="D83" s="360" t="s">
        <v>1223</v>
      </c>
      <c r="E83" s="361">
        <v>126</v>
      </c>
      <c r="F83" s="864" t="s">
        <v>1224</v>
      </c>
      <c r="G83" s="862" t="s">
        <v>97</v>
      </c>
      <c r="H83" s="862" t="s">
        <v>97</v>
      </c>
    </row>
    <row r="84" spans="2:9">
      <c r="B84" s="359">
        <v>6</v>
      </c>
      <c r="C84" s="367" t="s">
        <v>1225</v>
      </c>
      <c r="D84" s="360" t="s">
        <v>1223</v>
      </c>
      <c r="E84" s="361">
        <v>126</v>
      </c>
      <c r="F84" s="864" t="s">
        <v>1226</v>
      </c>
      <c r="G84" s="862" t="s">
        <v>97</v>
      </c>
      <c r="H84" s="862" t="s">
        <v>97</v>
      </c>
    </row>
    <row r="85" spans="2:9">
      <c r="B85" s="359">
        <v>6</v>
      </c>
      <c r="C85" s="367" t="s">
        <v>1227</v>
      </c>
      <c r="D85" s="360" t="s">
        <v>1223</v>
      </c>
      <c r="E85" s="361">
        <v>126</v>
      </c>
      <c r="F85" s="864" t="s">
        <v>1228</v>
      </c>
      <c r="G85" s="862" t="s">
        <v>97</v>
      </c>
      <c r="H85" s="862" t="s">
        <v>97</v>
      </c>
    </row>
    <row r="86" spans="2:9">
      <c r="B86" s="359">
        <v>6</v>
      </c>
      <c r="C86" s="367" t="s">
        <v>1229</v>
      </c>
      <c r="D86" s="360" t="s">
        <v>1230</v>
      </c>
      <c r="E86" s="361">
        <v>126</v>
      </c>
      <c r="F86" s="862" t="s">
        <v>1231</v>
      </c>
      <c r="G86" s="863">
        <v>0.6</v>
      </c>
      <c r="H86" s="862" t="s">
        <v>1050</v>
      </c>
    </row>
    <row r="87" spans="2:9">
      <c r="B87" s="359">
        <v>6</v>
      </c>
      <c r="C87" s="367" t="s">
        <v>1232</v>
      </c>
      <c r="D87" s="360" t="s">
        <v>1230</v>
      </c>
      <c r="E87" s="361">
        <v>126</v>
      </c>
      <c r="F87" s="862" t="s">
        <v>1231</v>
      </c>
      <c r="G87" s="863">
        <v>0.7</v>
      </c>
      <c r="H87" s="862" t="s">
        <v>1045</v>
      </c>
      <c r="I87" s="880" t="s">
        <v>2540</v>
      </c>
    </row>
    <row r="88" spans="2:9">
      <c r="B88" s="359">
        <v>6</v>
      </c>
      <c r="C88" s="367" t="s">
        <v>1233</v>
      </c>
      <c r="D88" s="360" t="s">
        <v>1230</v>
      </c>
      <c r="E88" s="361">
        <v>126</v>
      </c>
      <c r="F88" s="862" t="s">
        <v>1234</v>
      </c>
      <c r="G88" s="862" t="s">
        <v>97</v>
      </c>
      <c r="H88" s="862" t="s">
        <v>97</v>
      </c>
    </row>
    <row r="89" spans="2:9">
      <c r="B89" s="359">
        <v>6</v>
      </c>
      <c r="C89" s="367" t="s">
        <v>1235</v>
      </c>
      <c r="D89" s="360" t="s">
        <v>1236</v>
      </c>
      <c r="E89" s="361">
        <v>127</v>
      </c>
      <c r="F89" s="862" t="s">
        <v>1237</v>
      </c>
      <c r="G89" s="863" t="s">
        <v>1238</v>
      </c>
      <c r="H89" s="862" t="s">
        <v>1050</v>
      </c>
    </row>
    <row r="90" spans="2:9">
      <c r="B90" s="359">
        <v>6</v>
      </c>
      <c r="C90" s="367" t="s">
        <v>1239</v>
      </c>
      <c r="D90" s="360" t="s">
        <v>1236</v>
      </c>
      <c r="E90" s="361">
        <v>127</v>
      </c>
      <c r="F90" s="862" t="s">
        <v>1240</v>
      </c>
      <c r="G90" s="863" t="s">
        <v>1241</v>
      </c>
      <c r="H90" s="862" t="s">
        <v>1050</v>
      </c>
    </row>
    <row r="91" spans="2:9">
      <c r="B91" s="359">
        <v>6</v>
      </c>
      <c r="C91" s="367" t="s">
        <v>1242</v>
      </c>
      <c r="D91" s="360" t="s">
        <v>1236</v>
      </c>
      <c r="E91" s="361">
        <v>127</v>
      </c>
      <c r="F91" s="862" t="s">
        <v>97</v>
      </c>
      <c r="G91" s="862" t="s">
        <v>97</v>
      </c>
      <c r="H91" s="862" t="s">
        <v>97</v>
      </c>
    </row>
    <row r="92" spans="2:9" ht="30">
      <c r="B92" s="359">
        <v>6</v>
      </c>
      <c r="C92" s="367" t="s">
        <v>1243</v>
      </c>
      <c r="D92" s="360" t="s">
        <v>1244</v>
      </c>
      <c r="E92" s="361">
        <v>127</v>
      </c>
      <c r="F92" s="866" t="s">
        <v>2519</v>
      </c>
      <c r="G92" s="863" t="s">
        <v>1182</v>
      </c>
      <c r="H92" s="862" t="s">
        <v>1050</v>
      </c>
    </row>
    <row r="93" spans="2:9" ht="30">
      <c r="B93" s="359">
        <v>6</v>
      </c>
      <c r="C93" s="367" t="s">
        <v>1245</v>
      </c>
      <c r="D93" s="360" t="s">
        <v>1244</v>
      </c>
      <c r="E93" s="361">
        <v>127</v>
      </c>
      <c r="F93" s="866" t="s">
        <v>2520</v>
      </c>
      <c r="G93" s="863" t="s">
        <v>97</v>
      </c>
      <c r="H93" s="862" t="s">
        <v>97</v>
      </c>
    </row>
    <row r="94" spans="2:9" ht="30">
      <c r="B94" s="359">
        <v>6</v>
      </c>
      <c r="C94" s="367" t="s">
        <v>1246</v>
      </c>
      <c r="D94" s="360" t="s">
        <v>1244</v>
      </c>
      <c r="E94" s="361">
        <v>126</v>
      </c>
      <c r="F94" s="866" t="s">
        <v>2521</v>
      </c>
      <c r="G94" s="863" t="s">
        <v>1247</v>
      </c>
      <c r="H94" s="862" t="s">
        <v>1045</v>
      </c>
      <c r="I94" s="360" t="s">
        <v>1248</v>
      </c>
    </row>
    <row r="95" spans="2:9">
      <c r="B95" s="359">
        <v>6</v>
      </c>
      <c r="C95" s="367" t="s">
        <v>1249</v>
      </c>
      <c r="D95" s="360" t="s">
        <v>1250</v>
      </c>
      <c r="E95" s="361">
        <v>127</v>
      </c>
      <c r="F95" s="866" t="s">
        <v>1251</v>
      </c>
      <c r="G95" s="863" t="s">
        <v>1251</v>
      </c>
      <c r="H95" s="862" t="s">
        <v>1050</v>
      </c>
    </row>
    <row r="96" spans="2:9">
      <c r="B96" s="359">
        <v>6</v>
      </c>
      <c r="C96" s="367" t="s">
        <v>1252</v>
      </c>
      <c r="D96" s="360" t="s">
        <v>1250</v>
      </c>
      <c r="E96" s="361">
        <v>127</v>
      </c>
      <c r="F96" s="866" t="s">
        <v>1251</v>
      </c>
      <c r="G96" s="863" t="s">
        <v>1251</v>
      </c>
      <c r="H96" s="862" t="s">
        <v>1050</v>
      </c>
    </row>
    <row r="97" spans="2:8">
      <c r="B97" s="359">
        <v>6</v>
      </c>
      <c r="C97" s="367" t="s">
        <v>1253</v>
      </c>
      <c r="D97" s="360" t="s">
        <v>1250</v>
      </c>
      <c r="E97" s="361">
        <v>127</v>
      </c>
      <c r="F97" s="866" t="s">
        <v>1251</v>
      </c>
      <c r="G97" s="863" t="s">
        <v>97</v>
      </c>
      <c r="H97" s="862" t="s">
        <v>97</v>
      </c>
    </row>
    <row r="98" spans="2:8" ht="28.8">
      <c r="B98" s="359">
        <v>6</v>
      </c>
      <c r="C98" s="367" t="s">
        <v>1254</v>
      </c>
      <c r="D98" s="360" t="s">
        <v>1255</v>
      </c>
      <c r="E98" s="361">
        <v>129</v>
      </c>
      <c r="F98" s="864" t="s">
        <v>2522</v>
      </c>
      <c r="G98" s="863" t="s">
        <v>1256</v>
      </c>
      <c r="H98" s="862" t="s">
        <v>1050</v>
      </c>
    </row>
    <row r="99" spans="2:8" ht="28.8">
      <c r="B99" s="359">
        <v>6</v>
      </c>
      <c r="C99" s="367" t="s">
        <v>1257</v>
      </c>
      <c r="D99" s="360" t="s">
        <v>1258</v>
      </c>
      <c r="E99" s="361">
        <v>131</v>
      </c>
      <c r="F99" s="864" t="s">
        <v>1259</v>
      </c>
      <c r="G99" s="872">
        <v>1</v>
      </c>
      <c r="H99" s="862" t="s">
        <v>1050</v>
      </c>
    </row>
    <row r="100" spans="2:8" ht="30">
      <c r="B100" s="359">
        <v>6</v>
      </c>
      <c r="C100" s="367" t="s">
        <v>1260</v>
      </c>
      <c r="D100" s="360" t="s">
        <v>1261</v>
      </c>
      <c r="E100" s="361">
        <v>136</v>
      </c>
      <c r="F100" s="866" t="s">
        <v>2523</v>
      </c>
      <c r="G100" s="863" t="s">
        <v>2538</v>
      </c>
      <c r="H100" s="862" t="s">
        <v>1050</v>
      </c>
    </row>
    <row r="101" spans="2:8">
      <c r="F101" s="864"/>
      <c r="G101" s="865"/>
      <c r="H101" s="864"/>
    </row>
    <row r="102" spans="2:8">
      <c r="B102" s="359">
        <v>7</v>
      </c>
      <c r="C102" s="367" t="s">
        <v>1262</v>
      </c>
      <c r="D102" s="360" t="s">
        <v>1263</v>
      </c>
      <c r="E102" s="361">
        <v>140</v>
      </c>
      <c r="F102" s="862" t="s">
        <v>2496</v>
      </c>
      <c r="G102" s="863" t="s">
        <v>2497</v>
      </c>
      <c r="H102" s="862" t="s">
        <v>1050</v>
      </c>
    </row>
    <row r="103" spans="2:8">
      <c r="B103" s="359">
        <v>7</v>
      </c>
      <c r="C103" s="367" t="s">
        <v>1264</v>
      </c>
      <c r="D103" s="360" t="s">
        <v>1265</v>
      </c>
      <c r="E103" s="361">
        <v>146</v>
      </c>
      <c r="F103" s="864" t="s">
        <v>1266</v>
      </c>
      <c r="G103" s="863" t="s">
        <v>2498</v>
      </c>
      <c r="H103" s="862" t="s">
        <v>1050</v>
      </c>
    </row>
    <row r="104" spans="2:8">
      <c r="B104" s="359">
        <v>7</v>
      </c>
      <c r="C104" s="367" t="s">
        <v>1267</v>
      </c>
      <c r="D104" s="360" t="s">
        <v>1268</v>
      </c>
      <c r="E104" s="361">
        <v>152</v>
      </c>
      <c r="F104" s="864" t="s">
        <v>1269</v>
      </c>
      <c r="G104" s="863" t="s">
        <v>2499</v>
      </c>
      <c r="H104" s="862" t="s">
        <v>1050</v>
      </c>
    </row>
    <row r="105" spans="2:8">
      <c r="B105" s="359">
        <v>7</v>
      </c>
      <c r="C105" s="367" t="s">
        <v>1270</v>
      </c>
      <c r="D105" s="360" t="s">
        <v>1268</v>
      </c>
      <c r="E105" s="361">
        <v>152</v>
      </c>
      <c r="F105" s="864" t="s">
        <v>1271</v>
      </c>
      <c r="G105" s="863" t="s">
        <v>2500</v>
      </c>
      <c r="H105" s="862" t="s">
        <v>97</v>
      </c>
    </row>
    <row r="106" spans="2:8">
      <c r="B106" s="359">
        <v>7</v>
      </c>
      <c r="C106" s="367" t="s">
        <v>1272</v>
      </c>
      <c r="D106" s="360" t="s">
        <v>1268</v>
      </c>
      <c r="E106" s="361">
        <v>152</v>
      </c>
      <c r="F106" s="864" t="s">
        <v>1271</v>
      </c>
      <c r="G106" s="863" t="s">
        <v>2500</v>
      </c>
      <c r="H106" s="862" t="s">
        <v>97</v>
      </c>
    </row>
    <row r="107" spans="2:8">
      <c r="F107" s="864"/>
      <c r="G107" s="865"/>
      <c r="H107" s="864"/>
    </row>
    <row r="108" spans="2:8">
      <c r="B108" s="389">
        <v>8</v>
      </c>
      <c r="C108" s="390" t="s">
        <v>1273</v>
      </c>
      <c r="D108" s="376" t="s">
        <v>1274</v>
      </c>
      <c r="E108" s="391">
        <v>162</v>
      </c>
      <c r="F108" s="867" t="s">
        <v>1275</v>
      </c>
      <c r="G108" s="868" t="s">
        <v>2501</v>
      </c>
      <c r="H108" s="869" t="s">
        <v>1050</v>
      </c>
    </row>
    <row r="109" spans="2:8">
      <c r="B109" s="389">
        <v>8</v>
      </c>
      <c r="C109" s="390" t="s">
        <v>1276</v>
      </c>
      <c r="D109" s="376" t="s">
        <v>1274</v>
      </c>
      <c r="E109" s="391">
        <v>162</v>
      </c>
      <c r="F109" s="867" t="s">
        <v>1277</v>
      </c>
      <c r="G109" s="868" t="s">
        <v>2502</v>
      </c>
      <c r="H109" s="869" t="s">
        <v>1050</v>
      </c>
    </row>
    <row r="110" spans="2:8" ht="28.8">
      <c r="B110" s="389">
        <v>8</v>
      </c>
      <c r="C110" s="390" t="s">
        <v>1088</v>
      </c>
      <c r="D110" s="376" t="s">
        <v>1274</v>
      </c>
      <c r="E110" s="391">
        <v>162</v>
      </c>
      <c r="F110" s="867" t="s">
        <v>1090</v>
      </c>
      <c r="G110" s="868" t="s">
        <v>2503</v>
      </c>
      <c r="H110" s="869" t="s">
        <v>1050</v>
      </c>
    </row>
    <row r="111" spans="2:8" ht="28.8">
      <c r="B111" s="389">
        <v>8</v>
      </c>
      <c r="C111" s="390" t="s">
        <v>1092</v>
      </c>
      <c r="D111" s="376" t="s">
        <v>1274</v>
      </c>
      <c r="E111" s="391">
        <v>162</v>
      </c>
      <c r="F111" s="867" t="s">
        <v>1093</v>
      </c>
      <c r="G111" s="868" t="s">
        <v>97</v>
      </c>
      <c r="H111" s="869" t="s">
        <v>97</v>
      </c>
    </row>
    <row r="112" spans="2:8" ht="28.8">
      <c r="B112" s="389">
        <v>8</v>
      </c>
      <c r="C112" s="390" t="s">
        <v>1094</v>
      </c>
      <c r="D112" s="376" t="s">
        <v>1274</v>
      </c>
      <c r="E112" s="391">
        <v>162</v>
      </c>
      <c r="F112" s="867" t="s">
        <v>2512</v>
      </c>
      <c r="G112" s="868" t="s">
        <v>97</v>
      </c>
      <c r="H112" s="869" t="s">
        <v>97</v>
      </c>
    </row>
    <row r="113" spans="2:9" ht="28.8">
      <c r="B113" s="389">
        <v>8</v>
      </c>
      <c r="C113" s="390" t="s">
        <v>1096</v>
      </c>
      <c r="D113" s="376" t="s">
        <v>1274</v>
      </c>
      <c r="E113" s="391">
        <v>162</v>
      </c>
      <c r="F113" s="867" t="s">
        <v>2513</v>
      </c>
      <c r="G113" s="868" t="s">
        <v>97</v>
      </c>
      <c r="H113" s="869" t="s">
        <v>97</v>
      </c>
    </row>
    <row r="114" spans="2:9">
      <c r="B114" s="389">
        <v>8</v>
      </c>
      <c r="C114" s="390" t="s">
        <v>1278</v>
      </c>
      <c r="D114" s="376" t="s">
        <v>1274</v>
      </c>
      <c r="E114" s="391">
        <v>162</v>
      </c>
      <c r="F114" s="867" t="s">
        <v>1279</v>
      </c>
      <c r="G114" s="868" t="s">
        <v>2504</v>
      </c>
      <c r="H114" s="869" t="s">
        <v>1050</v>
      </c>
    </row>
    <row r="115" spans="2:9" ht="28.8">
      <c r="B115" s="389">
        <v>8</v>
      </c>
      <c r="C115" s="390" t="s">
        <v>1280</v>
      </c>
      <c r="D115" s="376" t="s">
        <v>1274</v>
      </c>
      <c r="E115" s="391">
        <v>162</v>
      </c>
      <c r="F115" s="867" t="s">
        <v>1281</v>
      </c>
      <c r="G115" s="868" t="s">
        <v>2505</v>
      </c>
      <c r="H115" s="869" t="s">
        <v>1050</v>
      </c>
    </row>
    <row r="116" spans="2:9">
      <c r="B116" s="359">
        <v>8</v>
      </c>
      <c r="C116" s="367" t="s">
        <v>1282</v>
      </c>
      <c r="D116" s="360" t="s">
        <v>1283</v>
      </c>
      <c r="E116" s="361">
        <v>164</v>
      </c>
      <c r="F116" s="862" t="s">
        <v>1284</v>
      </c>
      <c r="G116" s="863" t="s">
        <v>2506</v>
      </c>
      <c r="H116" s="862" t="s">
        <v>1050</v>
      </c>
    </row>
    <row r="117" spans="2:9">
      <c r="B117" s="359">
        <v>8</v>
      </c>
      <c r="C117" s="367" t="s">
        <v>1285</v>
      </c>
      <c r="D117" s="360" t="s">
        <v>1286</v>
      </c>
      <c r="E117" s="361">
        <v>171</v>
      </c>
      <c r="F117" s="862" t="s">
        <v>1287</v>
      </c>
      <c r="G117" s="863" t="s">
        <v>2507</v>
      </c>
      <c r="H117" s="862" t="s">
        <v>1050</v>
      </c>
    </row>
    <row r="118" spans="2:9">
      <c r="B118" s="389">
        <v>8</v>
      </c>
      <c r="C118" s="390" t="s">
        <v>1288</v>
      </c>
      <c r="D118" s="376" t="s">
        <v>1289</v>
      </c>
      <c r="E118" s="391">
        <v>169</v>
      </c>
      <c r="F118" s="867" t="s">
        <v>1290</v>
      </c>
      <c r="G118" s="868" t="s">
        <v>2508</v>
      </c>
      <c r="H118" s="869" t="s">
        <v>1050</v>
      </c>
    </row>
    <row r="119" spans="2:9">
      <c r="B119" s="389">
        <v>8</v>
      </c>
      <c r="C119" s="390" t="s">
        <v>1291</v>
      </c>
      <c r="D119" s="376" t="s">
        <v>1289</v>
      </c>
      <c r="E119" s="391">
        <v>169</v>
      </c>
      <c r="F119" s="867" t="s">
        <v>1292</v>
      </c>
      <c r="G119" s="868" t="s">
        <v>2509</v>
      </c>
      <c r="H119" s="869" t="s">
        <v>1050</v>
      </c>
    </row>
    <row r="120" spans="2:9">
      <c r="B120" s="389">
        <v>8</v>
      </c>
      <c r="C120" s="390" t="s">
        <v>1293</v>
      </c>
      <c r="D120" s="376" t="s">
        <v>1289</v>
      </c>
      <c r="E120" s="391">
        <v>169</v>
      </c>
      <c r="F120" s="867" t="s">
        <v>1279</v>
      </c>
      <c r="G120" s="868" t="s">
        <v>2510</v>
      </c>
      <c r="H120" s="869" t="s">
        <v>1050</v>
      </c>
    </row>
    <row r="121" spans="2:9" ht="28.8">
      <c r="B121" s="389">
        <v>8</v>
      </c>
      <c r="C121" s="390" t="s">
        <v>1294</v>
      </c>
      <c r="D121" s="376" t="s">
        <v>1289</v>
      </c>
      <c r="E121" s="391">
        <v>169</v>
      </c>
      <c r="F121" s="867" t="s">
        <v>1295</v>
      </c>
      <c r="G121" s="868" t="s">
        <v>2511</v>
      </c>
      <c r="H121" s="869" t="s">
        <v>1050</v>
      </c>
    </row>
    <row r="122" spans="2:9">
      <c r="F122" s="864"/>
      <c r="G122" s="865"/>
      <c r="H122" s="864"/>
    </row>
    <row r="123" spans="2:9" ht="28.8">
      <c r="B123" s="359">
        <v>9</v>
      </c>
      <c r="C123" s="367" t="s">
        <v>1296</v>
      </c>
      <c r="D123" s="360" t="s">
        <v>1297</v>
      </c>
      <c r="E123" s="361">
        <v>178</v>
      </c>
      <c r="F123" s="864" t="s">
        <v>1298</v>
      </c>
      <c r="G123" s="863" t="s">
        <v>97</v>
      </c>
      <c r="H123" s="862" t="s">
        <v>97</v>
      </c>
    </row>
    <row r="125" spans="2:9">
      <c r="B125" s="389">
        <v>10</v>
      </c>
      <c r="C125" s="390" t="s">
        <v>1299</v>
      </c>
      <c r="D125" s="376" t="s">
        <v>1300</v>
      </c>
      <c r="E125" s="391">
        <v>209</v>
      </c>
      <c r="F125" s="393" t="s">
        <v>2492</v>
      </c>
      <c r="G125" s="392">
        <v>5.0460000000000003</v>
      </c>
      <c r="H125" s="393" t="s">
        <v>1050</v>
      </c>
    </row>
    <row r="126" spans="2:9" ht="28.8">
      <c r="B126" s="389">
        <v>10</v>
      </c>
      <c r="C126" s="390" t="s">
        <v>1301</v>
      </c>
      <c r="D126" s="390" t="s">
        <v>1302</v>
      </c>
      <c r="E126" s="391">
        <v>210</v>
      </c>
      <c r="F126" s="393" t="s">
        <v>97</v>
      </c>
      <c r="G126" s="392" t="s">
        <v>97</v>
      </c>
      <c r="H126" s="393" t="s">
        <v>97</v>
      </c>
    </row>
    <row r="127" spans="2:9" ht="43.2">
      <c r="B127" s="389">
        <v>10</v>
      </c>
      <c r="C127" s="390" t="s">
        <v>1303</v>
      </c>
      <c r="D127" s="390" t="s">
        <v>1304</v>
      </c>
      <c r="E127" s="391">
        <v>213</v>
      </c>
      <c r="F127" s="390" t="s">
        <v>1305</v>
      </c>
      <c r="G127" s="394" t="s">
        <v>1306</v>
      </c>
      <c r="H127" s="391" t="s">
        <v>1307</v>
      </c>
      <c r="I127" s="360" t="s">
        <v>1308</v>
      </c>
    </row>
    <row r="128" spans="2:9">
      <c r="B128" s="359">
        <v>10</v>
      </c>
      <c r="C128" s="367" t="s">
        <v>1309</v>
      </c>
      <c r="D128" s="360" t="s">
        <v>1310</v>
      </c>
      <c r="E128" s="361">
        <v>214</v>
      </c>
      <c r="F128" s="360" t="s">
        <v>1311</v>
      </c>
      <c r="G128" s="395">
        <v>1.5</v>
      </c>
      <c r="H128" s="396" t="s">
        <v>1050</v>
      </c>
    </row>
    <row r="129" spans="2:9" ht="45.75" customHeight="1">
      <c r="B129" s="359">
        <v>10</v>
      </c>
      <c r="C129" s="367" t="s">
        <v>1312</v>
      </c>
      <c r="D129" s="360" t="s">
        <v>1313</v>
      </c>
      <c r="E129" s="361">
        <v>234</v>
      </c>
      <c r="F129" s="873" t="s">
        <v>97</v>
      </c>
      <c r="G129" s="397" t="s">
        <v>2524</v>
      </c>
      <c r="H129" s="396" t="s">
        <v>97</v>
      </c>
    </row>
    <row r="130" spans="2:9" ht="28.8">
      <c r="B130" s="359">
        <v>10</v>
      </c>
      <c r="C130" s="367" t="s">
        <v>1314</v>
      </c>
      <c r="D130" s="360" t="s">
        <v>1313</v>
      </c>
      <c r="E130" s="361">
        <v>237</v>
      </c>
      <c r="F130" s="873" t="s">
        <v>2525</v>
      </c>
      <c r="G130" s="397" t="s">
        <v>2524</v>
      </c>
      <c r="H130" s="396" t="s">
        <v>1050</v>
      </c>
    </row>
    <row r="131" spans="2:9" ht="28.8">
      <c r="B131" s="359">
        <v>11</v>
      </c>
      <c r="C131" s="367" t="s">
        <v>1315</v>
      </c>
      <c r="D131" s="367" t="s">
        <v>1316</v>
      </c>
      <c r="E131" s="361" t="s">
        <v>1317</v>
      </c>
      <c r="F131" s="360" t="s">
        <v>1318</v>
      </c>
      <c r="G131" s="398" t="s">
        <v>1319</v>
      </c>
      <c r="H131" s="396" t="s">
        <v>1045</v>
      </c>
      <c r="I131" s="874" t="s">
        <v>2526</v>
      </c>
    </row>
    <row r="132" spans="2:9" ht="27.6">
      <c r="B132" s="359">
        <v>11</v>
      </c>
      <c r="C132" s="367" t="s">
        <v>1320</v>
      </c>
      <c r="D132" s="360" t="s">
        <v>1321</v>
      </c>
      <c r="E132" s="361">
        <v>264</v>
      </c>
      <c r="F132" s="367" t="s">
        <v>1322</v>
      </c>
      <c r="G132" s="382">
        <v>0.95</v>
      </c>
      <c r="H132" s="875" t="s">
        <v>1050</v>
      </c>
    </row>
    <row r="133" spans="2:9" ht="27.6">
      <c r="B133" s="359">
        <v>11</v>
      </c>
      <c r="C133" s="367" t="s">
        <v>1323</v>
      </c>
      <c r="D133" s="360" t="s">
        <v>1324</v>
      </c>
      <c r="E133" s="361">
        <v>265</v>
      </c>
      <c r="F133" s="876" t="s">
        <v>1325</v>
      </c>
      <c r="G133" s="382" t="s">
        <v>2527</v>
      </c>
      <c r="H133" s="875" t="s">
        <v>1050</v>
      </c>
    </row>
    <row r="134" spans="2:9" ht="55.2">
      <c r="B134" s="359">
        <v>11</v>
      </c>
      <c r="C134" s="367" t="s">
        <v>1326</v>
      </c>
      <c r="D134" s="367" t="s">
        <v>1327</v>
      </c>
      <c r="E134" s="361" t="s">
        <v>1328</v>
      </c>
      <c r="F134" s="873" t="s">
        <v>1329</v>
      </c>
      <c r="G134" s="398" t="s">
        <v>2528</v>
      </c>
      <c r="H134" s="875" t="s">
        <v>1050</v>
      </c>
    </row>
    <row r="135" spans="2:9" ht="28.8">
      <c r="B135" s="359">
        <v>11</v>
      </c>
      <c r="C135" s="367" t="s">
        <v>1330</v>
      </c>
      <c r="D135" s="360" t="s">
        <v>1331</v>
      </c>
      <c r="E135" s="361" t="s">
        <v>1332</v>
      </c>
      <c r="F135" s="360" t="s">
        <v>1333</v>
      </c>
      <c r="G135" s="877" t="s">
        <v>2529</v>
      </c>
      <c r="H135" s="875" t="s">
        <v>1050</v>
      </c>
    </row>
    <row r="136" spans="2:9">
      <c r="B136" s="359">
        <v>11</v>
      </c>
      <c r="C136" s="367" t="s">
        <v>1334</v>
      </c>
      <c r="D136" s="360" t="s">
        <v>1335</v>
      </c>
      <c r="E136" s="361" t="s">
        <v>1336</v>
      </c>
      <c r="F136" s="360" t="s">
        <v>1337</v>
      </c>
      <c r="G136" s="875" t="s">
        <v>2530</v>
      </c>
      <c r="H136" s="875" t="s">
        <v>1050</v>
      </c>
    </row>
    <row r="137" spans="2:9">
      <c r="B137" s="359">
        <v>11</v>
      </c>
      <c r="C137" s="367" t="s">
        <v>1338</v>
      </c>
      <c r="D137" s="360" t="s">
        <v>1339</v>
      </c>
      <c r="E137" s="361" t="s">
        <v>1340</v>
      </c>
      <c r="F137" s="360" t="s">
        <v>1341</v>
      </c>
      <c r="G137" s="875" t="s">
        <v>2531</v>
      </c>
      <c r="H137" s="875" t="s">
        <v>1050</v>
      </c>
    </row>
    <row r="138" spans="2:9">
      <c r="B138" s="359">
        <v>11</v>
      </c>
      <c r="C138" s="367" t="s">
        <v>1342</v>
      </c>
      <c r="D138" s="360" t="s">
        <v>1343</v>
      </c>
      <c r="E138" s="361" t="s">
        <v>1344</v>
      </c>
      <c r="F138" s="360" t="s">
        <v>1345</v>
      </c>
      <c r="G138" s="877" t="s">
        <v>2532</v>
      </c>
      <c r="H138" s="875" t="s">
        <v>1050</v>
      </c>
    </row>
    <row r="139" spans="2:9">
      <c r="B139" s="359">
        <v>11</v>
      </c>
      <c r="C139" s="367" t="s">
        <v>1346</v>
      </c>
      <c r="D139" s="360" t="s">
        <v>1343</v>
      </c>
      <c r="E139" s="361" t="s">
        <v>1344</v>
      </c>
      <c r="F139" s="360" t="s">
        <v>1345</v>
      </c>
      <c r="G139" s="877" t="s">
        <v>2533</v>
      </c>
      <c r="H139" s="875" t="s">
        <v>1050</v>
      </c>
    </row>
    <row r="140" spans="2:9">
      <c r="B140" s="359">
        <v>12</v>
      </c>
      <c r="C140" s="367" t="s">
        <v>1347</v>
      </c>
      <c r="D140" s="360" t="s">
        <v>1348</v>
      </c>
      <c r="E140" s="361" t="s">
        <v>1349</v>
      </c>
      <c r="F140" s="360" t="s">
        <v>1350</v>
      </c>
      <c r="G140" s="878" t="s">
        <v>2534</v>
      </c>
      <c r="H140" s="875" t="s">
        <v>1050</v>
      </c>
    </row>
    <row r="141" spans="2:9">
      <c r="B141" s="359">
        <v>12</v>
      </c>
      <c r="C141" s="367" t="s">
        <v>1351</v>
      </c>
      <c r="D141" s="360" t="s">
        <v>1352</v>
      </c>
      <c r="E141" s="361">
        <v>300</v>
      </c>
      <c r="F141" s="874" t="s">
        <v>2535</v>
      </c>
      <c r="G141" s="877" t="s">
        <v>2536</v>
      </c>
      <c r="H141" s="875" t="s">
        <v>1050</v>
      </c>
    </row>
    <row r="142" spans="2:9">
      <c r="B142" s="359">
        <v>13</v>
      </c>
      <c r="C142" s="367" t="s">
        <v>1353</v>
      </c>
      <c r="D142" s="360" t="s">
        <v>1354</v>
      </c>
      <c r="E142" s="361" t="s">
        <v>1355</v>
      </c>
      <c r="F142" s="360" t="s">
        <v>1356</v>
      </c>
      <c r="G142" s="877" t="s">
        <v>1050</v>
      </c>
      <c r="H142" s="875" t="s">
        <v>1050</v>
      </c>
    </row>
    <row r="143" spans="2:9">
      <c r="B143" s="359">
        <v>13</v>
      </c>
      <c r="C143" s="367" t="s">
        <v>1357</v>
      </c>
      <c r="D143" s="360" t="s">
        <v>1358</v>
      </c>
      <c r="E143" s="361" t="s">
        <v>1359</v>
      </c>
      <c r="F143" s="360" t="s">
        <v>1360</v>
      </c>
      <c r="G143" s="877" t="s">
        <v>1050</v>
      </c>
      <c r="H143" s="875" t="s">
        <v>1050</v>
      </c>
    </row>
  </sheetData>
  <autoFilter ref="H11:H143" xr:uid="{00000000-0009-0000-0000-000003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AD146"/>
  <sheetViews>
    <sheetView topLeftCell="A5" zoomScale="80" zoomScaleNormal="80" workbookViewId="0">
      <selection activeCell="F31" sqref="F31"/>
    </sheetView>
  </sheetViews>
  <sheetFormatPr defaultColWidth="8.77734375" defaultRowHeight="13.2"/>
  <cols>
    <col min="1" max="1" width="6.44140625" customWidth="1"/>
    <col min="2" max="2" width="4.44140625" customWidth="1"/>
    <col min="3" max="3" width="38.44140625" customWidth="1"/>
    <col min="4" max="4" width="8.44140625" bestFit="1" customWidth="1"/>
    <col min="5" max="5" width="11.6640625" customWidth="1"/>
    <col min="6" max="6" width="11.33203125" bestFit="1" customWidth="1"/>
    <col min="7" max="7" width="11.33203125" customWidth="1"/>
    <col min="8" max="8" width="10.77734375" bestFit="1" customWidth="1"/>
    <col min="9" max="9" width="8.109375" customWidth="1"/>
    <col min="10" max="10" width="8.77734375" customWidth="1"/>
    <col min="11" max="11" width="10.33203125" bestFit="1" customWidth="1"/>
    <col min="12" max="12" width="10" bestFit="1" customWidth="1"/>
    <col min="13" max="13" width="10.109375" customWidth="1"/>
    <col min="14" max="14" width="9.33203125" bestFit="1" customWidth="1"/>
    <col min="15" max="15" width="10.33203125" customWidth="1"/>
    <col min="16" max="16" width="9.44140625" bestFit="1" customWidth="1"/>
    <col min="17" max="17" width="9.77734375" bestFit="1" customWidth="1"/>
    <col min="18" max="18" width="10" customWidth="1"/>
    <col min="19" max="19" width="11.109375" customWidth="1"/>
    <col min="20" max="20" width="12.6640625" customWidth="1"/>
    <col min="21" max="21" width="9.6640625" bestFit="1" customWidth="1"/>
    <col min="22" max="22" width="10.77734375" bestFit="1" customWidth="1"/>
    <col min="23" max="23" width="12" bestFit="1" customWidth="1"/>
    <col min="24" max="24" width="11.44140625" bestFit="1" customWidth="1"/>
    <col min="25" max="25" width="10.44140625" bestFit="1" customWidth="1"/>
    <col min="26" max="26" width="9" customWidth="1"/>
    <col min="28" max="28" width="7.77734375" customWidth="1"/>
    <col min="29" max="29" width="8.6640625" bestFit="1" customWidth="1"/>
    <col min="30" max="30" width="7.44140625" bestFit="1" customWidth="1"/>
    <col min="31" max="31" width="10.33203125" bestFit="1" customWidth="1"/>
    <col min="33" max="33" width="4" bestFit="1" customWidth="1"/>
    <col min="34" max="34" width="7.44140625" bestFit="1" customWidth="1"/>
    <col min="35" max="35" width="9.6640625" bestFit="1" customWidth="1"/>
    <col min="36" max="36" width="8.44140625" bestFit="1" customWidth="1"/>
    <col min="38" max="38" width="25.6640625" bestFit="1" customWidth="1"/>
    <col min="40" max="42" width="11" bestFit="1" customWidth="1"/>
  </cols>
  <sheetData>
    <row r="1" spans="2:28" ht="13.8" thickBot="1"/>
    <row r="2" spans="2:28" ht="21">
      <c r="B2" s="1242" t="s">
        <v>237</v>
      </c>
      <c r="C2" s="22"/>
      <c r="D2" s="22"/>
      <c r="E2" s="22"/>
      <c r="F2" s="22"/>
      <c r="G2" s="22"/>
      <c r="H2" s="22"/>
      <c r="I2" s="22"/>
      <c r="J2" s="22"/>
      <c r="K2" s="22"/>
      <c r="L2" s="22"/>
      <c r="M2" s="22"/>
      <c r="N2" s="22"/>
      <c r="O2" s="22"/>
      <c r="P2" s="22"/>
      <c r="Q2" s="22"/>
      <c r="R2" s="22"/>
      <c r="S2" s="22"/>
      <c r="T2" s="22"/>
      <c r="U2" s="22"/>
      <c r="V2" s="22"/>
      <c r="W2" s="22"/>
      <c r="X2" s="22"/>
      <c r="Y2" s="22"/>
      <c r="Z2" s="22"/>
      <c r="AA2" s="22"/>
      <c r="AB2" s="23"/>
    </row>
    <row r="3" spans="2:28" ht="17.399999999999999">
      <c r="B3" s="1243" t="s">
        <v>238</v>
      </c>
      <c r="C3" s="25"/>
      <c r="D3" s="25"/>
      <c r="E3" s="25"/>
      <c r="F3" s="25"/>
      <c r="G3" s="25"/>
      <c r="H3" s="25"/>
      <c r="I3" s="25"/>
      <c r="J3" s="25"/>
      <c r="K3" s="25"/>
      <c r="L3" s="25"/>
      <c r="M3" s="25"/>
      <c r="N3" s="25"/>
      <c r="O3" s="25"/>
      <c r="P3" s="25"/>
      <c r="Q3" s="25"/>
      <c r="R3" s="25"/>
      <c r="S3" s="25"/>
      <c r="T3" s="25"/>
      <c r="U3" s="25"/>
      <c r="V3" s="25"/>
      <c r="W3" s="25"/>
      <c r="X3" s="25"/>
      <c r="Y3" s="25"/>
      <c r="Z3" s="25"/>
      <c r="AA3" s="25"/>
      <c r="AB3" s="26"/>
    </row>
    <row r="4" spans="2:28" ht="15">
      <c r="B4" s="1324" t="s">
        <v>2781</v>
      </c>
      <c r="C4" s="1264"/>
      <c r="D4" s="2"/>
      <c r="E4" s="2"/>
      <c r="F4" s="2"/>
      <c r="G4" s="25"/>
      <c r="H4" s="25"/>
      <c r="I4" s="25"/>
      <c r="J4" s="25"/>
      <c r="K4" s="25"/>
      <c r="L4" s="25"/>
      <c r="M4" s="25"/>
      <c r="N4" s="25"/>
      <c r="O4" s="25"/>
      <c r="P4" s="25"/>
      <c r="Q4" s="25"/>
      <c r="R4" s="25"/>
      <c r="S4" s="25"/>
      <c r="T4" s="25"/>
      <c r="U4" s="25"/>
      <c r="V4" s="25"/>
      <c r="W4" s="25"/>
      <c r="X4" s="25"/>
      <c r="Y4" s="25"/>
      <c r="Z4" s="25"/>
      <c r="AA4" s="25"/>
      <c r="AB4" s="26"/>
    </row>
    <row r="5" spans="2:28">
      <c r="B5" s="1038"/>
      <c r="C5" s="2"/>
      <c r="D5" s="2"/>
      <c r="E5" s="2"/>
      <c r="F5" s="2"/>
      <c r="G5" s="25"/>
      <c r="H5" s="25"/>
      <c r="I5" s="25"/>
      <c r="J5" s="25"/>
      <c r="K5" s="25"/>
      <c r="L5" s="25"/>
      <c r="M5" s="25"/>
      <c r="N5" s="25"/>
      <c r="O5" s="25"/>
      <c r="P5" s="25"/>
      <c r="Q5" s="25"/>
      <c r="R5" s="25"/>
      <c r="S5" s="25"/>
      <c r="T5" s="25"/>
      <c r="U5" s="25"/>
      <c r="V5" s="25"/>
      <c r="W5" s="25"/>
      <c r="X5" s="25"/>
      <c r="Y5" s="25"/>
      <c r="Z5" s="25"/>
      <c r="AA5" s="25"/>
      <c r="AB5" s="26"/>
    </row>
    <row r="6" spans="2:28" ht="17.399999999999999">
      <c r="B6" s="1244" t="s">
        <v>259</v>
      </c>
      <c r="C6" s="2"/>
      <c r="D6" s="2"/>
      <c r="E6" s="2"/>
      <c r="F6" s="2"/>
      <c r="G6" s="25"/>
      <c r="H6" s="25"/>
      <c r="I6" s="25"/>
      <c r="J6" s="25"/>
      <c r="K6" s="25"/>
      <c r="L6" s="25"/>
      <c r="M6" s="25"/>
      <c r="N6" s="25"/>
      <c r="O6" s="25"/>
      <c r="P6" s="25"/>
      <c r="Q6" s="25"/>
      <c r="R6" s="25"/>
      <c r="S6" s="25"/>
      <c r="T6" s="25"/>
      <c r="U6" s="25"/>
      <c r="V6" s="25"/>
      <c r="W6" s="25"/>
      <c r="X6" s="25"/>
      <c r="Y6" s="25"/>
      <c r="Z6" s="25"/>
      <c r="AA6" s="25"/>
      <c r="AB6" s="26"/>
    </row>
    <row r="7" spans="2:28">
      <c r="B7" s="1038"/>
      <c r="C7" s="2"/>
      <c r="D7" s="2"/>
      <c r="E7" s="2"/>
      <c r="F7" s="2"/>
      <c r="G7" s="25"/>
      <c r="H7" s="43"/>
      <c r="I7" s="43"/>
      <c r="J7" s="25"/>
      <c r="K7" s="25"/>
      <c r="L7" s="25"/>
      <c r="M7" s="25"/>
      <c r="N7" s="25"/>
      <c r="O7" s="25"/>
      <c r="P7" s="25"/>
      <c r="Q7" s="25"/>
      <c r="R7" s="25"/>
      <c r="S7" s="25"/>
      <c r="T7" s="25"/>
      <c r="U7" s="25"/>
      <c r="V7" s="25"/>
      <c r="W7" s="25"/>
      <c r="X7" s="25"/>
      <c r="Y7" s="25"/>
      <c r="Z7" s="25"/>
      <c r="AA7" s="25"/>
      <c r="AB7" s="26"/>
    </row>
    <row r="8" spans="2:28" ht="15.6">
      <c r="B8" s="1038"/>
      <c r="C8" s="1" t="s">
        <v>88</v>
      </c>
      <c r="D8" s="1" t="s">
        <v>89</v>
      </c>
      <c r="E8" s="1" t="s">
        <v>90</v>
      </c>
      <c r="F8" s="1" t="s">
        <v>91</v>
      </c>
      <c r="G8" s="25"/>
      <c r="H8" s="1191" t="s">
        <v>153</v>
      </c>
      <c r="I8" s="12"/>
      <c r="J8" s="12"/>
      <c r="K8" s="1238"/>
      <c r="L8" s="1238"/>
      <c r="M8" s="25"/>
      <c r="N8" s="1191" t="s">
        <v>122</v>
      </c>
      <c r="O8" s="12"/>
      <c r="P8" s="12"/>
      <c r="Q8" s="12"/>
      <c r="R8" s="12"/>
      <c r="S8" s="1238"/>
      <c r="T8" s="1238"/>
      <c r="U8" s="25"/>
      <c r="V8" s="25"/>
      <c r="W8" s="25"/>
      <c r="X8" s="25"/>
      <c r="Y8" s="25"/>
      <c r="Z8" s="25"/>
      <c r="AA8" s="25"/>
      <c r="AB8" s="26"/>
    </row>
    <row r="9" spans="2:28">
      <c r="B9" s="1038"/>
      <c r="C9" s="2" t="s">
        <v>92</v>
      </c>
      <c r="D9" s="2" t="s">
        <v>93</v>
      </c>
      <c r="E9" s="2" t="s">
        <v>87</v>
      </c>
      <c r="F9" s="1325">
        <f>5.9</f>
        <v>5.9</v>
      </c>
      <c r="G9" s="25"/>
      <c r="H9" s="12" t="str">
        <f>B4</f>
        <v>Merlin S-1X</v>
      </c>
      <c r="I9" s="12"/>
      <c r="J9" s="12"/>
      <c r="K9" s="12"/>
      <c r="L9" s="272"/>
      <c r="M9" s="25"/>
      <c r="N9" s="12" t="str">
        <f>$B4</f>
        <v>Merlin S-1X</v>
      </c>
      <c r="O9" s="12"/>
      <c r="P9" s="12"/>
      <c r="Q9" s="12"/>
      <c r="R9" s="12"/>
      <c r="S9" s="12"/>
      <c r="T9" s="272" t="s">
        <v>123</v>
      </c>
      <c r="U9" s="25"/>
      <c r="V9" s="25"/>
      <c r="W9" s="25"/>
      <c r="X9" s="25"/>
      <c r="Y9" s="25"/>
      <c r="Z9" s="25"/>
      <c r="AA9" s="25"/>
      <c r="AB9" s="26"/>
    </row>
    <row r="10" spans="2:28">
      <c r="B10" s="1038"/>
      <c r="C10" s="2" t="s">
        <v>102</v>
      </c>
      <c r="D10" s="2" t="s">
        <v>103</v>
      </c>
      <c r="E10" s="2" t="s">
        <v>104</v>
      </c>
      <c r="F10" s="1267">
        <v>100</v>
      </c>
      <c r="G10" s="25"/>
      <c r="H10" s="12"/>
      <c r="I10" s="12"/>
      <c r="J10" s="12" t="s">
        <v>81</v>
      </c>
      <c r="K10" s="12" t="s">
        <v>82</v>
      </c>
      <c r="L10" s="272" t="s">
        <v>83</v>
      </c>
      <c r="M10" s="25"/>
      <c r="N10" s="12"/>
      <c r="O10" s="12"/>
      <c r="P10" s="12"/>
      <c r="Q10" s="12"/>
      <c r="R10" s="12"/>
      <c r="S10" s="12"/>
      <c r="T10" s="272" t="s">
        <v>84</v>
      </c>
      <c r="U10" s="25"/>
      <c r="V10" s="25"/>
      <c r="W10" s="25"/>
      <c r="X10" s="25"/>
      <c r="Y10" s="25"/>
      <c r="Z10" s="25"/>
      <c r="AA10" s="25"/>
      <c r="AB10" s="26"/>
    </row>
    <row r="11" spans="2:28">
      <c r="B11" s="1038"/>
      <c r="C11" s="2" t="s">
        <v>111</v>
      </c>
      <c r="D11" s="2" t="s">
        <v>114</v>
      </c>
      <c r="E11" s="2" t="s">
        <v>105</v>
      </c>
      <c r="F11" s="1267">
        <v>35</v>
      </c>
      <c r="G11" s="25"/>
      <c r="H11" s="15" t="s">
        <v>295</v>
      </c>
      <c r="I11" s="12"/>
      <c r="J11" s="15" t="s">
        <v>75</v>
      </c>
      <c r="K11" s="15" t="s">
        <v>76</v>
      </c>
      <c r="L11" s="1239" t="s">
        <v>79</v>
      </c>
      <c r="M11" s="25"/>
      <c r="N11" s="1192" t="s">
        <v>124</v>
      </c>
      <c r="O11" s="12"/>
      <c r="P11" s="12"/>
      <c r="Q11" s="12"/>
      <c r="R11" s="15" t="s">
        <v>89</v>
      </c>
      <c r="S11" s="15" t="s">
        <v>91</v>
      </c>
      <c r="T11" s="1239" t="s">
        <v>99</v>
      </c>
      <c r="U11" s="25"/>
      <c r="V11" s="25"/>
      <c r="W11" s="25"/>
      <c r="X11" s="25"/>
      <c r="Y11" s="25"/>
      <c r="Z11" s="25"/>
      <c r="AA11" s="25"/>
      <c r="AB11" s="26"/>
    </row>
    <row r="12" spans="2:28">
      <c r="B12" s="1038"/>
      <c r="C12" s="2" t="s">
        <v>112</v>
      </c>
      <c r="D12" s="2" t="s">
        <v>115</v>
      </c>
      <c r="E12" s="2" t="s">
        <v>105</v>
      </c>
      <c r="F12" s="1267">
        <v>35</v>
      </c>
      <c r="G12" s="25"/>
      <c r="H12" s="12" t="s">
        <v>3</v>
      </c>
      <c r="I12" s="12"/>
      <c r="J12" s="16">
        <f>S44</f>
        <v>2</v>
      </c>
      <c r="K12" s="16">
        <f>T44</f>
        <v>31.211184267854325</v>
      </c>
      <c r="L12" s="16">
        <f>V44</f>
        <v>0</v>
      </c>
      <c r="M12" s="25"/>
      <c r="N12" s="12" t="s">
        <v>125</v>
      </c>
      <c r="O12" s="12"/>
      <c r="P12" s="12"/>
      <c r="Q12" s="12"/>
      <c r="R12" s="12" t="s">
        <v>126</v>
      </c>
      <c r="S12" s="16">
        <f>F35*P44</f>
        <v>806.76018740114534</v>
      </c>
      <c r="T12" s="1240">
        <f t="shared" ref="T12:T20" si="0">S12/P$44</f>
        <v>0.6462108105843819</v>
      </c>
      <c r="U12" s="25"/>
      <c r="V12" s="25"/>
      <c r="W12" s="52"/>
      <c r="X12" s="52"/>
      <c r="Y12" s="25"/>
      <c r="Z12" s="25"/>
      <c r="AA12" s="25"/>
      <c r="AB12" s="26"/>
    </row>
    <row r="13" spans="2:28">
      <c r="B13" s="1038"/>
      <c r="C13" s="2" t="s">
        <v>113</v>
      </c>
      <c r="D13" s="2" t="s">
        <v>116</v>
      </c>
      <c r="E13" s="2" t="s">
        <v>105</v>
      </c>
      <c r="F13" s="1267">
        <v>10</v>
      </c>
      <c r="G13" s="25"/>
      <c r="H13" s="12" t="s">
        <v>159</v>
      </c>
      <c r="I13" s="12"/>
      <c r="J13" s="16">
        <f>S45</f>
        <v>25</v>
      </c>
      <c r="K13" s="16">
        <f>T45</f>
        <v>7.7903115932563853</v>
      </c>
      <c r="L13" s="16">
        <f>V45</f>
        <v>0</v>
      </c>
      <c r="M13" s="25"/>
      <c r="N13" s="12" t="s">
        <v>127</v>
      </c>
      <c r="O13" s="12"/>
      <c r="P13" s="12"/>
      <c r="Q13" s="12"/>
      <c r="R13" s="12" t="s">
        <v>128</v>
      </c>
      <c r="S13" s="16">
        <f>S14+S15</f>
        <v>200</v>
      </c>
      <c r="T13" s="1240">
        <f t="shared" si="0"/>
        <v>0.16019898370693061</v>
      </c>
      <c r="U13" s="25"/>
      <c r="V13" s="25"/>
      <c r="W13" s="52"/>
      <c r="X13" s="52"/>
      <c r="Y13" s="25"/>
      <c r="Z13" s="25"/>
      <c r="AA13" s="25"/>
      <c r="AB13" s="26"/>
    </row>
    <row r="14" spans="2:28">
      <c r="B14" s="1038"/>
      <c r="C14" s="2" t="s">
        <v>107</v>
      </c>
      <c r="D14" s="2" t="s">
        <v>108</v>
      </c>
      <c r="E14" s="2" t="s">
        <v>87</v>
      </c>
      <c r="F14" s="1264">
        <v>0.4</v>
      </c>
      <c r="G14" s="25"/>
      <c r="H14" s="12" t="s">
        <v>154</v>
      </c>
      <c r="I14" s="12"/>
      <c r="J14" s="16">
        <f>SUM(S46:S50)</f>
        <v>58.14140808531458</v>
      </c>
      <c r="K14" s="16">
        <f>SUM(T46:T50)</f>
        <v>42.302786148672091</v>
      </c>
      <c r="L14" s="16">
        <f>SUM(V46:V50)</f>
        <v>100</v>
      </c>
      <c r="M14" s="25"/>
      <c r="N14" s="12" t="s">
        <v>129</v>
      </c>
      <c r="O14" s="12"/>
      <c r="P14" s="12"/>
      <c r="Q14" s="12"/>
      <c r="R14" s="12" t="s">
        <v>130</v>
      </c>
      <c r="S14" s="16">
        <f>F15</f>
        <v>0</v>
      </c>
      <c r="T14" s="1240">
        <f t="shared" si="0"/>
        <v>0</v>
      </c>
      <c r="U14" s="25"/>
      <c r="V14" s="25"/>
      <c r="W14" s="52"/>
      <c r="X14" s="52"/>
      <c r="Y14" s="25"/>
      <c r="Z14" s="25"/>
      <c r="AA14" s="25"/>
      <c r="AB14" s="26"/>
    </row>
    <row r="15" spans="2:28">
      <c r="B15" s="1038"/>
      <c r="C15" s="2" t="s">
        <v>109</v>
      </c>
      <c r="D15" s="2"/>
      <c r="E15" s="2"/>
      <c r="F15" s="1326">
        <v>0</v>
      </c>
      <c r="G15" s="25"/>
      <c r="H15" s="12" t="s">
        <v>155</v>
      </c>
      <c r="I15" s="12"/>
      <c r="J15" s="16">
        <f>SUM(S51:S55)</f>
        <v>35</v>
      </c>
      <c r="K15" s="16">
        <f>SUM(T51:T55)</f>
        <v>23.9875665850779</v>
      </c>
      <c r="L15" s="16">
        <f>SUM(V51:V55)</f>
        <v>0</v>
      </c>
      <c r="M15" s="25"/>
      <c r="N15" s="12" t="s">
        <v>131</v>
      </c>
      <c r="O15" s="12"/>
      <c r="P15" s="12"/>
      <c r="Q15" s="12"/>
      <c r="R15" s="12" t="s">
        <v>132</v>
      </c>
      <c r="S15" s="16">
        <f>F16</f>
        <v>200</v>
      </c>
      <c r="T15" s="1240">
        <f t="shared" si="0"/>
        <v>0.16019898370693061</v>
      </c>
      <c r="U15" s="25"/>
      <c r="V15" s="25"/>
      <c r="W15" s="52"/>
      <c r="X15" s="52"/>
      <c r="Y15" s="25"/>
      <c r="Z15" s="25"/>
      <c r="AA15" s="25"/>
      <c r="AB15" s="26"/>
    </row>
    <row r="16" spans="2:28" ht="15.6">
      <c r="B16" s="1038"/>
      <c r="C16" s="2" t="s">
        <v>110</v>
      </c>
      <c r="D16" s="2"/>
      <c r="E16" s="2"/>
      <c r="F16" s="1326">
        <v>200</v>
      </c>
      <c r="G16" s="25"/>
      <c r="H16" s="12" t="s">
        <v>158</v>
      </c>
      <c r="I16" s="12"/>
      <c r="J16" s="16">
        <f t="shared" ref="J16:K18" si="1">S56</f>
        <v>0</v>
      </c>
      <c r="K16" s="16">
        <f t="shared" si="1"/>
        <v>0.46002234290508226</v>
      </c>
      <c r="L16" s="1238">
        <f>V56</f>
        <v>0</v>
      </c>
      <c r="M16" s="25"/>
      <c r="N16" s="12" t="s">
        <v>2598</v>
      </c>
      <c r="O16" s="12"/>
      <c r="P16" s="12"/>
      <c r="Q16" s="12"/>
      <c r="R16" s="12" t="s">
        <v>2600</v>
      </c>
      <c r="S16" s="16">
        <f>SUM(S17:S19)</f>
        <v>241.68718285986446</v>
      </c>
      <c r="T16" s="1240">
        <f t="shared" si="0"/>
        <v>0.19359020534570695</v>
      </c>
      <c r="U16" s="25"/>
      <c r="V16" s="25"/>
      <c r="W16" s="52"/>
      <c r="X16" s="52"/>
      <c r="Y16" s="25"/>
      <c r="Z16" s="25"/>
      <c r="AA16" s="25"/>
      <c r="AB16" s="26"/>
    </row>
    <row r="17" spans="2:30">
      <c r="B17" s="1038"/>
      <c r="C17" s="2" t="s">
        <v>1</v>
      </c>
      <c r="D17" s="2" t="s">
        <v>117</v>
      </c>
      <c r="E17" s="2" t="s">
        <v>87</v>
      </c>
      <c r="F17" s="1264">
        <v>0.05</v>
      </c>
      <c r="G17" s="27"/>
      <c r="H17" s="12" t="s">
        <v>14</v>
      </c>
      <c r="I17" s="12"/>
      <c r="J17" s="16">
        <f t="shared" si="1"/>
        <v>10</v>
      </c>
      <c r="K17" s="16">
        <f t="shared" si="1"/>
        <v>30.471879994037437</v>
      </c>
      <c r="L17" s="1238">
        <f>V57</f>
        <v>0</v>
      </c>
      <c r="M17" s="25"/>
      <c r="N17" s="12" t="s">
        <v>133</v>
      </c>
      <c r="O17" s="12"/>
      <c r="P17" s="12"/>
      <c r="Q17" s="12"/>
      <c r="R17" s="12" t="s">
        <v>134</v>
      </c>
      <c r="S17" s="16">
        <f>X75</f>
        <v>228.006776282891</v>
      </c>
      <c r="T17" s="1240">
        <f t="shared" si="0"/>
        <v>0.18263226919406314</v>
      </c>
      <c r="U17" s="25"/>
      <c r="V17" s="25"/>
      <c r="W17" s="52"/>
      <c r="X17" s="52"/>
      <c r="Y17" s="25"/>
      <c r="Z17" s="25"/>
      <c r="AA17" s="25"/>
      <c r="AB17" s="26"/>
    </row>
    <row r="18" spans="2:30">
      <c r="B18" s="1038"/>
      <c r="C18" s="2" t="s">
        <v>2</v>
      </c>
      <c r="D18" s="2" t="s">
        <v>118</v>
      </c>
      <c r="E18" s="2" t="s">
        <v>87</v>
      </c>
      <c r="F18" s="1264">
        <v>0.01</v>
      </c>
      <c r="G18" s="25"/>
      <c r="H18" s="17" t="s">
        <v>156</v>
      </c>
      <c r="I18" s="12"/>
      <c r="J18" s="16">
        <f t="shared" si="1"/>
        <v>0</v>
      </c>
      <c r="K18" s="16">
        <f t="shared" si="1"/>
        <v>0</v>
      </c>
      <c r="L18" s="16">
        <f>V58</f>
        <v>0</v>
      </c>
      <c r="M18" s="25"/>
      <c r="N18" s="17" t="s">
        <v>135</v>
      </c>
      <c r="O18" s="12"/>
      <c r="P18" s="12"/>
      <c r="Q18" s="12"/>
      <c r="R18" s="17" t="s">
        <v>136</v>
      </c>
      <c r="S18" s="16">
        <f>F17*S17</f>
        <v>11.400338814144551</v>
      </c>
      <c r="T18" s="1240">
        <f t="shared" si="0"/>
        <v>9.1316134597031577E-3</v>
      </c>
      <c r="U18" s="25"/>
      <c r="V18" s="25"/>
      <c r="W18" s="52"/>
      <c r="X18" s="52"/>
      <c r="Y18" s="25"/>
      <c r="Z18" s="25"/>
      <c r="AA18" s="25"/>
      <c r="AB18" s="26"/>
    </row>
    <row r="19" spans="2:30">
      <c r="B19" s="1038"/>
      <c r="C19" s="2"/>
      <c r="D19" s="2"/>
      <c r="E19" s="2"/>
      <c r="F19" s="2"/>
      <c r="G19" s="25"/>
      <c r="H19" s="12" t="s">
        <v>157</v>
      </c>
      <c r="I19" s="12"/>
      <c r="J19" s="16">
        <f>SUM(S59:S63)</f>
        <v>35</v>
      </c>
      <c r="K19" s="16">
        <f>SUM(T59:T63)</f>
        <v>20.003861602913492</v>
      </c>
      <c r="L19" s="16">
        <f>SUM(V59:V63)</f>
        <v>0</v>
      </c>
      <c r="M19" s="25"/>
      <c r="N19" s="12" t="s">
        <v>137</v>
      </c>
      <c r="O19" s="12"/>
      <c r="P19" s="12"/>
      <c r="Q19" s="12"/>
      <c r="R19" s="12" t="s">
        <v>138</v>
      </c>
      <c r="S19" s="16">
        <f>F18*S17</f>
        <v>2.2800677628289101</v>
      </c>
      <c r="T19" s="1240">
        <f t="shared" si="0"/>
        <v>1.8263226919406315E-3</v>
      </c>
      <c r="U19" s="25"/>
      <c r="V19" s="25"/>
      <c r="W19" s="52"/>
      <c r="X19" s="52"/>
      <c r="Y19" s="25"/>
      <c r="Z19" s="25"/>
      <c r="AA19" s="25"/>
      <c r="AB19" s="26"/>
    </row>
    <row r="20" spans="2:30" ht="15.6">
      <c r="B20" s="1038"/>
      <c r="C20" s="1280" t="s">
        <v>768</v>
      </c>
      <c r="D20" s="2"/>
      <c r="E20" s="2"/>
      <c r="F20" s="1271"/>
      <c r="G20" s="25"/>
      <c r="H20" s="12" t="s">
        <v>160</v>
      </c>
      <c r="I20" s="12"/>
      <c r="J20" s="16">
        <f>S64</f>
        <v>0</v>
      </c>
      <c r="K20" s="16">
        <f>T64</f>
        <v>0.87869650698254709</v>
      </c>
      <c r="L20" s="16">
        <f>V64</f>
        <v>0</v>
      </c>
      <c r="M20" s="25"/>
      <c r="N20" s="12" t="s">
        <v>2599</v>
      </c>
      <c r="O20" s="68"/>
      <c r="P20" s="68"/>
      <c r="Q20" s="68"/>
      <c r="R20" s="12" t="s">
        <v>2597</v>
      </c>
      <c r="S20" s="1033">
        <f>(1+F17)*Y75</f>
        <v>0</v>
      </c>
      <c r="T20" s="1240">
        <f t="shared" si="0"/>
        <v>0</v>
      </c>
      <c r="U20" s="25"/>
      <c r="V20" s="25"/>
      <c r="W20" s="50"/>
      <c r="X20" s="50"/>
      <c r="Y20" s="25"/>
      <c r="Z20" s="25"/>
      <c r="AA20" s="25"/>
      <c r="AB20" s="26"/>
    </row>
    <row r="21" spans="2:30">
      <c r="B21" s="1038"/>
      <c r="C21" s="2" t="s">
        <v>2762</v>
      </c>
      <c r="D21" s="2" t="s">
        <v>2763</v>
      </c>
      <c r="E21" s="2" t="s">
        <v>87</v>
      </c>
      <c r="F21" s="1264">
        <v>2</v>
      </c>
      <c r="G21" s="25"/>
      <c r="H21" s="12" t="s">
        <v>161</v>
      </c>
      <c r="I21" s="12"/>
      <c r="J21" s="16">
        <f>SUM(S65:S69)</f>
        <v>58.805240501331532</v>
      </c>
      <c r="K21" s="16">
        <f>SUM(T65:T69)</f>
        <v>38.02103274287699</v>
      </c>
      <c r="L21" s="16">
        <f>SUM(V65:V69)</f>
        <v>100</v>
      </c>
      <c r="M21" s="25"/>
      <c r="N21" s="12" t="s">
        <v>139</v>
      </c>
      <c r="O21" s="12"/>
      <c r="P21" s="12"/>
      <c r="Q21" s="12"/>
      <c r="R21" s="17" t="s">
        <v>140</v>
      </c>
      <c r="S21" s="16">
        <f>S12+S13+S16+S20</f>
        <v>1248.4473702610098</v>
      </c>
      <c r="T21" s="1240">
        <f>S21/P$44</f>
        <v>0.99999999963701947</v>
      </c>
      <c r="U21" s="25"/>
      <c r="V21" s="25"/>
      <c r="W21" s="52"/>
      <c r="X21" s="52"/>
      <c r="Y21" s="25"/>
      <c r="Z21" s="25"/>
      <c r="AA21" s="25"/>
      <c r="AB21" s="26"/>
    </row>
    <row r="22" spans="2:30">
      <c r="B22" s="1038"/>
      <c r="C22" s="2" t="s">
        <v>147</v>
      </c>
      <c r="D22" s="2" t="s">
        <v>148</v>
      </c>
      <c r="E22" s="2" t="s">
        <v>87</v>
      </c>
      <c r="F22" s="1264">
        <v>2</v>
      </c>
      <c r="G22" s="25"/>
      <c r="H22" s="12" t="s">
        <v>162</v>
      </c>
      <c r="I22" s="68"/>
      <c r="J22" s="179">
        <f>SUM(S70:S74)</f>
        <v>10</v>
      </c>
      <c r="K22" s="179">
        <f>SUM(T70:T74)</f>
        <v>6.7142910513587619</v>
      </c>
      <c r="L22" s="179">
        <f>SUM(V70:V74)</f>
        <v>0</v>
      </c>
      <c r="M22" s="25"/>
      <c r="N22" s="12" t="s">
        <v>151</v>
      </c>
      <c r="O22" s="12"/>
      <c r="P22" s="12"/>
      <c r="Q22" s="12"/>
      <c r="R22" s="12"/>
      <c r="S22" s="17">
        <f>S21-P44</f>
        <v>-4.5316210162127391E-7</v>
      </c>
      <c r="T22" s="12"/>
      <c r="U22" s="25"/>
      <c r="V22" s="25"/>
      <c r="W22" s="87"/>
      <c r="X22" s="87"/>
      <c r="Y22" s="25"/>
      <c r="Z22" s="25"/>
      <c r="AA22" s="25"/>
      <c r="AB22" s="26"/>
    </row>
    <row r="23" spans="2:30">
      <c r="B23" s="1038"/>
      <c r="C23" s="2" t="s">
        <v>2766</v>
      </c>
      <c r="D23" s="2" t="s">
        <v>2767</v>
      </c>
      <c r="E23" s="2" t="s">
        <v>87</v>
      </c>
      <c r="F23" s="1272">
        <f>IF(E47&lt;1,(4.77395+(2.07917*F$9)+(-0.03327*(F$9^2))+(-0.00194*(F$9^3))+(0.8*(E44^2))),(11*((1/E47)^0.5)))</f>
        <v>15.489805814700802</v>
      </c>
      <c r="G23" s="25"/>
      <c r="H23" s="12" t="s">
        <v>26</v>
      </c>
      <c r="I23" s="68"/>
      <c r="J23" s="179">
        <f>S75</f>
        <v>2</v>
      </c>
      <c r="K23" s="179">
        <f>T75</f>
        <v>26.165143446955938</v>
      </c>
      <c r="L23" s="1033">
        <f>V75</f>
        <v>0</v>
      </c>
      <c r="M23" s="25"/>
      <c r="N23" s="25"/>
      <c r="O23" s="25"/>
      <c r="P23" s="25"/>
      <c r="Q23" s="25"/>
      <c r="R23" s="25"/>
      <c r="S23" s="25"/>
      <c r="T23" s="25"/>
      <c r="U23" s="25"/>
      <c r="V23" s="25"/>
      <c r="W23" s="25"/>
      <c r="X23" s="25"/>
      <c r="Y23" s="25"/>
      <c r="Z23" s="25"/>
      <c r="AA23" s="25"/>
      <c r="AB23" s="26"/>
    </row>
    <row r="24" spans="2:30">
      <c r="B24" s="1038"/>
      <c r="C24" s="2" t="s">
        <v>2768</v>
      </c>
      <c r="D24" s="2" t="s">
        <v>2769</v>
      </c>
      <c r="F24" s="271">
        <v>15.5</v>
      </c>
      <c r="G24" s="25"/>
      <c r="H24" s="1241" t="s">
        <v>296</v>
      </c>
      <c r="I24" s="68"/>
      <c r="J24" s="1234">
        <f>SUM(J12:J23)</f>
        <v>235.94664858664612</v>
      </c>
      <c r="K24" s="1234">
        <f>SUM(K12:K23)</f>
        <v>228.006776282891</v>
      </c>
      <c r="L24" s="1234">
        <f>SUM(L12:L23)</f>
        <v>200</v>
      </c>
      <c r="M24" s="25"/>
      <c r="N24" s="25"/>
      <c r="O24" s="25"/>
      <c r="P24" s="25"/>
      <c r="Q24" s="2"/>
      <c r="R24" s="1249"/>
      <c r="S24" s="2"/>
      <c r="T24" s="25"/>
      <c r="U24" s="25"/>
      <c r="V24" s="25"/>
      <c r="W24" s="25"/>
      <c r="X24" s="25"/>
      <c r="Y24" s="25"/>
      <c r="Z24" s="25"/>
      <c r="AA24" s="25"/>
      <c r="AB24" s="26"/>
    </row>
    <row r="25" spans="2:30">
      <c r="B25" s="1038"/>
      <c r="C25" s="2" t="s">
        <v>769</v>
      </c>
      <c r="D25" s="2" t="s">
        <v>148</v>
      </c>
      <c r="E25" s="2" t="s">
        <v>87</v>
      </c>
      <c r="F25" s="1327">
        <v>1</v>
      </c>
      <c r="G25" s="25"/>
      <c r="H25" s="173"/>
      <c r="I25" s="43"/>
      <c r="J25" s="174"/>
      <c r="K25" s="174"/>
      <c r="L25" s="42"/>
      <c r="M25" s="25"/>
      <c r="N25" s="25"/>
      <c r="O25" s="25"/>
      <c r="P25" s="25"/>
      <c r="Q25" s="2"/>
      <c r="R25" s="1249"/>
      <c r="S25" s="2"/>
      <c r="T25" s="88"/>
      <c r="U25" s="25"/>
      <c r="V25" s="25"/>
      <c r="W25" s="25"/>
      <c r="X25" s="25"/>
      <c r="Y25" s="25"/>
      <c r="Z25" s="25"/>
      <c r="AA25" s="27"/>
      <c r="AB25" s="28"/>
      <c r="AC25" s="2"/>
      <c r="AD25" s="6"/>
    </row>
    <row r="26" spans="2:30" ht="26.4">
      <c r="B26" s="1038"/>
      <c r="C26" s="2" t="s">
        <v>770</v>
      </c>
      <c r="D26" s="2" t="s">
        <v>771</v>
      </c>
      <c r="E26" s="1328" t="s">
        <v>772</v>
      </c>
      <c r="F26" s="1268">
        <v>0.6</v>
      </c>
      <c r="G26" s="25"/>
      <c r="H26" s="173"/>
      <c r="I26" s="43"/>
      <c r="J26" s="174"/>
      <c r="K26" s="174"/>
      <c r="L26" s="42"/>
      <c r="M26" s="25"/>
      <c r="N26" s="25"/>
      <c r="O26" s="25"/>
      <c r="P26" s="25"/>
      <c r="Q26" s="2"/>
      <c r="R26" s="1250"/>
      <c r="S26" s="2"/>
      <c r="T26" s="25"/>
      <c r="U26" s="25"/>
      <c r="V26" s="25"/>
      <c r="W26" s="25"/>
      <c r="X26" s="25"/>
      <c r="Y26" s="25"/>
      <c r="Z26" s="25"/>
      <c r="AA26" s="25"/>
      <c r="AB26" s="26"/>
    </row>
    <row r="27" spans="2:30">
      <c r="B27" s="1038"/>
      <c r="C27" s="2" t="s">
        <v>792</v>
      </c>
      <c r="D27" s="2" t="s">
        <v>148</v>
      </c>
      <c r="E27" s="2" t="s">
        <v>87</v>
      </c>
      <c r="F27" s="1264">
        <v>1</v>
      </c>
      <c r="G27" s="25"/>
      <c r="H27" s="173"/>
      <c r="I27" s="43"/>
      <c r="J27" s="174"/>
      <c r="K27" s="174"/>
      <c r="L27" s="42"/>
      <c r="M27" s="25"/>
      <c r="N27" s="25"/>
      <c r="O27" s="25"/>
      <c r="P27" s="25"/>
      <c r="Q27" s="2"/>
      <c r="R27" s="1249"/>
      <c r="S27" s="2"/>
      <c r="T27" s="25"/>
      <c r="U27" s="25"/>
      <c r="V27" s="25"/>
      <c r="W27" s="25"/>
      <c r="X27" s="25"/>
      <c r="Y27" s="25"/>
      <c r="Z27" s="25"/>
      <c r="AA27" s="25"/>
      <c r="AB27" s="26"/>
    </row>
    <row r="28" spans="2:30">
      <c r="B28" s="1038"/>
      <c r="C28" s="2" t="s">
        <v>793</v>
      </c>
      <c r="D28" s="1266" t="s">
        <v>794</v>
      </c>
      <c r="E28" s="2" t="s">
        <v>87</v>
      </c>
      <c r="F28" s="1264">
        <v>0.8</v>
      </c>
      <c r="G28" s="25"/>
      <c r="H28" s="173"/>
      <c r="I28" s="43"/>
      <c r="J28" s="174"/>
      <c r="K28" s="174"/>
      <c r="L28" s="42"/>
      <c r="M28" s="25"/>
      <c r="N28" s="25"/>
      <c r="O28" s="25"/>
      <c r="P28" s="25"/>
      <c r="Q28" s="2"/>
      <c r="R28" s="1249"/>
      <c r="S28" s="1251"/>
      <c r="T28" s="88"/>
      <c r="U28" s="25"/>
      <c r="V28" s="25"/>
      <c r="W28" s="25"/>
      <c r="X28" s="25"/>
      <c r="Y28" s="25"/>
      <c r="Z28" s="25"/>
      <c r="AA28" s="25"/>
      <c r="AB28" s="26"/>
    </row>
    <row r="29" spans="2:30">
      <c r="B29" s="1038"/>
      <c r="C29" s="2" t="s">
        <v>119</v>
      </c>
      <c r="D29" s="2" t="s">
        <v>141</v>
      </c>
      <c r="E29" s="2" t="s">
        <v>87</v>
      </c>
      <c r="F29" s="1327">
        <v>12</v>
      </c>
      <c r="G29" s="25"/>
      <c r="H29" s="173"/>
      <c r="I29" s="43"/>
      <c r="J29" s="174"/>
      <c r="K29" s="174"/>
      <c r="L29" s="42"/>
      <c r="M29" s="25"/>
      <c r="N29" s="25"/>
      <c r="O29" s="25"/>
      <c r="P29" s="25"/>
      <c r="Q29" s="2"/>
      <c r="R29" s="1249"/>
      <c r="S29" s="1251"/>
      <c r="T29" s="25"/>
      <c r="U29" s="25"/>
      <c r="V29" s="25"/>
      <c r="W29" s="25"/>
      <c r="X29" s="25"/>
      <c r="Y29" s="25"/>
      <c r="Z29" s="25"/>
      <c r="AA29" s="25"/>
      <c r="AB29" s="26"/>
    </row>
    <row r="30" spans="2:30">
      <c r="B30" s="24"/>
      <c r="C30" s="2" t="s">
        <v>149</v>
      </c>
      <c r="D30" s="2" t="s">
        <v>120</v>
      </c>
      <c r="E30" s="2" t="s">
        <v>87</v>
      </c>
      <c r="F30" s="1268">
        <v>0.6462108105843819</v>
      </c>
      <c r="G30" s="25"/>
      <c r="H30" s="173"/>
      <c r="I30" s="43"/>
      <c r="J30" s="174"/>
      <c r="K30" s="174"/>
      <c r="L30" s="1201"/>
      <c r="M30" s="25"/>
      <c r="N30" s="25"/>
      <c r="O30" s="25"/>
      <c r="P30" s="25"/>
      <c r="Q30" s="2"/>
      <c r="R30" s="1249"/>
      <c r="S30" s="1251"/>
      <c r="T30" s="25"/>
      <c r="U30" s="25"/>
      <c r="V30" s="25"/>
      <c r="W30" s="25"/>
      <c r="X30" s="25"/>
      <c r="Y30" s="25"/>
      <c r="Z30" s="25"/>
      <c r="AA30" s="25"/>
      <c r="AB30" s="26"/>
    </row>
    <row r="31" spans="2:30">
      <c r="B31" s="24"/>
      <c r="C31" s="2" t="s">
        <v>1015</v>
      </c>
      <c r="D31" s="2" t="s">
        <v>1016</v>
      </c>
      <c r="E31" s="2" t="s">
        <v>87</v>
      </c>
      <c r="F31" s="1329">
        <v>0.85</v>
      </c>
      <c r="G31" s="25"/>
      <c r="H31" s="173"/>
      <c r="I31" s="43"/>
      <c r="J31" s="174"/>
      <c r="K31" s="174"/>
      <c r="L31" s="42"/>
      <c r="M31" s="25"/>
      <c r="N31" s="25"/>
      <c r="O31" s="25"/>
      <c r="P31" s="25"/>
      <c r="Q31" s="2"/>
      <c r="R31" s="1249"/>
      <c r="S31" s="1251"/>
      <c r="T31" s="25"/>
      <c r="U31" s="25"/>
      <c r="V31" s="25"/>
      <c r="W31" s="25"/>
      <c r="X31" s="25"/>
      <c r="Y31" s="25"/>
      <c r="Z31" s="25"/>
      <c r="AA31" s="25"/>
      <c r="AB31" s="26"/>
    </row>
    <row r="32" spans="2:30">
      <c r="B32" s="24"/>
      <c r="C32" s="6" t="s">
        <v>964</v>
      </c>
      <c r="D32" s="6" t="s">
        <v>120</v>
      </c>
      <c r="E32" s="6" t="s">
        <v>87</v>
      </c>
      <c r="F32" s="59">
        <f>'11'!N19</f>
        <v>0.86188281702610969</v>
      </c>
      <c r="G32" s="25"/>
      <c r="H32" s="173"/>
      <c r="I32" s="43"/>
      <c r="J32" s="174"/>
      <c r="K32" s="174"/>
      <c r="L32" s="42"/>
      <c r="M32" s="25"/>
      <c r="N32" s="25"/>
      <c r="O32" s="25"/>
      <c r="P32" s="25"/>
      <c r="Q32" s="2"/>
      <c r="R32" s="1249"/>
      <c r="S32" s="1251"/>
      <c r="T32" s="88"/>
      <c r="U32" s="25"/>
      <c r="V32" s="25"/>
      <c r="W32" s="25"/>
      <c r="X32" s="25"/>
      <c r="Y32" s="25"/>
      <c r="Z32" s="25"/>
      <c r="AA32" s="25"/>
      <c r="AB32" s="26"/>
    </row>
    <row r="33" spans="2:30">
      <c r="B33" s="24"/>
      <c r="C33" s="6" t="s">
        <v>965</v>
      </c>
      <c r="D33" s="6" t="s">
        <v>120</v>
      </c>
      <c r="E33" s="6" t="s">
        <v>87</v>
      </c>
      <c r="F33" s="59">
        <f>'11'!O19</f>
        <v>0.79325129529982108</v>
      </c>
      <c r="G33" s="25"/>
      <c r="H33" s="1232"/>
      <c r="I33" s="43"/>
      <c r="J33" s="174"/>
      <c r="K33" s="1252"/>
      <c r="L33" s="42"/>
      <c r="N33" s="25"/>
      <c r="O33" s="25"/>
      <c r="P33" s="25"/>
      <c r="Q33" s="2"/>
      <c r="R33" s="1249"/>
      <c r="S33" s="1251"/>
      <c r="T33" s="88"/>
      <c r="U33" s="25"/>
      <c r="V33" s="25"/>
      <c r="W33" s="25"/>
      <c r="X33" s="25"/>
      <c r="Y33" s="25"/>
      <c r="Z33" s="25"/>
      <c r="AA33" s="25"/>
      <c r="AB33" s="26"/>
    </row>
    <row r="34" spans="2:30">
      <c r="B34" s="24"/>
      <c r="C34" s="6" t="s">
        <v>966</v>
      </c>
      <c r="D34" s="6" t="s">
        <v>120</v>
      </c>
      <c r="E34" s="6" t="s">
        <v>87</v>
      </c>
      <c r="F34" s="59">
        <f>'11'!P19</f>
        <v>0.66183564839845554</v>
      </c>
      <c r="G34" s="25"/>
      <c r="H34" s="173"/>
      <c r="I34" s="43"/>
      <c r="J34" s="174"/>
      <c r="K34" s="174"/>
      <c r="L34" s="42"/>
      <c r="N34" s="25"/>
      <c r="O34" s="25"/>
      <c r="P34" s="25"/>
      <c r="Q34" s="2"/>
      <c r="R34" s="1249"/>
      <c r="S34" s="1251"/>
      <c r="T34" s="25"/>
      <c r="U34" s="25"/>
      <c r="V34" s="25"/>
      <c r="W34" s="25"/>
      <c r="X34" s="25"/>
      <c r="Y34" s="25"/>
      <c r="Z34" s="25"/>
      <c r="AA34" s="25"/>
      <c r="AB34" s="26"/>
    </row>
    <row r="35" spans="2:30">
      <c r="B35" s="24"/>
      <c r="C35" s="6" t="s">
        <v>121</v>
      </c>
      <c r="D35" s="6" t="s">
        <v>120</v>
      </c>
      <c r="E35" s="6" t="s">
        <v>87</v>
      </c>
      <c r="F35" s="34">
        <f>IF(F29=1,(0.86*(P44^-0.05)),((IF(F29=2,(0.91*(P44^-0.05)),(IF(F29=3,(1.19*(P44^-0.09)),(IF(F29=4,(0.99*(P44^-0.09)),(IF(F29=5,(2.36*(P44^-0.18)),(IF(F29=6,(1.51*(P44^-0.1)),(IF(F29=7,(0.96*(P44^-0.05)),(IF(F29=8,(1.59*(P44^-0.1)),(IF(F29=9,(2.34*(P44^-0.13)),(IF(F29=10,(0.93*(P44^-0.07)),(IF(F29=11,(1.02*(P44^-0.06)),F30))))))))))))))))))))))</f>
        <v>0.6462108105843819</v>
      </c>
      <c r="G35" s="25"/>
      <c r="H35" s="173"/>
      <c r="I35" s="43"/>
      <c r="J35" s="174"/>
      <c r="K35" s="174"/>
      <c r="L35" s="42"/>
      <c r="M35" s="25"/>
      <c r="N35" s="25"/>
      <c r="O35" s="25"/>
      <c r="P35" s="25"/>
      <c r="Q35" s="25"/>
      <c r="R35" s="25"/>
      <c r="S35" s="25"/>
      <c r="T35" s="27"/>
      <c r="U35" s="25"/>
      <c r="V35" s="25"/>
      <c r="W35" s="25"/>
      <c r="X35" s="25"/>
      <c r="Y35" s="25"/>
      <c r="Z35" s="25"/>
      <c r="AA35" s="25"/>
      <c r="AB35" s="26"/>
    </row>
    <row r="36" spans="2:30">
      <c r="B36" s="24"/>
      <c r="C36" s="6"/>
      <c r="D36" s="6"/>
      <c r="E36" s="6"/>
      <c r="F36" s="34"/>
      <c r="G36" s="25"/>
      <c r="H36" s="25"/>
      <c r="I36" s="25"/>
      <c r="J36" s="6"/>
      <c r="K36" s="25"/>
      <c r="L36" s="25"/>
      <c r="M36" s="25"/>
      <c r="N36" s="25"/>
      <c r="O36" s="25"/>
      <c r="P36" s="25"/>
      <c r="Q36" s="25"/>
      <c r="R36" s="25"/>
      <c r="S36" s="25"/>
      <c r="T36" s="27"/>
      <c r="U36" s="25"/>
      <c r="V36" s="25"/>
      <c r="W36" s="25"/>
      <c r="X36" s="25"/>
      <c r="Y36" s="25"/>
      <c r="Z36" s="25"/>
      <c r="AA36" s="25"/>
      <c r="AB36" s="26"/>
    </row>
    <row r="37" spans="2:30">
      <c r="B37" s="24"/>
      <c r="C37" s="6"/>
      <c r="D37" s="6"/>
      <c r="E37" s="6"/>
      <c r="F37" s="34"/>
      <c r="G37" s="25"/>
      <c r="H37" s="25"/>
      <c r="I37" s="27"/>
      <c r="J37" s="6"/>
      <c r="K37" s="25"/>
      <c r="L37" s="25"/>
      <c r="M37" s="25"/>
      <c r="N37" s="25"/>
      <c r="O37" s="25"/>
      <c r="P37" s="25"/>
      <c r="Q37" s="25"/>
      <c r="R37" s="25"/>
      <c r="S37" s="25"/>
      <c r="T37" s="25"/>
      <c r="U37" s="25"/>
      <c r="V37" s="25"/>
      <c r="W37" s="25"/>
      <c r="X37" s="25"/>
      <c r="Y37" s="25"/>
      <c r="Z37" s="25"/>
      <c r="AA37" s="25"/>
      <c r="AB37" s="26"/>
    </row>
    <row r="38" spans="2:30">
      <c r="B38" s="24"/>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6"/>
    </row>
    <row r="39" spans="2:30">
      <c r="B39" s="24"/>
      <c r="C39" s="25"/>
      <c r="D39" s="25"/>
      <c r="E39" s="25"/>
      <c r="F39" s="25"/>
      <c r="G39" s="25"/>
      <c r="H39" s="25"/>
      <c r="I39" s="25"/>
      <c r="J39" s="25"/>
      <c r="K39" s="25"/>
      <c r="L39" s="25"/>
      <c r="M39" s="25"/>
      <c r="N39" s="25"/>
      <c r="O39" s="25"/>
      <c r="P39" s="25"/>
      <c r="Q39" s="25"/>
      <c r="R39" s="25"/>
      <c r="S39" s="25"/>
      <c r="T39" s="27" t="s">
        <v>82</v>
      </c>
      <c r="U39" s="27" t="s">
        <v>82</v>
      </c>
      <c r="V39" s="25"/>
      <c r="W39" s="25"/>
      <c r="X39" s="25"/>
      <c r="Y39" s="25"/>
      <c r="Z39" s="25"/>
      <c r="AA39" s="25"/>
      <c r="AB39" s="26"/>
    </row>
    <row r="40" spans="2:30">
      <c r="B40" s="24"/>
      <c r="C40" s="25"/>
      <c r="D40" s="25" t="s">
        <v>34</v>
      </c>
      <c r="E40" s="25" t="s">
        <v>37</v>
      </c>
      <c r="F40" s="27" t="s">
        <v>40</v>
      </c>
      <c r="G40" s="27" t="s">
        <v>65</v>
      </c>
      <c r="H40" s="27" t="s">
        <v>42</v>
      </c>
      <c r="I40" s="27" t="s">
        <v>43</v>
      </c>
      <c r="J40" s="27" t="s">
        <v>44</v>
      </c>
      <c r="K40" s="27" t="s">
        <v>46</v>
      </c>
      <c r="L40" s="27" t="s">
        <v>37</v>
      </c>
      <c r="M40" s="27" t="s">
        <v>71</v>
      </c>
      <c r="N40" s="27" t="s">
        <v>72</v>
      </c>
      <c r="O40" s="27" t="s">
        <v>37</v>
      </c>
      <c r="P40" s="27" t="s">
        <v>82</v>
      </c>
      <c r="Q40" s="27" t="s">
        <v>82</v>
      </c>
      <c r="R40" s="27" t="s">
        <v>37</v>
      </c>
      <c r="S40" s="27" t="s">
        <v>81</v>
      </c>
      <c r="T40" s="27" t="s">
        <v>80</v>
      </c>
      <c r="U40" s="27" t="s">
        <v>80</v>
      </c>
      <c r="V40" s="27" t="s">
        <v>83</v>
      </c>
      <c r="W40" s="27" t="s">
        <v>81</v>
      </c>
      <c r="X40" s="27" t="s">
        <v>82</v>
      </c>
      <c r="Y40" s="27" t="s">
        <v>82</v>
      </c>
      <c r="Z40" s="27" t="s">
        <v>83</v>
      </c>
      <c r="AA40" s="25"/>
      <c r="AB40" s="26"/>
    </row>
    <row r="41" spans="2:30">
      <c r="B41" s="24"/>
      <c r="C41" s="25"/>
      <c r="D41" s="27" t="s">
        <v>32</v>
      </c>
      <c r="E41" s="27" t="s">
        <v>35</v>
      </c>
      <c r="F41" s="27" t="s">
        <v>53</v>
      </c>
      <c r="G41" s="27" t="s">
        <v>38</v>
      </c>
      <c r="H41" s="27" t="s">
        <v>38</v>
      </c>
      <c r="I41" s="6" t="s">
        <v>235</v>
      </c>
      <c r="J41" s="6" t="s">
        <v>235</v>
      </c>
      <c r="K41" s="27" t="s">
        <v>45</v>
      </c>
      <c r="L41" s="27" t="s">
        <v>62</v>
      </c>
      <c r="M41" s="27" t="s">
        <v>69</v>
      </c>
      <c r="N41" s="27" t="s">
        <v>70</v>
      </c>
      <c r="O41" s="27" t="s">
        <v>73</v>
      </c>
      <c r="P41" s="27" t="s">
        <v>85</v>
      </c>
      <c r="Q41" s="27" t="s">
        <v>85</v>
      </c>
      <c r="R41" s="27" t="s">
        <v>84</v>
      </c>
      <c r="S41" s="27" t="s">
        <v>80</v>
      </c>
      <c r="T41" s="27" t="s">
        <v>76</v>
      </c>
      <c r="U41" s="27" t="s">
        <v>2573</v>
      </c>
      <c r="V41" s="27" t="s">
        <v>80</v>
      </c>
      <c r="W41" s="27" t="s">
        <v>106</v>
      </c>
      <c r="X41" s="27" t="s">
        <v>106</v>
      </c>
      <c r="Y41" s="27" t="s">
        <v>106</v>
      </c>
      <c r="Z41" s="27" t="s">
        <v>106</v>
      </c>
      <c r="AA41" s="25"/>
      <c r="AB41" s="26"/>
    </row>
    <row r="42" spans="2:30">
      <c r="B42" s="24"/>
      <c r="C42" s="25"/>
      <c r="D42" s="27" t="s">
        <v>33</v>
      </c>
      <c r="E42" s="27" t="s">
        <v>36</v>
      </c>
      <c r="F42" s="27" t="s">
        <v>39</v>
      </c>
      <c r="G42" s="27" t="s">
        <v>39</v>
      </c>
      <c r="H42" s="27" t="s">
        <v>41</v>
      </c>
      <c r="I42" s="27" t="s">
        <v>233</v>
      </c>
      <c r="J42" s="27" t="s">
        <v>233</v>
      </c>
      <c r="K42" s="27" t="s">
        <v>32</v>
      </c>
      <c r="L42" s="27" t="s">
        <v>63</v>
      </c>
      <c r="M42" s="27" t="s">
        <v>66</v>
      </c>
      <c r="N42" s="27" t="s">
        <v>66</v>
      </c>
      <c r="O42" s="27" t="s">
        <v>74</v>
      </c>
      <c r="P42" s="27" t="s">
        <v>84</v>
      </c>
      <c r="Q42" s="27" t="s">
        <v>84</v>
      </c>
      <c r="R42" s="27" t="s">
        <v>99</v>
      </c>
      <c r="S42" s="27" t="s">
        <v>75</v>
      </c>
      <c r="T42" s="6" t="s">
        <v>84</v>
      </c>
      <c r="U42" s="6" t="s">
        <v>84</v>
      </c>
      <c r="V42" s="27" t="s">
        <v>79</v>
      </c>
      <c r="W42" s="27" t="s">
        <v>75</v>
      </c>
      <c r="X42" s="27" t="s">
        <v>2582</v>
      </c>
      <c r="Y42" s="27" t="s">
        <v>2601</v>
      </c>
      <c r="Z42" s="27" t="s">
        <v>79</v>
      </c>
      <c r="AA42" s="25"/>
      <c r="AB42" s="26"/>
    </row>
    <row r="43" spans="2:30" ht="15.6">
      <c r="B43" s="24"/>
      <c r="C43" s="31" t="s">
        <v>150</v>
      </c>
      <c r="D43" s="31" t="s">
        <v>52</v>
      </c>
      <c r="E43" s="31" t="s">
        <v>51</v>
      </c>
      <c r="F43" s="31" t="s">
        <v>95</v>
      </c>
      <c r="G43" s="31" t="s">
        <v>64</v>
      </c>
      <c r="H43" s="48" t="s">
        <v>50</v>
      </c>
      <c r="I43" s="31" t="s">
        <v>49</v>
      </c>
      <c r="J43" s="31" t="s">
        <v>48</v>
      </c>
      <c r="K43" s="30" t="s">
        <v>47</v>
      </c>
      <c r="L43" s="31" t="s">
        <v>61</v>
      </c>
      <c r="M43" s="31" t="s">
        <v>67</v>
      </c>
      <c r="N43" s="31" t="s">
        <v>68</v>
      </c>
      <c r="O43" s="48" t="s">
        <v>96</v>
      </c>
      <c r="P43" s="31" t="s">
        <v>100</v>
      </c>
      <c r="Q43" s="31" t="s">
        <v>101</v>
      </c>
      <c r="R43" s="31" t="s">
        <v>98</v>
      </c>
      <c r="S43" s="31" t="s">
        <v>77</v>
      </c>
      <c r="T43" s="31" t="s">
        <v>2595</v>
      </c>
      <c r="U43" s="31" t="s">
        <v>2594</v>
      </c>
      <c r="V43" s="31" t="s">
        <v>78</v>
      </c>
      <c r="W43" s="31" t="s">
        <v>77</v>
      </c>
      <c r="X43" s="31" t="s">
        <v>2595</v>
      </c>
      <c r="Y43" s="31" t="s">
        <v>2594</v>
      </c>
      <c r="Z43" s="31" t="s">
        <v>78</v>
      </c>
      <c r="AA43" s="25"/>
      <c r="AB43" s="26" t="s">
        <v>2783</v>
      </c>
      <c r="AC43" s="39" t="s">
        <v>2784</v>
      </c>
      <c r="AD43" s="39" t="s">
        <v>2785</v>
      </c>
    </row>
    <row r="44" spans="2:30">
      <c r="B44" s="24">
        <v>1</v>
      </c>
      <c r="C44" s="25" t="s">
        <v>3</v>
      </c>
      <c r="D44" s="44">
        <v>0</v>
      </c>
      <c r="E44" s="1262">
        <f>'3'!J9</f>
        <v>8.1522808931001889E-2</v>
      </c>
      <c r="F44" s="49">
        <v>0</v>
      </c>
      <c r="G44" s="3">
        <f t="shared" ref="G44:G75" si="2">((((5/9)*((IF(D44&lt;37000,((-0.003553013*D44) + 518.5123),IF(D44&gt;65000,((0.0005471149*D44) + 354.1052),389.97)))-32))+F44)*(9/5)) + 32 - 459.67</f>
        <v>58.84230000000008</v>
      </c>
      <c r="H44" s="4">
        <f t="shared" ref="H44:H75" si="3">((1.188467E-32*(D44^6)) - (3.738363E-27*(D44^5)) + (4.423426E-22*(D44^4)) - (2.646824E-17*(D44^3)) + (0.000000000001273176*(D44^2)) - (0.00000007347109*D44) + 0.002383333)*((IF(D44&lt;37000,((-0.003553013*D44) + 518.5123),IF(D44&gt;65000,((0.0005471149*D44) + 354.1052),389.97)))/(G44+459.67))</f>
        <v>2.3833329999999996E-3</v>
      </c>
      <c r="I44" s="5">
        <f>E44*((IF(D44&lt;37000,((-0.00409890612*D44) + 1117.99058),IF(D44&gt;65000,((0.000671182239*D44) + 924.11991),968.076)))/(((IF(D44&lt;37000,((-0.003553013*D44) + 518.5123),IF(D44&gt;65000,((0.0005471149*D44) + 354.1052),389.97)))/(G44+459.67))^0.5))</f>
        <v>91.141732439999998</v>
      </c>
      <c r="J44" s="50">
        <f t="shared" ref="J44:J75" si="4">I44/1.68781</f>
        <v>53.999995520822843</v>
      </c>
      <c r="K44" s="50">
        <f t="shared" ref="K44:K74" si="5">0.5*H44*(I44^2)</f>
        <v>9.8989536245268521</v>
      </c>
      <c r="L44" s="1355" t="s">
        <v>97</v>
      </c>
      <c r="M44" s="51" t="s">
        <v>97</v>
      </c>
      <c r="N44" s="51" t="s">
        <v>97</v>
      </c>
      <c r="O44" s="36">
        <f>IF($F$27=1,$F$28,'7b'!AC78)</f>
        <v>0.8</v>
      </c>
      <c r="P44" s="45">
        <v>1248.4473707141719</v>
      </c>
      <c r="Q44" s="41">
        <f t="shared" ref="Q44:Q57" si="6">P44-T44</f>
        <v>1217.2361864463176</v>
      </c>
      <c r="R44" s="1268">
        <v>0.97499999999999998</v>
      </c>
      <c r="S44" s="45">
        <v>2</v>
      </c>
      <c r="T44" s="52">
        <f>(1-R44)*P44</f>
        <v>31.211184267854325</v>
      </c>
      <c r="U44" s="50">
        <f>IF(F$21=1,0,IF(F$21=2,0,IF(F$21=3,'7a'!AH78,IF(F$21=4,'7b'!AK78,IF(F$21=5,'7a'!AH78,'7b'!AK78)))))</f>
        <v>0</v>
      </c>
      <c r="V44" s="41">
        <v>0</v>
      </c>
      <c r="W44" s="52">
        <f>S44</f>
        <v>2</v>
      </c>
      <c r="X44" s="52">
        <f>T44</f>
        <v>31.211184267854325</v>
      </c>
      <c r="Y44" s="50">
        <f>U44</f>
        <v>0</v>
      </c>
      <c r="Z44" s="52">
        <f>V44</f>
        <v>0</v>
      </c>
      <c r="AA44" s="25"/>
      <c r="AB44" s="26">
        <f>P44/(0.5*H44*I44^2*109)</f>
        <v>1.1570561937479296</v>
      </c>
      <c r="AC44">
        <f>MIN(AB44:AB75)</f>
        <v>0.31423361190858601</v>
      </c>
      <c r="AD44">
        <f>MAX(AB45:AB74)</f>
        <v>0.39932208172954953</v>
      </c>
    </row>
    <row r="45" spans="2:30">
      <c r="B45" s="24">
        <f t="shared" ref="B45:B75" si="7">B44+1</f>
        <v>2</v>
      </c>
      <c r="C45" s="27" t="s">
        <v>159</v>
      </c>
      <c r="D45" s="53">
        <f>D46</f>
        <v>7000</v>
      </c>
      <c r="E45" s="54">
        <f>E46</f>
        <v>0.16</v>
      </c>
      <c r="F45" s="41">
        <f>F46</f>
        <v>0</v>
      </c>
      <c r="G45" s="3">
        <f t="shared" si="2"/>
        <v>33.971209000000044</v>
      </c>
      <c r="H45" s="4">
        <f t="shared" si="3"/>
        <v>1.9233430198151997E-3</v>
      </c>
      <c r="I45" s="5">
        <f t="shared" ref="I45:I74" si="8">E45*((IF(D45&lt;37000,((-0.00409890612*D45) + 1117.99058),IF(D45&gt;65000,((0.000671182239*D45) + 924.11991),968.076)))/(((IF(D45&lt;37000,((-0.003553013*D45) + 518.5123),IF(D45&gt;65000,((0.0005471149*D45) + 354.1052),389.97)))/(G45+459.67))^0.5))</f>
        <v>174.28771794559998</v>
      </c>
      <c r="J45" s="50">
        <f t="shared" si="4"/>
        <v>103.26264090484118</v>
      </c>
      <c r="K45" s="50">
        <f>0.5*H45*(I45^2)</f>
        <v>29.211934415292436</v>
      </c>
      <c r="L45" s="56">
        <f>IF(F$22=1,F$24,'3'!BB16)</f>
        <v>6.5675360084849768</v>
      </c>
      <c r="M45" s="51" t="s">
        <v>97</v>
      </c>
      <c r="N45" s="51" t="s">
        <v>97</v>
      </c>
      <c r="O45" s="36">
        <f>IF($F$27=1,$F$28,'7b'!AC79)</f>
        <v>0.8</v>
      </c>
      <c r="P45" s="52">
        <f t="shared" ref="P45:P75" si="9">Q44</f>
        <v>1217.2361864463176</v>
      </c>
      <c r="Q45" s="41">
        <f t="shared" si="6"/>
        <v>1209.4458748530612</v>
      </c>
      <c r="R45" s="55">
        <f>IF(F$21&gt;4,1,IF(E45&lt;1,(1-0.04*E45),(0.96-0.03*(E45-1))))</f>
        <v>0.99360000000000004</v>
      </c>
      <c r="S45" s="45">
        <v>25</v>
      </c>
      <c r="T45" s="52">
        <f>(1-R45)*P45</f>
        <v>7.7903115932563853</v>
      </c>
      <c r="U45" s="50">
        <f>IF(F$21=1,0,IF(F$21=2,0,IF(F$21=3,'7a'!AH79,IF(F$21=4,'7b'!AK79,IF(F$21=5,'7a'!AH79,'7b'!AK79)))))</f>
        <v>0</v>
      </c>
      <c r="V45" s="41">
        <v>0</v>
      </c>
      <c r="W45" s="52">
        <f>W44+S45</f>
        <v>27</v>
      </c>
      <c r="X45" s="52">
        <f>X44+T45</f>
        <v>39.001495861110712</v>
      </c>
      <c r="Y45" s="50">
        <f>Y44+U45</f>
        <v>0</v>
      </c>
      <c r="Z45" s="52">
        <f>Z44+V45</f>
        <v>0</v>
      </c>
      <c r="AA45" s="25"/>
      <c r="AB45" s="26">
        <f>P45/(0.5*H45*I45^2*109)</f>
        <v>0.38228568858364181</v>
      </c>
      <c r="AD45">
        <f>AVERAGE(AC44:AD44)</f>
        <v>0.35677784681906777</v>
      </c>
    </row>
    <row r="46" spans="2:30">
      <c r="B46" s="24">
        <f t="shared" si="7"/>
        <v>3</v>
      </c>
      <c r="C46" s="25" t="s">
        <v>4</v>
      </c>
      <c r="D46" s="47">
        <v>7000</v>
      </c>
      <c r="E46" s="1332">
        <v>0.16</v>
      </c>
      <c r="F46" s="45">
        <v>0</v>
      </c>
      <c r="G46" s="3">
        <f t="shared" si="2"/>
        <v>33.971209000000044</v>
      </c>
      <c r="H46" s="4">
        <f t="shared" si="3"/>
        <v>1.9233430198151997E-3</v>
      </c>
      <c r="I46" s="5">
        <f t="shared" si="8"/>
        <v>174.28771794559998</v>
      </c>
      <c r="J46" s="50">
        <f>I46/1.68781</f>
        <v>103.26264090484118</v>
      </c>
      <c r="K46" s="50">
        <f t="shared" si="5"/>
        <v>29.211934415292436</v>
      </c>
      <c r="L46" s="56">
        <f>IF(F$22=1,F$24,'3'!BB17)</f>
        <v>6.5367523296944574</v>
      </c>
      <c r="M46" s="36">
        <f>IF($F$25=1,$F$26,'7a'!Z80)</f>
        <v>0.6</v>
      </c>
      <c r="N46" s="36">
        <f>IF($F$25=1,$F$26,'7b'!AG80)</f>
        <v>0.6</v>
      </c>
      <c r="O46" s="36">
        <f>IF($F$27=1,$F$28,'7b'!AC80)</f>
        <v>0.8</v>
      </c>
      <c r="P46" s="52">
        <f t="shared" si="9"/>
        <v>1209.4458748530612</v>
      </c>
      <c r="Q46" s="41">
        <f t="shared" si="6"/>
        <v>1200.9535842661508</v>
      </c>
      <c r="R46" s="1271">
        <f>IF(F$21&gt;4,1,IF(F$21=1,(EXP((-1)*(V46*M46*6080)/(L46*I46*3600))),IF(F$21=2,(EXP((-1)*(V46*N46*6080/(L46*O46*3600*550)))),IF(F$21=3,(EXP((-1)*(V46*M46*6080)/(L46*I46*3600))),(EXP((-1)*(V46*N46*6080/(L46*O46*3600*550))))))))</f>
        <v>0.99297836243565485</v>
      </c>
      <c r="S46" s="52">
        <f>V46*6080/I46/60</f>
        <v>11.628281617062916</v>
      </c>
      <c r="T46" s="52">
        <f t="shared" ref="T46:T75" si="10">(1-R46)*P46</f>
        <v>8.4922905869105403</v>
      </c>
      <c r="U46" s="50">
        <f>IF(F$21=1,0,IF(F$21=2,0,IF(F$21=3,'7a'!AH80,IF(F$21=4,'7b'!AK80,IF(F$21=5,'7a'!AH80,'7b'!AK80)))))</f>
        <v>0</v>
      </c>
      <c r="V46" s="50">
        <f>F$10/5</f>
        <v>20</v>
      </c>
      <c r="W46" s="52">
        <f>W45+S46</f>
        <v>38.628281617062918</v>
      </c>
      <c r="X46" s="52">
        <f>X45+T46</f>
        <v>47.493786448021254</v>
      </c>
      <c r="Y46" s="50">
        <f t="shared" ref="Y46:Y75" si="11">Y45+U46</f>
        <v>0</v>
      </c>
      <c r="Z46" s="52">
        <f t="shared" ref="Z46:Z75" si="12">Z45+V46</f>
        <v>20</v>
      </c>
      <c r="AA46" s="25"/>
      <c r="AB46" s="26">
        <f t="shared" ref="AB46:AB75" si="13">P46/(0.5*H46*I46^2*109)</f>
        <v>0.37983906017670654</v>
      </c>
    </row>
    <row r="47" spans="2:30">
      <c r="B47" s="24">
        <f t="shared" si="7"/>
        <v>4</v>
      </c>
      <c r="C47" s="25" t="s">
        <v>5</v>
      </c>
      <c r="D47" s="53">
        <f t="shared" ref="D47:F50" si="14">D$45</f>
        <v>7000</v>
      </c>
      <c r="E47" s="1331">
        <f t="shared" si="14"/>
        <v>0.16</v>
      </c>
      <c r="F47" s="41">
        <f t="shared" si="14"/>
        <v>0</v>
      </c>
      <c r="G47" s="3">
        <f t="shared" si="2"/>
        <v>33.971209000000044</v>
      </c>
      <c r="H47" s="4">
        <f t="shared" si="3"/>
        <v>1.9233430198151997E-3</v>
      </c>
      <c r="I47" s="5">
        <f t="shared" si="8"/>
        <v>174.28771794559998</v>
      </c>
      <c r="J47" s="50">
        <f t="shared" si="4"/>
        <v>103.26264090484118</v>
      </c>
      <c r="K47" s="50">
        <f t="shared" si="5"/>
        <v>29.211934415292436</v>
      </c>
      <c r="L47" s="56">
        <f>IF(F$22=1,F$24,'3'!BB18)</f>
        <v>6.5029914778914408</v>
      </c>
      <c r="M47" s="36">
        <f>IF($F$25=1,$F$26,'7a'!Z81)</f>
        <v>0.6</v>
      </c>
      <c r="N47" s="36">
        <f>IF($F$25=1,$F$26,'7b'!AG81)</f>
        <v>0.6</v>
      </c>
      <c r="O47" s="36">
        <f>IF($F$27=1,$F$28,'7b'!AC81)</f>
        <v>0.8</v>
      </c>
      <c r="P47" s="52">
        <f t="shared" si="9"/>
        <v>1200.9535842661508</v>
      </c>
      <c r="Q47" s="41">
        <f t="shared" si="6"/>
        <v>1192.4772994248701</v>
      </c>
      <c r="R47" s="1271">
        <f>IF(F$21&gt;4,1,IF(F$21=1,(EXP((-1)*(V47*M47*6080)/(L47*I47*3600))),IF(F$21=2,(EXP((-1)*(V47*N47*6080/(L47*O47*3600*550)))),IF(F$21=3,(EXP((-1)*(V47*M47*6080)/(L47*I47*3600))),(EXP((-1)*(V47*N47*6080/(L47*O47*3600*550))))))))</f>
        <v>0.99294203793358082</v>
      </c>
      <c r="S47" s="52">
        <f>V47*6080/I47/60</f>
        <v>11.628281617062916</v>
      </c>
      <c r="T47" s="52">
        <f t="shared" si="10"/>
        <v>8.4762848412806377</v>
      </c>
      <c r="U47" s="50">
        <f>IF(F$21=1,0,IF(F$21=2,0,IF(F$21=3,'7a'!AH81,IF(F$21=4,'7b'!AK81,IF(F$21=5,'7a'!AH81,'7b'!AK81)))))</f>
        <v>0</v>
      </c>
      <c r="V47" s="50">
        <f>F$10/5</f>
        <v>20</v>
      </c>
      <c r="W47" s="52">
        <f t="shared" ref="W47:W75" si="15">W46+S47</f>
        <v>50.256563234125835</v>
      </c>
      <c r="X47" s="52">
        <f t="shared" ref="X47:X75" si="16">X46+T47</f>
        <v>55.970071289301892</v>
      </c>
      <c r="Y47" s="50">
        <f t="shared" si="11"/>
        <v>0</v>
      </c>
      <c r="Z47" s="52">
        <f t="shared" si="12"/>
        <v>40</v>
      </c>
      <c r="AA47" s="25"/>
      <c r="AB47" s="26">
        <f t="shared" si="13"/>
        <v>0.37717196796336422</v>
      </c>
    </row>
    <row r="48" spans="2:30">
      <c r="B48" s="24">
        <f t="shared" si="7"/>
        <v>5</v>
      </c>
      <c r="C48" s="25" t="s">
        <v>6</v>
      </c>
      <c r="D48" s="53">
        <f t="shared" si="14"/>
        <v>7000</v>
      </c>
      <c r="E48" s="1331">
        <f t="shared" si="14"/>
        <v>0.16</v>
      </c>
      <c r="F48" s="41">
        <f t="shared" si="14"/>
        <v>0</v>
      </c>
      <c r="G48" s="3">
        <f t="shared" si="2"/>
        <v>33.971209000000044</v>
      </c>
      <c r="H48" s="4">
        <f t="shared" si="3"/>
        <v>1.9233430198151997E-3</v>
      </c>
      <c r="I48" s="5">
        <f t="shared" si="8"/>
        <v>174.28771794559998</v>
      </c>
      <c r="J48" s="50">
        <f t="shared" si="4"/>
        <v>103.26264090484118</v>
      </c>
      <c r="K48" s="50">
        <f t="shared" si="5"/>
        <v>29.211934415292436</v>
      </c>
      <c r="L48" s="56">
        <f>IF(F$22=1,F$24,'3'!BB19)</f>
        <v>6.4690829534809344</v>
      </c>
      <c r="M48" s="36">
        <f>IF($F$25=1,$F$26,'7a'!Z82)</f>
        <v>0.6</v>
      </c>
      <c r="N48" s="36">
        <f>IF($F$25=1,$F$26,'7b'!AG82)</f>
        <v>0.6</v>
      </c>
      <c r="O48" s="36">
        <f>IF($F$27=1,$F$28,'7b'!AC82)</f>
        <v>0.8</v>
      </c>
      <c r="P48" s="52">
        <f t="shared" si="9"/>
        <v>1192.4772994248701</v>
      </c>
      <c r="Q48" s="41">
        <f t="shared" si="6"/>
        <v>1184.0168808009064</v>
      </c>
      <c r="R48" s="1271">
        <f>IF(F$21&gt;4,1,IF(F$21=1,(EXP((-1)*(V48*M48*6080)/(L48*I48*3600))),IF(F$21=2,(EXP((-1)*(V48*N48*6080/(L48*O48*3600*550)))),IF(F$21=3,(EXP((-1)*(V48*M48*6080)/(L48*I48*3600))),(EXP((-1)*(V48*N48*6080/(L48*O48*3600*550))))))))</f>
        <v>0.9929051742720435</v>
      </c>
      <c r="S48" s="52">
        <f>V48*6080/I48/60</f>
        <v>11.628281617062916</v>
      </c>
      <c r="T48" s="52">
        <f t="shared" si="10"/>
        <v>8.4604186239636547</v>
      </c>
      <c r="U48" s="50">
        <f>IF(F$21=1,0,IF(F$21=2,0,IF(F$21=3,'7a'!AH82,IF(F$21=4,'7b'!AK82,IF(F$21=5,'7a'!AH82,'7b'!AK82)))))</f>
        <v>0</v>
      </c>
      <c r="V48" s="50">
        <f>F$10/5</f>
        <v>20</v>
      </c>
      <c r="W48" s="52">
        <f t="shared" si="15"/>
        <v>61.884844851188753</v>
      </c>
      <c r="X48" s="52">
        <f t="shared" si="16"/>
        <v>64.430489913265546</v>
      </c>
      <c r="Y48" s="50">
        <f t="shared" si="11"/>
        <v>0</v>
      </c>
      <c r="Z48" s="52">
        <f t="shared" si="12"/>
        <v>60</v>
      </c>
      <c r="AA48" s="25"/>
      <c r="AB48" s="26">
        <f t="shared" si="13"/>
        <v>0.37450990252096217</v>
      </c>
    </row>
    <row r="49" spans="2:28">
      <c r="B49" s="24">
        <f t="shared" si="7"/>
        <v>6</v>
      </c>
      <c r="C49" s="25" t="s">
        <v>7</v>
      </c>
      <c r="D49" s="53">
        <f t="shared" si="14"/>
        <v>7000</v>
      </c>
      <c r="E49" s="1331">
        <f t="shared" si="14"/>
        <v>0.16</v>
      </c>
      <c r="F49" s="41">
        <f t="shared" si="14"/>
        <v>0</v>
      </c>
      <c r="G49" s="3">
        <f t="shared" si="2"/>
        <v>33.971209000000044</v>
      </c>
      <c r="H49" s="4">
        <f t="shared" si="3"/>
        <v>1.9233430198151997E-3</v>
      </c>
      <c r="I49" s="5">
        <f t="shared" si="8"/>
        <v>174.28771794559998</v>
      </c>
      <c r="J49" s="50">
        <f t="shared" si="4"/>
        <v>103.26264090484118</v>
      </c>
      <c r="K49" s="50">
        <f t="shared" si="5"/>
        <v>29.211934415292436</v>
      </c>
      <c r="L49" s="56">
        <f>IF(F$22=1,F$24,'3'!BB20)</f>
        <v>6.4350275507193118</v>
      </c>
      <c r="M49" s="36">
        <f>IF($F$25=1,$F$26,'7a'!Z83)</f>
        <v>0.6</v>
      </c>
      <c r="N49" s="36">
        <f>IF($F$25=1,$F$26,'7b'!AG83)</f>
        <v>0.6</v>
      </c>
      <c r="O49" s="36">
        <f>IF($F$27=1,$F$28,'7b'!AC83)</f>
        <v>0.8</v>
      </c>
      <c r="P49" s="52">
        <f t="shared" si="9"/>
        <v>1184.0168808009064</v>
      </c>
      <c r="Q49" s="41">
        <f t="shared" si="6"/>
        <v>1175.5721897903263</v>
      </c>
      <c r="R49" s="1271">
        <f>IF(F$21&gt;4,1,IF(F$21=1,(EXP((-1)*(V49*M49*6080)/(L49*I49*3600))),IF(F$21=2,(EXP((-1)*(V49*N49*6080/(L49*O49*3600*550)))),IF(F$21=3,(EXP((-1)*(V49*M49*6080)/(L49*I49*3600))),(EXP((-1)*(V49*N49*6080/(L49*O49*3600*550))))))))</f>
        <v>0.99286776130685916</v>
      </c>
      <c r="S49" s="52">
        <f>V49*6080/I49/60</f>
        <v>11.628281617062916</v>
      </c>
      <c r="T49" s="52">
        <f t="shared" si="10"/>
        <v>8.4446910105801454</v>
      </c>
      <c r="U49" s="50">
        <f>IF(F$21=1,0,IF(F$21=2,0,IF(F$21=3,'7a'!AH83,IF(F$21=4,'7b'!AK83,IF(F$21=5,'7a'!AH83,'7b'!AK83)))))</f>
        <v>0</v>
      </c>
      <c r="V49" s="50">
        <f>F$10/5</f>
        <v>20</v>
      </c>
      <c r="W49" s="52">
        <f t="shared" si="15"/>
        <v>73.51312646825167</v>
      </c>
      <c r="X49" s="52">
        <f t="shared" si="16"/>
        <v>72.87518092384569</v>
      </c>
      <c r="Y49" s="50">
        <f t="shared" si="11"/>
        <v>0</v>
      </c>
      <c r="Z49" s="52">
        <f t="shared" si="12"/>
        <v>80</v>
      </c>
      <c r="AA49" s="25"/>
      <c r="AB49" s="26">
        <f t="shared" si="13"/>
        <v>0.37185282002918191</v>
      </c>
    </row>
    <row r="50" spans="2:28">
      <c r="B50" s="24">
        <f t="shared" si="7"/>
        <v>7</v>
      </c>
      <c r="C50" s="25" t="s">
        <v>8</v>
      </c>
      <c r="D50" s="53">
        <f t="shared" si="14"/>
        <v>7000</v>
      </c>
      <c r="E50" s="1331">
        <f t="shared" si="14"/>
        <v>0.16</v>
      </c>
      <c r="F50" s="41">
        <f t="shared" si="14"/>
        <v>0</v>
      </c>
      <c r="G50" s="3">
        <f t="shared" si="2"/>
        <v>33.971209000000044</v>
      </c>
      <c r="H50" s="4">
        <f t="shared" si="3"/>
        <v>1.9233430198151997E-3</v>
      </c>
      <c r="I50" s="5">
        <f t="shared" si="8"/>
        <v>174.28771794559998</v>
      </c>
      <c r="J50" s="50">
        <f t="shared" si="4"/>
        <v>103.26264090484118</v>
      </c>
      <c r="K50" s="50">
        <f t="shared" si="5"/>
        <v>29.211934415292436</v>
      </c>
      <c r="L50" s="56">
        <f>IF(F$22=1,F$24,'3'!BB21)</f>
        <v>6.4008260674510327</v>
      </c>
      <c r="M50" s="36">
        <f>IF($F$25=1,$F$26,'7a'!Z84)</f>
        <v>0.6</v>
      </c>
      <c r="N50" s="36">
        <f>IF($F$25=1,$F$26,'7b'!AG84)</f>
        <v>0.6</v>
      </c>
      <c r="O50" s="36">
        <f>IF($F$27=1,$F$28,'7b'!AC84)</f>
        <v>0.8</v>
      </c>
      <c r="P50" s="52">
        <f t="shared" si="9"/>
        <v>1175.5721897903263</v>
      </c>
      <c r="Q50" s="41">
        <f t="shared" si="6"/>
        <v>1167.1430887043891</v>
      </c>
      <c r="R50" s="1271">
        <f>IF(F$21&gt;4,1,IF(F$21=1,(EXP((-1)*(V50*M50*6080)/(L50*I50*3600))),IF(F$21=2,(EXP((-1)*(V50*N50*6080/(L50*O50*3600*550)))),IF(F$21=3,(EXP((-1)*(V50*M50*6080)/(L50*I50*3600))),(EXP((-1)*(V50*N50*6080/(L50*O50*3600*550))))))))</f>
        <v>0.9928297886262174</v>
      </c>
      <c r="S50" s="52">
        <f>V50*6080/I50/60</f>
        <v>11.628281617062916</v>
      </c>
      <c r="T50" s="52">
        <f t="shared" si="10"/>
        <v>8.4291010859371127</v>
      </c>
      <c r="U50" s="50">
        <f>IF(F$21=1,0,IF(F$21=2,0,IF(F$21=3,'7a'!AH84,IF(F$21=4,'7b'!AK84,IF(F$21=5,'7a'!AH84,'7b'!AK84)))))</f>
        <v>0</v>
      </c>
      <c r="V50" s="50">
        <f>F$10/5</f>
        <v>20</v>
      </c>
      <c r="W50" s="52">
        <f t="shared" si="15"/>
        <v>85.14140808531458</v>
      </c>
      <c r="X50" s="52">
        <f t="shared" si="16"/>
        <v>81.30428200978281</v>
      </c>
      <c r="Y50" s="50">
        <f t="shared" si="11"/>
        <v>0</v>
      </c>
      <c r="Z50" s="52">
        <f t="shared" si="12"/>
        <v>100</v>
      </c>
      <c r="AA50" s="25"/>
      <c r="AB50" s="26">
        <f t="shared" si="13"/>
        <v>0.36920067695801628</v>
      </c>
    </row>
    <row r="51" spans="2:28">
      <c r="B51" s="24">
        <f t="shared" si="7"/>
        <v>8</v>
      </c>
      <c r="C51" s="25" t="s">
        <v>9</v>
      </c>
      <c r="D51" s="47">
        <v>3500</v>
      </c>
      <c r="E51" s="1332">
        <v>0.15</v>
      </c>
      <c r="F51" s="45">
        <v>0</v>
      </c>
      <c r="G51" s="3">
        <f t="shared" si="2"/>
        <v>46.406754499999977</v>
      </c>
      <c r="H51" s="4">
        <f t="shared" si="3"/>
        <v>2.1407102026352511E-3</v>
      </c>
      <c r="I51" s="5">
        <f t="shared" si="8"/>
        <v>165.54666128699998</v>
      </c>
      <c r="J51" s="50">
        <f t="shared" si="4"/>
        <v>98.083706866886658</v>
      </c>
      <c r="K51" s="50">
        <f t="shared" si="5"/>
        <v>29.333827656839404</v>
      </c>
      <c r="L51" s="56">
        <f>IF(F$22=1,F$24,'3'!BB22)</f>
        <v>6.3809063970202153</v>
      </c>
      <c r="M51" s="36">
        <f>IF($F$25=1,$F$26,'7a'!Z85)</f>
        <v>0.6</v>
      </c>
      <c r="N51" s="36">
        <f>IF($F$25=1,$F$26,'7b'!AG85)</f>
        <v>0.6</v>
      </c>
      <c r="O51" s="36">
        <f>IF($F$27=1,$F$28,'7b'!AC85)</f>
        <v>0.8</v>
      </c>
      <c r="P51" s="52">
        <f t="shared" si="9"/>
        <v>1167.1430887043891</v>
      </c>
      <c r="Q51" s="41">
        <f t="shared" si="6"/>
        <v>1162.3356743119757</v>
      </c>
      <c r="R51" s="1271">
        <f>IF(F$21&gt;4,1,IF(F$21=1,(EXP((-1)*(S51*M51)/(L51*60))),IF(F$21=2,(EXP((-1)*(S51*N51*I51/(L51*O51*60*550)))),IF(F$21=3,(EXP((-1)*(S51*M51)/(L51*60))),(EXP((-1)*(S51*N51*I51/(L51*O51*60*550))))))))</f>
        <v>0.99588104111746056</v>
      </c>
      <c r="S51" s="41">
        <f>F$11/5</f>
        <v>7</v>
      </c>
      <c r="T51" s="52">
        <f>(1-R51)*P51</f>
        <v>4.8074143924134569</v>
      </c>
      <c r="U51" s="50">
        <f>IF(F$21=1,0,IF(F$21=2,0,IF(F$21=3,'7a'!AH85,IF(F$21=4,'7b'!AK85,IF(F$21=5,'7a'!AH85,'7b'!AK85)))))</f>
        <v>0</v>
      </c>
      <c r="V51" s="49">
        <v>0</v>
      </c>
      <c r="W51" s="52">
        <f t="shared" si="15"/>
        <v>92.14140808531458</v>
      </c>
      <c r="X51" s="52">
        <f t="shared" si="16"/>
        <v>86.111696402196273</v>
      </c>
      <c r="Y51" s="50">
        <f t="shared" si="11"/>
        <v>0</v>
      </c>
      <c r="Z51" s="52">
        <f t="shared" si="12"/>
        <v>100</v>
      </c>
      <c r="AA51" s="25"/>
      <c r="AB51" s="26">
        <f t="shared" si="13"/>
        <v>0.36503026076309797</v>
      </c>
    </row>
    <row r="52" spans="2:28">
      <c r="B52" s="24">
        <f t="shared" si="7"/>
        <v>9</v>
      </c>
      <c r="C52" s="25" t="s">
        <v>10</v>
      </c>
      <c r="D52" s="53">
        <f t="shared" ref="D52:F55" si="17">D$51</f>
        <v>3500</v>
      </c>
      <c r="E52" s="1331">
        <f t="shared" si="17"/>
        <v>0.15</v>
      </c>
      <c r="F52" s="41">
        <f t="shared" si="17"/>
        <v>0</v>
      </c>
      <c r="G52" s="3">
        <f t="shared" si="2"/>
        <v>46.406754499999977</v>
      </c>
      <c r="H52" s="4">
        <f t="shared" si="3"/>
        <v>2.1407102026352511E-3</v>
      </c>
      <c r="I52" s="5">
        <f t="shared" si="8"/>
        <v>165.54666128699998</v>
      </c>
      <c r="J52" s="50">
        <f t="shared" si="4"/>
        <v>98.083706866886658</v>
      </c>
      <c r="K52" s="50">
        <f t="shared" si="5"/>
        <v>29.333827656839404</v>
      </c>
      <c r="L52" s="56">
        <f>IF(F$22=1,F$24,'3'!BB23)</f>
        <v>6.3611669967795379</v>
      </c>
      <c r="M52" s="36">
        <f>IF($F$25=1,$F$26,'7a'!Z86)</f>
        <v>0.6</v>
      </c>
      <c r="N52" s="36">
        <f>IF($F$25=1,$F$26,'7b'!AG86)</f>
        <v>0.6</v>
      </c>
      <c r="O52" s="36">
        <f>IF($F$27=1,$F$28,'7b'!AC86)</f>
        <v>0.8</v>
      </c>
      <c r="P52" s="52">
        <f t="shared" si="9"/>
        <v>1162.3356743119757</v>
      </c>
      <c r="Q52" s="41">
        <f t="shared" si="6"/>
        <v>1157.5332357066482</v>
      </c>
      <c r="R52" s="1271">
        <f>IF(F$21&gt;4,1,IF(F$21=1,(EXP((-1)*(S52*M52)/(L52*60))),IF(F$21=2,(EXP((-1)*(S52*N52*I52/(L52*O52*60*550)))),IF(F$21=3,(EXP((-1)*(S52*M52)/(L52*60))),(EXP((-1)*(S52*N52*I52/(L52*O52*60*550))))))))</f>
        <v>0.99586828597670785</v>
      </c>
      <c r="S52" s="41">
        <f>F$11/5</f>
        <v>7</v>
      </c>
      <c r="T52" s="52">
        <f t="shared" si="10"/>
        <v>4.8024386053275325</v>
      </c>
      <c r="U52" s="50">
        <f>IF(F$21=1,0,IF(F$21=2,0,IF(F$21=3,'7a'!AH86,IF(F$21=4,'7b'!AK86,IF(F$21=5,'7a'!AH86,'7b'!AK86)))))</f>
        <v>0</v>
      </c>
      <c r="V52" s="49">
        <v>0</v>
      </c>
      <c r="W52" s="52">
        <f t="shared" si="15"/>
        <v>99.14140808531458</v>
      </c>
      <c r="X52" s="52">
        <f t="shared" si="16"/>
        <v>90.914135007523811</v>
      </c>
      <c r="Y52" s="50">
        <f t="shared" si="11"/>
        <v>0</v>
      </c>
      <c r="Z52" s="52">
        <f t="shared" si="12"/>
        <v>100</v>
      </c>
      <c r="AA52" s="25"/>
      <c r="AB52" s="26">
        <f t="shared" si="13"/>
        <v>0.36352671612813214</v>
      </c>
    </row>
    <row r="53" spans="2:28">
      <c r="B53" s="24">
        <f t="shared" si="7"/>
        <v>10</v>
      </c>
      <c r="C53" s="25" t="s">
        <v>11</v>
      </c>
      <c r="D53" s="53">
        <f t="shared" si="17"/>
        <v>3500</v>
      </c>
      <c r="E53" s="1331">
        <f t="shared" si="17"/>
        <v>0.15</v>
      </c>
      <c r="F53" s="41">
        <f t="shared" si="17"/>
        <v>0</v>
      </c>
      <c r="G53" s="3">
        <f t="shared" si="2"/>
        <v>46.406754499999977</v>
      </c>
      <c r="H53" s="4">
        <f t="shared" si="3"/>
        <v>2.1407102026352511E-3</v>
      </c>
      <c r="I53" s="5">
        <f t="shared" si="8"/>
        <v>165.54666128699998</v>
      </c>
      <c r="J53" s="50">
        <f t="shared" si="4"/>
        <v>98.083706866886658</v>
      </c>
      <c r="K53" s="50">
        <f t="shared" si="5"/>
        <v>29.333827656839404</v>
      </c>
      <c r="L53" s="56">
        <f>IF(F$22=1,F$24,'3'!BB24)</f>
        <v>6.3413804609017568</v>
      </c>
      <c r="M53" s="36">
        <f>IF($F$25=1,$F$26,'7a'!Z87)</f>
        <v>0.6</v>
      </c>
      <c r="N53" s="36">
        <f>IF($F$25=1,$F$26,'7b'!AG87)</f>
        <v>0.6</v>
      </c>
      <c r="O53" s="36">
        <f>IF($F$27=1,$F$28,'7b'!AC87)</f>
        <v>0.8</v>
      </c>
      <c r="P53" s="52">
        <f t="shared" si="9"/>
        <v>1157.5332357066482</v>
      </c>
      <c r="Q53" s="41">
        <f t="shared" si="6"/>
        <v>1152.7357475932365</v>
      </c>
      <c r="R53" s="1271">
        <f>IF(F$21&gt;4,1,IF(F$21=1,(EXP((-1)*(S53*M53)/(L53*60))),IF(F$21=2,(EXP((-1)*(S53*N53*I53/(L53*O53*60*550)))),IF(F$21=3,(EXP((-1)*(S53*M53)/(L53*60))),(EXP((-1)*(S53*N53*I53/(L53*O53*60*550))))))))</f>
        <v>0.99585542085063083</v>
      </c>
      <c r="S53" s="41">
        <f>F$11/5</f>
        <v>7</v>
      </c>
      <c r="T53" s="52">
        <f t="shared" si="10"/>
        <v>4.797488113411597</v>
      </c>
      <c r="U53" s="50">
        <f>IF(F$21=1,0,IF(F$21=2,0,IF(F$21=3,'7a'!AH87,IF(F$21=4,'7b'!AK87,IF(F$21=5,'7a'!AH87,'7b'!AK87)))))</f>
        <v>0</v>
      </c>
      <c r="V53" s="49">
        <v>0</v>
      </c>
      <c r="W53" s="52">
        <f t="shared" si="15"/>
        <v>106.14140808531458</v>
      </c>
      <c r="X53" s="52">
        <f t="shared" si="16"/>
        <v>95.711623120935414</v>
      </c>
      <c r="Y53" s="50">
        <f t="shared" si="11"/>
        <v>0</v>
      </c>
      <c r="Z53" s="52">
        <f t="shared" si="12"/>
        <v>100</v>
      </c>
      <c r="AA53" s="25"/>
      <c r="AB53" s="26">
        <f t="shared" si="13"/>
        <v>0.36202472769726418</v>
      </c>
    </row>
    <row r="54" spans="2:28">
      <c r="B54" s="24">
        <f t="shared" si="7"/>
        <v>11</v>
      </c>
      <c r="C54" s="25" t="s">
        <v>12</v>
      </c>
      <c r="D54" s="53">
        <f t="shared" si="17"/>
        <v>3500</v>
      </c>
      <c r="E54" s="1331">
        <f t="shared" si="17"/>
        <v>0.15</v>
      </c>
      <c r="F54" s="41">
        <f t="shared" si="17"/>
        <v>0</v>
      </c>
      <c r="G54" s="3">
        <f t="shared" si="2"/>
        <v>46.406754499999977</v>
      </c>
      <c r="H54" s="4">
        <f t="shared" si="3"/>
        <v>2.1407102026352511E-3</v>
      </c>
      <c r="I54" s="5">
        <f t="shared" si="8"/>
        <v>165.54666128699998</v>
      </c>
      <c r="J54" s="50">
        <f t="shared" si="4"/>
        <v>98.083706866886658</v>
      </c>
      <c r="K54" s="50">
        <f t="shared" si="5"/>
        <v>29.333827656839404</v>
      </c>
      <c r="L54" s="56">
        <f>IF(F$22=1,F$24,'3'!BB25)</f>
        <v>6.3215469387862484</v>
      </c>
      <c r="M54" s="36">
        <f>IF($F$25=1,$F$26,'7a'!Z88)</f>
        <v>0.6</v>
      </c>
      <c r="N54" s="36">
        <f>IF($F$25=1,$F$26,'7b'!AG88)</f>
        <v>0.6</v>
      </c>
      <c r="O54" s="36">
        <f>IF($F$27=1,$F$28,'7b'!AC88)</f>
        <v>0.8</v>
      </c>
      <c r="P54" s="52">
        <f t="shared" si="9"/>
        <v>1152.7357475932365</v>
      </c>
      <c r="Q54" s="41">
        <f t="shared" si="6"/>
        <v>1147.9431847682463</v>
      </c>
      <c r="R54" s="1271">
        <f>IF(F$21&gt;4,1,IF(F$21=1,(EXP((-1)*(S54*M54)/(L54*60))),IF(F$21=2,(EXP((-1)*(S54*N54*I54/(L54*O54*60*550)))),IF(F$21=3,(EXP((-1)*(S54*M54)/(L54*60))),(EXP((-1)*(S54*N54*I54/(L54*O54*60*550))))))))</f>
        <v>0.99584244451948645</v>
      </c>
      <c r="S54" s="41">
        <f>F$11/5</f>
        <v>7</v>
      </c>
      <c r="T54" s="52">
        <f t="shared" si="10"/>
        <v>4.7925628249901484</v>
      </c>
      <c r="U54" s="50">
        <f>IF(F$21=1,0,IF(F$21=2,0,IF(F$21=3,'7a'!AH88,IF(F$21=4,'7b'!AK88,IF(F$21=5,'7a'!AH88,'7b'!AK88)))))</f>
        <v>0</v>
      </c>
      <c r="V54" s="49">
        <v>0</v>
      </c>
      <c r="W54" s="52">
        <f t="shared" si="15"/>
        <v>113.14140808531458</v>
      </c>
      <c r="X54" s="52">
        <f t="shared" si="16"/>
        <v>100.50418594592556</v>
      </c>
      <c r="Y54" s="50">
        <f t="shared" si="11"/>
        <v>0</v>
      </c>
      <c r="Z54" s="52">
        <f t="shared" si="12"/>
        <v>100</v>
      </c>
      <c r="AA54" s="25"/>
      <c r="AB54" s="26">
        <f t="shared" si="13"/>
        <v>0.36052428755929405</v>
      </c>
    </row>
    <row r="55" spans="2:28">
      <c r="B55" s="24">
        <f t="shared" si="7"/>
        <v>12</v>
      </c>
      <c r="C55" s="25" t="s">
        <v>13</v>
      </c>
      <c r="D55" s="53">
        <f t="shared" si="17"/>
        <v>3500</v>
      </c>
      <c r="E55" s="1331">
        <f t="shared" si="17"/>
        <v>0.15</v>
      </c>
      <c r="F55" s="41">
        <f t="shared" si="17"/>
        <v>0</v>
      </c>
      <c r="G55" s="3">
        <f t="shared" si="2"/>
        <v>46.406754499999977</v>
      </c>
      <c r="H55" s="4">
        <f t="shared" si="3"/>
        <v>2.1407102026352511E-3</v>
      </c>
      <c r="I55" s="5">
        <f t="shared" si="8"/>
        <v>165.54666128699998</v>
      </c>
      <c r="J55" s="50">
        <f t="shared" si="4"/>
        <v>98.083706866886658</v>
      </c>
      <c r="K55" s="50">
        <f t="shared" si="5"/>
        <v>29.333827656839404</v>
      </c>
      <c r="L55" s="56">
        <f>IF(F$22=1,F$24,'3'!BB26)</f>
        <v>6.3016665801978693</v>
      </c>
      <c r="M55" s="36">
        <f>IF($F$25=1,$F$26,'7a'!Z89)</f>
        <v>0.6</v>
      </c>
      <c r="N55" s="36">
        <f>IF($F$25=1,$F$26,'7b'!AG89)</f>
        <v>0.6</v>
      </c>
      <c r="O55" s="36">
        <f>IF($F$27=1,$F$28,'7b'!AC89)</f>
        <v>0.8</v>
      </c>
      <c r="P55" s="52">
        <f t="shared" si="9"/>
        <v>1147.9431847682463</v>
      </c>
      <c r="Q55" s="41">
        <f t="shared" si="6"/>
        <v>1143.1555221193112</v>
      </c>
      <c r="R55" s="1271">
        <f>IF(F$21&gt;4,1,IF(F$21=1,(EXP((-1)*(S55*M55)/(L55*60))),IF(F$21=2,(EXP((-1)*(S55*N55*I55/(L55*O55*60*550)))),IF(F$21=3,(EXP((-1)*(S55*M55)/(L55*60))),(EXP((-1)*(S55*N55*I55/(L55*O55*60*550))))))))</f>
        <v>0.99582935574472553</v>
      </c>
      <c r="S55" s="41">
        <f>F$11/5</f>
        <v>7</v>
      </c>
      <c r="T55" s="52">
        <f t="shared" si="10"/>
        <v>4.7876626489351652</v>
      </c>
      <c r="U55" s="50">
        <f>IF(F$21=1,0,IF(F$21=2,0,IF(F$21=3,'7a'!AH89,IF(F$21=4,'7b'!AK89,IF(F$21=5,'7a'!AH89,'7b'!AK89)))))</f>
        <v>0</v>
      </c>
      <c r="V55" s="49">
        <v>0</v>
      </c>
      <c r="W55" s="52">
        <f t="shared" si="15"/>
        <v>120.14140808531458</v>
      </c>
      <c r="X55" s="52">
        <f t="shared" si="16"/>
        <v>105.29184859486072</v>
      </c>
      <c r="Y55" s="50">
        <f t="shared" si="11"/>
        <v>0</v>
      </c>
      <c r="Z55" s="52">
        <f t="shared" si="12"/>
        <v>100</v>
      </c>
      <c r="AA55" s="25"/>
      <c r="AB55" s="26">
        <f t="shared" si="13"/>
        <v>0.35902538783169363</v>
      </c>
    </row>
    <row r="56" spans="2:28">
      <c r="B56" s="24">
        <f t="shared" si="7"/>
        <v>13</v>
      </c>
      <c r="C56" s="27" t="s">
        <v>158</v>
      </c>
      <c r="D56" s="53">
        <f>D$51</f>
        <v>3500</v>
      </c>
      <c r="E56" s="1332">
        <v>0.16</v>
      </c>
      <c r="F56" s="41">
        <f>F$51</f>
        <v>0</v>
      </c>
      <c r="G56" s="3">
        <f t="shared" si="2"/>
        <v>46.406754499999977</v>
      </c>
      <c r="H56" s="4">
        <f t="shared" si="3"/>
        <v>2.1407102026352511E-3</v>
      </c>
      <c r="I56" s="5">
        <f t="shared" si="8"/>
        <v>176.58310537279999</v>
      </c>
      <c r="J56" s="50">
        <f t="shared" si="4"/>
        <v>104.62262065801245</v>
      </c>
      <c r="K56" s="50">
        <f t="shared" si="5"/>
        <v>33.375377245115061</v>
      </c>
      <c r="L56" s="56">
        <f>IF(F$22=1,F$24,'3'!BB27)</f>
        <v>5.6815070626433455</v>
      </c>
      <c r="M56" s="57" t="s">
        <v>97</v>
      </c>
      <c r="N56" s="57" t="s">
        <v>97</v>
      </c>
      <c r="O56" s="36">
        <f>IF($F$27=1,$F$28,'7b'!AC90)</f>
        <v>0.8</v>
      </c>
      <c r="P56" s="52">
        <f t="shared" si="9"/>
        <v>1143.1555221193112</v>
      </c>
      <c r="Q56" s="41">
        <f t="shared" si="6"/>
        <v>1142.695499776406</v>
      </c>
      <c r="R56" s="1271">
        <f>IF(F11=0,1,(IF(E56=E55,1,(IF(F21&gt;4,1,IF(E56&lt;1,((1-0.04*E56)/(1-0.04*E55)),((0.96-0.03*(E56-1))/(0.96-0.03*(E55-1)))))))))</f>
        <v>0.99959758551307853</v>
      </c>
      <c r="S56" s="46">
        <v>0</v>
      </c>
      <c r="T56" s="52">
        <f t="shared" si="10"/>
        <v>0.46002234290508226</v>
      </c>
      <c r="U56" s="50">
        <f>IF(F$21=1,0,IF(F$21=2,0,IF(F$21=3,'7a'!AH90,IF(F$21=4,'7b'!AK90,IF(F$21=5,'7a'!AH90,'7b'!AK90)))))</f>
        <v>0</v>
      </c>
      <c r="V56" s="49">
        <v>0</v>
      </c>
      <c r="W56" s="52">
        <f t="shared" si="15"/>
        <v>120.14140808531458</v>
      </c>
      <c r="X56" s="52">
        <f t="shared" si="16"/>
        <v>105.7518709377658</v>
      </c>
      <c r="Y56" s="50">
        <f t="shared" si="11"/>
        <v>0</v>
      </c>
      <c r="Z56" s="52">
        <f t="shared" si="12"/>
        <v>100</v>
      </c>
      <c r="AA56" s="25"/>
      <c r="AB56" s="26">
        <f t="shared" si="13"/>
        <v>0.31423361190858601</v>
      </c>
    </row>
    <row r="57" spans="2:28">
      <c r="B57" s="24">
        <f t="shared" si="7"/>
        <v>14</v>
      </c>
      <c r="C57" s="25" t="s">
        <v>14</v>
      </c>
      <c r="D57" s="53">
        <f>D$51</f>
        <v>3500</v>
      </c>
      <c r="E57" s="1331">
        <f>E$51</f>
        <v>0.15</v>
      </c>
      <c r="F57" s="41">
        <f>F$51</f>
        <v>0</v>
      </c>
      <c r="G57" s="3">
        <f t="shared" si="2"/>
        <v>46.406754499999977</v>
      </c>
      <c r="H57" s="4">
        <f t="shared" si="3"/>
        <v>2.1407102026352511E-3</v>
      </c>
      <c r="I57" s="5">
        <f t="shared" si="8"/>
        <v>165.54666128699998</v>
      </c>
      <c r="J57" s="50">
        <f t="shared" si="4"/>
        <v>98.083706866886658</v>
      </c>
      <c r="K57" s="50">
        <f t="shared" si="5"/>
        <v>29.333827656839404</v>
      </c>
      <c r="L57" s="56">
        <f>IF(F$22=1,F$24,'3'!BB28)</f>
        <v>6.2798213208765672</v>
      </c>
      <c r="M57" s="44">
        <v>0.4</v>
      </c>
      <c r="N57" s="57" t="s">
        <v>97</v>
      </c>
      <c r="O57" s="36">
        <f>IF($F$27=1,$F$28,'7b'!AC91)</f>
        <v>0.8</v>
      </c>
      <c r="P57" s="52">
        <f t="shared" si="9"/>
        <v>1142.695499776406</v>
      </c>
      <c r="Q57" s="41">
        <f t="shared" si="6"/>
        <v>1112.2236197823686</v>
      </c>
      <c r="R57" s="1271">
        <f>1-((S57/60)*M57*F$14)</f>
        <v>0.97333333333333338</v>
      </c>
      <c r="S57" s="46">
        <v>10</v>
      </c>
      <c r="T57" s="52">
        <f t="shared" si="10"/>
        <v>30.471879994037437</v>
      </c>
      <c r="U57" s="50">
        <f>IF(F$21=1,0,IF(F$21=2,0,IF(F$21=3,'7a'!AH91,IF(F$21=4,'7b'!AK91,IF(F$21=5,'7a'!AH91,'7b'!AK91)))))</f>
        <v>0</v>
      </c>
      <c r="V57" s="49">
        <v>0</v>
      </c>
      <c r="W57" s="52">
        <f t="shared" si="15"/>
        <v>130.14140808531459</v>
      </c>
      <c r="X57" s="52">
        <f t="shared" si="16"/>
        <v>136.22375093180324</v>
      </c>
      <c r="Y57" s="50">
        <f t="shared" si="11"/>
        <v>0</v>
      </c>
      <c r="Z57" s="52">
        <f t="shared" si="12"/>
        <v>100</v>
      </c>
      <c r="AA57" s="25"/>
      <c r="AB57" s="26">
        <f t="shared" si="13"/>
        <v>0.35738414620544157</v>
      </c>
    </row>
    <row r="58" spans="2:28">
      <c r="B58" s="24">
        <f t="shared" si="7"/>
        <v>15</v>
      </c>
      <c r="C58" s="25" t="s">
        <v>15</v>
      </c>
      <c r="D58" s="53">
        <f>D$51</f>
        <v>3500</v>
      </c>
      <c r="E58" s="1331">
        <f>E$51</f>
        <v>0.15</v>
      </c>
      <c r="F58" s="41">
        <f>F$51</f>
        <v>0</v>
      </c>
      <c r="G58" s="3">
        <f t="shared" si="2"/>
        <v>46.406754499999977</v>
      </c>
      <c r="H58" s="4">
        <f t="shared" si="3"/>
        <v>2.1407102026352511E-3</v>
      </c>
      <c r="I58" s="5">
        <f t="shared" si="8"/>
        <v>165.54666128699998</v>
      </c>
      <c r="J58" s="50">
        <f t="shared" si="4"/>
        <v>98.083706866886658</v>
      </c>
      <c r="K58" s="50">
        <f t="shared" si="5"/>
        <v>29.333827656839404</v>
      </c>
      <c r="L58" s="56">
        <f>IF(F$22=1,F$24,'3'!BB29)</f>
        <v>6.1513851231281942</v>
      </c>
      <c r="M58" s="57" t="s">
        <v>97</v>
      </c>
      <c r="N58" s="57" t="s">
        <v>97</v>
      </c>
      <c r="O58" s="36">
        <f>IF($F$27=1,$F$28,'7b'!AC92)</f>
        <v>0.8</v>
      </c>
      <c r="P58" s="52">
        <f t="shared" si="9"/>
        <v>1112.2236197823686</v>
      </c>
      <c r="Q58" s="52">
        <f>P58-F15</f>
        <v>1112.2236197823686</v>
      </c>
      <c r="R58" s="1271">
        <f>Q58/P58</f>
        <v>1</v>
      </c>
      <c r="S58" s="46">
        <v>0</v>
      </c>
      <c r="T58" s="52">
        <f t="shared" si="10"/>
        <v>0</v>
      </c>
      <c r="U58" s="50">
        <f>IF(F$21=1,0,IF(F$21=2,0,IF(F$21=3,'7a'!AH92,IF(F$21=4,'7b'!AK92,IF(F$21=5,'7a'!AH92,'7b'!AK92)))))</f>
        <v>0</v>
      </c>
      <c r="V58" s="49">
        <v>0</v>
      </c>
      <c r="W58" s="52">
        <f t="shared" si="15"/>
        <v>130.14140808531459</v>
      </c>
      <c r="X58" s="52">
        <f t="shared" si="16"/>
        <v>136.22375093180324</v>
      </c>
      <c r="Y58" s="50">
        <f t="shared" si="11"/>
        <v>0</v>
      </c>
      <c r="Z58" s="52">
        <f t="shared" si="12"/>
        <v>100</v>
      </c>
      <c r="AA58" s="25"/>
      <c r="AB58" s="26">
        <f t="shared" si="13"/>
        <v>0.34785390230662983</v>
      </c>
    </row>
    <row r="59" spans="2:28">
      <c r="B59" s="24">
        <f t="shared" si="7"/>
        <v>16</v>
      </c>
      <c r="C59" s="25" t="s">
        <v>16</v>
      </c>
      <c r="D59" s="53">
        <f>D$51</f>
        <v>3500</v>
      </c>
      <c r="E59" s="1332">
        <v>0.14000000000000001</v>
      </c>
      <c r="F59" s="41">
        <f>F$51</f>
        <v>0</v>
      </c>
      <c r="G59" s="3">
        <f t="shared" si="2"/>
        <v>46.406754499999977</v>
      </c>
      <c r="H59" s="4">
        <f t="shared" si="3"/>
        <v>2.1407102026352511E-3</v>
      </c>
      <c r="I59" s="5">
        <f t="shared" si="8"/>
        <v>154.51021720119999</v>
      </c>
      <c r="J59" s="50">
        <f t="shared" si="4"/>
        <v>91.544793075760893</v>
      </c>
      <c r="K59" s="50">
        <f t="shared" si="5"/>
        <v>25.553023203291218</v>
      </c>
      <c r="L59" s="56">
        <f>IF(F$22=1,F$24,'3'!BB30)</f>
        <v>6.8069642690182706</v>
      </c>
      <c r="M59" s="36">
        <f>IF($F$25=1,$F$26,'7a'!Z93)</f>
        <v>0.6</v>
      </c>
      <c r="N59" s="36">
        <f>IF($F$25=1,$F$26,'7b'!AG93)</f>
        <v>0.6</v>
      </c>
      <c r="O59" s="36">
        <f>IF($F$27=1,$F$28,'7b'!AC93)</f>
        <v>0.8</v>
      </c>
      <c r="P59" s="52">
        <f t="shared" si="9"/>
        <v>1112.2236197823686</v>
      </c>
      <c r="Q59" s="41">
        <f t="shared" ref="Q59:Q75" si="18">P59-T59</f>
        <v>1108.2144237890052</v>
      </c>
      <c r="R59" s="1271">
        <f>IF(F$21&gt;4,1,IF(F$21=1,(EXP((-1)*(S59*M59)/(L59*60))),IF(F$21=2,(EXP((-1)*(S59*N59*I59/(L59*O59*60*550)))),IF(F$21=3,(EXP((-1)*(S59*M59)/(L59*60))),(EXP((-1)*(S59*N59*I59/(L59*O59*60*550))))))))</f>
        <v>0.99639533280713111</v>
      </c>
      <c r="S59" s="41">
        <f>F$12/5</f>
        <v>7</v>
      </c>
      <c r="T59" s="52">
        <f t="shared" si="10"/>
        <v>4.0091959933633898</v>
      </c>
      <c r="U59" s="50">
        <f>IF(F$21=1,0,IF(F$21=2,0,IF(F$21=3,'7a'!AH93,IF(F$21=4,'7b'!AK93,IF(F$21=5,'7a'!AH93,'7b'!AK93)))))</f>
        <v>0</v>
      </c>
      <c r="V59" s="49">
        <v>0</v>
      </c>
      <c r="W59" s="52">
        <f t="shared" si="15"/>
        <v>137.14140808531459</v>
      </c>
      <c r="X59" s="52">
        <f t="shared" si="16"/>
        <v>140.23294692516663</v>
      </c>
      <c r="Y59" s="50">
        <f t="shared" si="11"/>
        <v>0</v>
      </c>
      <c r="Z59" s="52">
        <f t="shared" si="12"/>
        <v>100</v>
      </c>
      <c r="AA59" s="25"/>
      <c r="AB59" s="26">
        <f t="shared" si="13"/>
        <v>0.39932208172954953</v>
      </c>
    </row>
    <row r="60" spans="2:28">
      <c r="B60" s="24">
        <f t="shared" si="7"/>
        <v>17</v>
      </c>
      <c r="C60" s="25" t="s">
        <v>17</v>
      </c>
      <c r="D60" s="53">
        <f t="shared" ref="D60:F63" si="19">D$59</f>
        <v>3500</v>
      </c>
      <c r="E60" s="1331">
        <f t="shared" si="19"/>
        <v>0.14000000000000001</v>
      </c>
      <c r="F60" s="41">
        <f t="shared" si="19"/>
        <v>0</v>
      </c>
      <c r="G60" s="3">
        <f t="shared" si="2"/>
        <v>46.406754499999977</v>
      </c>
      <c r="H60" s="4">
        <f t="shared" si="3"/>
        <v>2.1407102026352511E-3</v>
      </c>
      <c r="I60" s="5">
        <f t="shared" si="8"/>
        <v>154.51021720119999</v>
      </c>
      <c r="J60" s="50">
        <f t="shared" si="4"/>
        <v>91.544793075760893</v>
      </c>
      <c r="K60" s="50">
        <f t="shared" si="5"/>
        <v>25.553023203291218</v>
      </c>
      <c r="L60" s="56">
        <f>IF(F$22=1,F$24,'3'!BB31)</f>
        <v>6.7895618099033905</v>
      </c>
      <c r="M60" s="36">
        <f>IF($F$25=1,$F$26,'7a'!Z94)</f>
        <v>0.6</v>
      </c>
      <c r="N60" s="36">
        <f>IF($F$25=1,$F$26,'7b'!AG94)</f>
        <v>0.6</v>
      </c>
      <c r="O60" s="36">
        <f>IF($F$27=1,$F$28,'7b'!AC94)</f>
        <v>0.8</v>
      </c>
      <c r="P60" s="52">
        <f t="shared" si="9"/>
        <v>1108.2144237890052</v>
      </c>
      <c r="Q60" s="41">
        <f t="shared" si="18"/>
        <v>1104.2094591293376</v>
      </c>
      <c r="R60" s="1271">
        <f>IF(F$21&gt;4,1,IF(F$21=1,(EXP((-1)*(S60*M60)/(L60*60))),IF(F$21=2,(EXP((-1)*(S60*N60*I60/(L60*O60*60*550)))),IF(F$21=3,(EXP((-1)*(S60*M60)/(L60*60))),(EXP((-1)*(S60*N60*I60/(L60*O60*60*550))))))))</f>
        <v>0.99638611032874436</v>
      </c>
      <c r="S60" s="41">
        <f>F$12/5</f>
        <v>7</v>
      </c>
      <c r="T60" s="52">
        <f t="shared" si="10"/>
        <v>4.0049646596676105</v>
      </c>
      <c r="U60" s="50">
        <f>IF(F$21=1,0,IF(F$21=2,0,IF(F$21=3,'7a'!AH94,IF(F$21=4,'7b'!AK94,IF(F$21=5,'7a'!AH94,'7b'!AK94)))))</f>
        <v>0</v>
      </c>
      <c r="V60" s="49">
        <v>0</v>
      </c>
      <c r="W60" s="52">
        <f t="shared" si="15"/>
        <v>144.14140808531459</v>
      </c>
      <c r="X60" s="52">
        <f t="shared" si="16"/>
        <v>144.23791158483425</v>
      </c>
      <c r="Y60" s="50">
        <f t="shared" si="11"/>
        <v>0</v>
      </c>
      <c r="Z60" s="52">
        <f t="shared" si="12"/>
        <v>100</v>
      </c>
      <c r="AA60" s="25"/>
      <c r="AB60" s="26">
        <f t="shared" si="13"/>
        <v>0.39788265852215088</v>
      </c>
    </row>
    <row r="61" spans="2:28">
      <c r="B61" s="24">
        <f t="shared" si="7"/>
        <v>18</v>
      </c>
      <c r="C61" s="25" t="s">
        <v>18</v>
      </c>
      <c r="D61" s="53">
        <f t="shared" si="19"/>
        <v>3500</v>
      </c>
      <c r="E61" s="1331">
        <f t="shared" si="19"/>
        <v>0.14000000000000001</v>
      </c>
      <c r="F61" s="41">
        <f t="shared" si="19"/>
        <v>0</v>
      </c>
      <c r="G61" s="3">
        <f t="shared" si="2"/>
        <v>46.406754499999977</v>
      </c>
      <c r="H61" s="4">
        <f t="shared" si="3"/>
        <v>2.1407102026352511E-3</v>
      </c>
      <c r="I61" s="5">
        <f t="shared" si="8"/>
        <v>154.51021720119999</v>
      </c>
      <c r="J61" s="50">
        <f t="shared" si="4"/>
        <v>91.544793075760893</v>
      </c>
      <c r="K61" s="50">
        <f t="shared" si="5"/>
        <v>25.553023203291218</v>
      </c>
      <c r="L61" s="56">
        <f>IF(F$22=1,F$24,'3'!BB32)</f>
        <v>6.7721154152967085</v>
      </c>
      <c r="M61" s="36">
        <f>IF($F$25=1,$F$26,'7a'!Z95)</f>
        <v>0.6</v>
      </c>
      <c r="N61" s="36">
        <f>IF($F$25=1,$F$26,'7b'!AG95)</f>
        <v>0.6</v>
      </c>
      <c r="O61" s="36">
        <f>IF($F$27=1,$F$28,'7b'!AC95)</f>
        <v>0.8</v>
      </c>
      <c r="P61" s="52">
        <f t="shared" si="9"/>
        <v>1104.2094591293376</v>
      </c>
      <c r="Q61" s="41">
        <f t="shared" si="18"/>
        <v>1100.2087062712899</v>
      </c>
      <c r="R61" s="1271">
        <f>IF(F$21&gt;4,1,IF(F$21=1,(EXP((-1)*(S61*M61)/(L61*60))),IF(F$21=2,(EXP((-1)*(S61*N61*I61/(L61*O61*60*550)))),IF(F$21=3,(EXP((-1)*(S61*M61)/(L61*60))),(EXP((-1)*(S61*N61*I61/(L61*O61*60*550))))))))</f>
        <v>0.99637681707490333</v>
      </c>
      <c r="S61" s="41">
        <f>F$12/5</f>
        <v>7</v>
      </c>
      <c r="T61" s="52">
        <f t="shared" si="10"/>
        <v>4.0007528580476439</v>
      </c>
      <c r="U61" s="50">
        <f>IF(F$21=1,0,IF(F$21=2,0,IF(F$21=3,'7a'!AH95,IF(F$21=4,'7b'!AK95,IF(F$21=5,'7a'!AH95,'7b'!AK95)))))</f>
        <v>0</v>
      </c>
      <c r="V61" s="49">
        <v>0</v>
      </c>
      <c r="W61" s="52">
        <f t="shared" si="15"/>
        <v>151.14140808531459</v>
      </c>
      <c r="X61" s="52">
        <f t="shared" si="16"/>
        <v>148.23866444288188</v>
      </c>
      <c r="Y61" s="50">
        <f t="shared" si="11"/>
        <v>0</v>
      </c>
      <c r="Z61" s="52">
        <f t="shared" si="12"/>
        <v>100</v>
      </c>
      <c r="AA61" s="25"/>
      <c r="AB61" s="26">
        <f t="shared" si="13"/>
        <v>0.39644475449214595</v>
      </c>
    </row>
    <row r="62" spans="2:28">
      <c r="B62" s="24">
        <f t="shared" si="7"/>
        <v>19</v>
      </c>
      <c r="C62" s="25" t="s">
        <v>19</v>
      </c>
      <c r="D62" s="53">
        <f t="shared" si="19"/>
        <v>3500</v>
      </c>
      <c r="E62" s="1331">
        <f t="shared" si="19"/>
        <v>0.14000000000000001</v>
      </c>
      <c r="F62" s="41">
        <f t="shared" si="19"/>
        <v>0</v>
      </c>
      <c r="G62" s="3">
        <f t="shared" si="2"/>
        <v>46.406754499999977</v>
      </c>
      <c r="H62" s="4">
        <f t="shared" si="3"/>
        <v>2.1407102026352511E-3</v>
      </c>
      <c r="I62" s="5">
        <f t="shared" si="8"/>
        <v>154.51021720119999</v>
      </c>
      <c r="J62" s="50">
        <f t="shared" si="4"/>
        <v>91.544793075760893</v>
      </c>
      <c r="K62" s="50">
        <f t="shared" si="5"/>
        <v>25.553023203291218</v>
      </c>
      <c r="L62" s="56">
        <f>IF(F$22=1,F$24,'3'!BB33)</f>
        <v>6.7546251998335043</v>
      </c>
      <c r="M62" s="36">
        <f>IF($F$25=1,$F$26,'7a'!Z96)</f>
        <v>0.6</v>
      </c>
      <c r="N62" s="36">
        <f>IF($F$25=1,$F$26,'7b'!AG96)</f>
        <v>0.6</v>
      </c>
      <c r="O62" s="36">
        <f>IF($F$27=1,$F$28,'7b'!AC96)</f>
        <v>0.8</v>
      </c>
      <c r="P62" s="52">
        <f t="shared" si="9"/>
        <v>1100.2087062712899</v>
      </c>
      <c r="Q62" s="41">
        <f t="shared" si="18"/>
        <v>1096.2121457524079</v>
      </c>
      <c r="R62" s="1271">
        <f>IF(F$21&gt;4,1,IF(F$21=1,(EXP((-1)*(S62*M62)/(L62*60))),IF(F$21=2,(EXP((-1)*(S62*N62*I62/(L62*O62*60*550)))),IF(F$21=3,(EXP((-1)*(S62*M62)/(L62*60))),(EXP((-1)*(S62*N62*I62/(L62*O62*60*550))))))))</f>
        <v>0.99636745237871571</v>
      </c>
      <c r="S62" s="41">
        <f>F$12/5</f>
        <v>7</v>
      </c>
      <c r="T62" s="52">
        <f t="shared" si="10"/>
        <v>3.9965605188820379</v>
      </c>
      <c r="U62" s="50">
        <f>IF(F$21=1,0,IF(F$21=2,0,IF(F$21=3,'7a'!AH96,IF(F$21=4,'7b'!AK96,IF(F$21=5,'7a'!AH96,'7b'!AK96)))))</f>
        <v>0</v>
      </c>
      <c r="V62" s="49">
        <v>0</v>
      </c>
      <c r="W62" s="52">
        <f t="shared" si="15"/>
        <v>158.14140808531459</v>
      </c>
      <c r="X62" s="52">
        <f t="shared" si="16"/>
        <v>152.23522496176392</v>
      </c>
      <c r="Y62" s="50">
        <f t="shared" si="11"/>
        <v>0</v>
      </c>
      <c r="Z62" s="52">
        <f t="shared" si="12"/>
        <v>100</v>
      </c>
      <c r="AA62" s="25"/>
      <c r="AB62" s="26">
        <f t="shared" si="13"/>
        <v>0.39500836262692585</v>
      </c>
    </row>
    <row r="63" spans="2:28">
      <c r="B63" s="24">
        <f t="shared" si="7"/>
        <v>20</v>
      </c>
      <c r="C63" s="25" t="s">
        <v>20</v>
      </c>
      <c r="D63" s="53">
        <f t="shared" si="19"/>
        <v>3500</v>
      </c>
      <c r="E63" s="1331">
        <f t="shared" si="19"/>
        <v>0.14000000000000001</v>
      </c>
      <c r="F63" s="41">
        <f t="shared" si="19"/>
        <v>0</v>
      </c>
      <c r="G63" s="3">
        <f t="shared" si="2"/>
        <v>46.406754499999977</v>
      </c>
      <c r="H63" s="4">
        <f t="shared" si="3"/>
        <v>2.1407102026352511E-3</v>
      </c>
      <c r="I63" s="5">
        <f t="shared" si="8"/>
        <v>154.51021720119999</v>
      </c>
      <c r="J63" s="50">
        <f t="shared" si="4"/>
        <v>91.544793075760893</v>
      </c>
      <c r="K63" s="50">
        <f t="shared" si="5"/>
        <v>25.553023203291218</v>
      </c>
      <c r="L63" s="56">
        <f>IF(F$22=1,F$24,'3'!BB34)</f>
        <v>6.7370912784415555</v>
      </c>
      <c r="M63" s="36">
        <f>IF($F$25=1,$F$26,'7a'!Z97)</f>
        <v>0.6</v>
      </c>
      <c r="N63" s="36">
        <f>IF($F$25=1,$F$26,'7b'!AG97)</f>
        <v>0.6</v>
      </c>
      <c r="O63" s="36">
        <f>IF($F$27=1,$F$28,'7b'!AC97)</f>
        <v>0.8</v>
      </c>
      <c r="P63" s="52">
        <f t="shared" si="9"/>
        <v>1096.2121457524079</v>
      </c>
      <c r="Q63" s="41">
        <f t="shared" si="18"/>
        <v>1092.2197581794551</v>
      </c>
      <c r="R63" s="1271">
        <f>IF(F$21&gt;4,1,IF(F$21=1,(EXP((-1)*(S63*M63)/(L63*60))),IF(F$21=2,(EXP((-1)*(S63*N63*I63/(L63*O63*60*550)))),IF(F$21=3,(EXP((-1)*(S63*M63)/(L63*60))),(EXP((-1)*(S63*N63*I63/(L63*O63*60*550))))))))</f>
        <v>0.99635801556439374</v>
      </c>
      <c r="S63" s="41">
        <f>F$12/5</f>
        <v>7</v>
      </c>
      <c r="T63" s="52">
        <f t="shared" si="10"/>
        <v>3.9923875729528109</v>
      </c>
      <c r="U63" s="50">
        <f>IF(F$21=1,0,IF(F$21=2,0,IF(F$21=3,'7a'!AH97,IF(F$21=4,'7b'!AK97,IF(F$21=5,'7a'!AH97,'7b'!AK97)))))</f>
        <v>0</v>
      </c>
      <c r="V63" s="49">
        <v>0</v>
      </c>
      <c r="W63" s="52">
        <f t="shared" si="15"/>
        <v>165.14140808531459</v>
      </c>
      <c r="X63" s="52">
        <f t="shared" si="16"/>
        <v>156.22761253471674</v>
      </c>
      <c r="Y63" s="50">
        <f t="shared" si="11"/>
        <v>0</v>
      </c>
      <c r="Z63" s="52">
        <f t="shared" si="12"/>
        <v>100</v>
      </c>
      <c r="AA63" s="25"/>
      <c r="AB63" s="26">
        <f t="shared" si="13"/>
        <v>0.39357347593887804</v>
      </c>
    </row>
    <row r="64" spans="2:28">
      <c r="B64" s="24">
        <f t="shared" si="7"/>
        <v>21</v>
      </c>
      <c r="C64" s="27" t="s">
        <v>160</v>
      </c>
      <c r="D64" s="53">
        <f>D65</f>
        <v>10000</v>
      </c>
      <c r="E64" s="1331">
        <f>E65</f>
        <v>0.16</v>
      </c>
      <c r="F64" s="41">
        <f>F65</f>
        <v>0</v>
      </c>
      <c r="G64" s="3">
        <f t="shared" si="2"/>
        <v>23.312170000000037</v>
      </c>
      <c r="H64" s="4">
        <f t="shared" si="3"/>
        <v>1.7535329343699999E-3</v>
      </c>
      <c r="I64" s="5">
        <f t="shared" si="8"/>
        <v>172.32024300800001</v>
      </c>
      <c r="J64" s="50">
        <f t="shared" si="4"/>
        <v>102.09694397355153</v>
      </c>
      <c r="K64" s="50">
        <f t="shared" si="5"/>
        <v>26.034936828281378</v>
      </c>
      <c r="L64" s="56">
        <f>IF(F$22=1,F$24,'3'!BB35)</f>
        <v>6.5663179199081787</v>
      </c>
      <c r="M64" s="57" t="s">
        <v>97</v>
      </c>
      <c r="N64" s="57" t="s">
        <v>97</v>
      </c>
      <c r="O64" s="36">
        <f>IF($F$27=1,$F$28,'7b'!AC98)</f>
        <v>0.8</v>
      </c>
      <c r="P64" s="52">
        <f t="shared" si="9"/>
        <v>1092.2197581794551</v>
      </c>
      <c r="Q64" s="41">
        <f t="shared" si="18"/>
        <v>1091.3410616724725</v>
      </c>
      <c r="R64" s="1271">
        <f>IF(F12=0,1,(IF(E64=E63,1,IF(F21&gt;4,1,(IF(E64&lt;1,((1-0.04*E64)/(1-0.04*E63)),((0.96-0.03*(E64-1))/(0.96-0.03*(E63-1)))))))))</f>
        <v>0.99919549477071612</v>
      </c>
      <c r="S64" s="46">
        <v>0</v>
      </c>
      <c r="T64" s="52">
        <f t="shared" si="10"/>
        <v>0.87869650698254709</v>
      </c>
      <c r="U64" s="50">
        <f>IF(F$21=1,0,IF(F$21=2,0,IF(F$21=3,'7a'!AH98,IF(F$21=4,'7b'!AK98,IF(F$21=5,'7a'!AH98,'7b'!AK98)))))</f>
        <v>0</v>
      </c>
      <c r="V64" s="49">
        <v>0</v>
      </c>
      <c r="W64" s="52">
        <f t="shared" si="15"/>
        <v>165.14140808531459</v>
      </c>
      <c r="X64" s="52">
        <f t="shared" si="16"/>
        <v>157.10630904169929</v>
      </c>
      <c r="Y64" s="50">
        <f t="shared" si="11"/>
        <v>0</v>
      </c>
      <c r="Z64" s="52">
        <f t="shared" si="12"/>
        <v>100</v>
      </c>
      <c r="AA64" s="25"/>
      <c r="AB64" s="26">
        <f t="shared" si="13"/>
        <v>0.38488146985073446</v>
      </c>
    </row>
    <row r="65" spans="2:28">
      <c r="B65" s="24">
        <f t="shared" si="7"/>
        <v>22</v>
      </c>
      <c r="C65" s="25" t="s">
        <v>21</v>
      </c>
      <c r="D65" s="47">
        <v>10000</v>
      </c>
      <c r="E65" s="1332">
        <v>0.16</v>
      </c>
      <c r="F65" s="46">
        <v>0</v>
      </c>
      <c r="G65" s="3">
        <f t="shared" si="2"/>
        <v>23.312170000000037</v>
      </c>
      <c r="H65" s="4">
        <f t="shared" si="3"/>
        <v>1.7535329343699999E-3</v>
      </c>
      <c r="I65" s="5">
        <f t="shared" si="8"/>
        <v>172.32024300800001</v>
      </c>
      <c r="J65" s="50">
        <f t="shared" si="4"/>
        <v>102.09694397355153</v>
      </c>
      <c r="K65" s="50">
        <f t="shared" si="5"/>
        <v>26.034936828281378</v>
      </c>
      <c r="L65" s="56">
        <f>IF(F$22=1,F$24,'3'!BB36)</f>
        <v>6.5624682172841107</v>
      </c>
      <c r="M65" s="36">
        <f>IF($F$25=1,$F$26,'7a'!Z99)</f>
        <v>0.6</v>
      </c>
      <c r="N65" s="36">
        <f>IF($F$25=1,$F$26,'7b'!AG99)</f>
        <v>0.6</v>
      </c>
      <c r="O65" s="36">
        <f>IF($F$27=1,$F$28,'7b'!AC99)</f>
        <v>0.8</v>
      </c>
      <c r="P65" s="52">
        <f t="shared" si="9"/>
        <v>1091.3410616724725</v>
      </c>
      <c r="Q65" s="41">
        <f t="shared" si="18"/>
        <v>1083.7079834896792</v>
      </c>
      <c r="R65" s="1271">
        <f>IF(F$21&gt;4,1,IF(F$21=1,(EXP((-1)*(V65*M65*6080)/(L65*I65*3600))),IF(F$21=2,(EXP((-1)*(V65*N65*6080/(L65*O65*3600*550)))),IF(F$21=3,(EXP((-1)*(V65*M65*6080)/(L65*I65*3600))),(EXP((-1)*(V65*N65*6080/(L65*O65*3600*550))))))))</f>
        <v>0.9930057811889752</v>
      </c>
      <c r="S65" s="52">
        <f>V65*6080/I65/60</f>
        <v>11.761048100266306</v>
      </c>
      <c r="T65" s="52">
        <f t="shared" si="10"/>
        <v>7.6330781827933825</v>
      </c>
      <c r="U65" s="50">
        <f>IF(F$21=1,0,IF(F$21=2,0,IF(F$21=3,'7a'!AH99,IF(F$21=4,'7b'!AK99,IF(F$21=5,'7a'!AH99,'7b'!AK99)))))</f>
        <v>0</v>
      </c>
      <c r="V65" s="50">
        <f>F$10/5</f>
        <v>20</v>
      </c>
      <c r="W65" s="52">
        <f t="shared" si="15"/>
        <v>176.90245618558089</v>
      </c>
      <c r="X65" s="52">
        <f t="shared" si="16"/>
        <v>164.73938722449267</v>
      </c>
      <c r="Y65" s="50">
        <f t="shared" si="11"/>
        <v>0</v>
      </c>
      <c r="Z65" s="52">
        <f t="shared" si="12"/>
        <v>120</v>
      </c>
      <c r="AA65" s="25"/>
      <c r="AB65" s="26">
        <f t="shared" si="13"/>
        <v>0.38457183069558509</v>
      </c>
    </row>
    <row r="66" spans="2:28">
      <c r="B66" s="24">
        <f t="shared" si="7"/>
        <v>23</v>
      </c>
      <c r="C66" s="25" t="s">
        <v>22</v>
      </c>
      <c r="D66" s="58">
        <f t="shared" ref="D66:F69" si="20">D65</f>
        <v>10000</v>
      </c>
      <c r="E66" s="1331">
        <f t="shared" si="20"/>
        <v>0.16</v>
      </c>
      <c r="F66" s="52">
        <f t="shared" si="20"/>
        <v>0</v>
      </c>
      <c r="G66" s="3">
        <f t="shared" si="2"/>
        <v>23.312170000000037</v>
      </c>
      <c r="H66" s="4">
        <f t="shared" si="3"/>
        <v>1.7535329343699999E-3</v>
      </c>
      <c r="I66" s="5">
        <f t="shared" si="8"/>
        <v>172.32024300800001</v>
      </c>
      <c r="J66" s="50">
        <f t="shared" si="4"/>
        <v>102.09694397355153</v>
      </c>
      <c r="K66" s="50">
        <f t="shared" si="5"/>
        <v>26.034936828281378</v>
      </c>
      <c r="L66" s="56">
        <f>IF(F$22=1,F$24,'3'!BB37)</f>
        <v>6.5289072839553448</v>
      </c>
      <c r="M66" s="36">
        <f>IF($F$25=1,$F$26,'7a'!Z100)</f>
        <v>0.6</v>
      </c>
      <c r="N66" s="36">
        <f>IF($F$25=1,$F$26,'7b'!AG100)</f>
        <v>0.6</v>
      </c>
      <c r="O66" s="36">
        <f>IF($F$27=1,$F$28,'7b'!AC100)</f>
        <v>0.8</v>
      </c>
      <c r="P66" s="52">
        <f t="shared" si="9"/>
        <v>1083.7079834896792</v>
      </c>
      <c r="Q66" s="41">
        <f t="shared" si="18"/>
        <v>1076.0894676620189</v>
      </c>
      <c r="R66" s="1271">
        <f>IF(F$21&gt;4,1,IF(F$21=1,(EXP((-1)*(V66*M66*6080)/(L66*I66*3600))),IF(F$21=2,(EXP((-1)*(V66*N66*6080/(L66*O66*3600*550)))),IF(F$21=3,(EXP((-1)*(V66*M66*6080)/(L66*I66*3600))),(EXP((-1)*(V66*N66*6080/(L66*O66*3600*550))))))))</f>
        <v>0.99296995505825503</v>
      </c>
      <c r="S66" s="52">
        <f>V66*6080/I66/60</f>
        <v>11.761048100266306</v>
      </c>
      <c r="T66" s="52">
        <f t="shared" si="10"/>
        <v>7.6185158276602643</v>
      </c>
      <c r="U66" s="50">
        <f>IF(F$21=1,0,IF(F$21=2,0,IF(F$21=3,'7a'!AH100,IF(F$21=4,'7b'!AK100,IF(F$21=5,'7a'!AH100,'7b'!AK100)))))</f>
        <v>0</v>
      </c>
      <c r="V66" s="50">
        <f>F$10/5</f>
        <v>20</v>
      </c>
      <c r="W66" s="52">
        <f t="shared" si="15"/>
        <v>188.66350428584718</v>
      </c>
      <c r="X66" s="52">
        <f t="shared" si="16"/>
        <v>172.35790305215295</v>
      </c>
      <c r="Y66" s="50">
        <f t="shared" si="11"/>
        <v>0</v>
      </c>
      <c r="Z66" s="52">
        <f t="shared" si="12"/>
        <v>140</v>
      </c>
      <c r="AA66" s="25"/>
      <c r="AB66" s="26">
        <f t="shared" si="13"/>
        <v>0.38188205116314383</v>
      </c>
    </row>
    <row r="67" spans="2:28">
      <c r="B67" s="24">
        <f t="shared" si="7"/>
        <v>24</v>
      </c>
      <c r="C67" s="25" t="s">
        <v>23</v>
      </c>
      <c r="D67" s="58">
        <f t="shared" si="20"/>
        <v>10000</v>
      </c>
      <c r="E67" s="1331">
        <f t="shared" si="20"/>
        <v>0.16</v>
      </c>
      <c r="F67" s="52">
        <f t="shared" si="20"/>
        <v>0</v>
      </c>
      <c r="G67" s="3">
        <f t="shared" si="2"/>
        <v>23.312170000000037</v>
      </c>
      <c r="H67" s="4">
        <f t="shared" si="3"/>
        <v>1.7535329343699999E-3</v>
      </c>
      <c r="I67" s="5">
        <f t="shared" si="8"/>
        <v>172.32024300800001</v>
      </c>
      <c r="J67" s="50">
        <f t="shared" si="4"/>
        <v>102.09694397355153</v>
      </c>
      <c r="K67" s="50">
        <f t="shared" si="5"/>
        <v>26.034936828281378</v>
      </c>
      <c r="L67" s="56">
        <f>IF(F$22=1,F$24,'3'!BB38)</f>
        <v>6.4951971812475193</v>
      </c>
      <c r="M67" s="36">
        <f>IF($F$25=1,$F$26,'7a'!Z101)</f>
        <v>0.6</v>
      </c>
      <c r="N67" s="36">
        <f>IF($F$25=1,$F$26,'7b'!AG101)</f>
        <v>0.6</v>
      </c>
      <c r="O67" s="36">
        <f>IF($F$27=1,$F$28,'7b'!AC101)</f>
        <v>0.8</v>
      </c>
      <c r="P67" s="52">
        <f t="shared" si="9"/>
        <v>1076.0894676620189</v>
      </c>
      <c r="Q67" s="41">
        <f t="shared" si="18"/>
        <v>1068.4853872285339</v>
      </c>
      <c r="R67" s="1271">
        <f>IF(F$21&gt;4,1,IF(F$21=1,(EXP((-1)*(V67*M67*6080)/(L67*I67*3600))),IF(F$21=2,(EXP((-1)*(V67*N67*6080/(L67*O67*3600*550)))),IF(F$21=3,(EXP((-1)*(V67*M67*6080)/(L67*I67*3600))),(EXP((-1)*(V67*N67*6080/(L67*O67*3600*550))))))))</f>
        <v>0.99293359830943606</v>
      </c>
      <c r="S67" s="52">
        <f>V67*6080/I67/60</f>
        <v>11.761048100266306</v>
      </c>
      <c r="T67" s="52">
        <f t="shared" si="10"/>
        <v>7.6040804334849401</v>
      </c>
      <c r="U67" s="50">
        <f>IF(F$21=1,0,IF(F$21=2,0,IF(F$21=3,'7a'!AH101,IF(F$21=4,'7b'!AK101,IF(F$21=5,'7a'!AH101,'7b'!AK101)))))</f>
        <v>0</v>
      </c>
      <c r="V67" s="50">
        <f>F$10/5</f>
        <v>20</v>
      </c>
      <c r="W67" s="52">
        <f t="shared" si="15"/>
        <v>200.42455238611348</v>
      </c>
      <c r="X67" s="52">
        <f t="shared" si="16"/>
        <v>179.96198348563789</v>
      </c>
      <c r="Y67" s="50">
        <f t="shared" si="11"/>
        <v>0</v>
      </c>
      <c r="Z67" s="52">
        <f t="shared" si="12"/>
        <v>160</v>
      </c>
      <c r="AA67" s="25"/>
      <c r="AB67" s="26">
        <f t="shared" si="13"/>
        <v>0.37919740318102113</v>
      </c>
    </row>
    <row r="68" spans="2:28">
      <c r="B68" s="24">
        <f t="shared" si="7"/>
        <v>25</v>
      </c>
      <c r="C68" s="25" t="s">
        <v>24</v>
      </c>
      <c r="D68" s="58">
        <f t="shared" si="20"/>
        <v>10000</v>
      </c>
      <c r="E68" s="1331">
        <f t="shared" si="20"/>
        <v>0.16</v>
      </c>
      <c r="F68" s="52">
        <f t="shared" si="20"/>
        <v>0</v>
      </c>
      <c r="G68" s="3">
        <f t="shared" si="2"/>
        <v>23.312170000000037</v>
      </c>
      <c r="H68" s="4">
        <f t="shared" si="3"/>
        <v>1.7535329343699999E-3</v>
      </c>
      <c r="I68" s="5">
        <f t="shared" si="8"/>
        <v>172.32024300800001</v>
      </c>
      <c r="J68" s="50">
        <f t="shared" si="4"/>
        <v>102.09694397355153</v>
      </c>
      <c r="K68" s="50">
        <f t="shared" si="5"/>
        <v>26.034936828281378</v>
      </c>
      <c r="L68" s="56">
        <f>IF(F$22=1,F$24,'3'!BB39)</f>
        <v>6.4613387033160423</v>
      </c>
      <c r="M68" s="36">
        <f>IF($F$25=1,$F$26,'7a'!Z102)</f>
        <v>0.6</v>
      </c>
      <c r="N68" s="36">
        <f>IF($F$25=1,$F$26,'7b'!AG102)</f>
        <v>0.6</v>
      </c>
      <c r="O68" s="36">
        <f>IF($F$27=1,$F$28,'7b'!AC102)</f>
        <v>0.8</v>
      </c>
      <c r="P68" s="52">
        <f t="shared" si="9"/>
        <v>1068.4853872285339</v>
      </c>
      <c r="Q68" s="41">
        <f t="shared" si="18"/>
        <v>1060.8956160758353</v>
      </c>
      <c r="R68" s="1271">
        <f>IF(F$21&gt;4,1,IF(F$21=1,(EXP((-1)*(V68*M68*6080)/(L68*I68*3600))),IF(F$21=2,(EXP((-1)*(V68*N68*6080/(L68*O68*3600*550)))),IF(F$21=3,(EXP((-1)*(V68*M68*6080)/(L68*I68*3600))),(EXP((-1)*(V68*N68*6080/(L68*O68*3600*550))))))))</f>
        <v>0.99289670102799887</v>
      </c>
      <c r="S68" s="52">
        <f>V68*6080/I68/60</f>
        <v>11.761048100266306</v>
      </c>
      <c r="T68" s="52">
        <f t="shared" si="10"/>
        <v>7.5897711526986704</v>
      </c>
      <c r="U68" s="50">
        <f>IF(F$21=1,0,IF(F$21=2,0,IF(F$21=3,'7a'!AH102,IF(F$21=4,'7b'!AK102,IF(F$21=5,'7a'!AH102,'7b'!AK102)))))</f>
        <v>0</v>
      </c>
      <c r="V68" s="50">
        <f>F$10/5</f>
        <v>20</v>
      </c>
      <c r="W68" s="52">
        <f t="shared" si="15"/>
        <v>212.18560048637977</v>
      </c>
      <c r="X68" s="52">
        <f t="shared" si="16"/>
        <v>187.55175463833655</v>
      </c>
      <c r="Y68" s="50">
        <f t="shared" si="11"/>
        <v>0</v>
      </c>
      <c r="Z68" s="52">
        <f t="shared" si="12"/>
        <v>180</v>
      </c>
      <c r="AA68" s="25"/>
      <c r="AB68" s="26">
        <f t="shared" si="13"/>
        <v>0.37651784201012528</v>
      </c>
    </row>
    <row r="69" spans="2:28">
      <c r="B69" s="24">
        <f t="shared" si="7"/>
        <v>26</v>
      </c>
      <c r="C69" s="25" t="s">
        <v>25</v>
      </c>
      <c r="D69" s="58">
        <f t="shared" si="20"/>
        <v>10000</v>
      </c>
      <c r="E69" s="1331">
        <f t="shared" si="20"/>
        <v>0.16</v>
      </c>
      <c r="F69" s="52">
        <f t="shared" si="20"/>
        <v>0</v>
      </c>
      <c r="G69" s="3">
        <f t="shared" si="2"/>
        <v>23.312170000000037</v>
      </c>
      <c r="H69" s="4">
        <f t="shared" si="3"/>
        <v>1.7535329343699999E-3</v>
      </c>
      <c r="I69" s="5">
        <f t="shared" si="8"/>
        <v>172.32024300800001</v>
      </c>
      <c r="J69" s="50">
        <f t="shared" si="4"/>
        <v>102.09694397355153</v>
      </c>
      <c r="K69" s="50">
        <f t="shared" si="5"/>
        <v>26.034936828281378</v>
      </c>
      <c r="L69" s="56">
        <f>IF(F$22=1,F$24,'3'!BB40)</f>
        <v>6.4273326479535822</v>
      </c>
      <c r="M69" s="36">
        <f>IF($F$25=1,$F$26,'7a'!Z103)</f>
        <v>0.6</v>
      </c>
      <c r="N69" s="36">
        <f>IF($F$25=1,$F$26,'7b'!AG103)</f>
        <v>0.6</v>
      </c>
      <c r="O69" s="36">
        <f>IF($F$27=1,$F$28,'7b'!AC103)</f>
        <v>0.8</v>
      </c>
      <c r="P69" s="52">
        <f t="shared" si="9"/>
        <v>1060.8956160758353</v>
      </c>
      <c r="Q69" s="41">
        <f t="shared" si="18"/>
        <v>1053.3200289295955</v>
      </c>
      <c r="R69" s="1271">
        <f>IF(F$21&gt;4,1,IF(F$21=1,(EXP((-1)*(V69*M69*6080)/(L69*I69*3600))),IF(F$21=2,(EXP((-1)*(V69*N69*6080/(L69*O69*3600*550)))),IF(F$21=3,(EXP((-1)*(V69*M69*6080)/(L69*I69*3600))),(EXP((-1)*(V69*N69*6080/(L69*O69*3600*550))))))))</f>
        <v>0.99285925303918099</v>
      </c>
      <c r="S69" s="52">
        <f>V69*6080/I69/60</f>
        <v>11.761048100266306</v>
      </c>
      <c r="T69" s="52">
        <f t="shared" si="10"/>
        <v>7.5755871462397328</v>
      </c>
      <c r="U69" s="50">
        <f>IF(F$21=1,0,IF(F$21=2,0,IF(F$21=3,'7a'!AH103,IF(F$21=4,'7b'!AK103,IF(F$21=5,'7a'!AH103,'7b'!AK103)))))</f>
        <v>0</v>
      </c>
      <c r="V69" s="50">
        <f>F$10/5</f>
        <v>20</v>
      </c>
      <c r="W69" s="52">
        <f t="shared" si="15"/>
        <v>223.94664858664606</v>
      </c>
      <c r="X69" s="52">
        <f t="shared" si="16"/>
        <v>195.12734178457629</v>
      </c>
      <c r="Y69" s="50">
        <f t="shared" si="11"/>
        <v>0</v>
      </c>
      <c r="Z69" s="52">
        <f t="shared" si="12"/>
        <v>200</v>
      </c>
      <c r="AA69" s="25"/>
      <c r="AB69" s="26">
        <f t="shared" si="13"/>
        <v>0.37384332321003472</v>
      </c>
    </row>
    <row r="70" spans="2:28">
      <c r="B70" s="24">
        <f t="shared" si="7"/>
        <v>27</v>
      </c>
      <c r="C70" s="25" t="s">
        <v>27</v>
      </c>
      <c r="D70" s="47">
        <v>3500</v>
      </c>
      <c r="E70" s="1332">
        <v>0.15</v>
      </c>
      <c r="F70" s="46">
        <v>0</v>
      </c>
      <c r="G70" s="3">
        <f t="shared" si="2"/>
        <v>46.406754499999977</v>
      </c>
      <c r="H70" s="4">
        <f t="shared" si="3"/>
        <v>2.1407102026352511E-3</v>
      </c>
      <c r="I70" s="5">
        <f t="shared" si="8"/>
        <v>165.54666128699998</v>
      </c>
      <c r="J70" s="50">
        <f t="shared" si="4"/>
        <v>98.083706866886658</v>
      </c>
      <c r="K70" s="50">
        <f t="shared" si="5"/>
        <v>29.333827656839404</v>
      </c>
      <c r="L70" s="56">
        <f>IF(F$22=1,F$24,'3'!BB41)</f>
        <v>5.8954844076691693</v>
      </c>
      <c r="M70" s="36">
        <f>IF($F$25=1,$F$26,'7a'!Z104)</f>
        <v>0.6</v>
      </c>
      <c r="N70" s="36">
        <f>IF($F$25=1,$F$26,'7b'!AG104)</f>
        <v>0.6</v>
      </c>
      <c r="O70" s="36">
        <f>IF($F$27=1,$F$28,'7b'!AC104)</f>
        <v>0.8</v>
      </c>
      <c r="P70" s="52">
        <f t="shared" si="9"/>
        <v>1053.3200289295955</v>
      </c>
      <c r="Q70" s="41">
        <f t="shared" si="18"/>
        <v>1051.9764553316736</v>
      </c>
      <c r="R70" s="1271">
        <f>IF(F$21&gt;4,1,IF(F$21=1,(EXP((-1)*(S70*M70)/(L70*60))),IF(F$21=2,(EXP((-1)*(S70*N70*I70/(L70*O70*60*550)))),IF(F$21=3,(EXP((-1)*(S70*M70)/(L70*60))),(EXP((-1)*(S70*N70*I70/(L70*O70*60*550))))))))</f>
        <v>0.99872443933370625</v>
      </c>
      <c r="S70" s="52">
        <f>F$13/5</f>
        <v>2</v>
      </c>
      <c r="T70" s="52">
        <f t="shared" si="10"/>
        <v>1.3435735979219883</v>
      </c>
      <c r="U70" s="50">
        <f>IF(F$21=1,0,IF(F$21=2,0,IF(F$21=3,'7a'!AH104,IF(F$21=4,'7b'!AK104,IF(F$21=5,'7a'!AH104,'7b'!AK104)))))</f>
        <v>0</v>
      </c>
      <c r="V70" s="49">
        <v>0</v>
      </c>
      <c r="W70" s="52">
        <f t="shared" si="15"/>
        <v>225.94664858664606</v>
      </c>
      <c r="X70" s="52">
        <f t="shared" si="16"/>
        <v>196.47091538249828</v>
      </c>
      <c r="Y70" s="50">
        <f t="shared" si="11"/>
        <v>0</v>
      </c>
      <c r="Z70" s="52">
        <f t="shared" si="12"/>
        <v>200</v>
      </c>
      <c r="AA70" s="25"/>
      <c r="AB70" s="26">
        <f t="shared" si="13"/>
        <v>0.32943148834816749</v>
      </c>
    </row>
    <row r="71" spans="2:28">
      <c r="B71" s="24">
        <f t="shared" si="7"/>
        <v>28</v>
      </c>
      <c r="C71" s="25" t="s">
        <v>28</v>
      </c>
      <c r="D71" s="53">
        <f t="shared" ref="D71:E74" si="21">D70</f>
        <v>3500</v>
      </c>
      <c r="E71" s="1331">
        <f t="shared" si="21"/>
        <v>0.15</v>
      </c>
      <c r="F71" s="41">
        <f>F$51</f>
        <v>0</v>
      </c>
      <c r="G71" s="3">
        <f t="shared" si="2"/>
        <v>46.406754499999977</v>
      </c>
      <c r="H71" s="4">
        <f t="shared" si="3"/>
        <v>2.1407102026352511E-3</v>
      </c>
      <c r="I71" s="5">
        <f t="shared" si="8"/>
        <v>165.54666128699998</v>
      </c>
      <c r="J71" s="50">
        <f t="shared" si="4"/>
        <v>98.083706866886658</v>
      </c>
      <c r="K71" s="50">
        <f t="shared" si="5"/>
        <v>29.333827656839404</v>
      </c>
      <c r="L71" s="56">
        <f>IF(F$22=1,F$24,'3'!BB42)</f>
        <v>5.8895309138533962</v>
      </c>
      <c r="M71" s="36">
        <f>IF($F$25=1,$F$26,'7a'!Z105)</f>
        <v>0.6</v>
      </c>
      <c r="N71" s="36">
        <f>IF($F$25=1,$F$26,'7b'!AG105)</f>
        <v>0.6</v>
      </c>
      <c r="O71" s="36">
        <f>IF($F$27=1,$F$28,'7b'!AC105)</f>
        <v>0.8</v>
      </c>
      <c r="P71" s="52">
        <f t="shared" si="9"/>
        <v>1051.9764553316736</v>
      </c>
      <c r="Q71" s="41">
        <f t="shared" si="18"/>
        <v>1050.6332399767571</v>
      </c>
      <c r="R71" s="1271">
        <f>IF(F$21&gt;4,1,IF(F$21=1,(EXP((-1)*(S71*M71)/(L71*60))),IF(F$21=2,(EXP((-1)*(S71*N71*I71/(L71*O71*60*550)))),IF(F$21=3,(EXP((-1)*(S71*M71)/(L71*60))),(EXP((-1)*(S71*N71*I71/(L71*O71*60*550))))))))</f>
        <v>0.99872315074343276</v>
      </c>
      <c r="S71" s="52">
        <f>F$13/5</f>
        <v>2</v>
      </c>
      <c r="T71" s="52">
        <f t="shared" si="10"/>
        <v>1.3432153549164838</v>
      </c>
      <c r="U71" s="50">
        <f>IF(F$21=1,0,IF(F$21=2,0,IF(F$21=3,'7a'!AH105,IF(F$21=4,'7b'!AK105,IF(F$21=5,'7a'!AH105,'7b'!AK105)))))</f>
        <v>0</v>
      </c>
      <c r="V71" s="49">
        <v>0</v>
      </c>
      <c r="W71" s="52">
        <f t="shared" si="15"/>
        <v>227.94664858664606</v>
      </c>
      <c r="X71" s="52">
        <f t="shared" si="16"/>
        <v>197.81413073741476</v>
      </c>
      <c r="Y71" s="50">
        <f t="shared" si="11"/>
        <v>0</v>
      </c>
      <c r="Z71" s="52">
        <f t="shared" si="12"/>
        <v>200</v>
      </c>
      <c r="AA71" s="25"/>
      <c r="AB71" s="26">
        <f t="shared" si="13"/>
        <v>0.32901127849939199</v>
      </c>
    </row>
    <row r="72" spans="2:28">
      <c r="B72" s="24">
        <f t="shared" si="7"/>
        <v>29</v>
      </c>
      <c r="C72" s="25" t="s">
        <v>29</v>
      </c>
      <c r="D72" s="53">
        <f t="shared" si="21"/>
        <v>3500</v>
      </c>
      <c r="E72" s="1331">
        <f t="shared" si="21"/>
        <v>0.15</v>
      </c>
      <c r="F72" s="41">
        <f>F$51</f>
        <v>0</v>
      </c>
      <c r="G72" s="3">
        <f t="shared" si="2"/>
        <v>46.406754499999977</v>
      </c>
      <c r="H72" s="4">
        <f t="shared" si="3"/>
        <v>2.1407102026352511E-3</v>
      </c>
      <c r="I72" s="5">
        <f t="shared" si="8"/>
        <v>165.54666128699998</v>
      </c>
      <c r="J72" s="50">
        <f t="shared" si="4"/>
        <v>98.083706866886658</v>
      </c>
      <c r="K72" s="50">
        <f t="shared" si="5"/>
        <v>29.333827656839404</v>
      </c>
      <c r="L72" s="56">
        <f>IF(F$22=1,F$24,'3'!BB43)</f>
        <v>5.8835738421390351</v>
      </c>
      <c r="M72" s="36">
        <f>IF($F$25=1,$F$26,'7a'!Z106)</f>
        <v>0.6</v>
      </c>
      <c r="N72" s="36">
        <f>IF($F$25=1,$F$26,'7b'!AG106)</f>
        <v>0.6</v>
      </c>
      <c r="O72" s="36">
        <f>IF($F$27=1,$F$28,'7b'!AC106)</f>
        <v>0.8</v>
      </c>
      <c r="P72" s="52">
        <f t="shared" si="9"/>
        <v>1050.6332399767571</v>
      </c>
      <c r="Q72" s="41">
        <f t="shared" si="18"/>
        <v>1049.290382315407</v>
      </c>
      <c r="R72" s="1271">
        <f>IF(F$21&gt;4,1,IF(F$21=1,(EXP((-1)*(S72*M72)/(L72*60))),IF(F$21=2,(EXP((-1)*(S72*N72*I72/(L72*O72*60*550)))),IF(F$21=3,(EXP((-1)*(S72*M72)/(L72*60))),(EXP((-1)*(S72*N72*I72/(L72*O72*60*550))))))))</f>
        <v>0.99872185877025954</v>
      </c>
      <c r="S72" s="52">
        <f>F$13/5</f>
        <v>2</v>
      </c>
      <c r="T72" s="52">
        <f t="shared" si="10"/>
        <v>1.3428576613500953</v>
      </c>
      <c r="U72" s="50">
        <f>IF(F$21=1,0,IF(F$21=2,0,IF(F$21=3,'7a'!AH106,IF(F$21=4,'7b'!AK106,IF(F$21=5,'7a'!AH106,'7b'!AK106)))))</f>
        <v>0</v>
      </c>
      <c r="V72" s="49">
        <v>0</v>
      </c>
      <c r="W72" s="52">
        <f t="shared" si="15"/>
        <v>229.94664858664606</v>
      </c>
      <c r="X72" s="52">
        <f t="shared" si="16"/>
        <v>199.15698839876487</v>
      </c>
      <c r="Y72" s="50">
        <f t="shared" si="11"/>
        <v>0</v>
      </c>
      <c r="Z72" s="52">
        <f t="shared" si="12"/>
        <v>200</v>
      </c>
      <c r="AA72" s="25"/>
      <c r="AB72" s="26">
        <f t="shared" si="13"/>
        <v>0.32859118069303778</v>
      </c>
    </row>
    <row r="73" spans="2:28">
      <c r="B73" s="24">
        <f t="shared" si="7"/>
        <v>30</v>
      </c>
      <c r="C73" s="25" t="s">
        <v>30</v>
      </c>
      <c r="D73" s="53">
        <f t="shared" si="21"/>
        <v>3500</v>
      </c>
      <c r="E73" s="1331">
        <f t="shared" si="21"/>
        <v>0.15</v>
      </c>
      <c r="F73" s="41">
        <f>F$51</f>
        <v>0</v>
      </c>
      <c r="G73" s="3">
        <f t="shared" si="2"/>
        <v>46.406754499999977</v>
      </c>
      <c r="H73" s="4">
        <f t="shared" si="3"/>
        <v>2.1407102026352511E-3</v>
      </c>
      <c r="I73" s="5">
        <f t="shared" si="8"/>
        <v>165.54666128699998</v>
      </c>
      <c r="J73" s="50">
        <f t="shared" si="4"/>
        <v>98.083706866886658</v>
      </c>
      <c r="K73" s="50">
        <f t="shared" si="5"/>
        <v>29.333827656839404</v>
      </c>
      <c r="L73" s="56">
        <f>IF(F$22=1,F$24,'3'!BB44)</f>
        <v>5.8776131961685012</v>
      </c>
      <c r="M73" s="36">
        <f>IF($F$25=1,$F$26,'7a'!Z107)</f>
        <v>0.6</v>
      </c>
      <c r="N73" s="36">
        <f>IF($F$25=1,$F$26,'7b'!AG107)</f>
        <v>0.6</v>
      </c>
      <c r="O73" s="36">
        <f>IF($F$27=1,$F$28,'7b'!AC107)</f>
        <v>0.8</v>
      </c>
      <c r="P73" s="52">
        <f t="shared" si="9"/>
        <v>1049.290382315407</v>
      </c>
      <c r="Q73" s="41">
        <f t="shared" si="18"/>
        <v>1047.9478817987017</v>
      </c>
      <c r="R73" s="1271">
        <f>IF(F$21&gt;4,1,IF(F$21=1,(EXP((-1)*(S73*M73)/(L73*60))),IF(F$21=2,(EXP((-1)*(S73*N73*I73/(L73*O73*60*550)))),IF(F$21=3,(EXP((-1)*(S73*M73)/(L73*60))),(EXP((-1)*(S73*N73*I73/(L73*O73*60*550))))))))</f>
        <v>0.99872056340234172</v>
      </c>
      <c r="S73" s="52">
        <f>F$13/5</f>
        <v>2</v>
      </c>
      <c r="T73" s="52">
        <f t="shared" si="10"/>
        <v>1.3425005167051789</v>
      </c>
      <c r="U73" s="50">
        <f>IF(F$21=1,0,IF(F$21=2,0,IF(F$21=3,'7a'!AH107,IF(F$21=4,'7b'!AK107,IF(F$21=5,'7a'!AH107,'7b'!AK107)))))</f>
        <v>0</v>
      </c>
      <c r="V73" s="49">
        <v>0</v>
      </c>
      <c r="W73" s="52">
        <f t="shared" si="15"/>
        <v>231.94664858664606</v>
      </c>
      <c r="X73" s="52">
        <f t="shared" si="16"/>
        <v>200.49948891547004</v>
      </c>
      <c r="Y73" s="50">
        <f t="shared" si="11"/>
        <v>0</v>
      </c>
      <c r="Z73" s="52">
        <f t="shared" si="12"/>
        <v>200</v>
      </c>
      <c r="AA73" s="25"/>
      <c r="AB73" s="26">
        <f t="shared" si="13"/>
        <v>0.32817119475726492</v>
      </c>
    </row>
    <row r="74" spans="2:28">
      <c r="B74" s="24">
        <f t="shared" si="7"/>
        <v>31</v>
      </c>
      <c r="C74" s="25" t="s">
        <v>31</v>
      </c>
      <c r="D74" s="53">
        <f t="shared" si="21"/>
        <v>3500</v>
      </c>
      <c r="E74" s="1331">
        <f t="shared" si="21"/>
        <v>0.15</v>
      </c>
      <c r="F74" s="41">
        <f>F$51</f>
        <v>0</v>
      </c>
      <c r="G74" s="3">
        <f t="shared" si="2"/>
        <v>46.406754499999977</v>
      </c>
      <c r="H74" s="4">
        <f t="shared" si="3"/>
        <v>2.1407102026352511E-3</v>
      </c>
      <c r="I74" s="5">
        <f t="shared" si="8"/>
        <v>165.54666128699998</v>
      </c>
      <c r="J74" s="50">
        <f t="shared" si="4"/>
        <v>98.083706866886658</v>
      </c>
      <c r="K74" s="50">
        <f t="shared" si="5"/>
        <v>29.333827656839404</v>
      </c>
      <c r="L74" s="56">
        <f>IF(F$22=1,F$24,'3'!BB45)</f>
        <v>5.8716489795864275</v>
      </c>
      <c r="M74" s="36">
        <f>IF($F$25=1,$F$26,'7a'!Z108)</f>
        <v>0.6</v>
      </c>
      <c r="N74" s="36">
        <f>IF($F$25=1,$F$26,'7b'!AG108)</f>
        <v>0.6</v>
      </c>
      <c r="O74" s="36">
        <f>IF($F$27=1,$F$28,'7b'!AC108)</f>
        <v>0.8</v>
      </c>
      <c r="P74" s="52">
        <f t="shared" si="9"/>
        <v>1047.9478817987017</v>
      </c>
      <c r="Q74" s="41">
        <f t="shared" si="18"/>
        <v>1046.6057378782366</v>
      </c>
      <c r="R74" s="1271">
        <f>IF(F$21&gt;4,1,IF(F$21=1,(EXP((-1)*(S74*M74)/(L74*60))),IF(F$21=2,(EXP((-1)*(S74*N74*I74/(L74*O74*60*550)))),IF(F$21=3,(EXP((-1)*(S74*M74)/(L74*60))),(EXP((-1)*(S74*N74*I74/(L74*O74*60*550))))))))</f>
        <v>0.99871926462777771</v>
      </c>
      <c r="S74" s="52">
        <f>F$13/5</f>
        <v>2</v>
      </c>
      <c r="T74" s="52">
        <f t="shared" si="10"/>
        <v>1.3421439204650163</v>
      </c>
      <c r="U74" s="50">
        <f>IF(F$21=1,0,IF(F$21=2,0,IF(F$21=3,'7a'!AH108,IF(F$21=4,'7b'!AK108,IF(F$21=5,'7a'!AH108,'7b'!AK108)))))</f>
        <v>0</v>
      </c>
      <c r="V74" s="49">
        <v>0</v>
      </c>
      <c r="W74" s="52">
        <f t="shared" si="15"/>
        <v>233.94664858664606</v>
      </c>
      <c r="X74" s="52">
        <f t="shared" si="16"/>
        <v>201.84163283593506</v>
      </c>
      <c r="Y74" s="50">
        <f t="shared" si="11"/>
        <v>0</v>
      </c>
      <c r="Z74" s="52">
        <f t="shared" si="12"/>
        <v>200</v>
      </c>
      <c r="AA74" s="25"/>
      <c r="AB74" s="26">
        <f t="shared" si="13"/>
        <v>0.32775132052039518</v>
      </c>
    </row>
    <row r="75" spans="2:28">
      <c r="B75" s="24">
        <f t="shared" si="7"/>
        <v>32</v>
      </c>
      <c r="C75" s="25" t="s">
        <v>26</v>
      </c>
      <c r="D75" s="43">
        <v>0</v>
      </c>
      <c r="E75" s="1268">
        <v>0.1</v>
      </c>
      <c r="F75" s="49">
        <v>0</v>
      </c>
      <c r="G75" s="3">
        <f t="shared" si="2"/>
        <v>58.84230000000008</v>
      </c>
      <c r="H75" s="4">
        <f t="shared" si="3"/>
        <v>2.3833329999999996E-3</v>
      </c>
      <c r="I75" s="5">
        <f>E75*((IF(D75&lt;37000,((-0.00409890612*D75) + 1117.99058),IF(D75&gt;65000,((0.000671182239*D75) + 924.11991),968.076)))/(((IF(D75&lt;37000,((-0.003553013*D75) + 518.5123),IF(D75&gt;65000,((0.0005471149*D75) + 354.1052),389.97)))/(G75+459.67))^0.5))</f>
        <v>111.79905800000002</v>
      </c>
      <c r="J75" s="50">
        <f t="shared" si="4"/>
        <v>66.239125256989837</v>
      </c>
      <c r="K75" s="50">
        <f>0.5*H75*(I75^2)</f>
        <v>14.894674582372549</v>
      </c>
      <c r="L75" s="51" t="s">
        <v>97</v>
      </c>
      <c r="M75" s="57" t="s">
        <v>97</v>
      </c>
      <c r="N75" s="57" t="s">
        <v>97</v>
      </c>
      <c r="O75" s="36">
        <f>IF($F$27=1,$F$28,'7b'!AC109)</f>
        <v>0.8</v>
      </c>
      <c r="P75" s="52">
        <f t="shared" si="9"/>
        <v>1046.6057378782366</v>
      </c>
      <c r="Q75" s="41">
        <f t="shared" si="18"/>
        <v>1020.4405944312807</v>
      </c>
      <c r="R75" s="1268">
        <v>0.97499999999999998</v>
      </c>
      <c r="S75" s="46">
        <v>2</v>
      </c>
      <c r="T75" s="52">
        <f t="shared" si="10"/>
        <v>26.165143446955938</v>
      </c>
      <c r="U75" s="50">
        <f>IF(F$21=1,0,IF(F$21=2,0,IF(F$21=3,'7a'!AH109,IF(F$21=4,'7b'!AK109,IF(F$21=5,'7a'!AH109,'7b'!AK109)))))</f>
        <v>0</v>
      </c>
      <c r="V75" s="49">
        <v>0</v>
      </c>
      <c r="W75" s="1234">
        <f t="shared" si="15"/>
        <v>235.94664858664606</v>
      </c>
      <c r="X75" s="1234">
        <f t="shared" si="16"/>
        <v>228.006776282891</v>
      </c>
      <c r="Y75" s="1245">
        <f t="shared" si="11"/>
        <v>0</v>
      </c>
      <c r="Z75" s="1234">
        <f t="shared" si="12"/>
        <v>200</v>
      </c>
      <c r="AA75" s="25"/>
      <c r="AB75" s="26">
        <f t="shared" si="13"/>
        <v>0.64465238568109695</v>
      </c>
    </row>
    <row r="76" spans="2:28" ht="13.8" thickBot="1">
      <c r="B76" s="60"/>
      <c r="C76" s="61"/>
      <c r="D76" s="62"/>
      <c r="E76" s="62"/>
      <c r="F76" s="62"/>
      <c r="G76" s="62"/>
      <c r="H76" s="62"/>
      <c r="I76" s="62"/>
      <c r="J76" s="62"/>
      <c r="K76" s="62"/>
      <c r="L76" s="62"/>
      <c r="M76" s="62"/>
      <c r="N76" s="62"/>
      <c r="O76" s="62"/>
      <c r="P76" s="62"/>
      <c r="Q76" s="62"/>
      <c r="R76" s="62"/>
      <c r="S76" s="62"/>
      <c r="T76" s="62"/>
      <c r="U76" s="62"/>
      <c r="V76" s="62"/>
      <c r="W76" s="62"/>
      <c r="X76" s="62"/>
      <c r="Y76" s="62"/>
      <c r="Z76" s="62"/>
      <c r="AA76" s="62"/>
      <c r="AB76" s="63"/>
    </row>
    <row r="77" spans="2:28">
      <c r="W77" s="40"/>
      <c r="X77" s="41"/>
      <c r="AA77" s="25"/>
    </row>
    <row r="78" spans="2:28">
      <c r="W78" s="40"/>
      <c r="X78" s="41"/>
      <c r="AA78" s="25"/>
    </row>
    <row r="79" spans="2:28">
      <c r="W79" s="40"/>
      <c r="X79" s="42"/>
      <c r="AA79" s="25"/>
    </row>
    <row r="80" spans="2:28">
      <c r="AA80" s="25"/>
    </row>
    <row r="81" spans="27:27">
      <c r="AA81" s="25"/>
    </row>
    <row r="82" spans="27:27">
      <c r="AA82" s="25"/>
    </row>
    <row r="83" spans="27:27">
      <c r="AA83" s="25"/>
    </row>
    <row r="84" spans="27:27">
      <c r="AA84" s="25"/>
    </row>
    <row r="85" spans="27:27">
      <c r="AA85" s="25"/>
    </row>
    <row r="86" spans="27:27">
      <c r="AA86" s="25"/>
    </row>
    <row r="87" spans="27:27">
      <c r="AA87" s="25"/>
    </row>
    <row r="88" spans="27:27">
      <c r="AA88" s="25"/>
    </row>
    <row r="89" spans="27:27">
      <c r="AA89" s="25"/>
    </row>
    <row r="90" spans="27:27">
      <c r="AA90" s="25"/>
    </row>
    <row r="91" spans="27:27">
      <c r="AA91" s="25"/>
    </row>
    <row r="92" spans="27:27">
      <c r="AA92" s="25"/>
    </row>
    <row r="93" spans="27:27">
      <c r="AA93" s="25"/>
    </row>
    <row r="94" spans="27:27">
      <c r="AA94" s="25"/>
    </row>
    <row r="95" spans="27:27">
      <c r="AA95" s="25"/>
    </row>
    <row r="96" spans="27:27">
      <c r="AA96" s="25"/>
    </row>
    <row r="97" spans="27:27">
      <c r="AA97" s="25"/>
    </row>
    <row r="98" spans="27:27">
      <c r="AA98" s="25"/>
    </row>
    <row r="99" spans="27:27">
      <c r="AA99" s="25"/>
    </row>
    <row r="100" spans="27:27">
      <c r="AA100" s="25"/>
    </row>
    <row r="101" spans="27:27">
      <c r="AA101" s="25"/>
    </row>
    <row r="102" spans="27:27">
      <c r="AA102" s="25"/>
    </row>
    <row r="103" spans="27:27">
      <c r="AA103" s="25"/>
    </row>
    <row r="104" spans="27:27">
      <c r="AA104" s="25"/>
    </row>
    <row r="105" spans="27:27">
      <c r="AA105" s="25"/>
    </row>
    <row r="106" spans="27:27">
      <c r="AA106" s="25"/>
    </row>
    <row r="107" spans="27:27">
      <c r="AA107" s="25"/>
    </row>
    <row r="108" spans="27:27">
      <c r="AA108" s="25"/>
    </row>
    <row r="109" spans="27:27">
      <c r="AA109" s="25"/>
    </row>
    <row r="110" spans="27:27">
      <c r="AA110" s="25"/>
    </row>
    <row r="111" spans="27:27">
      <c r="AA111" s="25"/>
    </row>
    <row r="112" spans="27:27">
      <c r="AA112" s="25"/>
    </row>
    <row r="113" spans="27:27">
      <c r="AA113" s="25"/>
    </row>
    <row r="114" spans="27:27">
      <c r="AA114" s="25"/>
    </row>
    <row r="115" spans="27:27">
      <c r="AA115" s="25"/>
    </row>
    <row r="116" spans="27:27">
      <c r="AA116" s="25"/>
    </row>
    <row r="117" spans="27:27">
      <c r="AA117" s="25"/>
    </row>
    <row r="118" spans="27:27">
      <c r="AA118" s="25"/>
    </row>
    <row r="119" spans="27:27">
      <c r="AA119" s="25"/>
    </row>
    <row r="120" spans="27:27">
      <c r="AA120" s="25"/>
    </row>
    <row r="121" spans="27:27">
      <c r="AA121" s="25"/>
    </row>
    <row r="122" spans="27:27">
      <c r="AA122" s="25"/>
    </row>
    <row r="123" spans="27:27">
      <c r="AA123" s="25"/>
    </row>
    <row r="124" spans="27:27">
      <c r="AA124" s="25"/>
    </row>
    <row r="125" spans="27:27">
      <c r="AA125" s="25"/>
    </row>
    <row r="126" spans="27:27">
      <c r="AA126" s="25"/>
    </row>
    <row r="127" spans="27:27">
      <c r="AA127" s="25"/>
    </row>
    <row r="128" spans="27:27">
      <c r="AA128" s="25"/>
    </row>
    <row r="129" spans="27:27">
      <c r="AA129" s="25"/>
    </row>
    <row r="130" spans="27:27">
      <c r="AA130" s="25"/>
    </row>
    <row r="131" spans="27:27">
      <c r="AA131" s="25"/>
    </row>
    <row r="132" spans="27:27">
      <c r="AA132" s="25"/>
    </row>
    <row r="133" spans="27:27">
      <c r="AA133" s="25"/>
    </row>
    <row r="134" spans="27:27">
      <c r="AA134" s="25"/>
    </row>
    <row r="135" spans="27:27">
      <c r="AA135" s="25"/>
    </row>
    <row r="136" spans="27:27">
      <c r="AA136" s="25"/>
    </row>
    <row r="137" spans="27:27">
      <c r="AA137" s="25"/>
    </row>
    <row r="138" spans="27:27">
      <c r="AA138" s="25"/>
    </row>
    <row r="139" spans="27:27">
      <c r="AA139" s="25"/>
    </row>
    <row r="140" spans="27:27">
      <c r="AA140" s="25"/>
    </row>
    <row r="141" spans="27:27">
      <c r="AA141" s="25"/>
    </row>
    <row r="142" spans="27:27">
      <c r="AA142" s="25"/>
    </row>
    <row r="143" spans="27:27">
      <c r="AA143" s="25"/>
    </row>
    <row r="144" spans="27:27">
      <c r="AA144" s="25"/>
    </row>
    <row r="145" spans="27:27">
      <c r="AA145" s="25"/>
    </row>
    <row r="146" spans="27:27">
      <c r="AA146" s="25"/>
    </row>
  </sheetData>
  <printOptions gridLines="1" gridLinesSet="0"/>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BD231"/>
  <sheetViews>
    <sheetView tabSelected="1" topLeftCell="B1" zoomScale="86" zoomScaleNormal="90" workbookViewId="0">
      <selection activeCell="F10" sqref="F10"/>
    </sheetView>
  </sheetViews>
  <sheetFormatPr defaultColWidth="8.77734375" defaultRowHeight="13.2"/>
  <cols>
    <col min="1" max="1" width="3.33203125" customWidth="1"/>
    <col min="2" max="2" width="35.44140625" customWidth="1"/>
    <col min="3" max="3" width="13.44140625" customWidth="1"/>
    <col min="6" max="6" width="4.33203125" customWidth="1"/>
    <col min="7" max="7" width="41.44140625" bestFit="1" customWidth="1"/>
    <col min="9" max="9" width="8.6640625" bestFit="1" customWidth="1"/>
    <col min="18" max="18" width="9.77734375" bestFit="1" customWidth="1"/>
    <col min="19" max="19" width="9.33203125" bestFit="1" customWidth="1"/>
    <col min="20" max="20" width="9.44140625" customWidth="1"/>
    <col min="41" max="41" width="16.44140625" bestFit="1" customWidth="1"/>
    <col min="42" max="45" width="10" bestFit="1" customWidth="1"/>
    <col min="46" max="46" width="8.33203125" bestFit="1" customWidth="1"/>
    <col min="48" max="48" width="10.33203125" bestFit="1" customWidth="1"/>
    <col min="49" max="49" width="10.44140625" customWidth="1"/>
    <col min="50" max="51" width="10.33203125" bestFit="1" customWidth="1"/>
    <col min="52" max="52" width="10.6640625" bestFit="1" customWidth="1"/>
    <col min="53" max="53" width="10.33203125" bestFit="1" customWidth="1"/>
    <col min="54" max="54" width="10.6640625" bestFit="1" customWidth="1"/>
    <col min="55" max="55" width="9.77734375" bestFit="1" customWidth="1"/>
  </cols>
  <sheetData>
    <row r="1" spans="2:56">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row>
    <row r="2" spans="2:56" ht="17.399999999999999">
      <c r="B2" s="881" t="s">
        <v>260</v>
      </c>
      <c r="C2" s="231"/>
      <c r="D2" s="231"/>
      <c r="E2" s="231"/>
      <c r="F2" s="231"/>
      <c r="G2" s="231"/>
      <c r="H2" s="231"/>
      <c r="I2" s="231"/>
      <c r="J2" s="231" t="s">
        <v>622</v>
      </c>
      <c r="K2" s="231"/>
      <c r="L2" s="231" t="s">
        <v>622</v>
      </c>
      <c r="M2" s="231" t="s">
        <v>623</v>
      </c>
      <c r="N2" s="231" t="s">
        <v>623</v>
      </c>
      <c r="O2" s="231"/>
      <c r="P2" s="231"/>
      <c r="Q2" s="231"/>
      <c r="R2" s="231"/>
      <c r="S2" s="231"/>
      <c r="T2" s="231"/>
      <c r="U2" s="231"/>
      <c r="AM2" s="25"/>
      <c r="AN2" s="25"/>
      <c r="AO2" s="25"/>
      <c r="AP2" s="25"/>
      <c r="AQ2" s="25"/>
      <c r="AR2" s="25"/>
      <c r="AS2" s="25"/>
      <c r="AT2" s="25"/>
      <c r="AU2" s="25"/>
      <c r="AV2" s="25"/>
      <c r="AW2" s="85" t="s">
        <v>2543</v>
      </c>
      <c r="AX2" s="25"/>
    </row>
    <row r="3" spans="2:56" ht="15">
      <c r="B3" s="304" t="s">
        <v>2544</v>
      </c>
      <c r="C3" s="231"/>
      <c r="D3" s="231"/>
      <c r="E3" s="231"/>
      <c r="F3" s="231"/>
      <c r="G3" s="231"/>
      <c r="H3" s="231"/>
      <c r="I3" s="231"/>
      <c r="J3" s="231" t="s">
        <v>624</v>
      </c>
      <c r="K3" s="231" t="s">
        <v>625</v>
      </c>
      <c r="L3" s="231" t="s">
        <v>624</v>
      </c>
      <c r="M3" s="231" t="s">
        <v>624</v>
      </c>
      <c r="N3" s="231" t="s">
        <v>624</v>
      </c>
      <c r="O3" s="231" t="s">
        <v>622</v>
      </c>
      <c r="P3" s="231" t="s">
        <v>623</v>
      </c>
      <c r="Q3" s="231" t="s">
        <v>626</v>
      </c>
      <c r="R3" s="231" t="s">
        <v>627</v>
      </c>
      <c r="S3" s="231" t="s">
        <v>628</v>
      </c>
      <c r="T3" s="231"/>
      <c r="U3" s="231"/>
      <c r="AM3" s="27"/>
      <c r="AN3" s="27"/>
      <c r="AO3" s="27"/>
      <c r="AP3" s="27"/>
      <c r="AQ3" s="27"/>
      <c r="AR3" s="27"/>
      <c r="AS3" s="27"/>
      <c r="AT3" s="27"/>
      <c r="AU3" s="43"/>
      <c r="AV3" s="25"/>
      <c r="AW3" s="27" t="s">
        <v>1017</v>
      </c>
      <c r="AX3" s="32">
        <v>2.8985E-2</v>
      </c>
      <c r="BB3" s="2" t="s">
        <v>2794</v>
      </c>
      <c r="BC3">
        <f>'9'!N15</f>
        <v>2.9700000000000001E-2</v>
      </c>
    </row>
    <row r="4" spans="2:56" ht="15.6">
      <c r="B4" s="304"/>
      <c r="C4" s="231"/>
      <c r="D4" s="231"/>
      <c r="E4" s="231"/>
      <c r="F4" s="231"/>
      <c r="G4" s="231"/>
      <c r="H4" s="231"/>
      <c r="I4" s="231"/>
      <c r="J4" s="231" t="s">
        <v>629</v>
      </c>
      <c r="K4" s="231" t="s">
        <v>629</v>
      </c>
      <c r="L4" s="231" t="s">
        <v>630</v>
      </c>
      <c r="M4" s="231" t="s">
        <v>630</v>
      </c>
      <c r="N4" s="231" t="s">
        <v>630</v>
      </c>
      <c r="O4" s="231" t="s">
        <v>631</v>
      </c>
      <c r="P4" s="231" t="s">
        <v>631</v>
      </c>
      <c r="Q4" s="231" t="s">
        <v>632</v>
      </c>
      <c r="R4" s="231" t="s">
        <v>633</v>
      </c>
      <c r="S4" s="231" t="s">
        <v>633</v>
      </c>
      <c r="T4" s="231" t="s">
        <v>634</v>
      </c>
      <c r="U4" s="231" t="s">
        <v>635</v>
      </c>
      <c r="V4" s="250"/>
      <c r="AM4" s="25"/>
      <c r="AN4" s="25"/>
      <c r="AO4" s="31"/>
      <c r="AP4" s="204"/>
      <c r="AQ4" s="204"/>
      <c r="AR4" s="204"/>
      <c r="AS4" s="204"/>
      <c r="AT4" s="25"/>
      <c r="AU4" s="25"/>
      <c r="AV4" s="25"/>
      <c r="AW4" s="27" t="s">
        <v>1018</v>
      </c>
      <c r="AX4" s="32">
        <v>0</v>
      </c>
      <c r="AY4" s="25"/>
      <c r="AZ4" s="25"/>
      <c r="BA4" s="25"/>
      <c r="BB4" s="27" t="s">
        <v>2795</v>
      </c>
      <c r="BC4" s="25">
        <f>'9'!O15</f>
        <v>4.9005000000000007E-2</v>
      </c>
    </row>
    <row r="5" spans="2:56">
      <c r="B5" s="440" t="s">
        <v>603</v>
      </c>
      <c r="C5" s="233" t="s">
        <v>89</v>
      </c>
      <c r="D5" s="233" t="s">
        <v>90</v>
      </c>
      <c r="E5" s="233" t="s">
        <v>91</v>
      </c>
      <c r="F5" s="231"/>
      <c r="G5" s="231"/>
      <c r="H5" s="231"/>
      <c r="I5" s="231"/>
      <c r="J5" s="231" t="s">
        <v>316</v>
      </c>
      <c r="K5" s="231" t="s">
        <v>316</v>
      </c>
      <c r="L5" s="231" t="s">
        <v>636</v>
      </c>
      <c r="M5" s="231" t="s">
        <v>636</v>
      </c>
      <c r="N5" s="231" t="s">
        <v>637</v>
      </c>
      <c r="O5" s="231" t="s">
        <v>638</v>
      </c>
      <c r="P5" s="231" t="s">
        <v>638</v>
      </c>
      <c r="Q5" s="231" t="s">
        <v>233</v>
      </c>
      <c r="R5" s="231" t="s">
        <v>639</v>
      </c>
      <c r="S5" s="231" t="s">
        <v>639</v>
      </c>
      <c r="T5" s="231" t="s">
        <v>639</v>
      </c>
      <c r="U5" s="231" t="s">
        <v>233</v>
      </c>
      <c r="AM5" s="25"/>
      <c r="AN5" s="25"/>
      <c r="AO5" s="27"/>
      <c r="AP5" s="231" t="s">
        <v>2772</v>
      </c>
      <c r="AQ5" s="231" t="s">
        <v>2772</v>
      </c>
      <c r="AR5" s="231" t="s">
        <v>2772</v>
      </c>
      <c r="AS5" s="231" t="s">
        <v>2772</v>
      </c>
      <c r="AT5" s="25"/>
      <c r="AU5" s="25"/>
      <c r="AV5" s="25"/>
      <c r="AW5" s="6" t="s">
        <v>1784</v>
      </c>
      <c r="AX5" s="32">
        <v>0</v>
      </c>
      <c r="AY5" s="25"/>
      <c r="AZ5" s="25"/>
      <c r="BA5" s="25"/>
      <c r="BB5" s="25"/>
      <c r="BC5" s="25"/>
    </row>
    <row r="6" spans="2:56">
      <c r="B6" s="231" t="s">
        <v>605</v>
      </c>
      <c r="C6" s="231" t="s">
        <v>87</v>
      </c>
      <c r="D6" s="231" t="s">
        <v>87</v>
      </c>
      <c r="E6" s="209">
        <v>2</v>
      </c>
      <c r="F6" s="231"/>
      <c r="G6" s="231"/>
      <c r="H6" s="231"/>
      <c r="I6" s="231"/>
      <c r="J6" s="231"/>
      <c r="K6" s="231"/>
      <c r="L6" s="231"/>
      <c r="M6" s="231"/>
      <c r="N6" s="231"/>
      <c r="O6" s="231"/>
      <c r="P6" s="231"/>
      <c r="Q6" s="231"/>
      <c r="R6" s="231"/>
      <c r="S6" s="231"/>
      <c r="T6" s="231"/>
      <c r="U6" s="231"/>
      <c r="AM6" s="25"/>
      <c r="AN6" s="25"/>
      <c r="AO6" s="27"/>
      <c r="AP6" s="231" t="s">
        <v>2773</v>
      </c>
      <c r="AQ6" s="231" t="s">
        <v>2773</v>
      </c>
      <c r="AR6" s="231" t="s">
        <v>357</v>
      </c>
      <c r="AS6" s="231" t="s">
        <v>357</v>
      </c>
      <c r="AT6" s="25"/>
      <c r="AU6" s="25"/>
      <c r="AV6" s="25"/>
      <c r="AW6" s="72" t="s">
        <v>2592</v>
      </c>
      <c r="AX6" s="1229">
        <f>MAX('11'!AD12:AE12)</f>
        <v>5.8716314845799755E-3</v>
      </c>
      <c r="AY6" s="27" t="s">
        <v>2593</v>
      </c>
      <c r="AZ6" s="25"/>
      <c r="BA6" s="25"/>
      <c r="BB6" s="25"/>
      <c r="BC6" s="25"/>
    </row>
    <row r="7" spans="2:56">
      <c r="B7" s="231" t="s">
        <v>606</v>
      </c>
      <c r="C7" s="231" t="s">
        <v>607</v>
      </c>
      <c r="D7" s="535" t="str">
        <f>'8'!E33</f>
        <v>S_T-O (f) - AEO Takeoff Field Length</v>
      </c>
      <c r="E7" s="535">
        <f>'8'!F33</f>
        <v>1148.1368432300014</v>
      </c>
      <c r="F7" s="231"/>
      <c r="G7" s="233" t="s">
        <v>641</v>
      </c>
      <c r="H7" s="233" t="s">
        <v>89</v>
      </c>
      <c r="I7" s="233" t="s">
        <v>90</v>
      </c>
      <c r="J7" s="233" t="s">
        <v>91</v>
      </c>
      <c r="K7" s="233" t="s">
        <v>91</v>
      </c>
      <c r="L7" s="233" t="s">
        <v>91</v>
      </c>
      <c r="M7" s="233" t="s">
        <v>91</v>
      </c>
      <c r="N7" s="233" t="s">
        <v>91</v>
      </c>
      <c r="O7" s="233" t="s">
        <v>91</v>
      </c>
      <c r="P7" s="233" t="s">
        <v>91</v>
      </c>
      <c r="Q7" s="233" t="s">
        <v>91</v>
      </c>
      <c r="R7" s="233" t="s">
        <v>91</v>
      </c>
      <c r="S7" s="233" t="s">
        <v>91</v>
      </c>
      <c r="T7" s="233" t="s">
        <v>91</v>
      </c>
      <c r="U7" s="233" t="s">
        <v>91</v>
      </c>
      <c r="AM7" s="25"/>
      <c r="AN7" s="25"/>
      <c r="AO7" s="25"/>
      <c r="AP7" s="231" t="s">
        <v>233</v>
      </c>
      <c r="AQ7" s="231" t="s">
        <v>233</v>
      </c>
      <c r="AR7" s="231" t="s">
        <v>233</v>
      </c>
      <c r="AS7" s="231" t="s">
        <v>233</v>
      </c>
      <c r="AT7" s="25"/>
      <c r="AU7" s="25"/>
      <c r="AV7" s="25"/>
      <c r="AW7" s="72" t="s">
        <v>2592</v>
      </c>
      <c r="AX7" s="32">
        <v>0</v>
      </c>
      <c r="AY7" s="27" t="s">
        <v>1364</v>
      </c>
      <c r="AZ7" s="25"/>
      <c r="BA7" s="25"/>
      <c r="BB7" s="25"/>
      <c r="BC7" s="25"/>
    </row>
    <row r="8" spans="2:56">
      <c r="B8" s="231" t="s">
        <v>608</v>
      </c>
      <c r="C8" s="231" t="s">
        <v>609</v>
      </c>
      <c r="D8" s="535" t="str">
        <f>'8'!R22</f>
        <v>(S_L) (f) - w/safety factor</v>
      </c>
      <c r="E8" s="535">
        <f>'8'!S22</f>
        <v>1249.9058705831114</v>
      </c>
      <c r="F8" s="231"/>
      <c r="G8" s="231" t="s">
        <v>33</v>
      </c>
      <c r="H8" s="231" t="s">
        <v>52</v>
      </c>
      <c r="I8" s="231" t="s">
        <v>188</v>
      </c>
      <c r="J8" s="208">
        <v>0</v>
      </c>
      <c r="K8" s="208">
        <v>0</v>
      </c>
      <c r="L8" s="208">
        <v>0</v>
      </c>
      <c r="M8" s="208">
        <v>0</v>
      </c>
      <c r="N8" s="208">
        <v>0</v>
      </c>
      <c r="O8" s="208">
        <v>12000</v>
      </c>
      <c r="P8" s="208">
        <v>10000</v>
      </c>
      <c r="Q8" s="1278">
        <f>'2'!D46</f>
        <v>7000</v>
      </c>
      <c r="R8" s="1361">
        <v>3500</v>
      </c>
      <c r="S8" s="1361">
        <v>8000</v>
      </c>
      <c r="T8" s="208">
        <f>Q8/2</f>
        <v>3500</v>
      </c>
      <c r="U8" s="209">
        <v>0</v>
      </c>
      <c r="AM8" s="25"/>
      <c r="AN8" s="25"/>
      <c r="AO8" s="25"/>
      <c r="AP8" s="231"/>
      <c r="AQ8" s="231"/>
      <c r="AR8" s="231"/>
      <c r="AS8" s="231"/>
      <c r="AT8" s="25"/>
      <c r="AU8" s="25"/>
      <c r="AV8" s="25"/>
      <c r="AW8" s="6"/>
      <c r="AX8" s="25"/>
      <c r="AY8" s="25"/>
      <c r="AZ8" s="25"/>
      <c r="BA8" s="25"/>
      <c r="BB8" s="25"/>
      <c r="BC8" s="25"/>
    </row>
    <row r="9" spans="2:56">
      <c r="B9" s="231" t="s">
        <v>610</v>
      </c>
      <c r="C9" s="231" t="s">
        <v>611</v>
      </c>
      <c r="D9" s="231" t="s">
        <v>612</v>
      </c>
      <c r="E9" s="209">
        <v>48</v>
      </c>
      <c r="F9" s="231"/>
      <c r="G9" s="231" t="s">
        <v>644</v>
      </c>
      <c r="H9" s="231" t="s">
        <v>51</v>
      </c>
      <c r="I9" s="231" t="s">
        <v>87</v>
      </c>
      <c r="J9" s="1231">
        <f>1.2*U9</f>
        <v>8.1522808931001889E-2</v>
      </c>
      <c r="K9" s="1231">
        <f>1.3*U9</f>
        <v>8.8316376341918718E-2</v>
      </c>
      <c r="L9" s="1231">
        <f>J9</f>
        <v>8.1522808931001889E-2</v>
      </c>
      <c r="M9" s="1231">
        <f>J9</f>
        <v>8.1522808931001889E-2</v>
      </c>
      <c r="N9" s="1231">
        <f>J9</f>
        <v>8.1522808931001889E-2</v>
      </c>
      <c r="O9" s="208">
        <f>Q9/2</f>
        <v>0.08</v>
      </c>
      <c r="P9" s="208">
        <v>0.15</v>
      </c>
      <c r="Q9" s="1333">
        <f>'2'!E46</f>
        <v>0.16</v>
      </c>
      <c r="R9" s="1367">
        <f>Q9</f>
        <v>0.16</v>
      </c>
      <c r="S9" s="1367">
        <f>Q9/2</f>
        <v>0.08</v>
      </c>
      <c r="T9" s="1367">
        <f>Q9</f>
        <v>0.16</v>
      </c>
      <c r="U9" s="240">
        <f>E12/(U77/1.68780986)</f>
        <v>6.7935674109168245E-2</v>
      </c>
      <c r="AM9" s="25"/>
      <c r="AN9" s="25"/>
      <c r="AO9" s="25"/>
      <c r="AP9" s="231" t="s">
        <v>69</v>
      </c>
      <c r="AQ9" s="231" t="s">
        <v>70</v>
      </c>
      <c r="AR9" s="231" t="s">
        <v>69</v>
      </c>
      <c r="AS9" s="231" t="s">
        <v>70</v>
      </c>
      <c r="AT9" s="25"/>
      <c r="AU9" s="25"/>
      <c r="AV9" s="25"/>
      <c r="AW9" s="25"/>
      <c r="AX9" s="25"/>
      <c r="AY9" s="25"/>
      <c r="AZ9" s="25"/>
      <c r="BA9" s="25"/>
      <c r="BB9" s="25"/>
      <c r="BC9" s="25"/>
    </row>
    <row r="10" spans="2:56">
      <c r="B10" s="231" t="s">
        <v>613</v>
      </c>
      <c r="C10" s="231" t="s">
        <v>611</v>
      </c>
      <c r="D10" s="231" t="s">
        <v>612</v>
      </c>
      <c r="E10" s="209">
        <v>38</v>
      </c>
      <c r="F10" s="231"/>
      <c r="G10" s="231" t="s">
        <v>646</v>
      </c>
      <c r="H10" s="241" t="s">
        <v>647</v>
      </c>
      <c r="I10" s="231" t="s">
        <v>648</v>
      </c>
      <c r="J10" s="242">
        <v>0</v>
      </c>
      <c r="K10" s="242">
        <v>0</v>
      </c>
      <c r="L10" s="242">
        <v>0</v>
      </c>
      <c r="M10" s="242">
        <v>0</v>
      </c>
      <c r="N10" s="242">
        <v>0</v>
      </c>
      <c r="O10" s="242">
        <v>0</v>
      </c>
      <c r="P10" s="242">
        <v>0</v>
      </c>
      <c r="Q10" s="1139">
        <f>'2'!F46</f>
        <v>0</v>
      </c>
      <c r="R10" s="242">
        <v>0</v>
      </c>
      <c r="S10" s="242">
        <v>0</v>
      </c>
      <c r="T10" s="242">
        <v>0</v>
      </c>
      <c r="U10" s="242">
        <v>0</v>
      </c>
      <c r="AM10" s="25"/>
      <c r="AN10" s="25"/>
      <c r="AO10" s="25"/>
      <c r="AP10" s="231" t="s">
        <v>2771</v>
      </c>
      <c r="AQ10" s="231" t="s">
        <v>2771</v>
      </c>
      <c r="AR10" s="231" t="s">
        <v>2771</v>
      </c>
      <c r="AS10" s="231" t="s">
        <v>2771</v>
      </c>
      <c r="AT10" s="25"/>
      <c r="AU10" s="27" t="s">
        <v>37</v>
      </c>
      <c r="AV10" s="6" t="s">
        <v>37</v>
      </c>
      <c r="AW10" s="82"/>
      <c r="AX10" s="6" t="s">
        <v>37</v>
      </c>
      <c r="AY10" s="6" t="s">
        <v>37</v>
      </c>
      <c r="AZ10" s="6" t="s">
        <v>37</v>
      </c>
      <c r="BA10" s="27" t="s">
        <v>37</v>
      </c>
      <c r="BB10" s="25"/>
      <c r="BC10" s="25"/>
    </row>
    <row r="11" spans="2:56">
      <c r="B11" s="231" t="s">
        <v>614</v>
      </c>
      <c r="C11" s="236" t="s">
        <v>615</v>
      </c>
      <c r="D11" s="231" t="s">
        <v>165</v>
      </c>
      <c r="E11" s="209">
        <v>-4</v>
      </c>
      <c r="F11" s="231"/>
      <c r="G11" s="231" t="s">
        <v>650</v>
      </c>
      <c r="H11" s="231" t="s">
        <v>651</v>
      </c>
      <c r="I11" s="231" t="s">
        <v>87</v>
      </c>
      <c r="J11" s="1279">
        <f>'9'!N14</f>
        <v>1.830240380013596</v>
      </c>
      <c r="K11" s="1279">
        <f>'9'!O14</f>
        <v>1.8632101583914</v>
      </c>
      <c r="L11" s="1081">
        <f>$K11</f>
        <v>1.8632101583914</v>
      </c>
      <c r="M11" s="1081">
        <f>$K11</f>
        <v>1.8632101583914</v>
      </c>
      <c r="N11" s="1081">
        <f>$K11</f>
        <v>1.8632101583914</v>
      </c>
      <c r="O11" s="208" t="s">
        <v>196</v>
      </c>
      <c r="P11" s="208" t="s">
        <v>196</v>
      </c>
      <c r="Q11" s="208" t="s">
        <v>196</v>
      </c>
      <c r="R11" s="1347">
        <v>1.544</v>
      </c>
      <c r="S11" s="208" t="s">
        <v>196</v>
      </c>
      <c r="T11" s="208" t="s">
        <v>196</v>
      </c>
      <c r="U11" s="1081">
        <f>J11</f>
        <v>1.830240380013596</v>
      </c>
      <c r="AM11" s="25"/>
      <c r="AN11" s="25"/>
      <c r="AO11" s="25"/>
      <c r="AP11" s="231" t="s">
        <v>2622</v>
      </c>
      <c r="AQ11" s="231" t="s">
        <v>2746</v>
      </c>
      <c r="AR11" s="231" t="s">
        <v>2622</v>
      </c>
      <c r="AS11" s="231" t="s">
        <v>2746</v>
      </c>
      <c r="AT11" s="27" t="s">
        <v>46</v>
      </c>
      <c r="AU11" s="27" t="s">
        <v>144</v>
      </c>
      <c r="AV11" s="6" t="s">
        <v>251</v>
      </c>
      <c r="AW11" s="6" t="s">
        <v>37</v>
      </c>
      <c r="AX11" s="6" t="s">
        <v>143</v>
      </c>
      <c r="AY11" s="6" t="s">
        <v>1011</v>
      </c>
      <c r="AZ11" s="6" t="s">
        <v>1012</v>
      </c>
      <c r="BA11" s="27" t="s">
        <v>146</v>
      </c>
      <c r="BB11" s="27" t="s">
        <v>37</v>
      </c>
      <c r="BC11" s="25"/>
    </row>
    <row r="12" spans="2:56">
      <c r="B12" s="231" t="s">
        <v>616</v>
      </c>
      <c r="C12" s="223" t="s">
        <v>617</v>
      </c>
      <c r="D12" s="231" t="s">
        <v>414</v>
      </c>
      <c r="E12" s="1248">
        <v>45</v>
      </c>
      <c r="F12" s="231"/>
      <c r="G12" s="231" t="s">
        <v>0</v>
      </c>
      <c r="H12" s="231" t="s">
        <v>93</v>
      </c>
      <c r="I12" s="231" t="s">
        <v>87</v>
      </c>
      <c r="J12" s="208" t="s">
        <v>196</v>
      </c>
      <c r="K12" s="208" t="s">
        <v>196</v>
      </c>
      <c r="L12" s="256">
        <f>'2'!$F9</f>
        <v>5.9</v>
      </c>
      <c r="M12" s="256">
        <f>'2'!$F9</f>
        <v>5.9</v>
      </c>
      <c r="N12" s="256">
        <f>'2'!$F9</f>
        <v>5.9</v>
      </c>
      <c r="O12" s="256">
        <f>'2'!$F9</f>
        <v>5.9</v>
      </c>
      <c r="P12" s="256">
        <f>'2'!$F9</f>
        <v>5.9</v>
      </c>
      <c r="Q12" s="256">
        <f>'2'!$F9</f>
        <v>5.9</v>
      </c>
      <c r="R12" s="208" t="s">
        <v>196</v>
      </c>
      <c r="S12" s="256">
        <f>'2'!$F9</f>
        <v>5.9</v>
      </c>
      <c r="T12" s="256">
        <f>'2'!$F9</f>
        <v>5.9</v>
      </c>
      <c r="U12" s="210" t="s">
        <v>196</v>
      </c>
      <c r="AM12" s="25"/>
      <c r="AN12" s="25"/>
      <c r="AO12" s="25"/>
      <c r="AP12" s="231" t="s">
        <v>2747</v>
      </c>
      <c r="AQ12" s="231" t="s">
        <v>2747</v>
      </c>
      <c r="AR12" s="231" t="s">
        <v>2747</v>
      </c>
      <c r="AS12" s="231" t="s">
        <v>2747</v>
      </c>
      <c r="AT12" s="27" t="s">
        <v>56</v>
      </c>
      <c r="AU12" s="27" t="s">
        <v>74</v>
      </c>
      <c r="AV12" s="6" t="s">
        <v>59</v>
      </c>
      <c r="AW12" s="6" t="s">
        <v>55</v>
      </c>
      <c r="AX12" s="6" t="s">
        <v>59</v>
      </c>
      <c r="AY12" s="6" t="s">
        <v>55</v>
      </c>
      <c r="AZ12" s="6" t="s">
        <v>62</v>
      </c>
      <c r="BA12" s="27" t="s">
        <v>59</v>
      </c>
      <c r="BB12" s="27" t="s">
        <v>62</v>
      </c>
      <c r="BC12" s="27" t="s">
        <v>82</v>
      </c>
    </row>
    <row r="13" spans="2:56">
      <c r="B13" s="231" t="s">
        <v>618</v>
      </c>
      <c r="C13" s="231" t="s">
        <v>87</v>
      </c>
      <c r="D13" s="231" t="s">
        <v>619</v>
      </c>
      <c r="E13" s="209">
        <f>5</f>
        <v>5</v>
      </c>
      <c r="F13" s="231"/>
      <c r="G13" s="231" t="s">
        <v>654</v>
      </c>
      <c r="H13" s="231" t="s">
        <v>94</v>
      </c>
      <c r="I13" s="231" t="s">
        <v>87</v>
      </c>
      <c r="J13" s="208" t="s">
        <v>196</v>
      </c>
      <c r="K13" s="208" t="s">
        <v>196</v>
      </c>
      <c r="L13" s="240">
        <f t="shared" ref="L13:P14" si="0">$Q13</f>
        <v>0.96454164658384733</v>
      </c>
      <c r="M13" s="240">
        <f t="shared" si="0"/>
        <v>0.96454164658384733</v>
      </c>
      <c r="N13" s="240">
        <f t="shared" si="0"/>
        <v>0.96454164658384733</v>
      </c>
      <c r="O13" s="240">
        <f t="shared" si="0"/>
        <v>0.96454164658384733</v>
      </c>
      <c r="P13" s="240">
        <f t="shared" si="0"/>
        <v>0.96454164658384733</v>
      </c>
      <c r="Q13" s="172">
        <f>0.98*(1-('5'!T6/'4'!L17)^2)</f>
        <v>0.96454164658384733</v>
      </c>
      <c r="R13" s="208" t="s">
        <v>196</v>
      </c>
      <c r="S13" s="240">
        <f>$Q13</f>
        <v>0.96454164658384733</v>
      </c>
      <c r="T13" s="240">
        <f>$Q13</f>
        <v>0.96454164658384733</v>
      </c>
      <c r="U13" s="210" t="s">
        <v>196</v>
      </c>
      <c r="AM13" s="25"/>
      <c r="AN13" s="25"/>
      <c r="AO13" s="25"/>
      <c r="AP13" s="231" t="s">
        <v>1020</v>
      </c>
      <c r="AQ13" s="231" t="s">
        <v>1020</v>
      </c>
      <c r="AR13" s="231" t="s">
        <v>1020</v>
      </c>
      <c r="AS13" s="231" t="s">
        <v>1020</v>
      </c>
      <c r="AT13" s="27" t="s">
        <v>57</v>
      </c>
      <c r="AU13" s="29" t="s">
        <v>145</v>
      </c>
      <c r="AV13" s="73" t="s">
        <v>142</v>
      </c>
      <c r="AW13" s="6" t="s">
        <v>142</v>
      </c>
      <c r="AX13" s="6" t="s">
        <v>142</v>
      </c>
      <c r="AY13" s="6" t="s">
        <v>142</v>
      </c>
      <c r="AZ13" s="6" t="s">
        <v>63</v>
      </c>
      <c r="BA13" s="27" t="s">
        <v>142</v>
      </c>
      <c r="BB13" s="27" t="s">
        <v>63</v>
      </c>
      <c r="BC13" s="27" t="s">
        <v>59</v>
      </c>
    </row>
    <row r="14" spans="2:56">
      <c r="B14" s="231" t="s">
        <v>620</v>
      </c>
      <c r="C14" s="231" t="s">
        <v>87</v>
      </c>
      <c r="D14" s="231" t="s">
        <v>619</v>
      </c>
      <c r="E14" s="209">
        <v>1</v>
      </c>
      <c r="F14" s="231"/>
      <c r="G14" s="231" t="s">
        <v>656</v>
      </c>
      <c r="H14" s="231" t="s">
        <v>86</v>
      </c>
      <c r="I14" s="231" t="s">
        <v>87</v>
      </c>
      <c r="J14" s="208" t="s">
        <v>196</v>
      </c>
      <c r="K14" s="208" t="s">
        <v>196</v>
      </c>
      <c r="L14" s="240">
        <f t="shared" si="0"/>
        <v>4.836327512640852E-2</v>
      </c>
      <c r="M14" s="240">
        <f t="shared" si="0"/>
        <v>4.836327512640852E-2</v>
      </c>
      <c r="N14" s="240">
        <f t="shared" si="0"/>
        <v>4.836327512640852E-2</v>
      </c>
      <c r="O14" s="240">
        <f t="shared" si="0"/>
        <v>4.836327512640852E-2</v>
      </c>
      <c r="P14" s="240">
        <f t="shared" si="0"/>
        <v>4.836327512640852E-2</v>
      </c>
      <c r="Q14" s="1261">
        <f>AX17</f>
        <v>4.836327512640852E-2</v>
      </c>
      <c r="R14" s="208" t="s">
        <v>196</v>
      </c>
      <c r="S14" s="240">
        <f>$Q14</f>
        <v>4.836327512640852E-2</v>
      </c>
      <c r="T14" s="240">
        <f>$Q14</f>
        <v>4.836327512640852E-2</v>
      </c>
      <c r="U14" s="210" t="s">
        <v>196</v>
      </c>
      <c r="AM14" s="25"/>
      <c r="AN14" s="25"/>
      <c r="AO14" s="31" t="str">
        <f>'2'!C43</f>
        <v>Mission Segment</v>
      </c>
      <c r="AP14" s="233" t="s">
        <v>1019</v>
      </c>
      <c r="AQ14" s="233" t="s">
        <v>1019</v>
      </c>
      <c r="AR14" s="233" t="s">
        <v>2770</v>
      </c>
      <c r="AS14" s="233" t="s">
        <v>2770</v>
      </c>
      <c r="AT14" s="30" t="s">
        <v>58</v>
      </c>
      <c r="AU14" s="30" t="s">
        <v>94</v>
      </c>
      <c r="AV14" s="354" t="s">
        <v>191</v>
      </c>
      <c r="AW14" s="39" t="s">
        <v>54</v>
      </c>
      <c r="AX14" s="354" t="s">
        <v>86</v>
      </c>
      <c r="AY14" s="354" t="s">
        <v>1013</v>
      </c>
      <c r="AZ14" s="39" t="s">
        <v>1014</v>
      </c>
      <c r="BA14" s="31" t="s">
        <v>60</v>
      </c>
      <c r="BB14" s="31" t="s">
        <v>61</v>
      </c>
      <c r="BC14" s="31" t="s">
        <v>78</v>
      </c>
    </row>
    <row r="15" spans="2:56">
      <c r="B15" s="231" t="s">
        <v>507</v>
      </c>
      <c r="C15" s="231" t="s">
        <v>140</v>
      </c>
      <c r="D15" s="231" t="s">
        <v>436</v>
      </c>
      <c r="E15" s="537">
        <f>'2'!P44</f>
        <v>1248.4473707141719</v>
      </c>
      <c r="F15" s="231"/>
      <c r="G15" s="231" t="s">
        <v>659</v>
      </c>
      <c r="H15" s="231" t="s">
        <v>660</v>
      </c>
      <c r="I15" s="231" t="s">
        <v>87</v>
      </c>
      <c r="J15" s="208" t="s">
        <v>196</v>
      </c>
      <c r="K15" s="208" t="s">
        <v>196</v>
      </c>
      <c r="L15" s="208">
        <v>2.8985E-2</v>
      </c>
      <c r="M15" s="208">
        <v>2.8985E-2</v>
      </c>
      <c r="N15" s="541">
        <f>'8'!F21</f>
        <v>9.6189597393798419E-3</v>
      </c>
      <c r="O15" s="208">
        <v>2.8985E-2</v>
      </c>
      <c r="P15" s="208">
        <v>2.8985E-2</v>
      </c>
      <c r="Q15" s="208">
        <v>2.8985E-2</v>
      </c>
      <c r="R15" s="208" t="s">
        <v>196</v>
      </c>
      <c r="S15" s="208">
        <v>2.8985E-2</v>
      </c>
      <c r="T15" s="208">
        <v>2.8985E-2</v>
      </c>
      <c r="U15" s="210" t="s">
        <v>196</v>
      </c>
      <c r="AM15" s="25"/>
      <c r="AN15" s="25"/>
      <c r="AO15" s="25" t="str">
        <f>'2'!C44</f>
        <v>Start-up &amp; Takeoff</v>
      </c>
      <c r="AP15" s="227">
        <f>(1/1.689)*(((2/'2'!H44)*AT15)^0.5)*((AV15/AX15)^0.25)</f>
        <v>59.056586301567656</v>
      </c>
      <c r="AQ15" s="227">
        <f>(1/1.689)*(((2/'2'!H44)*AT15)^0.5)*((AV15/(3*AX15))^0.25)</f>
        <v>44.87330174469411</v>
      </c>
      <c r="AR15" s="227">
        <f>(1/1.689)*(((2/'2'!H44)*AT15)^0.5)*((3*AV15/AX15)^0.25)</f>
        <v>77.722838525179341</v>
      </c>
      <c r="AS15" s="227">
        <f>(1/1.689)*(((2/'2'!H44)*AT15)^0.5)*((AV15/AX15)^0.25)</f>
        <v>59.056586301567656</v>
      </c>
      <c r="AT15" s="884">
        <f>E41</f>
        <v>11</v>
      </c>
      <c r="AU15" s="36">
        <f t="shared" ref="AU15:AU46" si="1">Q$13</f>
        <v>0.96454164658384733</v>
      </c>
      <c r="AV15" s="355">
        <f>1/(PI()*'2'!F$9*AU15)</f>
        <v>5.5934161430793383E-2</v>
      </c>
      <c r="AW15" s="356">
        <f>AT15/'2'!K44</f>
        <v>1.1112285618497153</v>
      </c>
      <c r="AX15" s="356">
        <f>IF('2'!F$22=1,'2'!F$24,('4'!K35+'5'!AO40+'6'!L40+'6'!R40+AX$3+AX$4+AX5))</f>
        <v>4.8146096762616386E-2</v>
      </c>
      <c r="AY15" s="356">
        <f>(AX15/AV15)^0.5</f>
        <v>0.92777352738233532</v>
      </c>
      <c r="AZ15" s="357">
        <f>1/(2*((AX15*AV15)^0.5))</f>
        <v>9.6349817510307112</v>
      </c>
      <c r="BA15" s="34">
        <f>(1+AX$7)*(AX15+((1/(PI()*'2'!F$9*AU15))*(AW15^2)))+BC3+AX3</f>
        <v>0.1759002167270807</v>
      </c>
      <c r="BB15" s="35">
        <f>AW15/BA15</f>
        <v>6.3173802882451833</v>
      </c>
      <c r="BC15" s="52">
        <f>BA15*'2'!K44*'2'!P44/AT15</f>
        <v>197.62105710767028</v>
      </c>
      <c r="BD15" s="2" t="s">
        <v>2799</v>
      </c>
    </row>
    <row r="16" spans="2:56">
      <c r="B16" s="239" t="s">
        <v>2637</v>
      </c>
      <c r="C16" s="239" t="s">
        <v>87</v>
      </c>
      <c r="D16" s="239" t="s">
        <v>87</v>
      </c>
      <c r="E16" s="209">
        <v>6</v>
      </c>
      <c r="F16" s="231"/>
      <c r="G16" s="231" t="s">
        <v>661</v>
      </c>
      <c r="H16" s="231" t="s">
        <v>662</v>
      </c>
      <c r="I16" s="231" t="s">
        <v>87</v>
      </c>
      <c r="J16" s="208" t="s">
        <v>196</v>
      </c>
      <c r="K16" s="208" t="s">
        <v>196</v>
      </c>
      <c r="L16" s="541">
        <f>'9'!$N15</f>
        <v>2.9700000000000001E-2</v>
      </c>
      <c r="M16" s="541">
        <f>'9'!$N15</f>
        <v>2.9700000000000001E-2</v>
      </c>
      <c r="N16" s="541">
        <f>'9'!$N15</f>
        <v>2.9700000000000001E-2</v>
      </c>
      <c r="O16" s="208">
        <v>0</v>
      </c>
      <c r="P16" s="208">
        <v>0</v>
      </c>
      <c r="Q16" s="208">
        <v>0</v>
      </c>
      <c r="R16" s="208" t="s">
        <v>196</v>
      </c>
      <c r="S16" s="190">
        <v>0</v>
      </c>
      <c r="T16" s="190">
        <v>0</v>
      </c>
      <c r="U16" s="210" t="s">
        <v>196</v>
      </c>
      <c r="AM16" s="25"/>
      <c r="AN16" s="25"/>
      <c r="AO16" s="25" t="str">
        <f>'2'!C45</f>
        <v>Climb+Accel1</v>
      </c>
      <c r="AP16" s="227">
        <f>(1/1.689)*(((2/'2'!H45)*AT16)^0.5)*((AV16/AX16)^0.25)</f>
        <v>64.840444425804961</v>
      </c>
      <c r="AQ16" s="227">
        <f>(1/1.689)*(((2/'2'!H45)*AT16)^0.5)*((AV16/(3*AX16))^0.25)</f>
        <v>49.268083548235495</v>
      </c>
      <c r="AR16" s="227">
        <f>(1/1.689)*(((2/'2'!H45)*AT16)^0.5)*((3*AV16/AX16)^0.25)</f>
        <v>85.334823897092207</v>
      </c>
      <c r="AS16" s="227">
        <f>(1/1.689)*(((2/'2'!H45)*AT16)^0.5)*((AV16/AX16)^0.25)</f>
        <v>64.840444425804961</v>
      </c>
      <c r="AT16" s="49">
        <f>AT15*'2'!R44</f>
        <v>10.725</v>
      </c>
      <c r="AU16" s="36">
        <f t="shared" si="1"/>
        <v>0.96454164658384733</v>
      </c>
      <c r="AV16" s="355">
        <f>1/(PI()*'2'!F$9*AU16)</f>
        <v>5.5934161430793383E-2</v>
      </c>
      <c r="AW16" s="356">
        <f>AT16/'2'!K45</f>
        <v>0.36714446388683752</v>
      </c>
      <c r="AX16" s="356">
        <f>IF('2'!F$22=1,'2'!F$24,('4'!K36+'5'!AO41+'6'!L41+'6'!R41+AX$3+AX$4+AX$7))</f>
        <v>4.836327512640852E-2</v>
      </c>
      <c r="AY16" s="356">
        <f>(AX16/AV16)^0.5</f>
        <v>0.92986368252802798</v>
      </c>
      <c r="AZ16" s="357">
        <f>1/(2*((AX16*AV16)^0.5))</f>
        <v>9.6133241607150861</v>
      </c>
      <c r="BA16" s="34">
        <f>(1+AX$7)*(AX16+((1/(PI()*'2'!F$9*AU16))*(AW16^2)))</f>
        <v>5.5902923625009822E-2</v>
      </c>
      <c r="BB16" s="35">
        <f>AW16/BA16</f>
        <v>6.5675360084849768</v>
      </c>
      <c r="BC16" s="52">
        <f>BA16*'2'!K45*'2'!P45/AT16</f>
        <v>185.34137991382161</v>
      </c>
    </row>
    <row r="17" spans="2:55" ht="16.2" thickBot="1">
      <c r="F17" s="231"/>
      <c r="G17" s="231" t="s">
        <v>664</v>
      </c>
      <c r="H17" s="231" t="s">
        <v>665</v>
      </c>
      <c r="I17" s="231" t="s">
        <v>87</v>
      </c>
      <c r="J17" s="1348">
        <f>'7b'!BG48</f>
        <v>0.66942832302823629</v>
      </c>
      <c r="K17" s="1349" t="s">
        <v>196</v>
      </c>
      <c r="L17" s="1348">
        <f>'7b'!BG48</f>
        <v>0.66942832302823629</v>
      </c>
      <c r="M17" s="1348">
        <f>'7b'!BG48</f>
        <v>0.66942832302823629</v>
      </c>
      <c r="N17" s="1348">
        <f>'7b'!BG48</f>
        <v>0.66942832302823629</v>
      </c>
      <c r="O17" s="1348">
        <f>'7b'!BA48</f>
        <v>0.90935517091666662</v>
      </c>
      <c r="P17" s="1349">
        <v>0.85</v>
      </c>
      <c r="Q17" s="1348">
        <f>'7b'!BA48</f>
        <v>0.90935517091666662</v>
      </c>
      <c r="R17" s="1349">
        <v>0.85</v>
      </c>
      <c r="S17" s="1349">
        <v>0.85</v>
      </c>
      <c r="T17" s="1349">
        <v>0.85</v>
      </c>
      <c r="U17" s="1349" t="s">
        <v>196</v>
      </c>
      <c r="AM17" s="25"/>
      <c r="AN17" s="25"/>
      <c r="AO17" s="25" t="str">
        <f>'2'!C46</f>
        <v>Cruise 1a</v>
      </c>
      <c r="AP17" s="227">
        <f>(1/1.689)*(((2/'2'!H46)*AT17)^0.5)*((AV17/AX17)^0.25)</f>
        <v>64.632621953952579</v>
      </c>
      <c r="AQ17" s="227">
        <f>(1/1.689)*(((2/'2'!H46)*AT17)^0.5)*((AV17/(3*AX17))^0.25)</f>
        <v>49.110172617841727</v>
      </c>
      <c r="AR17" s="227">
        <f>(1/1.689)*(((2/'2'!H46)*AT17)^0.5)*((3*AV17/AX17)^0.25)</f>
        <v>85.061314142579732</v>
      </c>
      <c r="AS17" s="227">
        <f>(1/1.689)*(((2/'2'!H46)*AT17)^0.5)*((AV17/AX17)^0.25)</f>
        <v>64.632621953952579</v>
      </c>
      <c r="AT17" s="49">
        <f>AT16*'2'!R45</f>
        <v>10.656359999999999</v>
      </c>
      <c r="AU17" s="36">
        <f t="shared" si="1"/>
        <v>0.96454164658384733</v>
      </c>
      <c r="AV17" s="355">
        <f>1/(PI()*'2'!F$9*AU17)</f>
        <v>5.5934161430793383E-2</v>
      </c>
      <c r="AW17" s="356">
        <f>AT17/'2'!K46</f>
        <v>0.36479473931796175</v>
      </c>
      <c r="AX17" s="356">
        <f>IF('2'!F$22=1,'2'!F$24,('4'!K37+'5'!AO42+'6'!L42+'6'!R42+AX$3+AX$4+AX$7))</f>
        <v>4.836327512640852E-2</v>
      </c>
      <c r="AY17" s="356">
        <f t="shared" ref="AY17:AY45" si="2">(AX17/AV17)^0.5</f>
        <v>0.92986368252802798</v>
      </c>
      <c r="AZ17" s="357">
        <f>1/(2*((AX17*AV17)^0.5))</f>
        <v>9.6133241607150861</v>
      </c>
      <c r="BA17" s="34">
        <f>(1+AX$7)*(AX17+((1/(PI()*'2'!F$9*AU17))*(AW17^2)))</f>
        <v>5.5806724948230226E-2</v>
      </c>
      <c r="BB17" s="35">
        <f t="shared" ref="BB17:BB45" si="3">AW17/BA17</f>
        <v>6.5367523296944574</v>
      </c>
      <c r="BC17" s="52">
        <f>BA17*'2'!K46*'2'!P46/AT17</f>
        <v>185.02244139783605</v>
      </c>
    </row>
    <row r="18" spans="2:55">
      <c r="B18" s="197" t="s">
        <v>621</v>
      </c>
      <c r="C18" s="198"/>
      <c r="D18" s="198"/>
      <c r="E18" s="107"/>
      <c r="F18" s="231"/>
      <c r="G18" s="231" t="s">
        <v>667</v>
      </c>
      <c r="H18" s="241" t="s">
        <v>2624</v>
      </c>
      <c r="I18" s="231" t="s">
        <v>87</v>
      </c>
      <c r="J18" s="243">
        <v>1</v>
      </c>
      <c r="K18" s="243">
        <v>0.85</v>
      </c>
      <c r="L18" s="243">
        <v>1</v>
      </c>
      <c r="M18" s="243">
        <v>1</v>
      </c>
      <c r="N18" s="243">
        <v>1</v>
      </c>
      <c r="O18" s="243">
        <v>1</v>
      </c>
      <c r="P18" s="243">
        <v>1</v>
      </c>
      <c r="Q18" s="243">
        <v>1</v>
      </c>
      <c r="R18" s="243">
        <v>1</v>
      </c>
      <c r="S18" s="212">
        <v>1</v>
      </c>
      <c r="T18" s="212">
        <v>0.6</v>
      </c>
      <c r="U18" s="213" t="s">
        <v>196</v>
      </c>
      <c r="AM18" s="25"/>
      <c r="AN18" s="25"/>
      <c r="AO18" s="25" t="str">
        <f>'2'!C47</f>
        <v>Cruise 1b</v>
      </c>
      <c r="AP18" s="227">
        <f>(1/1.689)*(((2/'2'!H47)*AT18)^0.5)*((AV18/AX18)^0.25)</f>
        <v>64.405308800284004</v>
      </c>
      <c r="AQ18" s="227">
        <f>(1/1.689)*(((2/'2'!H47)*AT18)^0.5)*((AV18/(3*AX18))^0.25)</f>
        <v>48.937451971866345</v>
      </c>
      <c r="AR18" s="227">
        <f>(1/1.689)*(((2/'2'!H47)*AT18)^0.5)*((3*AV18/AX18)^0.25)</f>
        <v>84.762153208234253</v>
      </c>
      <c r="AS18" s="227">
        <f>(1/1.689)*(((2/'2'!H47)*AT18)^0.5)*((AV18/AX18)^0.25)</f>
        <v>64.405308800284004</v>
      </c>
      <c r="AT18" s="49">
        <f>AT17*'2'!R46</f>
        <v>10.581534902324814</v>
      </c>
      <c r="AU18" s="36">
        <f t="shared" si="1"/>
        <v>0.96454164658384733</v>
      </c>
      <c r="AV18" s="355">
        <f>1/(PI()*'2'!F$9*AU18)</f>
        <v>5.5934161430793383E-2</v>
      </c>
      <c r="AW18" s="33">
        <f>AT18/'2'!K47</f>
        <v>0.3622332828730912</v>
      </c>
      <c r="AX18" s="356">
        <f>IF('2'!F$22=1,'2'!F$24,('4'!K38+'5'!AO43+'6'!L43+'6'!R43+AX$3+AX$4+AX$7))</f>
        <v>4.836327512640852E-2</v>
      </c>
      <c r="AY18" s="356">
        <f t="shared" si="2"/>
        <v>0.92986368252802798</v>
      </c>
      <c r="AZ18" s="357">
        <f t="shared" ref="AZ18:AZ45" si="4">1/(2*((AX18*AV18)^0.5))</f>
        <v>9.6133241607150861</v>
      </c>
      <c r="BA18" s="34">
        <f>(1+AX$7)*(AX18+((1/(PI()*'2'!F$9*AU18))*(AW18^2)))</f>
        <v>5.5702561521815699E-2</v>
      </c>
      <c r="BB18" s="35">
        <f t="shared" si="3"/>
        <v>6.5029914778914408</v>
      </c>
      <c r="BC18" s="52">
        <f>BA18*'2'!K47*'2'!P47/AT18</f>
        <v>184.67709643309468</v>
      </c>
    </row>
    <row r="19" spans="2:55">
      <c r="B19" s="1289" t="s">
        <v>2753</v>
      </c>
      <c r="C19" s="205"/>
      <c r="D19" s="205"/>
      <c r="E19" s="108"/>
      <c r="F19" s="231"/>
      <c r="AM19" s="25"/>
      <c r="AN19" s="25"/>
      <c r="AO19" s="25" t="str">
        <f>'2'!C48</f>
        <v>Cruise 1c</v>
      </c>
      <c r="AP19" s="227">
        <f>(1/1.689)*(((2/'2'!H48)*AT19)^0.5)*((AV19/AX19)^0.25)</f>
        <v>64.177621223117796</v>
      </c>
      <c r="AQ19" s="227">
        <f>(1/1.689)*(((2/'2'!H48)*AT19)^0.5)*((AV19/(3*AX19))^0.25)</f>
        <v>48.764446825555908</v>
      </c>
      <c r="AR19" s="227">
        <f>(1/1.689)*(((2/'2'!H48)*AT19)^0.5)*((3*AV19/AX19)^0.25)</f>
        <v>84.462499504853696</v>
      </c>
      <c r="AS19" s="227">
        <f>(1/1.689)*(((2/'2'!H48)*AT19)^0.5)*((AV19/AX19)^0.25)</f>
        <v>64.177621223117796</v>
      </c>
      <c r="AT19" s="49">
        <f>AT18*'2'!R47</f>
        <v>10.506850830379715</v>
      </c>
      <c r="AU19" s="36">
        <f t="shared" si="1"/>
        <v>0.96454164658384733</v>
      </c>
      <c r="AV19" s="355">
        <f>1/(PI()*'2'!F$9*AU19)</f>
        <v>5.5934161430793383E-2</v>
      </c>
      <c r="AW19" s="33">
        <f>AT19/'2'!K48</f>
        <v>0.35967665410337846</v>
      </c>
      <c r="AX19" s="356">
        <f>IF('2'!F$22=1,'2'!F$24,('4'!K39+'5'!AO44+'6'!L44+'6'!R44+AX$3+AX$4+AX$7))</f>
        <v>4.836327512640852E-2</v>
      </c>
      <c r="AY19" s="356">
        <f t="shared" si="2"/>
        <v>0.92986368252802798</v>
      </c>
      <c r="AZ19" s="357">
        <f t="shared" si="4"/>
        <v>9.6133241607150861</v>
      </c>
      <c r="BA19" s="34">
        <f>(1+AX$7)*(AX19+((1/(PI()*'2'!F$9*AU19))*(AW19^2)))</f>
        <v>5.5599326317162287E-2</v>
      </c>
      <c r="BB19" s="35">
        <f t="shared" si="3"/>
        <v>6.4690829534809344</v>
      </c>
      <c r="BC19" s="52">
        <f>BA19*'2'!K48*'2'!P48/AT19</f>
        <v>184.33482890851053</v>
      </c>
    </row>
    <row r="20" spans="2:55" ht="14.4">
      <c r="B20" s="1289" t="s">
        <v>2782</v>
      </c>
      <c r="C20" s="205"/>
      <c r="D20" s="1288"/>
      <c r="E20" s="108"/>
      <c r="F20" s="231"/>
      <c r="G20" s="1280" t="s">
        <v>2631</v>
      </c>
      <c r="AM20" s="25"/>
      <c r="AN20" s="25"/>
      <c r="AO20" s="25" t="str">
        <f>'2'!C49</f>
        <v>Cruise 1d</v>
      </c>
      <c r="AP20" s="227">
        <f>(1/1.689)*(((2/'2'!H49)*AT20)^0.5)*((AV20/AX20)^0.25)</f>
        <v>63.949551455124933</v>
      </c>
      <c r="AQ20" s="227">
        <f>(1/1.689)*(((2/'2'!H49)*AT20)^0.5)*((AV20/(3*AX20))^0.25)</f>
        <v>48.59115127701665</v>
      </c>
      <c r="AR20" s="227">
        <f>(1/1.689)*(((2/'2'!H49)*AT20)^0.5)*((3*AV20/AX20)^0.25)</f>
        <v>84.162342810058178</v>
      </c>
      <c r="AS20" s="227">
        <f>(1/1.689)*(((2/'2'!H49)*AT20)^0.5)*((AV20/AX20)^0.25)</f>
        <v>63.949551455124933</v>
      </c>
      <c r="AT20" s="49">
        <f>AT19*'2'!R48</f>
        <v>10.432306554788536</v>
      </c>
      <c r="AU20" s="36">
        <f t="shared" si="1"/>
        <v>0.96454164658384733</v>
      </c>
      <c r="AV20" s="355">
        <f>1/(PI()*'2'!F$9*AU20)</f>
        <v>5.5934161430793383E-2</v>
      </c>
      <c r="AW20" s="33">
        <f>AT20/'2'!K49</f>
        <v>0.35712481092410048</v>
      </c>
      <c r="AX20" s="356">
        <f>IF('2'!F$22=1,'2'!F$24,('4'!K40+'5'!AO45+'6'!L45+'6'!R45+AX$3+AX$4+AX$7))</f>
        <v>4.836327512640852E-2</v>
      </c>
      <c r="AY20" s="356">
        <f>(AX20/AV20)^0.5</f>
        <v>0.92986368252802798</v>
      </c>
      <c r="AZ20" s="357">
        <f t="shared" si="4"/>
        <v>9.6133241607150861</v>
      </c>
      <c r="BA20" s="34">
        <f>(1+AX$7)*(AX20+((1/(PI()*'2'!F$9*AU20))*(AW20^2)))</f>
        <v>5.5497013510716175E-2</v>
      </c>
      <c r="BB20" s="35">
        <f t="shared" si="3"/>
        <v>6.4350275507193118</v>
      </c>
      <c r="BC20" s="52">
        <f>BA20*'2'!K49*'2'!P49/AT20</f>
        <v>183.99561951658714</v>
      </c>
    </row>
    <row r="21" spans="2:55" ht="14.4">
      <c r="B21" s="1360"/>
      <c r="C21" s="205"/>
      <c r="D21" s="1288"/>
      <c r="E21" s="108"/>
      <c r="F21" s="231"/>
      <c r="G21" s="883" t="s">
        <v>604</v>
      </c>
      <c r="H21" s="231" t="s">
        <v>87</v>
      </c>
      <c r="I21" s="231" t="s">
        <v>87</v>
      </c>
      <c r="J21" s="234">
        <v>5</v>
      </c>
      <c r="AM21" s="25"/>
      <c r="AN21" s="25"/>
      <c r="AO21" s="25" t="str">
        <f>'2'!C50</f>
        <v>Cruise 1e</v>
      </c>
      <c r="AP21" s="227">
        <f>(1/1.689)*(((2/'2'!H50)*AT21)^0.5)*((AV21/AX21)^0.25)</f>
        <v>63.721091636041393</v>
      </c>
      <c r="AQ21" s="227">
        <f>(1/1.689)*(((2/'2'!H50)*AT21)^0.5)*((AV21/(3*AX21))^0.25)</f>
        <v>48.41755935373947</v>
      </c>
      <c r="AR21" s="227">
        <f>(1/1.689)*(((2/'2'!H50)*AT21)^0.5)*((3*AV21/AX21)^0.25)</f>
        <v>83.861672779158496</v>
      </c>
      <c r="AS21" s="227">
        <f>(1/1.689)*(((2/'2'!H50)*AT21)^0.5)*((AV21/AX21)^0.25)</f>
        <v>63.721091636041393</v>
      </c>
      <c r="AT21" s="49">
        <f>AT20*'2'!R49</f>
        <v>10.357900854319766</v>
      </c>
      <c r="AU21" s="36">
        <f t="shared" si="1"/>
        <v>0.96454164658384733</v>
      </c>
      <c r="AV21" s="355">
        <f>1/(PI()*'2'!F$9*AU21)</f>
        <v>5.5934161430793383E-2</v>
      </c>
      <c r="AW21" s="33">
        <f>AT21/'2'!K50</f>
        <v>0.35457771152934703</v>
      </c>
      <c r="AX21" s="356">
        <f>IF('2'!F$22=1,'2'!F$24,('4'!K41+'5'!AO46+'6'!L46+'6'!R46+AX$3+AX$4+AX$7))</f>
        <v>4.836327512640852E-2</v>
      </c>
      <c r="AY21" s="356">
        <f t="shared" si="2"/>
        <v>0.92986368252802798</v>
      </c>
      <c r="AZ21" s="357">
        <f t="shared" si="4"/>
        <v>9.6133241607150861</v>
      </c>
      <c r="BA21" s="34">
        <f>(1+AX$7)*(AX21+((1/(PI()*'2'!F$9*AU21))*(AW21^2)))</f>
        <v>5.5395617345769976E-2</v>
      </c>
      <c r="BB21" s="35">
        <f t="shared" si="3"/>
        <v>6.4008260674510327</v>
      </c>
      <c r="BC21" s="52">
        <f>BA21*'2'!K50*'2'!P50/AT21</f>
        <v>183.65944917145174</v>
      </c>
    </row>
    <row r="22" spans="2:55">
      <c r="B22" s="199" t="str">
        <f>IF(E6=1,"Takeoff Climb Specs=Military: MIL-C5011A",IF(E6=2,"Takeoff Climb Specs=Civil: FAR Part 23","Takeoff Climb Specs=Commercial: FAR Part 25"))</f>
        <v>Takeoff Climb Specs=Civil: FAR Part 23</v>
      </c>
      <c r="C22" s="200"/>
      <c r="D22" s="200"/>
      <c r="E22" s="108"/>
      <c r="F22" s="239"/>
      <c r="G22" s="231" t="s">
        <v>586</v>
      </c>
      <c r="H22" s="231" t="s">
        <v>587</v>
      </c>
      <c r="I22" s="231" t="s">
        <v>87</v>
      </c>
      <c r="J22" s="209">
        <v>1</v>
      </c>
      <c r="AM22" s="25"/>
      <c r="AN22" s="25"/>
      <c r="AO22" s="25" t="str">
        <f>'2'!C51</f>
        <v>Loiter 1a</v>
      </c>
      <c r="AP22" s="227">
        <f>(1/1.689)*(((2/'2'!H51)*AT22)^0.5)*((AV22/AX22)^0.25)</f>
        <v>60.275158710581856</v>
      </c>
      <c r="AQ22" s="227">
        <f>(1/1.689)*(((2/'2'!H51)*AT22)^0.5)*((AV22/(3*AX22))^0.25)</f>
        <v>45.799216546613522</v>
      </c>
      <c r="AR22" s="227">
        <f>(1/1.689)*(((2/'2'!H51)*AT22)^0.5)*((3*AV22/AX22)^0.25)</f>
        <v>79.326570005583847</v>
      </c>
      <c r="AS22" s="227">
        <f>(1/1.689)*(((2/'2'!H51)*AT22)^0.5)*((AV22/AX22)^0.25)</f>
        <v>60.275158710581856</v>
      </c>
      <c r="AT22" s="49">
        <f>AT21*'2'!R50</f>
        <v>10.283632515805611</v>
      </c>
      <c r="AU22" s="36">
        <f t="shared" si="1"/>
        <v>0.96454164658384733</v>
      </c>
      <c r="AV22" s="355">
        <f>1/(PI()*'2'!F$9*AU22)</f>
        <v>5.5934161430793383E-2</v>
      </c>
      <c r="AW22" s="33">
        <f>AT22/'2'!K51</f>
        <v>0.3505724733951624</v>
      </c>
      <c r="AX22" s="356">
        <f>IF('2'!F$22=1,'2'!F$24,('4'!K42+'5'!AO47+'6'!L47+'6'!R47+AX$3+AX$4+AX$7))</f>
        <v>4.8066490496486716E-2</v>
      </c>
      <c r="AY22" s="356">
        <f t="shared" si="2"/>
        <v>0.92700620515103183</v>
      </c>
      <c r="AZ22" s="357">
        <f>1/(2*((AX22*AV22)^0.5))</f>
        <v>9.6429570328084253</v>
      </c>
      <c r="BA22" s="34">
        <f>(1+AX$7)*(AX22+((1/(PI()*'2'!F$9*AU22))*(AW22^2)))</f>
        <v>5.4940858176335941E-2</v>
      </c>
      <c r="BB22" s="35">
        <f t="shared" si="3"/>
        <v>6.3809063970202153</v>
      </c>
      <c r="BC22" s="52">
        <f>BA22*'2'!K51*'2'!P51/AT22</f>
        <v>182.91180219309081</v>
      </c>
    </row>
    <row r="23" spans="2:55">
      <c r="B23" s="199"/>
      <c r="C23" s="200"/>
      <c r="D23" s="200"/>
      <c r="E23" s="108"/>
      <c r="F23" s="239"/>
      <c r="G23" s="239" t="s">
        <v>604</v>
      </c>
      <c r="H23" s="239" t="s">
        <v>87</v>
      </c>
      <c r="I23" s="239" t="s">
        <v>87</v>
      </c>
      <c r="J23" s="25">
        <f t="shared" ref="J23:U23" si="5">IF($J21=2,(IF(J9&lt;1,1,$J21)),$J21)</f>
        <v>5</v>
      </c>
      <c r="K23" s="25">
        <f t="shared" si="5"/>
        <v>5</v>
      </c>
      <c r="L23" s="25">
        <f t="shared" si="5"/>
        <v>5</v>
      </c>
      <c r="M23" s="25">
        <f t="shared" si="5"/>
        <v>5</v>
      </c>
      <c r="N23" s="25">
        <f t="shared" si="5"/>
        <v>5</v>
      </c>
      <c r="O23" s="25">
        <f t="shared" si="5"/>
        <v>5</v>
      </c>
      <c r="P23" s="25">
        <f t="shared" si="5"/>
        <v>5</v>
      </c>
      <c r="Q23" s="25">
        <f t="shared" si="5"/>
        <v>5</v>
      </c>
      <c r="R23" s="25">
        <f t="shared" si="5"/>
        <v>5</v>
      </c>
      <c r="S23" s="25">
        <f t="shared" si="5"/>
        <v>5</v>
      </c>
      <c r="T23" s="25">
        <f t="shared" si="5"/>
        <v>5</v>
      </c>
      <c r="U23" s="25">
        <f t="shared" si="5"/>
        <v>5</v>
      </c>
      <c r="AM23" s="25"/>
      <c r="AN23" s="25"/>
      <c r="AO23" s="25" t="str">
        <f>'2'!C52</f>
        <v>Loiter 1b</v>
      </c>
      <c r="AP23" s="227">
        <f>(1/1.689)*(((2/'2'!H52)*AT23)^0.5)*((AV23/AX23)^0.25)</f>
        <v>60.150895169257176</v>
      </c>
      <c r="AQ23" s="227">
        <f>(1/1.689)*(((2/'2'!H52)*AT23)^0.5)*((AV23/(3*AX23))^0.25)</f>
        <v>45.704796673489582</v>
      </c>
      <c r="AR23" s="227">
        <f>(1/1.689)*(((2/'2'!H52)*AT23)^0.5)*((3*AV23/AX23)^0.25)</f>
        <v>79.163029988088979</v>
      </c>
      <c r="AS23" s="227">
        <f>(1/1.689)*(((2/'2'!H52)*AT23)^0.5)*((AV23/AX23)^0.25)</f>
        <v>60.150895169257176</v>
      </c>
      <c r="AT23" s="49">
        <f>AT22*'2'!R51</f>
        <v>10.241274656309862</v>
      </c>
      <c r="AU23" s="36">
        <f t="shared" si="1"/>
        <v>0.96454164658384733</v>
      </c>
      <c r="AV23" s="355">
        <f>1/(PI()*'2'!F$9*AU23)</f>
        <v>5.5934161430793383E-2</v>
      </c>
      <c r="AW23" s="33">
        <f>AT23/'2'!K52</f>
        <v>0.34912847979189759</v>
      </c>
      <c r="AX23" s="356">
        <f>IF('2'!F$22=1,'2'!F$24,('4'!K43+'5'!AO48+'6'!L48+'6'!R48+AX$3+AX$4+AX$7))</f>
        <v>4.8066490496486716E-2</v>
      </c>
      <c r="AY23" s="356">
        <f t="shared" si="2"/>
        <v>0.92700620515103183</v>
      </c>
      <c r="AZ23" s="357">
        <f t="shared" si="4"/>
        <v>9.6429570328084253</v>
      </c>
      <c r="BA23" s="34">
        <f>(1+AX$7)*(AX23+((1/(PI()*'2'!F$9*AU23))*(AW23^2)))</f>
        <v>5.4884344330002742E-2</v>
      </c>
      <c r="BB23" s="35">
        <f t="shared" si="3"/>
        <v>6.3611669967795379</v>
      </c>
      <c r="BC23" s="52">
        <f>BA23*'2'!K52*'2'!P52/AT23</f>
        <v>182.72365352150484</v>
      </c>
    </row>
    <row r="24" spans="2:55">
      <c r="B24" s="201" t="s">
        <v>640</v>
      </c>
      <c r="C24" s="68"/>
      <c r="D24" s="202" t="s">
        <v>90</v>
      </c>
      <c r="E24" s="203" t="s">
        <v>91</v>
      </c>
      <c r="F24" s="231"/>
      <c r="G24" s="231" t="s">
        <v>2632</v>
      </c>
      <c r="H24" s="231" t="s">
        <v>669</v>
      </c>
      <c r="I24" s="231" t="s">
        <v>87</v>
      </c>
      <c r="J24" s="243">
        <v>1</v>
      </c>
      <c r="K24" s="243">
        <v>0.6</v>
      </c>
      <c r="L24" s="243">
        <v>1</v>
      </c>
      <c r="M24" s="243">
        <v>1.1000000000000001</v>
      </c>
      <c r="N24" s="243">
        <v>1.1000000000000001</v>
      </c>
      <c r="O24" s="243">
        <v>0.9</v>
      </c>
      <c r="P24" s="243">
        <v>1.1000000000000001</v>
      </c>
      <c r="Q24" s="243">
        <v>0.8</v>
      </c>
      <c r="R24" s="243">
        <v>0.8</v>
      </c>
      <c r="S24" s="212">
        <v>0.8</v>
      </c>
      <c r="T24" s="212">
        <v>0.6</v>
      </c>
      <c r="U24" s="213">
        <v>1</v>
      </c>
      <c r="AM24" s="25"/>
      <c r="AN24" s="25"/>
      <c r="AO24" s="25" t="str">
        <f>'2'!C53</f>
        <v>Loiter 1c</v>
      </c>
      <c r="AP24" s="227">
        <f>(1/1.689)*(((2/'2'!H53)*AT24)^0.5)*((AV24/AX24)^0.25)</f>
        <v>60.026503399916919</v>
      </c>
      <c r="AQ24" s="227">
        <f>(1/1.689)*(((2/'2'!H53)*AT24)^0.5)*((AV24/(3*AX24))^0.25)</f>
        <v>45.610279368143523</v>
      </c>
      <c r="AR24" s="227">
        <f>(1/1.689)*(((2/'2'!H53)*AT24)^0.5)*((3*AV24/AX24)^0.25)</f>
        <v>78.999321213035103</v>
      </c>
      <c r="AS24" s="227">
        <f>(1/1.689)*(((2/'2'!H53)*AT24)^0.5)*((AV24/AX24)^0.25)</f>
        <v>60.026503399916919</v>
      </c>
      <c r="AT24" s="49">
        <f>AT23*'2'!R52</f>
        <v>10.198960638196001</v>
      </c>
      <c r="AU24" s="36">
        <f t="shared" si="1"/>
        <v>0.96454164658384733</v>
      </c>
      <c r="AV24" s="355">
        <f>1/(PI()*'2'!F$9*AU24)</f>
        <v>5.5934161430793383E-2</v>
      </c>
      <c r="AW24" s="33">
        <f>AT24/'2'!K53</f>
        <v>0.34768598075601076</v>
      </c>
      <c r="AX24" s="356">
        <f>IF('2'!F$22=1,'2'!F$24,('4'!K44+'5'!AO49+'6'!L49+'6'!R49+AX$3+AX$4+AX$7))</f>
        <v>4.8066490496486716E-2</v>
      </c>
      <c r="AY24" s="356">
        <f t="shared" si="2"/>
        <v>0.92700620515103183</v>
      </c>
      <c r="AZ24" s="357">
        <f t="shared" si="4"/>
        <v>9.6429570328084253</v>
      </c>
      <c r="BA24" s="34">
        <f>(1+AX$7)*(AX24+((1/(PI()*'2'!F$9*AU24))*(AW24^2)))</f>
        <v>5.4828121873414473E-2</v>
      </c>
      <c r="BB24" s="35">
        <f t="shared" si="3"/>
        <v>6.3413804609017568</v>
      </c>
      <c r="BC24" s="52">
        <f>BA24*'2'!K53*'2'!P53/AT24</f>
        <v>182.53647495896263</v>
      </c>
    </row>
    <row r="25" spans="2:55">
      <c r="B25" s="199" t="s">
        <v>642</v>
      </c>
      <c r="C25" s="68"/>
      <c r="D25" s="205" t="s">
        <v>188</v>
      </c>
      <c r="E25" s="206">
        <f>E7</f>
        <v>1148.1368432300014</v>
      </c>
      <c r="G25" s="231" t="s">
        <v>718</v>
      </c>
      <c r="H25" s="231" t="s">
        <v>720</v>
      </c>
      <c r="I25" s="231" t="s">
        <v>87</v>
      </c>
      <c r="J25" s="243">
        <f>'7b'!P79</f>
        <v>0.97276759999999995</v>
      </c>
      <c r="K25" s="243">
        <f>J25</f>
        <v>0.97276759999999995</v>
      </c>
      <c r="L25" s="243">
        <f t="shared" ref="L25:U25" si="6">K25</f>
        <v>0.97276759999999995</v>
      </c>
      <c r="M25" s="243">
        <f t="shared" si="6"/>
        <v>0.97276759999999995</v>
      </c>
      <c r="N25" s="243">
        <f t="shared" si="6"/>
        <v>0.97276759999999995</v>
      </c>
      <c r="O25" s="243">
        <f t="shared" si="6"/>
        <v>0.97276759999999995</v>
      </c>
      <c r="P25" s="243">
        <f t="shared" si="6"/>
        <v>0.97276759999999995</v>
      </c>
      <c r="Q25" s="243">
        <f t="shared" si="6"/>
        <v>0.97276759999999995</v>
      </c>
      <c r="R25" s="243">
        <f t="shared" si="6"/>
        <v>0.97276759999999995</v>
      </c>
      <c r="S25" s="243">
        <f t="shared" si="6"/>
        <v>0.97276759999999995</v>
      </c>
      <c r="T25" s="243">
        <f t="shared" si="6"/>
        <v>0.97276759999999995</v>
      </c>
      <c r="U25" s="243">
        <f t="shared" si="6"/>
        <v>0.97276759999999995</v>
      </c>
      <c r="AM25" s="25"/>
      <c r="AN25" s="25"/>
      <c r="AO25" s="25" t="str">
        <f>'2'!C54</f>
        <v>Loiter 1d</v>
      </c>
      <c r="AP25" s="227">
        <f>(1/1.689)*(((2/'2'!H54)*AT25)^0.5)*((AV25/AX25)^0.25)</f>
        <v>59.901981946498154</v>
      </c>
      <c r="AQ25" s="227">
        <f>(1/1.689)*(((2/'2'!H54)*AT25)^0.5)*((AV25/(3*AX25))^0.25)</f>
        <v>45.515663524206737</v>
      </c>
      <c r="AR25" s="227">
        <f>(1/1.689)*(((2/'2'!H54)*AT25)^0.5)*((3*AV25/AX25)^0.25)</f>
        <v>78.835441764135581</v>
      </c>
      <c r="AS25" s="227">
        <f>(1/1.689)*(((2/'2'!H54)*AT25)^0.5)*((AV25/AX25)^0.25)</f>
        <v>59.901981946498154</v>
      </c>
      <c r="AT25" s="49">
        <f>AT24*'2'!R53</f>
        <v>10.156690238589697</v>
      </c>
      <c r="AU25" s="36">
        <f t="shared" si="1"/>
        <v>0.96454164658384733</v>
      </c>
      <c r="AV25" s="355">
        <f>1/(PI()*'2'!F$9*AU25)</f>
        <v>5.5934161430793383E-2</v>
      </c>
      <c r="AW25" s="33">
        <f>AT25/'2'!K54</f>
        <v>0.34624496868964139</v>
      </c>
      <c r="AX25" s="356">
        <f>IF('2'!F$22=1,'2'!F$24,('4'!K45+'5'!AO50+'6'!L50+'6'!R50+AX$3+AX$4+AX$7))</f>
        <v>4.8066490496486716E-2</v>
      </c>
      <c r="AY25" s="356">
        <f t="shared" si="2"/>
        <v>0.92700620515103183</v>
      </c>
      <c r="AZ25" s="357">
        <f t="shared" si="4"/>
        <v>9.6429570328084253</v>
      </c>
      <c r="BA25" s="34">
        <f>(1+AX$7)*(AX25+((1/(PI()*'2'!F$9*AU25))*(AW25^2)))</f>
        <v>5.4772189788741994E-2</v>
      </c>
      <c r="BB25" s="35">
        <f t="shared" si="3"/>
        <v>6.3215469387862484</v>
      </c>
      <c r="BC25" s="52">
        <f>BA25*'2'!K54*'2'!P54/AT25</f>
        <v>182.35026311685732</v>
      </c>
    </row>
    <row r="26" spans="2:55">
      <c r="B26" s="199" t="s">
        <v>608</v>
      </c>
      <c r="C26" s="68"/>
      <c r="D26" s="205" t="s">
        <v>188</v>
      </c>
      <c r="E26" s="206">
        <f>E8</f>
        <v>1249.9058705831114</v>
      </c>
      <c r="G26" s="239" t="s">
        <v>2629</v>
      </c>
      <c r="H26" s="1270" t="s">
        <v>2630</v>
      </c>
      <c r="I26" s="239" t="s">
        <v>87</v>
      </c>
      <c r="J26" s="243">
        <v>1</v>
      </c>
      <c r="K26" s="243">
        <v>1</v>
      </c>
      <c r="L26" s="243">
        <v>1</v>
      </c>
      <c r="M26" s="243">
        <v>1</v>
      </c>
      <c r="N26" s="243">
        <v>1</v>
      </c>
      <c r="O26" s="243">
        <v>1</v>
      </c>
      <c r="P26" s="243">
        <v>1</v>
      </c>
      <c r="Q26" s="243">
        <v>1</v>
      </c>
      <c r="R26" s="243">
        <v>1</v>
      </c>
      <c r="S26" s="243">
        <v>1</v>
      </c>
      <c r="T26" s="243">
        <v>1</v>
      </c>
      <c r="U26" s="243">
        <v>1</v>
      </c>
      <c r="AM26" s="25"/>
      <c r="AN26" s="25"/>
      <c r="AO26" s="25" t="str">
        <f>'2'!C55</f>
        <v>Loiter 1e</v>
      </c>
      <c r="AP26" s="227">
        <f>(1/1.689)*(((2/'2'!H55)*AT26)^0.5)*((AV26/AX26)^0.25)</f>
        <v>59.777329342354605</v>
      </c>
      <c r="AQ26" s="227">
        <f>(1/1.689)*(((2/'2'!H55)*AT26)^0.5)*((AV26/(3*AX26))^0.25)</f>
        <v>45.42094802726907</v>
      </c>
      <c r="AR26" s="227">
        <f>(1/1.689)*(((2/'2'!H55)*AT26)^0.5)*((3*AV26/AX26)^0.25)</f>
        <v>78.671389711175408</v>
      </c>
      <c r="AS26" s="227">
        <f>(1/1.689)*(((2/'2'!H55)*AT26)^0.5)*((AV26/AX26)^0.25)</f>
        <v>59.777329342354605</v>
      </c>
      <c r="AT26" s="49">
        <f>AT25*'2'!R54</f>
        <v>10.11446323542437</v>
      </c>
      <c r="AU26" s="36">
        <f t="shared" si="1"/>
        <v>0.96454164658384733</v>
      </c>
      <c r="AV26" s="355">
        <f>1/(PI()*'2'!F$9*AU26)</f>
        <v>5.5934161430793383E-2</v>
      </c>
      <c r="AW26" s="33">
        <f>AT26/'2'!K55</f>
        <v>0.34480543602246561</v>
      </c>
      <c r="AX26" s="356">
        <f>IF('2'!F$22=1,'2'!F$24,('4'!K46+'5'!AO51+'6'!L51+'6'!R51+AX$3+AX$4+AX$7))</f>
        <v>4.8066490496486716E-2</v>
      </c>
      <c r="AY26" s="356">
        <f t="shared" si="2"/>
        <v>0.92700620515103183</v>
      </c>
      <c r="AZ26" s="357">
        <f t="shared" si="4"/>
        <v>9.6429570328084253</v>
      </c>
      <c r="BA26" s="34">
        <f>(1+AX$7)*(AX26+((1/(PI()*'2'!F$9*AU26))*(AW26^2)))</f>
        <v>5.4716547064862148E-2</v>
      </c>
      <c r="BB26" s="35">
        <f>AW26/BA26</f>
        <v>6.3016665801978693</v>
      </c>
      <c r="BC26" s="52">
        <f>BA26*'2'!K55*'2'!P55/AT26</f>
        <v>182.16501462890815</v>
      </c>
    </row>
    <row r="27" spans="2:55">
      <c r="B27" s="199" t="s">
        <v>645</v>
      </c>
      <c r="C27" s="68"/>
      <c r="D27" s="205" t="str">
        <f>IF(E$6=1,"fpm at SL",IF(E$6=2,"fpm at SL"," -"))</f>
        <v>fpm at SL</v>
      </c>
      <c r="E27" s="206">
        <f>IF(E$6=1,500,IF(E$6=2,300," -"))</f>
        <v>300</v>
      </c>
      <c r="G27" s="231" t="s">
        <v>2625</v>
      </c>
      <c r="H27" s="76" t="s">
        <v>2627</v>
      </c>
      <c r="I27" s="231" t="s">
        <v>87</v>
      </c>
      <c r="J27" s="1277">
        <v>1</v>
      </c>
      <c r="K27" s="1277">
        <v>1</v>
      </c>
      <c r="L27" s="1277">
        <v>1</v>
      </c>
      <c r="M27" s="1277">
        <v>1</v>
      </c>
      <c r="N27" s="1277">
        <v>1</v>
      </c>
      <c r="O27" s="1277">
        <v>1</v>
      </c>
      <c r="P27" s="1277">
        <v>1</v>
      </c>
      <c r="Q27" s="1277">
        <v>1</v>
      </c>
      <c r="R27" s="1277">
        <v>1</v>
      </c>
      <c r="S27" s="1277">
        <v>1</v>
      </c>
      <c r="T27" s="1277">
        <v>1</v>
      </c>
      <c r="U27" s="1277">
        <v>1</v>
      </c>
      <c r="AM27" s="25"/>
      <c r="AN27" s="25"/>
      <c r="AO27" s="25" t="str">
        <f>'2'!C56</f>
        <v>Climb+Accel2</v>
      </c>
      <c r="AP27" s="227">
        <f>(1/1.689)*(((2/'2'!H56)*AT27)^0.5)*((AV27/AX27)^0.25)</f>
        <v>59.665952278178828</v>
      </c>
      <c r="AQ27" s="227">
        <f>(1/1.689)*(((2/'2'!H56)*AT27)^0.5)*((AV27/(3*AX27))^0.25)</f>
        <v>45.336319759345209</v>
      </c>
      <c r="AR27" s="227">
        <f>(1/1.689)*(((2/'2'!H56)*AT27)^0.5)*((3*AV27/AX27)^0.25)</f>
        <v>78.52480925137472</v>
      </c>
      <c r="AS27" s="227">
        <f>(1/1.689)*(((2/'2'!H56)*AT27)^0.5)*((AV27/AX27)^0.25)</f>
        <v>59.665952278178828</v>
      </c>
      <c r="AT27" s="49">
        <f>AT26*'2'!R55</f>
        <v>10.072279407436364</v>
      </c>
      <c r="AU27" s="36">
        <f t="shared" si="1"/>
        <v>0.96454164658384733</v>
      </c>
      <c r="AV27" s="355">
        <f>1/(PI()*'2'!F$9*AU27)</f>
        <v>5.5934161430793383E-2</v>
      </c>
      <c r="AW27" s="33">
        <f>AT27/'2'!K56</f>
        <v>0.30178773211950971</v>
      </c>
      <c r="AX27" s="356">
        <f>IF('2'!F$22=1,'2'!F$24,('4'!K47+'5'!AO52+'6'!L52+'6'!R52+AX$3+AX$4+AX$7))</f>
        <v>4.8023298937590428E-2</v>
      </c>
      <c r="AY27" s="356">
        <f t="shared" si="2"/>
        <v>0.92658961719904276</v>
      </c>
      <c r="AZ27" s="357">
        <f t="shared" si="4"/>
        <v>9.6472924361486445</v>
      </c>
      <c r="BA27" s="34">
        <f>(1+AX$7)*(AX27+((1/(PI()*'2'!F$9*AU27))*(AW27^2)))</f>
        <v>5.3117549409346626E-2</v>
      </c>
      <c r="BB27" s="35">
        <f t="shared" si="3"/>
        <v>5.6815070626433455</v>
      </c>
      <c r="BC27" s="52">
        <f>BA27*'2'!K56*'2'!P56/AT27</f>
        <v>201.20638934618401</v>
      </c>
    </row>
    <row r="28" spans="2:55">
      <c r="B28" s="199" t="s">
        <v>649</v>
      </c>
      <c r="C28" s="68"/>
      <c r="D28" s="205" t="str">
        <f>IF(E$6=1,"fpm at SL",IF(E$6=2," -","% at Vclimb"))</f>
        <v xml:space="preserve"> -</v>
      </c>
      <c r="E28" s="207" t="str">
        <f>IF(E$6=1,100,IF(E$6=2," -","3%"))</f>
        <v xml:space="preserve"> -</v>
      </c>
      <c r="G28" s="231" t="str">
        <f>IF(D$21&gt;3,"Engine Power Available h &amp; M Lapse", "Engine Thrust Available h &amp; M Lapse")</f>
        <v>Engine Thrust Available h &amp; M Lapse</v>
      </c>
      <c r="H28" s="223" t="str">
        <f>IF(D$21&gt;3,"a=Pa/Pao","a=T/To")</f>
        <v>a=T/To</v>
      </c>
      <c r="I28" s="231" t="s">
        <v>87</v>
      </c>
      <c r="J28" s="244">
        <f>IF(J23=1,((('7a'!$F$158*(((J76)^'7a'!$F$159)))+'7a'!$F$160)*'7a'!$F$161*('7a'!$F$162+('7a'!$F$163*((J9-'7a'!$F$164)^'7a'!$F$165)))),
IF(J23=2,((('7a'!$G$158*(((J76)^'7a'!$G$159)))+'7a'!$G$160)*'7a'!$G$161*('7a'!$G$162+('7a'!$G$163*((J9-'7a'!$G$164)^'7a'!$G165)))),
IF(J23=3,((('7a'!$H$158*(((J76)^'7a'!$H$159)))+'7a'!$H$160)*'7a'!$H$161*('7a'!$H$162+('7a'!$H$163*((J9-'7a'!$H$164)^'7a'!$H$165)))),
IF(J23=4,((('7a'!$I$158*(((J76)^'7a'!$I$159)))+'7a'!$I$160)*'7a'!$I$161*('7a'!$I$162+('7a'!$I$163*((J9-'7a'!$I$164)^'7a'!$I$165)))),
IF(J23=5,((('7a'!$J$158*(((J76)^'7a'!$J$159)))+'7a'!$J$160)*'7a'!$J$161*('7a'!$J$162+('7a'!$J$163*((J9-'7a'!$J$164)^'7a'!$J$165)))),
IF(J23=6,((('7a'!$K$158*(((J76)^'7a'!$K$159)))+'7a'!$K$160)*'7a'!$K161*('7a'!$K$162+('7a'!$K$163*((J9-'7a'!$K164)^'7a'!$K$165))))))))))</f>
        <v>0.99999999999999967</v>
      </c>
      <c r="K28" s="244">
        <f>IF(K23=1,((('7a'!$F$158*(((K76)^'7a'!$F$159)))+'7a'!$F$160)*'7a'!$F$161*('7a'!$F$162+('7a'!$F$163*((K9-'7a'!$F$164)^'7a'!$F$165)))),
IF(K23=2,((('7a'!$G$158*(((K76)^'7a'!$G$159)))+'7a'!$G$160)*'7a'!$G$161*('7a'!$G$162+('7a'!$G$163*((K9-'7a'!$G$164)^'7a'!$G165)))),
IF(K23=3,((('7a'!$H$158*(((K76)^'7a'!$H$159)))+'7a'!$H$160)*'7a'!$H$161*('7a'!$H$162+('7a'!$H$163*((K9-'7a'!$H$164)^'7a'!$H$165)))),
IF(K23=4,((('7a'!$I$158*(((K76)^'7a'!$I$159)))+'7a'!$I$160)*'7a'!$I$161*('7a'!$I$162+('7a'!$I$163*((K9-'7a'!$I$164)^'7a'!$I$165)))),
IF(K23=5,((('7a'!$J$158*(((K76)^'7a'!$J$159)))+'7a'!$J$160)*'7a'!$J$161*('7a'!$J$162+('7a'!$J$163*((K9-'7a'!$J$164)^'7a'!$J$165)))),
IF(K23=6,((('7a'!$K$158*(((K76)^'7a'!$K$159)))+'7a'!$K$160)*'7a'!$K161*('7a'!$K$162+('7a'!$K$163*((K9-'7a'!$K164)^'7a'!$K$165))))))))))</f>
        <v>0.99999999999999967</v>
      </c>
      <c r="L28" s="244">
        <f>IF(L23=1,((('7a'!$F$158*(((L76)^'7a'!$F$159)))+'7a'!$F$160)*'7a'!$F$161*('7a'!$F$162+('7a'!$F$163*((L9-'7a'!$F$164)^'7a'!$F$165)))),
IF(L23=2,((('7a'!$G$158*(((L76)^'7a'!$G$159)))+'7a'!$G$160)*'7a'!$G$161*('7a'!$G$162+('7a'!$G$163*((L9-'7a'!$G$164)^'7a'!$G165)))),
IF(L23=3,((('7a'!$H$158*(((L76)^'7a'!$H$159)))+'7a'!$H$160)*'7a'!$H$161*('7a'!$H$162+('7a'!$H$163*((L9-'7a'!$H$164)^'7a'!$H$165)))),
IF(L23=4,((('7a'!$I$158*(((L76)^'7a'!$I$159)))+'7a'!$I$160)*'7a'!$I$161*('7a'!$I$162+('7a'!$I$163*((L9-'7a'!$I$164)^'7a'!$I$165)))),
IF(L23=5,((('7a'!$J$158*(((L76)^'7a'!$J$159)))+'7a'!$J$160)*'7a'!$J$161*('7a'!$J$162+('7a'!$J$163*((L9-'7a'!$J$164)^'7a'!$J$165)))),
IF(L23=6,((('7a'!$K$158*(((L76)^'7a'!$K$159)))+'7a'!$K$160)*'7a'!$K161*('7a'!$K$162+('7a'!$K$163*((L9-'7a'!$K164)^'7a'!$K$165))))))))))</f>
        <v>0.99999999999999967</v>
      </c>
      <c r="M28" s="244">
        <f>IF(M23=1,((('7a'!$F$158*(((M76)^'7a'!$F$159)))+'7a'!$F$160)*'7a'!$F$161*('7a'!$F$162+('7a'!$F$163*((M9-'7a'!$F$164)^'7a'!$F$165)))),
IF(M23=2,((('7a'!$G$158*(((M76)^'7a'!$G$159)))+'7a'!$G$160)*'7a'!$G$161*('7a'!$G$162+('7a'!$G$163*((M9-'7a'!$G$164)^'7a'!$G165)))),
IF(M23=3,((('7a'!$H$158*(((M76)^'7a'!$H$159)))+'7a'!$H$160)*'7a'!$H$161*('7a'!$H$162+('7a'!$H$163*((M9-'7a'!$H$164)^'7a'!$H$165)))),
IF(M23=4,((('7a'!$I$158*(((M76)^'7a'!$I$159)))+'7a'!$I$160)*'7a'!$I$161*('7a'!$I$162+('7a'!$I$163*((M9-'7a'!$I$164)^'7a'!$I$165)))),
IF(M23=5,((('7a'!$J$158*(((M76)^'7a'!$J$159)))+'7a'!$J$160)*'7a'!$J$161*('7a'!$J$162+('7a'!$J$163*((M9-'7a'!$J$164)^'7a'!$J$165)))),
IF(M23=6,((('7a'!$K$158*(((M76)^'7a'!$K$159)))+'7a'!$K$160)*'7a'!$K161*('7a'!$K$162+('7a'!$K$163*((M9-'7a'!$K164)^'7a'!$K$165))))))))))</f>
        <v>0.99999999999999967</v>
      </c>
      <c r="N28" s="244">
        <f>IF(N23=1,((('7a'!$F$158*(((N76)^'7a'!$F$159)))+'7a'!$F$160)*'7a'!$F$161*('7a'!$F$162+('7a'!$F$163*((N9-'7a'!$F$164)^'7a'!$F$165)))),
IF(N23=2,((('7a'!$G$158*(((N76)^'7a'!$G$159)))+'7a'!$G$160)*'7a'!$G$161*('7a'!$G$162+('7a'!$G$163*((N9-'7a'!$G$164)^'7a'!$G165)))),
IF(N23=3,((('7a'!$H$158*(((N76)^'7a'!$H$159)))+'7a'!$H$160)*'7a'!$H$161*('7a'!$H$162+('7a'!$H$163*((N9-'7a'!$H$164)^'7a'!$H$165)))),
IF(N23=4,((('7a'!$I$158*(((N76)^'7a'!$I$159)))+'7a'!$I$160)*'7a'!$I$161*('7a'!$I$162+('7a'!$I$163*((N9-'7a'!$I$164)^'7a'!$I$165)))),
IF(N23=5,((('7a'!$J$158*(((N76)^'7a'!$J$159)))+'7a'!$J$160)*'7a'!$J$161*('7a'!$J$162+('7a'!$J$163*((N9-'7a'!$J$164)^'7a'!$J$165)))),
IF(N23=6,((('7a'!$K$158*(((N76)^'7a'!$K$159)))+'7a'!$K$160)*'7a'!$K161*('7a'!$K$162+('7a'!$K$163*((N9-'7a'!$K164)^'7a'!$K$165))))))))))</f>
        <v>0.99999999999999967</v>
      </c>
      <c r="O28" s="244">
        <f>IF(O23=1,((('7a'!$F$158*(((O76)^'7a'!$F$159)))+'7a'!$F$160)*'7a'!$F$161*('7a'!$F$162+('7a'!$F$163*((O9-'7a'!$F$164)^'7a'!$F$165)))),
IF(O23=2,((('7a'!$G$158*(((O76)^'7a'!$G$159)))+'7a'!$G$160)*'7a'!$G$161*('7a'!$G$162+('7a'!$G$163*((O9-'7a'!$G$164)^'7a'!$G165)))),
IF(O23=3,((('7a'!$H$158*(((O76)^'7a'!$H$159)))+'7a'!$H$160)*'7a'!$H$161*('7a'!$H$162+('7a'!$H$163*((O9-'7a'!$H$164)^'7a'!$H$165)))),
IF(O23=4,((('7a'!$I$158*(((O76)^'7a'!$I$159)))+'7a'!$I$160)*'7a'!$I$161*('7a'!$I$162+('7a'!$I$163*((O9-'7a'!$I$164)^'7a'!$I$165)))),
IF(O23=5,((('7a'!$J$158*(((O76)^'7a'!$J$159)))+'7a'!$J$160)*'7a'!$J$161*('7a'!$J$162+('7a'!$J$163*((O9-'7a'!$J$164)^'7a'!$J$165)))),
IF(O23=6,((('7a'!$K$158*(((O76)^'7a'!$K$159)))+'7a'!$K$160)*'7a'!$K161*('7a'!$K$162+('7a'!$K$163*((O9-'7a'!$K164)^'7a'!$K$165))))))))))</f>
        <v>0.65053246917803242</v>
      </c>
      <c r="P28" s="244">
        <f>IF(P23=1,((('7a'!$F$158*(((P76)^'7a'!$F$159)))+'7a'!$F$160)*'7a'!$F$161*('7a'!$F$162+('7a'!$F$163*((P9-'7a'!$F$164)^'7a'!$F$165)))),
IF(P23=2,((('7a'!$G$158*(((P76)^'7a'!$G$159)))+'7a'!$G$160)*'7a'!$G$161*('7a'!$G$162+('7a'!$G$163*((P9-'7a'!$G$164)^'7a'!$G165)))),
IF(P23=3,((('7a'!$H$158*(((P76)^'7a'!$H$159)))+'7a'!$H$160)*'7a'!$H$161*('7a'!$H$162+('7a'!$H$163*((P9-'7a'!$H$164)^'7a'!$H$165)))),
IF(P23=4,((('7a'!$I$158*(((P76)^'7a'!$I$159)))+'7a'!$I$160)*'7a'!$I$161*('7a'!$I$162+('7a'!$I$163*((P9-'7a'!$I$164)^'7a'!$I$165)))),
IF(P23=5,((('7a'!$J$158*(((P76)^'7a'!$J$159)))+'7a'!$J$160)*'7a'!$J$161*('7a'!$J$162+('7a'!$J$163*((P9-'7a'!$J$164)^'7a'!$J$165)))),
IF(P23=6,((('7a'!$K$158*(((P76)^'7a'!$K$159)))+'7a'!$K$160)*'7a'!$K161*('7a'!$K$162+('7a'!$K$163*((P9-'7a'!$K164)^'7a'!$K$165))))))))))</f>
        <v>0.70086694797027504</v>
      </c>
      <c r="Q28" s="244">
        <f>IF(Q23=1,((('7a'!$F$158*(((Q76)^'7a'!$F$159)))+'7a'!$F$160)*'7a'!$F$161*('7a'!$F$162+('7a'!$F$163*((Q9-'7a'!$F$164)^'7a'!$F$165)))),
IF(Q23=2,((('7a'!$G$158*(((Q76)^'7a'!$G$159)))+'7a'!$G$160)*'7a'!$G$161*('7a'!$G$162+('7a'!$G$163*((Q9-'7a'!$G$164)^'7a'!$G165)))),
IF(Q23=3,((('7a'!$H$158*(((Q76)^'7a'!$H$159)))+'7a'!$H$160)*'7a'!$H$161*('7a'!$H$162+('7a'!$H$163*((Q9-'7a'!$H$164)^'7a'!$H$165)))),
IF(Q23=4,((('7a'!$I$158*(((Q76)^'7a'!$I$159)))+'7a'!$I$160)*'7a'!$I$161*('7a'!$I$162+('7a'!$I$163*((Q9-'7a'!$I$164)^'7a'!$I$165)))),
IF(Q23=5,((('7a'!$J$158*(((Q76)^'7a'!$J$159)))+'7a'!$J$160)*'7a'!$J$161*('7a'!$J$162+('7a'!$J$163*((Q9-'7a'!$J$164)^'7a'!$J$165)))),
IF(Q23=6,((('7a'!$K$158*(((Q76)^'7a'!$K$159)))+'7a'!$K$160)*'7a'!$K161*('7a'!$K$162+('7a'!$K$163*((Q9-'7a'!$K164)^'7a'!$K$165))))))))))</f>
        <v>0.78152081242143079</v>
      </c>
      <c r="R28" s="244">
        <f>IF(R23=1,((('7a'!$F$158*(((R76)^'7a'!$F$159)))+'7a'!$F$160)*'7a'!$F$161*('7a'!$F$162+('7a'!$F$163*((R9-'7a'!$F$164)^'7a'!$F$165)))),
IF(R23=2,((('7a'!$G$158*(((R76)^'7a'!$G$159)))+'7a'!$G$160)*'7a'!$G$161*('7a'!$G$162+('7a'!$G$163*((R9-'7a'!$G$164)^'7a'!$G165)))),
IF(R23=3,((('7a'!$H$158*(((R76)^'7a'!$H$159)))+'7a'!$H$160)*'7a'!$H$161*('7a'!$H$162+('7a'!$H$163*((R9-'7a'!$H$164)^'7a'!$H$165)))),
IF(R23=4,((('7a'!$I$158*(((R76)^'7a'!$I$159)))+'7a'!$I$160)*'7a'!$I$161*('7a'!$I$162+('7a'!$I$163*((R9-'7a'!$I$164)^'7a'!$I$165)))),
IF(R23=5,((('7a'!$J$158*(((R76)^'7a'!$J$159)))+'7a'!$J$160)*'7a'!$J$161*('7a'!$J$162+('7a'!$J$163*((R9-'7a'!$J$164)^'7a'!$J$165)))),
IF(R23=6,((('7a'!$K$158*(((R76)^'7a'!$K$159)))+'7a'!$K$160)*'7a'!$K161*('7a'!$K$162+('7a'!$K$163*((R9-'7a'!$K164)^'7a'!$K$165))))))))))</f>
        <v>0.88476263844922387</v>
      </c>
      <c r="S28" s="244">
        <f>IF(S23=1,((('7a'!$F$158*(((S76)^'7a'!$F$159)))+'7a'!$F$160)*'7a'!$F$161*('7a'!$F$162+('7a'!$F$163*((S9-'7a'!$F$164)^'7a'!$F$165)))),
IF(S23=2,((('7a'!$G$158*(((S76)^'7a'!$G$159)))+'7a'!$G$160)*'7a'!$G$161*('7a'!$G$162+('7a'!$G$163*((S9-'7a'!$G$164)^'7a'!$G165)))),
IF(S23=3,((('7a'!$H$158*(((S76)^'7a'!$H$159)))+'7a'!$H$160)*'7a'!$H$161*('7a'!$H$162+('7a'!$H$163*((S9-'7a'!$H$164)^'7a'!$H$165)))),
IF(S23=4,((('7a'!$I$158*(((S76)^'7a'!$I$159)))+'7a'!$I$160)*'7a'!$I$161*('7a'!$I$162+('7a'!$I$163*((S9-'7a'!$I$164)^'7a'!$I$165)))),
IF(S23=5,((('7a'!$J$158*(((S76)^'7a'!$J$159)))+'7a'!$J$160)*'7a'!$J$161*('7a'!$J$162+('7a'!$J$163*((S9-'7a'!$J$164)^'7a'!$J$165)))),
IF(S23=6,((('7a'!$K$158*(((S76)^'7a'!$K$159)))+'7a'!$K$160)*'7a'!$K161*('7a'!$K$162+('7a'!$K$163*((S9-'7a'!$K164)^'7a'!$K$165))))))))))</f>
        <v>0.75389932971160412</v>
      </c>
      <c r="T28" s="244">
        <f>IF(T23=1,((('7a'!$F$158*(((T76)^'7a'!$F$159)))+'7a'!$F$160)*'7a'!$F$161*('7a'!$F$162+('7a'!$F$163*((T9-'7a'!$F$164)^'7a'!$F$165)))),
IF(T23=2,((('7a'!$G$158*(((T76)^'7a'!$G$159)))+'7a'!$G$160)*'7a'!$G$161*('7a'!$G$162+('7a'!$G$163*((T9-'7a'!$G$164)^'7a'!$G165)))),
IF(T23=3,((('7a'!$H$158*(((T76)^'7a'!$H$159)))+'7a'!$H$160)*'7a'!$H$161*('7a'!$H$162+('7a'!$H$163*((T9-'7a'!$H$164)^'7a'!$H$165)))),
IF(T23=4,((('7a'!$I$158*(((T76)^'7a'!$I$159)))+'7a'!$I$160)*'7a'!$I$161*('7a'!$I$162+('7a'!$I$163*((T9-'7a'!$I$164)^'7a'!$I$165)))),
IF(T23=5,((('7a'!$J$158*(((T76)^'7a'!$J$159)))+'7a'!$J$160)*'7a'!$J$161*('7a'!$J$162+('7a'!$J$163*((T9-'7a'!$J$164)^'7a'!$J$165)))),
IF(T23=6,((('7a'!$K$158*(((T76)^'7a'!$K$159)))+'7a'!$K$160)*'7a'!$K161*('7a'!$K$162+('7a'!$K$163*((T9-'7a'!$K164)^'7a'!$K$165))))))))))</f>
        <v>0.88476263844922387</v>
      </c>
      <c r="U28" s="244">
        <f>IF(U23=1,((('7a'!$F$158*(((U76)^'7a'!$F$159)))+'7a'!$F$160)*'7a'!$F$161*('7a'!$F$162+('7a'!$F$163*((U9-'7a'!$F$164)^'7a'!$F$165)))),
IF(U23=2,((('7a'!$G$158*(((U76)^'7a'!$G$159)))+'7a'!$G$160)*'7a'!$G$161*('7a'!$G$162+('7a'!$G$163*((U9-'7a'!$G$164)^'7a'!$G165)))),
IF(U23=3,((('7a'!$H$158*(((U76)^'7a'!$H$159)))+'7a'!$H$160)*'7a'!$H$161*('7a'!$H$162+('7a'!$H$163*((U9-'7a'!$H$164)^'7a'!$H$165)))),
IF(U23=4,((('7a'!$I$158*(((U76)^'7a'!$I$159)))+'7a'!$I$160)*'7a'!$I$161*('7a'!$I$162+('7a'!$I$163*((U9-'7a'!$I$164)^'7a'!$I$165)))),
IF(U23=5,((('7a'!$J$158*(((U76)^'7a'!$J$159)))+'7a'!$J$160)*'7a'!$J$161*('7a'!$J$162+('7a'!$J$163*((U9-'7a'!$J$164)^'7a'!$J$165)))),
IF(U23=6,((('7a'!$K$158*(((U76)^'7a'!$K$159)))+'7a'!$K$160)*'7a'!$K161*('7a'!$K$162+('7a'!$K$163*((U9-'7a'!$K164)^'7a'!$K$165))))))))))</f>
        <v>0.99999999999999967</v>
      </c>
      <c r="AM28" s="25"/>
      <c r="AN28" s="25"/>
      <c r="AO28" s="25" t="str">
        <f>'2'!C57</f>
        <v>Combat</v>
      </c>
      <c r="AP28" s="227">
        <f>(1/1.689)*(((2/'2'!H57)*AT28)^0.5)*((AV28/AX28)^0.25)</f>
        <v>59.640540378393808</v>
      </c>
      <c r="AQ28" s="227">
        <f>(1/1.689)*(((2/'2'!H57)*AT28)^0.5)*((AV28/(3*AX28))^0.25)</f>
        <v>45.317010891048348</v>
      </c>
      <c r="AR28" s="227">
        <f>(1/1.689)*(((2/'2'!H57)*AT28)^0.5)*((3*AV28/AX28)^0.25)</f>
        <v>78.491365310447904</v>
      </c>
      <c r="AS28" s="227">
        <f>(1/1.689)*(((2/'2'!H57)*AT28)^0.5)*((AV28/AX28)^0.25)</f>
        <v>59.640540378393808</v>
      </c>
      <c r="AT28" s="49">
        <f>AT27*'2'!R56</f>
        <v>10.06822617628649</v>
      </c>
      <c r="AU28" s="36">
        <f t="shared" si="1"/>
        <v>0.96454164658384733</v>
      </c>
      <c r="AV28" s="355">
        <f>1/(PI()*'2'!F$9*AU28)</f>
        <v>5.5934161430793383E-2</v>
      </c>
      <c r="AW28" s="33">
        <f>AT28/'2'!K57</f>
        <v>0.34322919920540979</v>
      </c>
      <c r="AX28" s="356">
        <f>IF('2'!F$22=1,'2'!F$24,('4'!K48+'5'!AO53+'6'!L53+'6'!R53+AX$3+AX$4+AX$7))</f>
        <v>4.8066490496486716E-2</v>
      </c>
      <c r="AY28" s="356">
        <f t="shared" si="2"/>
        <v>0.92700620515103183</v>
      </c>
      <c r="AZ28" s="357">
        <f t="shared" si="4"/>
        <v>9.6429570328084253</v>
      </c>
      <c r="BA28" s="34">
        <f>(1+AX$7)*(AX28+((1/(PI()*'2'!F$9*AU28))*(AW28^2)))</f>
        <v>5.4655886157840589E-2</v>
      </c>
      <c r="BB28" s="35">
        <f t="shared" si="3"/>
        <v>6.2798213208765672</v>
      </c>
      <c r="BC28" s="52">
        <f>BA28*'2'!K57*'2'!P57/AT28</f>
        <v>181.96305935929129</v>
      </c>
    </row>
    <row r="29" spans="2:55">
      <c r="B29" s="199" t="s">
        <v>652</v>
      </c>
      <c r="C29" s="68"/>
      <c r="D29" s="205" t="str">
        <f>IF(E$6=1," -",IF(E$6=2," -","% at Vclimb"))</f>
        <v xml:space="preserve"> -</v>
      </c>
      <c r="E29" s="207" t="str">
        <f>IF(E$6=1," -",IF(E$6=2," -","0.5%"))</f>
        <v xml:space="preserve"> -</v>
      </c>
      <c r="G29" s="231" t="str">
        <f>IF(J$21&gt;3,"Engine Total Power Available Factor", "Engine Total Thrust Factor")</f>
        <v>Engine Total Power Available Factor</v>
      </c>
      <c r="H29" s="223" t="str">
        <f>IF(J21&gt;3,"(Pao/Pa)engine","(To/T)engine")</f>
        <v>(Pao/Pa)engine</v>
      </c>
      <c r="I29" s="231" t="s">
        <v>87</v>
      </c>
      <c r="J29" s="244">
        <f t="shared" ref="J29:U29" si="7">J27/(J24*J25*J26*J28)</f>
        <v>1.027994764628263</v>
      </c>
      <c r="K29" s="244">
        <f t="shared" si="7"/>
        <v>1.7133246077137718</v>
      </c>
      <c r="L29" s="244">
        <f t="shared" si="7"/>
        <v>1.027994764628263</v>
      </c>
      <c r="M29" s="244">
        <f t="shared" si="7"/>
        <v>0.93454069511660287</v>
      </c>
      <c r="N29" s="244">
        <f t="shared" si="7"/>
        <v>0.93454069511660287</v>
      </c>
      <c r="O29" s="244">
        <f t="shared" si="7"/>
        <v>1.7558176713081506</v>
      </c>
      <c r="P29" s="244">
        <f t="shared" si="7"/>
        <v>1.3334067155300324</v>
      </c>
      <c r="Q29" s="244">
        <f t="shared" si="7"/>
        <v>1.6442216705706907</v>
      </c>
      <c r="R29" s="244">
        <f t="shared" si="7"/>
        <v>1.4523595368330797</v>
      </c>
      <c r="S29" s="244">
        <f t="shared" si="7"/>
        <v>1.7044629238188715</v>
      </c>
      <c r="T29" s="244">
        <f t="shared" si="7"/>
        <v>1.9364793824441062</v>
      </c>
      <c r="U29" s="244">
        <f t="shared" si="7"/>
        <v>1.027994764628263</v>
      </c>
      <c r="AO29" s="25" t="str">
        <f>'2'!C58</f>
        <v>Drop Expendable Payload</v>
      </c>
      <c r="AP29" s="227">
        <f>(1/1.689)*(((2/'2'!H58)*AT29)^0.5)*((AV29/AX29)^0.25)</f>
        <v>58.839959906371796</v>
      </c>
      <c r="AQ29" s="227">
        <f>(1/1.689)*(((2/'2'!H58)*AT29)^0.5)*((AV29/(3*AX29))^0.25)</f>
        <v>44.708701279170228</v>
      </c>
      <c r="AR29" s="227">
        <f>(1/1.689)*(((2/'2'!H58)*AT29)^0.5)*((3*AV29/AX29)^0.25)</f>
        <v>77.437742155942502</v>
      </c>
      <c r="AS29" s="227">
        <f>(1/1.689)*(((2/'2'!H58)*AT29)^0.5)*((AV29/AX29)^0.25)</f>
        <v>58.839959906371796</v>
      </c>
      <c r="AT29" s="49">
        <f>AT28*'2'!R57</f>
        <v>9.7997401449188519</v>
      </c>
      <c r="AU29" s="36">
        <f t="shared" si="1"/>
        <v>0.96454164658384733</v>
      </c>
      <c r="AV29" s="355">
        <f>1/(PI()*'2'!F$9*AU29)</f>
        <v>5.5934161430793383E-2</v>
      </c>
      <c r="AW29" s="33">
        <f>AT29/'2'!K58</f>
        <v>0.33407642055993225</v>
      </c>
      <c r="AX29" s="356">
        <f>IF('2'!F$22=1,'2'!F$24,('4'!K49+'5'!AO54+'6'!L54+'6'!R54+AX$3+AX$4+AX$7))</f>
        <v>4.8066490496486716E-2</v>
      </c>
      <c r="AY29" s="356">
        <f t="shared" si="2"/>
        <v>0.92700620515103183</v>
      </c>
      <c r="AZ29" s="357">
        <f t="shared" si="4"/>
        <v>9.6429570328084253</v>
      </c>
      <c r="BA29" s="34">
        <f>(1+AX$7)*(AX29+((1/(PI()*'2'!F$9*AU29))*(AW29^2)))</f>
        <v>5.4309137515038679E-2</v>
      </c>
      <c r="BB29" s="35">
        <f t="shared" si="3"/>
        <v>6.1513851231281942</v>
      </c>
      <c r="BC29" s="52">
        <f>BA29*'2'!K58*'2'!P58/AT29</f>
        <v>180.80864675511717</v>
      </c>
    </row>
    <row r="30" spans="2:55">
      <c r="B30" s="199" t="s">
        <v>653</v>
      </c>
      <c r="C30" s="68"/>
      <c r="D30" s="205" t="s">
        <v>188</v>
      </c>
      <c r="E30" s="206">
        <f>O8</f>
        <v>12000</v>
      </c>
      <c r="AO30" s="25" t="str">
        <f>'2'!C59</f>
        <v>Loiter 2a</v>
      </c>
      <c r="AP30" s="227">
        <f>(1/1.689)*(((2/'2'!H59)*AT30)^0.5)*((AV30/AX30)^0.25)</f>
        <v>58.825542621626312</v>
      </c>
      <c r="AQ30" s="227">
        <f>(1/1.689)*(((2/'2'!H59)*AT30)^0.5)*((AV30/(3*AX30))^0.25)</f>
        <v>44.697746511730401</v>
      </c>
      <c r="AR30" s="227">
        <f>(1/1.689)*(((2/'2'!H59)*AT30)^0.5)*((3*AV30/AX30)^0.25)</f>
        <v>77.418767942151604</v>
      </c>
      <c r="AS30" s="227">
        <f>(1/1.689)*(((2/'2'!H59)*AT30)^0.5)*((AV30/AX30)^0.25)</f>
        <v>58.825542621626312</v>
      </c>
      <c r="AT30" s="49">
        <f>AT29*'2'!R58</f>
        <v>9.7997401449188519</v>
      </c>
      <c r="AU30" s="36">
        <f t="shared" si="1"/>
        <v>0.96454164658384733</v>
      </c>
      <c r="AV30" s="355">
        <f>1/(PI()*'2'!F$9*AU30)</f>
        <v>5.5934161430793383E-2</v>
      </c>
      <c r="AW30" s="33">
        <f>AT30/'2'!K59</f>
        <v>0.3835060950305344</v>
      </c>
      <c r="AX30" s="356">
        <f>IF('2'!F$22=1,'2'!F$24,('4'!K50+'5'!AO55+'6'!L55+'6'!R55+AX$3+AX$4+AX$7))</f>
        <v>4.811362941287961E-2</v>
      </c>
      <c r="AY30" s="356">
        <f t="shared" si="2"/>
        <v>0.92746065230434671</v>
      </c>
      <c r="AZ30" s="357">
        <f t="shared" si="4"/>
        <v>9.6382320729276927</v>
      </c>
      <c r="BA30" s="34">
        <f>(1+AX$7)*(AX30+((1/(PI()*'2'!F$9*AU30))*(AW30^2)))</f>
        <v>5.6340253874411078E-2</v>
      </c>
      <c r="BB30" s="35">
        <f t="shared" si="3"/>
        <v>6.8069642690182706</v>
      </c>
      <c r="BC30" s="52">
        <f>BA30*'2'!K59*'2'!P59/AT30</f>
        <v>163.39495490590821</v>
      </c>
    </row>
    <row r="31" spans="2:55">
      <c r="B31" s="199" t="s">
        <v>655</v>
      </c>
      <c r="C31" s="68"/>
      <c r="D31" s="205" t="s">
        <v>188</v>
      </c>
      <c r="E31" s="206">
        <f>P8</f>
        <v>10000</v>
      </c>
      <c r="G31" s="1280" t="s">
        <v>2633</v>
      </c>
      <c r="AO31" s="25" t="str">
        <f>'2'!C60</f>
        <v>Loiter 2b</v>
      </c>
      <c r="AP31" s="227">
        <f>(1/1.689)*(((2/'2'!H60)*AT31)^0.5)*((AV31/AX31)^0.25)</f>
        <v>58.719423652604256</v>
      </c>
      <c r="AQ31" s="227">
        <f>(1/1.689)*(((2/'2'!H60)*AT31)^0.5)*((AV31/(3*AX31))^0.25)</f>
        <v>44.617113532142888</v>
      </c>
      <c r="AR31" s="227">
        <f>(1/1.689)*(((2/'2'!H60)*AT31)^0.5)*((3*AV31/AX31)^0.25)</f>
        <v>77.279107524740382</v>
      </c>
      <c r="AS31" s="227">
        <f>(1/1.689)*(((2/'2'!H60)*AT31)^0.5)*((AV31/AX31)^0.25)</f>
        <v>58.719423652604256</v>
      </c>
      <c r="AT31" s="49">
        <f>AT30*'2'!R59</f>
        <v>9.764415343119822</v>
      </c>
      <c r="AU31" s="36">
        <f t="shared" si="1"/>
        <v>0.96454164658384733</v>
      </c>
      <c r="AV31" s="355">
        <f>1/(PI()*'2'!F$9*AU31)</f>
        <v>5.5934161430793383E-2</v>
      </c>
      <c r="AW31" s="33">
        <f>AT31/'2'!K60</f>
        <v>0.38212368319151252</v>
      </c>
      <c r="AX31" s="356">
        <f>IF('2'!F$22=1,'2'!F$24,('4'!K51+'5'!AO56+'6'!L56+'6'!R56+AX$3+AX$4+AX$7))</f>
        <v>4.811362941287961E-2</v>
      </c>
      <c r="AY31" s="356">
        <f t="shared" si="2"/>
        <v>0.92746065230434671</v>
      </c>
      <c r="AZ31" s="357">
        <f t="shared" si="4"/>
        <v>9.6382320729276927</v>
      </c>
      <c r="BA31" s="34">
        <f>(1+AX$7)*(AX31+((1/(PI()*'2'!F$9*AU31))*(AW31^2)))</f>
        <v>5.6281052281479976E-2</v>
      </c>
      <c r="BB31" s="35">
        <f t="shared" si="3"/>
        <v>6.7895618099033905</v>
      </c>
      <c r="BC31" s="52">
        <f>BA31*'2'!K60*'2'!P60/AT31</f>
        <v>163.22326165033826</v>
      </c>
    </row>
    <row r="32" spans="2:55">
      <c r="B32" s="129" t="s">
        <v>657</v>
      </c>
      <c r="C32" s="68"/>
      <c r="D32" s="122" t="s">
        <v>658</v>
      </c>
      <c r="E32" s="211">
        <f>Q78</f>
        <v>174.28771794559998</v>
      </c>
      <c r="G32" t="s">
        <v>2639</v>
      </c>
      <c r="H32" t="s">
        <v>2640</v>
      </c>
      <c r="I32" s="231" t="s">
        <v>87</v>
      </c>
      <c r="J32" s="271">
        <v>0</v>
      </c>
      <c r="AO32" s="25" t="str">
        <f>'2'!C61</f>
        <v>Loiter 2c</v>
      </c>
      <c r="AP32" s="227">
        <f>(1/1.689)*(((2/'2'!H61)*AT32)^0.5)*((AV32/AX32)^0.25)</f>
        <v>58.613224858760034</v>
      </c>
      <c r="AQ32" s="227">
        <f>(1/1.689)*(((2/'2'!H61)*AT32)^0.5)*((AV32/(3*AX32))^0.25)</f>
        <v>44.536419898806891</v>
      </c>
      <c r="AR32" s="227">
        <f>(1/1.689)*(((2/'2'!H61)*AT32)^0.5)*((3*AV32/AX32)^0.25)</f>
        <v>77.139342051955097</v>
      </c>
      <c r="AS32" s="227">
        <f>(1/1.689)*(((2/'2'!H61)*AT32)^0.5)*((AV32/AX32)^0.25)</f>
        <v>58.613224858760034</v>
      </c>
      <c r="AT32" s="49">
        <f>AT31*'2'!R60</f>
        <v>9.7291278233654719</v>
      </c>
      <c r="AU32" s="36">
        <f t="shared" si="1"/>
        <v>0.96454164658384733</v>
      </c>
      <c r="AV32" s="355">
        <f>1/(PI()*'2'!F$9*AU32)</f>
        <v>5.5934161430793383E-2</v>
      </c>
      <c r="AW32" s="33">
        <f>AT32/'2'!K61</f>
        <v>0.38074273035968459</v>
      </c>
      <c r="AX32" s="356">
        <f>IF('2'!F$22=1,'2'!F$24,('4'!K52+'5'!AO57+'6'!L57+'6'!R57+AX$3+AX$4+AX$7))</f>
        <v>4.811362941287961E-2</v>
      </c>
      <c r="AY32" s="356">
        <f t="shared" si="2"/>
        <v>0.92746065230434671</v>
      </c>
      <c r="AZ32" s="357">
        <f t="shared" si="4"/>
        <v>9.6382320729276927</v>
      </c>
      <c r="BA32" s="34">
        <f>(1+AX$7)*(AX32+((1/(PI()*'2'!F$9*AU32))*(AW32^2)))</f>
        <v>5.6222126619353108E-2</v>
      </c>
      <c r="BB32" s="35">
        <f t="shared" si="3"/>
        <v>6.7721154152967085</v>
      </c>
      <c r="BC32" s="52">
        <f>BA32*'2'!K61*'2'!P61/AT32</f>
        <v>163.05236863435215</v>
      </c>
    </row>
    <row r="33" spans="2:56">
      <c r="B33" s="129" t="s">
        <v>657</v>
      </c>
      <c r="C33" s="68"/>
      <c r="D33" s="122" t="s">
        <v>414</v>
      </c>
      <c r="E33" s="211">
        <f>Q79</f>
        <v>103.26264947024303</v>
      </c>
      <c r="G33" s="231" t="s">
        <v>2632</v>
      </c>
      <c r="H33" s="231" t="s">
        <v>669</v>
      </c>
      <c r="I33" s="231" t="s">
        <v>87</v>
      </c>
      <c r="J33" s="243">
        <v>1</v>
      </c>
      <c r="K33" s="243">
        <v>0.6</v>
      </c>
      <c r="L33" s="243">
        <v>1</v>
      </c>
      <c r="M33" s="243">
        <v>1.1000000000000001</v>
      </c>
      <c r="N33" s="243">
        <v>1.1000000000000001</v>
      </c>
      <c r="O33" s="243">
        <v>0.9</v>
      </c>
      <c r="P33" s="243">
        <v>1.1000000000000001</v>
      </c>
      <c r="Q33" s="243">
        <v>0.8</v>
      </c>
      <c r="R33" s="243">
        <v>0.8</v>
      </c>
      <c r="S33" s="212">
        <v>0.8</v>
      </c>
      <c r="T33" s="212">
        <v>0.6</v>
      </c>
      <c r="U33" s="213">
        <v>1</v>
      </c>
      <c r="AO33" s="25" t="str">
        <f>'2'!C62</f>
        <v>Loiter 2d</v>
      </c>
      <c r="AP33" s="227">
        <f>(1/1.689)*(((2/'2'!H62)*AT33)^0.5)*((AV33/AX33)^0.25)</f>
        <v>58.506945286073119</v>
      </c>
      <c r="AQ33" s="227">
        <f>(1/1.689)*(((2/'2'!H62)*AT33)^0.5)*((AV33/(3*AX33))^0.25)</f>
        <v>44.45566488682357</v>
      </c>
      <c r="AR33" s="227">
        <f>(1/1.689)*(((2/'2'!H62)*AT33)^0.5)*((3*AV33/AX33)^0.25)</f>
        <v>76.999470268234148</v>
      </c>
      <c r="AS33" s="227">
        <f>(1/1.689)*(((2/'2'!H62)*AT33)^0.5)*((AV33/AX33)^0.25)</f>
        <v>58.506945286073119</v>
      </c>
      <c r="AT33" s="49">
        <f>AT32*'2'!R61</f>
        <v>9.6938774135597718</v>
      </c>
      <c r="AU33" s="36">
        <f t="shared" si="1"/>
        <v>0.96454164658384733</v>
      </c>
      <c r="AV33" s="355">
        <f>1/(PI()*'2'!F$9*AU33)</f>
        <v>5.5934161430793383E-2</v>
      </c>
      <c r="AW33" s="33">
        <f>AT33/'2'!K62</f>
        <v>0.37936322980019072</v>
      </c>
      <c r="AX33" s="356">
        <f>IF('2'!F$22=1,'2'!F$24,('4'!K53+'5'!AO58+'6'!L58+'6'!R58+AX$3+AX$4+AX$7))</f>
        <v>4.811362941287961E-2</v>
      </c>
      <c r="AY33" s="356">
        <f t="shared" si="2"/>
        <v>0.92746065230434671</v>
      </c>
      <c r="AZ33" s="357">
        <f t="shared" si="4"/>
        <v>9.6382320729276927</v>
      </c>
      <c r="BA33" s="34">
        <f>(1+AX$7)*(AX33+((1/(PI()*'2'!F$9*AU33))*(AW33^2)))</f>
        <v>5.6163475926027946E-2</v>
      </c>
      <c r="BB33" s="35">
        <f t="shared" si="3"/>
        <v>6.7546251998335043</v>
      </c>
      <c r="BC33" s="52">
        <f>BA33*'2'!K62*'2'!P62/AT33</f>
        <v>162.88227306800221</v>
      </c>
    </row>
    <row r="34" spans="2:56">
      <c r="B34" s="129" t="s">
        <v>663</v>
      </c>
      <c r="C34" s="68"/>
      <c r="D34" s="122" t="s">
        <v>87</v>
      </c>
      <c r="E34" s="138">
        <f>Q9</f>
        <v>0.16</v>
      </c>
      <c r="G34" s="231" t="s">
        <v>718</v>
      </c>
      <c r="H34" s="231" t="s">
        <v>720</v>
      </c>
      <c r="I34" s="231" t="s">
        <v>87</v>
      </c>
      <c r="J34" s="243">
        <v>0.95</v>
      </c>
      <c r="K34" s="243">
        <v>0.95</v>
      </c>
      <c r="L34" s="243">
        <v>0.95</v>
      </c>
      <c r="M34" s="243">
        <v>0.95</v>
      </c>
      <c r="N34" s="243">
        <v>0.95</v>
      </c>
      <c r="O34" s="243">
        <v>0.95</v>
      </c>
      <c r="P34" s="243">
        <v>0.95</v>
      </c>
      <c r="Q34" s="243">
        <v>0.95</v>
      </c>
      <c r="R34" s="243">
        <v>0.95</v>
      </c>
      <c r="S34" s="243">
        <v>0.95</v>
      </c>
      <c r="T34" s="243">
        <v>0.95</v>
      </c>
      <c r="U34" s="243">
        <v>0.95</v>
      </c>
      <c r="AO34" s="25" t="str">
        <f>'2'!C63</f>
        <v>Loiter 2e</v>
      </c>
      <c r="AP34" s="227">
        <f>(1/1.689)*(((2/'2'!H63)*AT34)^0.5)*((AV34/AX34)^0.25)</f>
        <v>58.400583975100353</v>
      </c>
      <c r="AQ34" s="227">
        <f>(1/1.689)*(((2/'2'!H63)*AT34)^0.5)*((AV34/(3*AX34))^0.25)</f>
        <v>44.374847767173783</v>
      </c>
      <c r="AR34" s="227">
        <f>(1/1.689)*(((2/'2'!H63)*AT34)^0.5)*((3*AV34/AX34)^0.25)</f>
        <v>76.859490910879344</v>
      </c>
      <c r="AS34" s="227">
        <f>(1/1.689)*(((2/'2'!H63)*AT34)^0.5)*((AV34/AX34)^0.25)</f>
        <v>58.400583975100353</v>
      </c>
      <c r="AT34" s="49">
        <f>AT33*'2'!R62</f>
        <v>9.658663942220123</v>
      </c>
      <c r="AU34" s="36">
        <f t="shared" si="1"/>
        <v>0.96454164658384733</v>
      </c>
      <c r="AV34" s="355">
        <f>1/(PI()*'2'!F$9*AU34)</f>
        <v>5.5934161430793383E-2</v>
      </c>
      <c r="AW34" s="33">
        <f>AT34/'2'!K63</f>
        <v>0.3779851748021773</v>
      </c>
      <c r="AX34" s="356">
        <f>IF('2'!F$22=1,'2'!F$24,('4'!K54+'5'!AO59+'6'!L59+'6'!R59+AX$3+AX$4+AX$7))</f>
        <v>4.811362941287961E-2</v>
      </c>
      <c r="AY34" s="356">
        <f t="shared" si="2"/>
        <v>0.92746065230434671</v>
      </c>
      <c r="AZ34" s="357">
        <f t="shared" si="4"/>
        <v>9.6382320729276927</v>
      </c>
      <c r="BA34" s="34">
        <f>(1+AX$7)*(AX34+((1/(PI()*'2'!F$9*AU34))*(AW34^2)))</f>
        <v>5.6105099245384427E-2</v>
      </c>
      <c r="BB34" s="35">
        <f t="shared" si="3"/>
        <v>6.7370912784415555</v>
      </c>
      <c r="BC34" s="52">
        <f>BA34*'2'!K63*'2'!P63/AT34</f>
        <v>162.71297217840086</v>
      </c>
    </row>
    <row r="35" spans="2:56">
      <c r="B35" s="129" t="s">
        <v>666</v>
      </c>
      <c r="C35" s="68"/>
      <c r="D35" s="122" t="s">
        <v>612</v>
      </c>
      <c r="E35" s="138">
        <f>E9</f>
        <v>48</v>
      </c>
      <c r="G35" s="239" t="s">
        <v>2629</v>
      </c>
      <c r="H35" s="1270" t="s">
        <v>2630</v>
      </c>
      <c r="I35" s="239" t="s">
        <v>87</v>
      </c>
      <c r="J35" s="243">
        <v>1</v>
      </c>
      <c r="K35" s="243">
        <v>1</v>
      </c>
      <c r="L35" s="243">
        <v>1</v>
      </c>
      <c r="M35" s="243">
        <v>1</v>
      </c>
      <c r="N35" s="243">
        <v>1</v>
      </c>
      <c r="O35" s="243">
        <v>1</v>
      </c>
      <c r="P35" s="243">
        <v>1</v>
      </c>
      <c r="Q35" s="243">
        <v>1</v>
      </c>
      <c r="R35" s="243">
        <v>1</v>
      </c>
      <c r="S35" s="243">
        <v>1</v>
      </c>
      <c r="T35" s="243">
        <v>1</v>
      </c>
      <c r="U35" s="243">
        <v>1</v>
      </c>
      <c r="AO35" s="25" t="str">
        <f>'2'!C64</f>
        <v>Climb+Accel3</v>
      </c>
      <c r="AP35" s="227">
        <f>(1/1.689)*(((2/'2'!H64)*AT35)^0.5)*((AV35/AX35)^0.25)</f>
        <v>64.230592462295348</v>
      </c>
      <c r="AQ35" s="227">
        <f>(1/1.689)*(((2/'2'!H64)*AT35)^0.5)*((AV35/(3*AX35))^0.25)</f>
        <v>48.804696263396195</v>
      </c>
      <c r="AR35" s="227">
        <f>(1/1.689)*(((2/'2'!H64)*AT35)^0.5)*((3*AV35/AX35)^0.25)</f>
        <v>84.532213576169156</v>
      </c>
      <c r="AS35" s="227">
        <f>(1/1.689)*(((2/'2'!H64)*AT35)^0.5)*((AV35/AX35)^0.25)</f>
        <v>64.230592462295348</v>
      </c>
      <c r="AT35" s="49">
        <f>AT34*'2'!R63</f>
        <v>9.6234872384738068</v>
      </c>
      <c r="AU35" s="36">
        <f t="shared" si="1"/>
        <v>0.96454164658384733</v>
      </c>
      <c r="AV35" s="355">
        <f>1/(PI()*'2'!F$9*AU35)</f>
        <v>5.5934161430793383E-2</v>
      </c>
      <c r="AW35" s="33">
        <f>AT35/'2'!K64</f>
        <v>0.36963743380471548</v>
      </c>
      <c r="AX35" s="356">
        <f>IF('2'!F$22=1,'2'!F$24,('4'!K55+'5'!AO60+'6'!L60+'6'!R60+AX$3+AX$4+AX$7))</f>
        <v>4.8650567207272788E-2</v>
      </c>
      <c r="AY35" s="356">
        <f t="shared" si="2"/>
        <v>0.93262142504378842</v>
      </c>
      <c r="AZ35" s="357">
        <f t="shared" si="4"/>
        <v>9.5848977574137173</v>
      </c>
      <c r="BA35" s="34">
        <f>(1+AX$7)*(AX35+((1/(PI()*'2'!F$9*AU35))*(AW35^2)))</f>
        <v>5.6292954181220087E-2</v>
      </c>
      <c r="BB35" s="35">
        <f t="shared" si="3"/>
        <v>6.5663179199081787</v>
      </c>
      <c r="BC35" s="52">
        <f>BA35*'2'!K64*'2'!P64/AT35</f>
        <v>166.33671587359396</v>
      </c>
    </row>
    <row r="36" spans="2:56">
      <c r="B36" s="129" t="s">
        <v>668</v>
      </c>
      <c r="C36" s="68"/>
      <c r="D36" s="122" t="s">
        <v>612</v>
      </c>
      <c r="E36" s="138">
        <f>E10</f>
        <v>38</v>
      </c>
      <c r="G36" s="239" t="s">
        <v>2626</v>
      </c>
      <c r="H36" s="76" t="s">
        <v>2628</v>
      </c>
      <c r="I36" s="231" t="s">
        <v>87</v>
      </c>
      <c r="J36" s="1286">
        <f t="shared" ref="J36:U36" si="8">1-J27</f>
        <v>0</v>
      </c>
      <c r="K36" s="1286">
        <f t="shared" si="8"/>
        <v>0</v>
      </c>
      <c r="L36" s="1286">
        <f t="shared" si="8"/>
        <v>0</v>
      </c>
      <c r="M36" s="1286">
        <f t="shared" si="8"/>
        <v>0</v>
      </c>
      <c r="N36" s="1286">
        <f t="shared" si="8"/>
        <v>0</v>
      </c>
      <c r="O36" s="1286">
        <f t="shared" si="8"/>
        <v>0</v>
      </c>
      <c r="P36" s="1286">
        <f t="shared" si="8"/>
        <v>0</v>
      </c>
      <c r="Q36" s="1286">
        <f t="shared" si="8"/>
        <v>0</v>
      </c>
      <c r="R36" s="1286">
        <f t="shared" si="8"/>
        <v>0</v>
      </c>
      <c r="S36" s="1286">
        <f t="shared" si="8"/>
        <v>0</v>
      </c>
      <c r="T36" s="1286">
        <f t="shared" si="8"/>
        <v>0</v>
      </c>
      <c r="U36" s="1286">
        <f t="shared" si="8"/>
        <v>0</v>
      </c>
      <c r="AO36" s="25" t="str">
        <f>'2'!C65</f>
        <v>Cruise 2a</v>
      </c>
      <c r="AP36" s="227">
        <f>(1/1.689)*(((2/'2'!H65)*AT36)^0.5)*((AV36/AX36)^0.25)</f>
        <v>64.204750339960967</v>
      </c>
      <c r="AQ36" s="227">
        <f>(1/1.689)*(((2/'2'!H65)*AT36)^0.5)*((AV36/(3*AX36))^0.25)</f>
        <v>48.785060496653557</v>
      </c>
      <c r="AR36" s="227">
        <f>(1/1.689)*(((2/'2'!H65)*AT36)^0.5)*((3*AV36/AX36)^0.25)</f>
        <v>84.498203430525322</v>
      </c>
      <c r="AS36" s="227">
        <f>(1/1.689)*(((2/'2'!H65)*AT36)^0.5)*((AV36/AX36)^0.25)</f>
        <v>64.204750339960967</v>
      </c>
      <c r="AT36" s="49">
        <f>AT35*'2'!R64</f>
        <v>9.6157450926665078</v>
      </c>
      <c r="AU36" s="36">
        <f t="shared" si="1"/>
        <v>0.96454164658384733</v>
      </c>
      <c r="AV36" s="355">
        <f>1/(PI()*'2'!F$9*AU36)</f>
        <v>5.5934161430793383E-2</v>
      </c>
      <c r="AW36" s="33">
        <f>AT36/'2'!K65</f>
        <v>0.36934005855628049</v>
      </c>
      <c r="AX36" s="356">
        <f>IF('2'!F$22=1,'2'!F$24,('4'!K56+'5'!AO61+'6'!L61+'6'!R61+AX$3+AX$4+AX$7))</f>
        <v>4.8650567207272788E-2</v>
      </c>
      <c r="AY36" s="356">
        <f t="shared" si="2"/>
        <v>0.93262142504378842</v>
      </c>
      <c r="AZ36" s="357">
        <f t="shared" si="4"/>
        <v>9.5848977574137173</v>
      </c>
      <c r="BA36" s="34">
        <f>(1+AX$7)*(AX36+((1/(PI()*'2'!F$9*AU36))*(AW36^2)))</f>
        <v>5.6280662447022491E-2</v>
      </c>
      <c r="BB36" s="35">
        <f t="shared" si="3"/>
        <v>6.5624682172841107</v>
      </c>
      <c r="BC36" s="52">
        <f>BA36*'2'!K65*'2'!P65/AT36</f>
        <v>166.3003957562976</v>
      </c>
    </row>
    <row r="37" spans="2:56">
      <c r="B37" s="214" t="s">
        <v>614</v>
      </c>
      <c r="C37" s="68"/>
      <c r="D37" s="122" t="s">
        <v>612</v>
      </c>
      <c r="E37" s="215">
        <f>E11</f>
        <v>-4</v>
      </c>
      <c r="G37" s="231" t="str">
        <f>IF(J21&gt;3,"Supplemental Total Power Available Factor", "Supplemental Total Thrust Factor")</f>
        <v>Supplemental Total Power Available Factor</v>
      </c>
      <c r="H37" s="223" t="str">
        <f>IF(J21&gt;3,"(Pao/Pa)supp","(To/T)supp")</f>
        <v>(Pao/Pa)supp</v>
      </c>
      <c r="I37" s="239" t="s">
        <v>87</v>
      </c>
      <c r="J37" s="1286">
        <f>J36/(J33*J34*J35)</f>
        <v>0</v>
      </c>
      <c r="K37" s="1286">
        <f>K36/(K33*K34*K35)</f>
        <v>0</v>
      </c>
      <c r="L37" s="1286">
        <f t="shared" ref="L37:U37" si="9">L36/(L33*L34*L35)</f>
        <v>0</v>
      </c>
      <c r="M37" s="1286">
        <f t="shared" si="9"/>
        <v>0</v>
      </c>
      <c r="N37" s="1286">
        <f t="shared" si="9"/>
        <v>0</v>
      </c>
      <c r="O37" s="1286">
        <f t="shared" si="9"/>
        <v>0</v>
      </c>
      <c r="P37" s="1286">
        <f t="shared" si="9"/>
        <v>0</v>
      </c>
      <c r="Q37" s="1286">
        <f t="shared" si="9"/>
        <v>0</v>
      </c>
      <c r="R37" s="1286">
        <f t="shared" si="9"/>
        <v>0</v>
      </c>
      <c r="S37" s="1286">
        <f t="shared" si="9"/>
        <v>0</v>
      </c>
      <c r="T37" s="1286">
        <f t="shared" si="9"/>
        <v>0</v>
      </c>
      <c r="U37" s="1286">
        <f t="shared" si="9"/>
        <v>0</v>
      </c>
      <c r="AO37" s="25" t="str">
        <f>'2'!C66</f>
        <v>Cruise 2b</v>
      </c>
      <c r="AP37" s="227">
        <f>(1/1.689)*(((2/'2'!H66)*AT37)^0.5)*((AV37/AX37)^0.25)</f>
        <v>63.979825319855784</v>
      </c>
      <c r="AQ37" s="227">
        <f>(1/1.689)*(((2/'2'!H66)*AT37)^0.5)*((AV37/(3*AX37))^0.25)</f>
        <v>48.614154439781736</v>
      </c>
      <c r="AR37" s="227">
        <f>(1/1.689)*(((2/'2'!H66)*AT37)^0.5)*((3*AV37/AX37)^0.25)</f>
        <v>84.202185456702082</v>
      </c>
      <c r="AS37" s="227">
        <f>(1/1.689)*(((2/'2'!H66)*AT37)^0.5)*((AV37/AX37)^0.25)</f>
        <v>63.979825319855784</v>
      </c>
      <c r="AT37" s="49">
        <f>AT36*'2'!R65</f>
        <v>9.548490467457361</v>
      </c>
      <c r="AU37" s="36">
        <f t="shared" si="1"/>
        <v>0.96454164658384733</v>
      </c>
      <c r="AV37" s="355">
        <f>1/(PI()*'2'!F$9*AU37)</f>
        <v>5.5934161430793383E-2</v>
      </c>
      <c r="AW37" s="33">
        <f>AT37/'2'!K66</f>
        <v>0.3667568133710612</v>
      </c>
      <c r="AX37" s="356">
        <f>IF('2'!F$22=1,'2'!F$24,('4'!K57+'5'!AO62+'6'!L62+'6'!R62+AX$3+AX$4+AX$7))</f>
        <v>4.8650567207272788E-2</v>
      </c>
      <c r="AY37" s="356">
        <f t="shared" si="2"/>
        <v>0.93262142504378842</v>
      </c>
      <c r="AZ37" s="357">
        <f t="shared" si="4"/>
        <v>9.5848977574137173</v>
      </c>
      <c r="BA37" s="34">
        <f>(1+AX$7)*(AX37+((1/(PI()*'2'!F$9*AU37))*(AW37^2)))</f>
        <v>5.6174302593078401E-2</v>
      </c>
      <c r="BB37" s="35">
        <f t="shared" si="3"/>
        <v>6.5289072839553448</v>
      </c>
      <c r="BC37" s="52">
        <f>BA37*'2'!K66*'2'!P66/AT37</f>
        <v>165.98611932395934</v>
      </c>
    </row>
    <row r="38" spans="2:56">
      <c r="B38" s="216" t="s">
        <v>616</v>
      </c>
      <c r="C38" s="68"/>
      <c r="D38" s="217" t="s">
        <v>414</v>
      </c>
      <c r="E38" s="218">
        <f>E12</f>
        <v>45</v>
      </c>
      <c r="Q38" s="231"/>
      <c r="AO38" s="25" t="str">
        <f>'2'!C67</f>
        <v>Cruise 2c</v>
      </c>
      <c r="AP38" s="227">
        <f>(1/1.689)*(((2/'2'!H67)*AT38)^0.5)*((AV38/AX38)^0.25)</f>
        <v>63.75453815311311</v>
      </c>
      <c r="AQ38" s="227">
        <f>(1/1.689)*(((2/'2'!H67)*AT38)^0.5)*((AV38/(3*AX38))^0.25)</f>
        <v>48.44297321097131</v>
      </c>
      <c r="AR38" s="227">
        <f>(1/1.689)*(((2/'2'!H67)*AT38)^0.5)*((3*AV38/AX38)^0.25)</f>
        <v>83.905690871100362</v>
      </c>
      <c r="AS38" s="227">
        <f>(1/1.689)*(((2/'2'!H67)*AT38)^0.5)*((AV38/AX38)^0.25)</f>
        <v>63.75453815311311</v>
      </c>
      <c r="AT38" s="49">
        <f>AT37*'2'!R66</f>
        <v>9.4813641503453123</v>
      </c>
      <c r="AU38" s="36">
        <f t="shared" si="1"/>
        <v>0.96454164658384733</v>
      </c>
      <c r="AV38" s="355">
        <f>1/(PI()*'2'!F$9*AU38)</f>
        <v>5.5934161430793383E-2</v>
      </c>
      <c r="AW38" s="33">
        <f>AT38/'2'!K67</f>
        <v>0.36417849649037148</v>
      </c>
      <c r="AX38" s="356">
        <f>IF('2'!F$22=1,'2'!F$24,('4'!K58+'5'!AO63+'6'!L63+'6'!R63+AX$3+AX$4+AX$7))</f>
        <v>4.8650567207272788E-2</v>
      </c>
      <c r="AY38" s="356">
        <f t="shared" si="2"/>
        <v>0.93262142504378842</v>
      </c>
      <c r="AZ38" s="357">
        <f t="shared" si="4"/>
        <v>9.5848977574137173</v>
      </c>
      <c r="BA38" s="34">
        <f>(1+AX$7)*(AX38+((1/(PI()*'2'!F$9*AU38))*(AW38^2)))</f>
        <v>5.6068890031822631E-2</v>
      </c>
      <c r="BB38" s="35">
        <f t="shared" si="3"/>
        <v>6.4951971812475193</v>
      </c>
      <c r="BC38" s="52">
        <f>BA38*'2'!K67*'2'!P67/AT38</f>
        <v>165.67464199067422</v>
      </c>
    </row>
    <row r="39" spans="2:56">
      <c r="B39" s="216"/>
      <c r="C39" s="68"/>
      <c r="D39" s="217"/>
      <c r="E39" s="218"/>
      <c r="Q39" s="231"/>
      <c r="AO39" s="25" t="str">
        <f>'2'!C68</f>
        <v>Cruise 2d</v>
      </c>
      <c r="AP39" s="227">
        <f>(1/1.689)*(((2/'2'!H68)*AT39)^0.5)*((AV39/AX39)^0.25)</f>
        <v>63.528881212626686</v>
      </c>
      <c r="AQ39" s="227">
        <f>(1/1.689)*(((2/'2'!H68)*AT39)^0.5)*((AV39/(3*AX39))^0.25)</f>
        <v>48.271511014874768</v>
      </c>
      <c r="AR39" s="227">
        <f>(1/1.689)*(((2/'2'!H68)*AT39)^0.5)*((3*AV39/AX39)^0.25)</f>
        <v>83.608709635883798</v>
      </c>
      <c r="AS39" s="227">
        <f>(1/1.689)*(((2/'2'!H68)*AT39)^0.5)*((AV39/AX39)^0.25)</f>
        <v>63.528881212626686</v>
      </c>
      <c r="AT39" s="49">
        <f>AT38*'2'!R67</f>
        <v>9.4143650226844606</v>
      </c>
      <c r="AU39" s="36">
        <f t="shared" si="1"/>
        <v>0.96454164658384733</v>
      </c>
      <c r="AV39" s="355">
        <f>1/(PI()*'2'!F$9*AU39)</f>
        <v>5.5934161430793383E-2</v>
      </c>
      <c r="AW39" s="33">
        <f>AT39/'2'!K68</f>
        <v>0.36160506494710487</v>
      </c>
      <c r="AX39" s="356">
        <f>IF('2'!F$22=1,'2'!F$24,('4'!K59+'5'!AO64+'6'!L64+'6'!R64+AX$3+AX$4+AX$7))</f>
        <v>4.8650567207272788E-2</v>
      </c>
      <c r="AY39" s="356">
        <f t="shared" si="2"/>
        <v>0.93262142504378842</v>
      </c>
      <c r="AZ39" s="357">
        <f t="shared" si="4"/>
        <v>9.5848977574137173</v>
      </c>
      <c r="BA39" s="34">
        <f>(1+AX$7)*(AX39+((1/(PI()*'2'!F$9*AU39))*(AW39^2)))</f>
        <v>5.5964418760701171E-2</v>
      </c>
      <c r="BB39" s="35">
        <f t="shared" si="3"/>
        <v>6.4613387033160423</v>
      </c>
      <c r="BC39" s="52">
        <f>BA39*'2'!K68*'2'!P68/AT39</f>
        <v>165.36594601985087</v>
      </c>
    </row>
    <row r="40" spans="2:56">
      <c r="B40" s="221" t="s">
        <v>674</v>
      </c>
      <c r="C40" s="68"/>
      <c r="D40" s="202" t="s">
        <v>90</v>
      </c>
      <c r="E40" s="203" t="s">
        <v>91</v>
      </c>
      <c r="Q40" s="231"/>
      <c r="AO40" s="25" t="str">
        <f>'2'!C69</f>
        <v>Cruise 2e</v>
      </c>
      <c r="AP40" s="227">
        <f>(1/1.689)*(((2/'2'!H69)*AT40)^0.5)*((AV40/AX40)^0.25)</f>
        <v>63.302846781431356</v>
      </c>
      <c r="AQ40" s="227">
        <f>(1/1.689)*(((2/'2'!H69)*AT40)^0.5)*((AV40/(3*AX40))^0.25)</f>
        <v>48.099761987866593</v>
      </c>
      <c r="AR40" s="227">
        <f>(1/1.689)*(((2/'2'!H69)*AT40)^0.5)*((3*AV40/AX40)^0.25)</f>
        <v>83.311231594955132</v>
      </c>
      <c r="AS40" s="227">
        <f>(1/1.689)*(((2/'2'!H69)*AT40)^0.5)*((AV40/AX40)^0.25)</f>
        <v>63.302846781431356</v>
      </c>
      <c r="AT40" s="49">
        <f>AT39*'2'!R68</f>
        <v>9.3474919732967834</v>
      </c>
      <c r="AU40" s="36">
        <f t="shared" si="1"/>
        <v>0.96454164658384733</v>
      </c>
      <c r="AV40" s="355">
        <f>1/(PI()*'2'!F$9*AU40)</f>
        <v>5.5934161430793383E-2</v>
      </c>
      <c r="AW40" s="33">
        <f>AT40/'2'!K69</f>
        <v>0.35903647606099576</v>
      </c>
      <c r="AX40" s="356">
        <f>IF('2'!F$22=1,'2'!F$24,('4'!K60+'5'!AO65+'6'!L65+'6'!R65+AX$3+AX$4+AX$7))</f>
        <v>4.8650567207272788E-2</v>
      </c>
      <c r="AY40" s="356">
        <f t="shared" si="2"/>
        <v>0.93262142504378842</v>
      </c>
      <c r="AZ40" s="357">
        <f t="shared" si="4"/>
        <v>9.5848977574137173</v>
      </c>
      <c r="BA40" s="34">
        <f>(1+AX$7)*(AX40+((1/(PI()*'2'!F$9*AU40))*(AW40^2)))</f>
        <v>5.5860882846216223E-2</v>
      </c>
      <c r="BB40" s="35">
        <f t="shared" si="3"/>
        <v>6.4273326479535822</v>
      </c>
      <c r="BC40" s="52">
        <f>BA40*'2'!K69*'2'!P69/AT40</f>
        <v>165.06001387894821</v>
      </c>
    </row>
    <row r="41" spans="2:56">
      <c r="B41" s="129" t="s">
        <v>677</v>
      </c>
      <c r="C41" s="68"/>
      <c r="D41" s="122" t="s">
        <v>619</v>
      </c>
      <c r="E41" s="222">
        <v>11</v>
      </c>
      <c r="I41" s="1334"/>
      <c r="J41" s="1334"/>
      <c r="K41" s="1334"/>
      <c r="L41" s="192"/>
      <c r="M41" s="192"/>
      <c r="N41" s="192"/>
      <c r="O41" s="192"/>
      <c r="P41" s="192"/>
      <c r="Q41" s="239"/>
      <c r="R41" s="192"/>
      <c r="S41" s="192"/>
      <c r="T41" s="192"/>
      <c r="AO41" s="25" t="str">
        <f>'2'!C70</f>
        <v>Loiter 3a</v>
      </c>
      <c r="AP41" s="227">
        <f>(1/1.689)*(((2/'2'!H70)*AT41)^0.5)*((AV41/AX41)^0.25)</f>
        <v>57.260677529365132</v>
      </c>
      <c r="AQ41" s="227">
        <f>(1/1.689)*(((2/'2'!H70)*AT41)^0.5)*((AV41/(3*AX41))^0.25)</f>
        <v>43.508706171399886</v>
      </c>
      <c r="AR41" s="227">
        <f>(1/1.689)*(((2/'2'!H70)*AT41)^0.5)*((3*AV41/AX41)^0.25)</f>
        <v>75.359289660450173</v>
      </c>
      <c r="AS41" s="227">
        <f>(1/1.689)*(((2/'2'!H70)*AT41)^0.5)*((AV41/AX41)^0.25)</f>
        <v>57.260677529365132</v>
      </c>
      <c r="AT41" s="49">
        <f>AT40*'2'!R69</f>
        <v>9.2807438983971835</v>
      </c>
      <c r="AU41" s="36">
        <f t="shared" si="1"/>
        <v>0.96454164658384733</v>
      </c>
      <c r="AV41" s="355">
        <f>1/(PI()*'2'!F$9*AU41)</f>
        <v>5.5934161430793383E-2</v>
      </c>
      <c r="AW41" s="33">
        <f>AT41/'2'!K70</f>
        <v>0.31638366485845593</v>
      </c>
      <c r="AX41" s="356">
        <f>IF('2'!F$22=1,'2'!F$24,('4'!K61+'5'!AO66+'6'!L66+'6'!R66+AX$3+AX$4+AX$7))</f>
        <v>4.8066490496486716E-2</v>
      </c>
      <c r="AY41" s="356">
        <f t="shared" si="2"/>
        <v>0.92700620515103183</v>
      </c>
      <c r="AZ41" s="357">
        <f t="shared" si="4"/>
        <v>9.6429570328084253</v>
      </c>
      <c r="BA41" s="34">
        <f>(1+AX$7)*(AX41+((1/(PI()*'2'!F$9*AU41))*(AW41^2)))</f>
        <v>5.3665423056142206E-2</v>
      </c>
      <c r="BB41" s="35">
        <f t="shared" si="3"/>
        <v>5.8954844076691693</v>
      </c>
      <c r="BC41" s="52">
        <f>BA41*'2'!K70*'2'!P70/AT41</f>
        <v>178.66556097737774</v>
      </c>
    </row>
    <row r="42" spans="2:56" ht="14.4">
      <c r="B42" s="129" t="str">
        <f>IF(J$21&lt;4,"AEO Uninstalled ENGINE Thrust-to-Weight Ratio, To/Wo","AEO Uninstalled ENGINE Power Available-to-Weight Ratio, Pao/Wo")</f>
        <v>AEO Uninstalled ENGINE Power Available-to-Weight Ratio, Pao/Wo</v>
      </c>
      <c r="C42" s="68"/>
      <c r="D42" s="122" t="str">
        <f>IF(J$21&lt;4," -","shp/lb")</f>
        <v>shp/lb</v>
      </c>
      <c r="E42" s="260">
        <v>0.13500000000000001</v>
      </c>
      <c r="I42" s="1334"/>
      <c r="J42" s="1334"/>
      <c r="K42" s="1335"/>
      <c r="L42" s="192"/>
      <c r="M42" s="192"/>
      <c r="N42" s="192"/>
      <c r="O42" s="192"/>
      <c r="P42" s="192"/>
      <c r="Q42" s="239"/>
      <c r="R42" s="192"/>
      <c r="S42" s="192"/>
      <c r="T42" s="192"/>
      <c r="AO42" s="25" t="str">
        <f>'2'!C71</f>
        <v>Loiter 3b</v>
      </c>
      <c r="AP42" s="227">
        <f>(1/1.689)*(((2/'2'!H71)*AT42)^0.5)*((AV42/AX42)^0.25)</f>
        <v>57.224146142156805</v>
      </c>
      <c r="AQ42" s="227">
        <f>(1/1.689)*(((2/'2'!H71)*AT42)^0.5)*((AV42/(3*AX42))^0.25)</f>
        <v>43.480948319752642</v>
      </c>
      <c r="AR42" s="227">
        <f>(1/1.689)*(((2/'2'!H71)*AT42)^0.5)*((3*AV42/AX42)^0.25)</f>
        <v>75.3112116510882</v>
      </c>
      <c r="AS42" s="227">
        <f>(1/1.689)*(((2/'2'!H71)*AT42)^0.5)*((AV42/AX42)^0.25)</f>
        <v>57.224146142156805</v>
      </c>
      <c r="AT42" s="49">
        <f>AT41*'2'!R70</f>
        <v>9.2689057465264426</v>
      </c>
      <c r="AU42" s="36">
        <f t="shared" si="1"/>
        <v>0.96454164658384733</v>
      </c>
      <c r="AV42" s="355">
        <f>1/(PI()*'2'!F$9*AU42)</f>
        <v>5.5934161430793383E-2</v>
      </c>
      <c r="AW42" s="33">
        <f>AT42/'2'!K71</f>
        <v>0.31598009830010465</v>
      </c>
      <c r="AX42" s="356">
        <f>IF('2'!F$22=1,'2'!F$24,('4'!K62+'5'!AO67+'6'!L67+'6'!R67+AX$3+AX$4+AX$7))</f>
        <v>4.8066490496486716E-2</v>
      </c>
      <c r="AY42" s="356">
        <f t="shared" si="2"/>
        <v>0.92700620515103183</v>
      </c>
      <c r="AZ42" s="357">
        <f t="shared" si="4"/>
        <v>9.6429570328084253</v>
      </c>
      <c r="BA42" s="34">
        <f>(1+AX$7)*(AX42+((1/(PI()*'2'!F$9*AU42))*(AW42^2)))</f>
        <v>5.365114860962085E-2</v>
      </c>
      <c r="BB42" s="35">
        <f t="shared" si="3"/>
        <v>5.8895309138533962</v>
      </c>
      <c r="BC42" s="52">
        <f>BA42*'2'!K71*'2'!P71/AT42</f>
        <v>178.61803778925878</v>
      </c>
    </row>
    <row r="43" spans="2:56" ht="14.4">
      <c r="B43" s="129" t="str">
        <f>IF(J$21&lt;4,"AEO Uninstalled SPU Thrust-to-Weight Ratio, To/Wo","AEO Uninstalled SPU Power Available-to-Weight Ratio, Pao/Wo")</f>
        <v>AEO Uninstalled SPU Power Available-to-Weight Ratio, Pao/Wo</v>
      </c>
      <c r="C43" s="68"/>
      <c r="D43" s="122" t="str">
        <f>IF(J$21&lt;4," -","shp/lb")</f>
        <v>shp/lb</v>
      </c>
      <c r="E43" s="1287">
        <v>7.0000000000000001E-3</v>
      </c>
      <c r="I43" s="323"/>
      <c r="J43" s="1334"/>
      <c r="K43" s="1335"/>
      <c r="L43" s="192"/>
      <c r="M43" s="192"/>
      <c r="N43" s="192"/>
      <c r="O43" s="192"/>
      <c r="P43" s="192"/>
      <c r="Q43" s="239"/>
      <c r="R43" s="192"/>
      <c r="S43" s="192"/>
      <c r="T43" s="192"/>
      <c r="AO43" s="25" t="str">
        <f>'2'!C72</f>
        <v>Loiter 3c</v>
      </c>
      <c r="AP43" s="227">
        <f>(1/1.689)*(((2/'2'!H72)*AT43)^0.5)*((AV43/AX43)^0.25)</f>
        <v>57.187601168595386</v>
      </c>
      <c r="AQ43" s="227">
        <f>(1/1.689)*(((2/'2'!H72)*AT43)^0.5)*((AV43/(3*AX43))^0.25)</f>
        <v>43.453180144709485</v>
      </c>
      <c r="AR43" s="227">
        <f>(1/1.689)*(((2/'2'!H72)*AT43)^0.5)*((3*AV43/AX43)^0.25)</f>
        <v>75.263115761079973</v>
      </c>
      <c r="AS43" s="227">
        <f>(1/1.689)*(((2/'2'!H72)*AT43)^0.5)*((AV43/AX43)^0.25)</f>
        <v>57.187601168595386</v>
      </c>
      <c r="AT43" s="49">
        <f>AT42*'2'!R71</f>
        <v>9.2570707511147994</v>
      </c>
      <c r="AU43" s="36">
        <f t="shared" si="1"/>
        <v>0.96454164658384733</v>
      </c>
      <c r="AV43" s="355">
        <f>1/(PI()*'2'!F$9*AU43)</f>
        <v>5.5934161430793383E-2</v>
      </c>
      <c r="AW43" s="33">
        <f>AT43/'2'!K72</f>
        <v>0.31557663934650015</v>
      </c>
      <c r="AX43" s="356">
        <f>IF('2'!F$22=1,'2'!F$24,('4'!K63+'5'!AO68+'6'!L68+'6'!R68+AX$3+AX$4+AX$7))</f>
        <v>4.8066490496486716E-2</v>
      </c>
      <c r="AY43" s="356">
        <f t="shared" si="2"/>
        <v>0.92700620515103183</v>
      </c>
      <c r="AZ43" s="357">
        <f t="shared" si="4"/>
        <v>9.6429570328084253</v>
      </c>
      <c r="BA43" s="34">
        <f>(1+AX$7)*(AX43+((1/(PI()*'2'!F$9*AU43))*(AW43^2)))</f>
        <v>5.3636896181414956E-2</v>
      </c>
      <c r="BB43" s="35">
        <f t="shared" si="3"/>
        <v>5.8835738421390351</v>
      </c>
      <c r="BC43" s="52">
        <f>BA43*'2'!K72*'2'!P72/AT43</f>
        <v>178.57058790559654</v>
      </c>
    </row>
    <row r="44" spans="2:56">
      <c r="B44" s="129" t="s">
        <v>679</v>
      </c>
      <c r="C44" s="68"/>
      <c r="D44" s="122" t="s">
        <v>221</v>
      </c>
      <c r="E44" s="133">
        <f>E15/E41</f>
        <v>113.49521551947018</v>
      </c>
      <c r="I44" s="323"/>
      <c r="J44" s="323"/>
      <c r="K44" s="1336"/>
      <c r="L44" s="192"/>
      <c r="M44" s="192"/>
      <c r="N44" s="192"/>
      <c r="O44" s="192"/>
      <c r="P44" s="192"/>
      <c r="Q44" s="239"/>
      <c r="R44" s="192"/>
      <c r="S44" s="192"/>
      <c r="T44" s="192"/>
      <c r="AO44" s="25" t="str">
        <f>'2'!C73</f>
        <v>Loiter 3d</v>
      </c>
      <c r="AP44" s="227">
        <f>(1/1.689)*(((2/'2'!H73)*AT44)^0.5)*((AV44/AX44)^0.25)</f>
        <v>57.151042567654706</v>
      </c>
      <c r="AQ44" s="227">
        <f>(1/1.689)*(((2/'2'!H73)*AT44)^0.5)*((AV44/(3*AX44))^0.25)</f>
        <v>43.425401615097257</v>
      </c>
      <c r="AR44" s="227">
        <f>(1/1.689)*(((2/'2'!H73)*AT44)^0.5)*((3*AV44/AX44)^0.25)</f>
        <v>75.215001936432046</v>
      </c>
      <c r="AS44" s="227">
        <f>(1/1.689)*(((2/'2'!H73)*AT44)^0.5)*((AV44/AX44)^0.25)</f>
        <v>57.151042567654706</v>
      </c>
      <c r="AT44" s="49">
        <f>AT43*'2'!R72</f>
        <v>9.2452389073211751</v>
      </c>
      <c r="AU44" s="36">
        <f t="shared" si="1"/>
        <v>0.96454164658384733</v>
      </c>
      <c r="AV44" s="355">
        <f>1/(PI()*'2'!F$9*AU44)</f>
        <v>5.5934161430793383E-2</v>
      </c>
      <c r="AW44" s="33">
        <f>AT44/'2'!K73</f>
        <v>0.31517328783260845</v>
      </c>
      <c r="AX44" s="356">
        <f>IF('2'!F$22=1,'2'!F$24,('4'!K64+'5'!AO69+'6'!L69+'6'!R69+AX$3+AX$4+AX$7))</f>
        <v>4.8066490496486716E-2</v>
      </c>
      <c r="AY44" s="356">
        <f t="shared" si="2"/>
        <v>0.92700620515103183</v>
      </c>
      <c r="AZ44" s="357">
        <f t="shared" si="4"/>
        <v>9.6429570328084253</v>
      </c>
      <c r="BA44" s="34">
        <f>(1+AX$7)*(AX44+((1/(PI()*'2'!F$9*AU44))*(AW44^2)))</f>
        <v>5.3622665751135792E-2</v>
      </c>
      <c r="BB44" s="35">
        <f t="shared" si="3"/>
        <v>5.8776131961685012</v>
      </c>
      <c r="BC44" s="52">
        <f>BA44*'2'!K73*'2'!P73/AT44</f>
        <v>178.52321125851196</v>
      </c>
    </row>
    <row r="45" spans="2:56">
      <c r="B45" s="216" t="str">
        <f>IF(J$21&lt;4,"AEO Uninstalled ENGINE Thrust, SLS Max, To","AEO Uninstalled Power Available, SLS Max, Po")</f>
        <v>AEO Uninstalled Power Available, SLS Max, Po</v>
      </c>
      <c r="C45" s="68"/>
      <c r="D45" s="217" t="str">
        <f>IF(J$21&lt;4,"lb/eng","shp/eng")</f>
        <v>shp/eng</v>
      </c>
      <c r="E45" s="439">
        <f>(E15*E42/J22)</f>
        <v>168.54039504641321</v>
      </c>
      <c r="I45" s="323"/>
      <c r="J45" s="323"/>
      <c r="K45" s="323"/>
      <c r="L45" s="192"/>
      <c r="M45" s="192"/>
      <c r="N45" s="192"/>
      <c r="O45" s="192"/>
      <c r="P45" s="192"/>
      <c r="Q45" s="96"/>
      <c r="R45" s="192"/>
      <c r="S45" s="192"/>
      <c r="T45" s="192"/>
      <c r="AO45" s="25" t="str">
        <f>'2'!C74</f>
        <v>Loiter 3e</v>
      </c>
      <c r="AP45" s="227">
        <f>(1/1.689)*(((2/'2'!H74)*AT45)^0.5)*((AV45/AX45)^0.25)</f>
        <v>57.11447029820792</v>
      </c>
      <c r="AQ45" s="227">
        <f>(1/1.689)*(((2/'2'!H74)*AT45)^0.5)*((AV45/(3*AX45))^0.25)</f>
        <v>43.397612699666325</v>
      </c>
      <c r="AR45" s="227">
        <f>(1/1.689)*(((2/'2'!H74)*AT45)^0.5)*((3*AV45/AX45)^0.25)</f>
        <v>75.166870123018441</v>
      </c>
      <c r="AS45" s="227">
        <f>(1/1.689)*(((2/'2'!H74)*AT45)^0.5)*((AV45/AX45)^0.25)</f>
        <v>57.11447029820792</v>
      </c>
      <c r="AT45" s="49">
        <f>AT44*'2'!R73</f>
        <v>9.2334102103090547</v>
      </c>
      <c r="AU45" s="36">
        <f t="shared" si="1"/>
        <v>0.96454164658384733</v>
      </c>
      <c r="AV45" s="355">
        <f>1/(PI()*'2'!F$9*AU45)</f>
        <v>5.5934161430793383E-2</v>
      </c>
      <c r="AW45" s="33">
        <f>AT45/'2'!K74</f>
        <v>0.31477004359355115</v>
      </c>
      <c r="AX45" s="356">
        <f>IF('2'!F$22=1,'2'!F$24,('4'!K65+'5'!AO70+'6'!L70+'6'!R70+AX$3+AX$4+AX$7))</f>
        <v>4.8066490496486716E-2</v>
      </c>
      <c r="AY45" s="356">
        <f t="shared" si="2"/>
        <v>0.92700620515103183</v>
      </c>
      <c r="AZ45" s="357">
        <f t="shared" si="4"/>
        <v>9.6429570328084253</v>
      </c>
      <c r="BA45" s="34">
        <f>(1+AX$7)*(AX45+((1/(PI()*'2'!F$9*AU45))*(AW45^2)))</f>
        <v>5.3608457298433762E-2</v>
      </c>
      <c r="BB45" s="35">
        <f t="shared" si="3"/>
        <v>5.8716489795864275</v>
      </c>
      <c r="BC45" s="52">
        <f>BA45*'2'!K74*'2'!P74/AT45</f>
        <v>178.47590778025608</v>
      </c>
    </row>
    <row r="46" spans="2:56" ht="13.8" thickBot="1">
      <c r="B46" s="224" t="str">
        <f>IF(J$21&lt;4,"AEO Uninstalled ENGINE Thrust, SLS Max, To","AEO Uninstalled Power Available, SLS Max, Po")</f>
        <v>AEO Uninstalled Power Available, SLS Max, Po</v>
      </c>
      <c r="C46" s="69"/>
      <c r="D46" s="225" t="str">
        <f>IF(J$21&lt;4,"lb/spu","shp/spu")</f>
        <v>shp/spu</v>
      </c>
      <c r="E46" s="1246">
        <f>IF(J32=0,0,(E15*E43/J32))</f>
        <v>0</v>
      </c>
      <c r="I46" s="323"/>
      <c r="J46" s="323"/>
      <c r="K46" s="1337"/>
      <c r="L46" s="192"/>
      <c r="M46" s="192"/>
      <c r="N46" s="192"/>
      <c r="O46" s="192"/>
      <c r="P46" s="192"/>
      <c r="Q46" s="239"/>
      <c r="R46" s="192"/>
      <c r="S46" s="192"/>
      <c r="T46" s="192"/>
      <c r="AO46" s="25" t="str">
        <f>'2'!C75</f>
        <v>Land and Taxi In</v>
      </c>
      <c r="AP46" s="227">
        <f>(1/1.689)*(((2/'2'!H75)*AT46)^0.5)*((AV46/AX46)^0.25)</f>
        <v>45.443727919874355</v>
      </c>
      <c r="AQ46" s="227">
        <f>(1/1.689)*(((2/'2'!H75)*AT46)^0.5)*((AV46/(3*AX46))^0.25)</f>
        <v>34.529766162562154</v>
      </c>
      <c r="AR46" s="227">
        <f>(1/1.689)*(((2/'2'!H75)*AT46)^0.5)*((3*AV46/AX46)^0.25)</f>
        <v>59.807309367030271</v>
      </c>
      <c r="AS46" s="227">
        <f>(1/1.689)*(((2/'2'!H75)*AT46)^0.5)*((AV46/AX46)^0.25)</f>
        <v>45.443727919874355</v>
      </c>
      <c r="AT46" s="49">
        <f>AT45*'2'!R74</f>
        <v>9.221584655246474</v>
      </c>
      <c r="AU46" s="36">
        <f t="shared" si="1"/>
        <v>0.96454164658384733</v>
      </c>
      <c r="AV46" s="355">
        <f>1/(PI()*'2'!F$9*AU46)</f>
        <v>5.5934161430793383E-2</v>
      </c>
      <c r="AW46" s="33">
        <f>AT46/'2'!K75</f>
        <v>0.61911957889700886</v>
      </c>
      <c r="AX46" s="356">
        <f>IF('2'!F$22=1,'2'!F$24,('4'!K66+'5'!AO71+'6'!L71+'6'!R71+AX$3+AX$4+AX36))</f>
        <v>9.6508237192875032E-2</v>
      </c>
      <c r="AY46" s="356">
        <f>(AX46/AV46)^0.5</f>
        <v>1.3135409776304832</v>
      </c>
      <c r="AZ46" s="357">
        <f>1/(2*((AX46*AV46)^0.5))</f>
        <v>6.8053309014717902</v>
      </c>
      <c r="BA46" s="34">
        <f>(1+AX$7)*(AX46+((1/(PI()*'2'!F$9*AU46))*(AW46^2)))+BC4+AX3</f>
        <v>0.19593830763978545</v>
      </c>
      <c r="BB46" s="35">
        <f>AW46/BA46</f>
        <v>3.1597679206008209</v>
      </c>
      <c r="BC46" s="52">
        <f>BA46*'2'!K75*'2'!P75/AT46</f>
        <v>331.22867380691281</v>
      </c>
      <c r="BD46" s="2" t="s">
        <v>2800</v>
      </c>
    </row>
    <row r="47" spans="2:56">
      <c r="I47" s="323"/>
      <c r="J47" s="323"/>
      <c r="K47" s="1337"/>
      <c r="L47" s="192"/>
      <c r="M47" s="192"/>
      <c r="N47" s="192"/>
      <c r="O47" s="192"/>
      <c r="P47" s="192"/>
      <c r="Q47" s="239"/>
      <c r="R47" s="192"/>
      <c r="S47" s="192"/>
      <c r="T47" s="192"/>
    </row>
    <row r="48" spans="2:56">
      <c r="I48" s="323"/>
      <c r="J48" s="323"/>
      <c r="K48" s="323"/>
      <c r="L48" s="192"/>
      <c r="M48" s="192"/>
      <c r="N48" s="192"/>
      <c r="O48" s="192"/>
      <c r="P48" s="192"/>
      <c r="Q48" s="239"/>
      <c r="R48" s="192"/>
      <c r="S48" s="192"/>
      <c r="T48" s="192"/>
    </row>
    <row r="49" spans="9:20">
      <c r="I49" s="323"/>
      <c r="J49" s="323"/>
      <c r="K49" s="323"/>
      <c r="L49" s="192"/>
      <c r="M49" s="192"/>
      <c r="N49" s="192"/>
      <c r="O49" s="192"/>
      <c r="P49" s="192"/>
      <c r="Q49" s="239"/>
      <c r="R49" s="192"/>
      <c r="S49" s="192"/>
      <c r="T49" s="192"/>
    </row>
    <row r="50" spans="9:20">
      <c r="I50" s="1338"/>
      <c r="J50" s="323"/>
      <c r="K50" s="323"/>
      <c r="L50" s="192"/>
      <c r="M50" s="192"/>
      <c r="N50" s="192"/>
      <c r="O50" s="192"/>
      <c r="P50" s="192"/>
      <c r="Q50" s="523"/>
      <c r="R50" s="192"/>
      <c r="S50" s="192"/>
      <c r="T50" s="192"/>
    </row>
    <row r="51" spans="9:20">
      <c r="I51" s="323"/>
      <c r="J51" s="323"/>
      <c r="K51" s="400"/>
      <c r="L51" s="192"/>
      <c r="M51" s="192"/>
      <c r="N51" s="192"/>
      <c r="O51" s="192"/>
      <c r="P51" s="192"/>
      <c r="Q51" s="239"/>
      <c r="R51" s="192"/>
      <c r="S51" s="192"/>
      <c r="T51" s="192"/>
    </row>
    <row r="52" spans="9:20">
      <c r="I52" s="323"/>
      <c r="J52" s="323"/>
      <c r="K52" s="323"/>
      <c r="L52" s="192"/>
      <c r="M52" s="192"/>
      <c r="N52" s="192"/>
      <c r="O52" s="192"/>
      <c r="P52" s="192"/>
      <c r="Q52" s="523"/>
      <c r="R52" s="192"/>
      <c r="S52" s="192"/>
      <c r="T52" s="192"/>
    </row>
    <row r="53" spans="9:20">
      <c r="I53" s="323"/>
      <c r="J53" s="323"/>
      <c r="K53" s="323"/>
      <c r="L53" s="192"/>
      <c r="M53" s="192"/>
      <c r="N53" s="192"/>
      <c r="O53" s="192"/>
      <c r="P53" s="192"/>
      <c r="Q53" s="523"/>
      <c r="R53" s="192"/>
      <c r="S53" s="192"/>
      <c r="T53" s="192"/>
    </row>
    <row r="54" spans="9:20">
      <c r="I54" s="323"/>
      <c r="J54" s="323"/>
      <c r="K54" s="323"/>
      <c r="L54" s="192"/>
      <c r="M54" s="192"/>
      <c r="N54" s="192"/>
      <c r="O54" s="192"/>
      <c r="P54" s="192"/>
      <c r="Q54" s="523"/>
      <c r="R54" s="192"/>
      <c r="S54" s="192"/>
      <c r="T54" s="192"/>
    </row>
    <row r="55" spans="9:20">
      <c r="I55" s="323"/>
      <c r="J55" s="323"/>
      <c r="K55" s="1247"/>
      <c r="L55" s="192"/>
      <c r="M55" s="192"/>
      <c r="N55" s="192"/>
      <c r="O55" s="192"/>
      <c r="P55" s="192"/>
      <c r="Q55" s="523"/>
      <c r="R55" s="192"/>
      <c r="S55" s="192"/>
      <c r="T55" s="192"/>
    </row>
    <row r="56" spans="9:20">
      <c r="I56" s="323"/>
      <c r="J56" s="323"/>
      <c r="K56" s="323"/>
      <c r="L56" s="192"/>
      <c r="M56" s="192"/>
      <c r="N56" s="192"/>
      <c r="O56" s="192"/>
      <c r="P56" s="192"/>
      <c r="Q56" s="523"/>
      <c r="R56" s="523"/>
      <c r="S56" s="523"/>
      <c r="T56" s="239"/>
    </row>
    <row r="57" spans="9:20">
      <c r="I57" s="192"/>
      <c r="J57" s="192"/>
      <c r="K57" s="192"/>
      <c r="L57" s="192"/>
      <c r="M57" s="192"/>
      <c r="N57" s="192"/>
      <c r="O57" s="192"/>
      <c r="P57" s="192"/>
      <c r="Q57" s="523"/>
      <c r="R57" s="523"/>
      <c r="S57" s="523"/>
      <c r="T57" s="239"/>
    </row>
    <row r="58" spans="9:20">
      <c r="Q58" s="248"/>
      <c r="R58" s="248"/>
      <c r="S58" s="248"/>
      <c r="T58" s="231"/>
    </row>
    <row r="59" spans="9:20">
      <c r="Q59" s="248"/>
      <c r="R59" s="248"/>
      <c r="S59" s="248"/>
      <c r="T59" s="231"/>
    </row>
    <row r="60" spans="9:20">
      <c r="Q60" s="248"/>
      <c r="R60" s="248"/>
      <c r="S60" s="248"/>
      <c r="T60" s="231"/>
    </row>
    <row r="61" spans="9:20">
      <c r="Q61" s="248"/>
      <c r="R61" s="248"/>
      <c r="S61" s="248"/>
      <c r="T61" s="231"/>
    </row>
    <row r="62" spans="9:20">
      <c r="Q62" s="248"/>
      <c r="R62" s="248"/>
      <c r="S62" s="248"/>
      <c r="T62" s="231"/>
    </row>
    <row r="63" spans="9:20">
      <c r="Q63" s="248"/>
      <c r="R63" s="248"/>
      <c r="S63" s="248"/>
      <c r="T63" s="231"/>
    </row>
    <row r="64" spans="9:20">
      <c r="Q64" s="248"/>
    </row>
    <row r="65" spans="7:48">
      <c r="Q65" s="248"/>
    </row>
    <row r="66" spans="7:48">
      <c r="Q66" s="248"/>
    </row>
    <row r="67" spans="7:48">
      <c r="Q67" s="248"/>
    </row>
    <row r="68" spans="7:48">
      <c r="Q68" s="248"/>
    </row>
    <row r="69" spans="7:48">
      <c r="Q69" s="248"/>
    </row>
    <row r="70" spans="7:48">
      <c r="Q70" s="248"/>
    </row>
    <row r="71" spans="7:48">
      <c r="Q71" s="248"/>
    </row>
    <row r="72" spans="7:48">
      <c r="Q72" s="248"/>
      <c r="AM72" s="25"/>
      <c r="AN72" s="25"/>
      <c r="AO72" s="25"/>
      <c r="AP72" s="25"/>
      <c r="AQ72" s="25"/>
      <c r="AR72" s="25"/>
      <c r="AS72" s="25"/>
      <c r="AT72" s="25"/>
      <c r="AU72" s="25"/>
      <c r="AV72" s="25"/>
    </row>
    <row r="73" spans="7:48">
      <c r="Q73" s="248"/>
      <c r="AM73" s="25"/>
      <c r="AN73" s="25"/>
      <c r="AO73" s="25"/>
      <c r="AP73" s="25"/>
      <c r="AQ73" s="25"/>
      <c r="AR73" s="25"/>
      <c r="AS73" s="25"/>
      <c r="AT73" s="25"/>
      <c r="AU73" s="25"/>
      <c r="AV73" s="25"/>
    </row>
    <row r="74" spans="7:48">
      <c r="G74" s="231" t="s">
        <v>671</v>
      </c>
      <c r="H74" s="231" t="s">
        <v>64</v>
      </c>
      <c r="I74" s="231" t="s">
        <v>672</v>
      </c>
      <c r="J74" s="219">
        <f t="shared" ref="J74:U74" si="10">((((5/9)*((IF(J8&lt;37000,((-0.003553013*J8) + 518.5123),IF(J8&gt;65000,((0.0005471149*J8) + 354.1052),389.97)))-32))+J10)*(9/5)) + 32 - 459.67</f>
        <v>58.84230000000008</v>
      </c>
      <c r="K74" s="219">
        <f t="shared" si="10"/>
        <v>58.84230000000008</v>
      </c>
      <c r="L74" s="219">
        <f t="shared" si="10"/>
        <v>58.84230000000008</v>
      </c>
      <c r="M74" s="219">
        <f t="shared" si="10"/>
        <v>58.84230000000008</v>
      </c>
      <c r="N74" s="219">
        <f t="shared" si="10"/>
        <v>58.84230000000008</v>
      </c>
      <c r="O74" s="219">
        <f t="shared" si="10"/>
        <v>16.206143999999938</v>
      </c>
      <c r="P74" s="219">
        <f t="shared" si="10"/>
        <v>23.312170000000037</v>
      </c>
      <c r="Q74" s="219">
        <f t="shared" si="10"/>
        <v>33.971209000000044</v>
      </c>
      <c r="R74" s="219">
        <f t="shared" si="10"/>
        <v>46.406754499999977</v>
      </c>
      <c r="S74" s="219">
        <f t="shared" si="10"/>
        <v>30.418196000000023</v>
      </c>
      <c r="T74" s="219">
        <f t="shared" si="10"/>
        <v>46.406754499999977</v>
      </c>
      <c r="U74" s="219">
        <f t="shared" si="10"/>
        <v>58.84230000000008</v>
      </c>
      <c r="AM74" s="25"/>
      <c r="AN74" s="25"/>
      <c r="AO74" s="25"/>
      <c r="AP74" s="25"/>
      <c r="AQ74" s="25"/>
      <c r="AR74" s="25"/>
      <c r="AS74" s="25"/>
      <c r="AT74" s="25"/>
      <c r="AU74" s="25"/>
      <c r="AV74" s="25"/>
    </row>
    <row r="75" spans="7:48">
      <c r="G75" s="231" t="s">
        <v>41</v>
      </c>
      <c r="H75" s="236" t="s">
        <v>50</v>
      </c>
      <c r="I75" s="231" t="s">
        <v>673</v>
      </c>
      <c r="J75" s="220">
        <f t="shared" ref="J75:U75" si="11">((1.188467E-32*(J8^6)) - (3.738363E-27*(J8^5)) + (4.423426E-22*(J8^4)) - (2.646824E-17*(J8^3)) + (0.000000000001273176*(J8^2)) - (0.00000007347109*J8) + 0.002383333)*((IF(J8&lt;37000,((-0.003553013*J8) + 518.5123),IF(J8&gt;65000,((0.0005471149*J8) + 354.1052),389.97)))/(J74+459.67))</f>
        <v>2.3833329999999996E-3</v>
      </c>
      <c r="K75" s="220">
        <f t="shared" si="11"/>
        <v>2.3833329999999996E-3</v>
      </c>
      <c r="L75" s="220">
        <f t="shared" si="11"/>
        <v>2.3833329999999996E-3</v>
      </c>
      <c r="M75" s="220">
        <f t="shared" si="11"/>
        <v>2.3833329999999996E-3</v>
      </c>
      <c r="N75" s="220">
        <f t="shared" si="11"/>
        <v>2.3833329999999996E-3</v>
      </c>
      <c r="O75" s="220">
        <f t="shared" si="11"/>
        <v>1.6475578245260494E-3</v>
      </c>
      <c r="P75" s="220">
        <f t="shared" si="11"/>
        <v>1.7535329343699999E-3</v>
      </c>
      <c r="Q75" s="220">
        <f t="shared" si="11"/>
        <v>1.9233430198151997E-3</v>
      </c>
      <c r="R75" s="220">
        <f t="shared" si="11"/>
        <v>2.1407102026352511E-3</v>
      </c>
      <c r="S75" s="220">
        <f t="shared" si="11"/>
        <v>1.8651882572257481E-3</v>
      </c>
      <c r="T75" s="220">
        <f t="shared" si="11"/>
        <v>2.1407102026352511E-3</v>
      </c>
      <c r="U75" s="220">
        <f t="shared" si="11"/>
        <v>2.3833329999999996E-3</v>
      </c>
      <c r="AM75" s="25"/>
      <c r="AN75" s="25"/>
      <c r="AO75" s="25"/>
      <c r="AP75" s="25"/>
      <c r="AQ75" s="25"/>
      <c r="AR75" s="25"/>
      <c r="AS75" s="25"/>
      <c r="AT75" s="25"/>
      <c r="AU75" s="25"/>
      <c r="AV75" s="25"/>
    </row>
    <row r="76" spans="7:48">
      <c r="G76" s="231" t="s">
        <v>675</v>
      </c>
      <c r="H76" s="236" t="s">
        <v>676</v>
      </c>
      <c r="I76" s="231" t="s">
        <v>87</v>
      </c>
      <c r="J76" s="244">
        <f t="shared" ref="J76:U76" si="12">J75/0.002383333</f>
        <v>0.99999999999999978</v>
      </c>
      <c r="K76" s="244">
        <f t="shared" si="12"/>
        <v>0.99999999999999978</v>
      </c>
      <c r="L76" s="244">
        <f t="shared" si="12"/>
        <v>0.99999999999999978</v>
      </c>
      <c r="M76" s="244">
        <f t="shared" si="12"/>
        <v>0.99999999999999978</v>
      </c>
      <c r="N76" s="244">
        <f t="shared" si="12"/>
        <v>0.99999999999999978</v>
      </c>
      <c r="O76" s="244">
        <f t="shared" si="12"/>
        <v>0.69128309998059412</v>
      </c>
      <c r="P76" s="244">
        <f t="shared" si="12"/>
        <v>0.73574818725289326</v>
      </c>
      <c r="Q76" s="244">
        <f t="shared" si="12"/>
        <v>0.8069971841178718</v>
      </c>
      <c r="R76" s="244">
        <f t="shared" si="12"/>
        <v>0.89820021064419076</v>
      </c>
      <c r="S76" s="244">
        <f t="shared" si="12"/>
        <v>0.78259658101731822</v>
      </c>
      <c r="T76" s="244">
        <f t="shared" si="12"/>
        <v>0.89820021064419076</v>
      </c>
      <c r="U76" s="244">
        <f t="shared" si="12"/>
        <v>0.99999999999999978</v>
      </c>
      <c r="AM76" s="25"/>
      <c r="AN76" s="25"/>
      <c r="AO76" s="25"/>
      <c r="AP76" s="25"/>
      <c r="AQ76" s="25"/>
      <c r="AR76" s="25"/>
      <c r="AS76" s="25"/>
      <c r="AT76" s="25"/>
      <c r="AU76" s="25"/>
      <c r="AV76" s="25"/>
    </row>
    <row r="77" spans="7:48">
      <c r="G77" s="231" t="s">
        <v>678</v>
      </c>
      <c r="H77" s="231" t="s">
        <v>199</v>
      </c>
      <c r="I77" s="231" t="s">
        <v>658</v>
      </c>
      <c r="J77" s="245">
        <f t="shared" ref="J77:U77" si="13">((IF(J8&lt;37000,((-0.00409890612*J8) + 1117.99058),IF(J8&gt;65000,((0.000671182239*J8) + 924.11991),968.076)))/(((IF(J8&lt;37000,((-0.003553013*J8) + 518.5123),IF(J8&gt;65000,((0.0005471149*J8) + 354.1052),389.97)))/(J74+459.67))^0.5))</f>
        <v>1117.9905800000001</v>
      </c>
      <c r="K77" s="245">
        <f t="shared" si="13"/>
        <v>1117.9905800000001</v>
      </c>
      <c r="L77" s="245">
        <f t="shared" si="13"/>
        <v>1117.9905800000001</v>
      </c>
      <c r="M77" s="245">
        <f t="shared" si="13"/>
        <v>1117.9905800000001</v>
      </c>
      <c r="N77" s="245">
        <f t="shared" si="13"/>
        <v>1117.9905800000001</v>
      </c>
      <c r="O77" s="245">
        <f t="shared" si="13"/>
        <v>1068.8037065599999</v>
      </c>
      <c r="P77" s="245">
        <f t="shared" si="13"/>
        <v>1077.0015188</v>
      </c>
      <c r="Q77" s="245">
        <f t="shared" si="13"/>
        <v>1089.2982371599999</v>
      </c>
      <c r="R77" s="245">
        <f t="shared" si="13"/>
        <v>1103.6444085799999</v>
      </c>
      <c r="S77" s="245">
        <f t="shared" si="13"/>
        <v>1085.1993310399998</v>
      </c>
      <c r="T77" s="245">
        <f t="shared" si="13"/>
        <v>1103.6444085799999</v>
      </c>
      <c r="U77" s="245">
        <f t="shared" si="13"/>
        <v>1117.9905800000001</v>
      </c>
      <c r="AM77" s="25"/>
      <c r="AN77" s="25"/>
      <c r="AO77" s="25"/>
      <c r="AP77" s="25"/>
      <c r="AQ77" s="25"/>
      <c r="AR77" s="25"/>
      <c r="AS77" s="25"/>
      <c r="AT77" s="25"/>
      <c r="AU77" s="25"/>
      <c r="AV77" s="25"/>
    </row>
    <row r="78" spans="7:48">
      <c r="G78" s="223" t="s">
        <v>680</v>
      </c>
      <c r="H78" s="231" t="s">
        <v>49</v>
      </c>
      <c r="I78" s="231" t="s">
        <v>658</v>
      </c>
      <c r="J78" s="1233">
        <f t="shared" ref="J78:U78" si="14">J9*J77</f>
        <v>91.141732439999998</v>
      </c>
      <c r="K78" s="1233">
        <f t="shared" si="14"/>
        <v>98.736876809999998</v>
      </c>
      <c r="L78" s="1233">
        <f t="shared" si="14"/>
        <v>91.141732439999998</v>
      </c>
      <c r="M78" s="1233">
        <f t="shared" si="14"/>
        <v>91.141732439999998</v>
      </c>
      <c r="N78" s="1233">
        <f t="shared" si="14"/>
        <v>91.141732439999998</v>
      </c>
      <c r="O78" s="1233">
        <f>O9*O77</f>
        <v>85.504296524799997</v>
      </c>
      <c r="P78" s="1233">
        <f t="shared" si="14"/>
        <v>161.55022782</v>
      </c>
      <c r="Q78" s="1233">
        <f t="shared" si="14"/>
        <v>174.28771794559998</v>
      </c>
      <c r="R78" s="1233">
        <f t="shared" si="14"/>
        <v>176.58310537279999</v>
      </c>
      <c r="S78" s="1233">
        <f t="shared" si="14"/>
        <v>86.815946483199994</v>
      </c>
      <c r="T78" s="1233">
        <f t="shared" si="14"/>
        <v>176.58310537279999</v>
      </c>
      <c r="U78" s="1233">
        <f t="shared" si="14"/>
        <v>75.951443699999999</v>
      </c>
      <c r="AM78" s="25"/>
      <c r="AN78" s="25"/>
      <c r="AO78" s="25"/>
      <c r="AP78" s="25"/>
      <c r="AQ78" s="25"/>
      <c r="AR78" s="25"/>
      <c r="AS78" s="25"/>
      <c r="AT78" s="25"/>
      <c r="AU78" s="25"/>
      <c r="AV78" s="25"/>
    </row>
    <row r="79" spans="7:48">
      <c r="G79" s="223" t="s">
        <v>681</v>
      </c>
      <c r="H79" s="231" t="s">
        <v>48</v>
      </c>
      <c r="I79" s="231" t="s">
        <v>414</v>
      </c>
      <c r="J79" s="1233">
        <f>J78/1.68780986</f>
        <v>54</v>
      </c>
      <c r="K79" s="1233">
        <f>K78/1.68780986</f>
        <v>58.5</v>
      </c>
      <c r="L79" s="1233">
        <f>L78/1.68780986</f>
        <v>54</v>
      </c>
      <c r="M79" s="1233">
        <f>M78/1.68780986</f>
        <v>54</v>
      </c>
      <c r="N79" s="1233">
        <f>N78/1.68780986</f>
        <v>54</v>
      </c>
      <c r="O79" s="1233">
        <f t="shared" ref="O79:U79" si="15">O78/1.68780986</f>
        <v>50.659910545136881</v>
      </c>
      <c r="P79" s="1233">
        <f t="shared" si="15"/>
        <v>95.715892914620142</v>
      </c>
      <c r="Q79" s="1233">
        <f t="shared" si="15"/>
        <v>103.26264947024303</v>
      </c>
      <c r="R79" s="1233">
        <f t="shared" si="15"/>
        <v>104.62262933622155</v>
      </c>
      <c r="S79" s="1233">
        <f t="shared" si="15"/>
        <v>51.437041897124594</v>
      </c>
      <c r="T79" s="1233">
        <f t="shared" si="15"/>
        <v>104.62262933622155</v>
      </c>
      <c r="U79" s="1233">
        <f t="shared" si="15"/>
        <v>45</v>
      </c>
      <c r="AM79" s="25"/>
      <c r="AN79" s="25"/>
      <c r="AO79" s="25"/>
      <c r="AP79" s="25"/>
      <c r="AQ79" s="25"/>
      <c r="AR79" s="25"/>
      <c r="AS79" s="25"/>
      <c r="AT79" s="25"/>
      <c r="AU79" s="25"/>
      <c r="AV79" s="25"/>
    </row>
    <row r="80" spans="7:48">
      <c r="G80" s="223" t="s">
        <v>682</v>
      </c>
      <c r="H80" s="231" t="s">
        <v>47</v>
      </c>
      <c r="I80" s="231" t="s">
        <v>619</v>
      </c>
      <c r="J80" s="1233">
        <f t="shared" ref="J80:U80" si="16">0.5*J75*(J78^2)</f>
        <v>9.8989536245268521</v>
      </c>
      <c r="K80" s="1233">
        <f t="shared" si="16"/>
        <v>11.617521962118321</v>
      </c>
      <c r="L80" s="1233">
        <f t="shared" si="16"/>
        <v>9.8989536245268521</v>
      </c>
      <c r="M80" s="1233">
        <f t="shared" si="16"/>
        <v>9.8989536245268521</v>
      </c>
      <c r="N80" s="1233">
        <f t="shared" si="16"/>
        <v>9.8989536245268521</v>
      </c>
      <c r="O80" s="1233">
        <f t="shared" si="16"/>
        <v>6.0226350436738274</v>
      </c>
      <c r="P80" s="1233">
        <f t="shared" si="16"/>
        <v>22.882268696731678</v>
      </c>
      <c r="Q80" s="1233">
        <f t="shared" si="16"/>
        <v>29.211934415292436</v>
      </c>
      <c r="R80" s="1233">
        <f t="shared" si="16"/>
        <v>33.375377245115061</v>
      </c>
      <c r="S80" s="1233">
        <f t="shared" si="16"/>
        <v>7.0289699338804388</v>
      </c>
      <c r="T80" s="1233">
        <f t="shared" si="16"/>
        <v>33.375377245115061</v>
      </c>
      <c r="U80" s="1233">
        <f t="shared" si="16"/>
        <v>6.8742733503658702</v>
      </c>
      <c r="AM80" s="25"/>
      <c r="AN80" s="25"/>
      <c r="AO80" s="25"/>
      <c r="AP80" s="25"/>
      <c r="AQ80" s="25"/>
      <c r="AR80" s="25"/>
      <c r="AS80" s="25"/>
      <c r="AT80" s="25"/>
      <c r="AU80" s="25"/>
      <c r="AV80" s="25"/>
    </row>
    <row r="81" spans="7:48">
      <c r="G81" s="223" t="s">
        <v>683</v>
      </c>
      <c r="H81" s="231" t="s">
        <v>684</v>
      </c>
      <c r="I81" s="231" t="s">
        <v>414</v>
      </c>
      <c r="J81" s="462">
        <f t="shared" ref="J81:U81" si="17">J79*(J76^0.5)</f>
        <v>53.999999999999993</v>
      </c>
      <c r="K81" s="462">
        <f t="shared" si="17"/>
        <v>58.499999999999993</v>
      </c>
      <c r="L81" s="462">
        <f t="shared" si="17"/>
        <v>53.999999999999993</v>
      </c>
      <c r="M81" s="462">
        <f t="shared" si="17"/>
        <v>53.999999999999993</v>
      </c>
      <c r="N81" s="462">
        <f t="shared" si="17"/>
        <v>53.999999999999993</v>
      </c>
      <c r="O81" s="462">
        <f t="shared" si="17"/>
        <v>42.120390453835789</v>
      </c>
      <c r="P81" s="462">
        <f t="shared" si="17"/>
        <v>82.101039436550678</v>
      </c>
      <c r="Q81" s="462">
        <f t="shared" si="17"/>
        <v>92.763958613663348</v>
      </c>
      <c r="R81" s="462">
        <f t="shared" si="17"/>
        <v>99.1544492585505</v>
      </c>
      <c r="S81" s="462">
        <f t="shared" si="17"/>
        <v>45.503516259791326</v>
      </c>
      <c r="T81" s="462">
        <f t="shared" si="17"/>
        <v>99.1544492585505</v>
      </c>
      <c r="U81" s="462">
        <f t="shared" si="17"/>
        <v>44.999999999999993</v>
      </c>
      <c r="AM81" s="25"/>
      <c r="AN81" s="25"/>
      <c r="AO81" s="25"/>
      <c r="AP81" s="25"/>
      <c r="AQ81" s="25"/>
      <c r="AR81" s="25"/>
      <c r="AS81" s="25"/>
      <c r="AT81" s="25"/>
      <c r="AU81" s="25"/>
      <c r="AV81" s="25"/>
    </row>
    <row r="82" spans="7:48">
      <c r="G82" s="223"/>
      <c r="H82" s="231"/>
      <c r="I82" s="231"/>
      <c r="J82" s="247"/>
      <c r="K82" s="247"/>
      <c r="L82" s="227"/>
      <c r="M82" s="227"/>
      <c r="N82" s="227"/>
      <c r="O82" s="231"/>
      <c r="P82" s="231"/>
      <c r="Q82" s="231"/>
      <c r="R82" s="231"/>
      <c r="S82" s="231"/>
      <c r="T82" s="231"/>
      <c r="U82" s="231"/>
      <c r="AM82" s="25"/>
      <c r="AN82" s="25"/>
      <c r="AO82" s="25"/>
      <c r="AP82" s="25"/>
      <c r="AQ82" s="25"/>
      <c r="AR82" s="25"/>
      <c r="AS82" s="25"/>
      <c r="AT82" s="25"/>
      <c r="AU82" s="25"/>
      <c r="AV82" s="25"/>
    </row>
    <row r="83" spans="7:48" ht="13.8" thickBot="1">
      <c r="G83" s="223"/>
      <c r="H83" s="231"/>
      <c r="I83" s="231"/>
      <c r="J83" s="231"/>
      <c r="K83" s="231"/>
      <c r="L83" s="231"/>
      <c r="M83" s="231"/>
      <c r="N83" s="231"/>
      <c r="O83" s="231"/>
      <c r="P83" s="231"/>
      <c r="Q83" s="231"/>
      <c r="R83" s="231"/>
      <c r="S83" s="231"/>
      <c r="T83" s="231"/>
      <c r="U83" s="231"/>
      <c r="AM83" s="25"/>
      <c r="AN83" s="25"/>
      <c r="AO83" s="25"/>
      <c r="AP83" s="25"/>
      <c r="AQ83" s="25"/>
      <c r="AR83" s="25"/>
      <c r="AS83" s="25"/>
      <c r="AT83" s="25"/>
      <c r="AU83" s="25"/>
      <c r="AV83" s="25"/>
    </row>
    <row r="84" spans="7:48">
      <c r="G84" s="1281" t="s">
        <v>2638</v>
      </c>
      <c r="H84" s="229"/>
      <c r="I84" s="229" t="s">
        <v>46</v>
      </c>
      <c r="J84" s="229"/>
      <c r="K84" s="1282"/>
      <c r="L84" s="229"/>
      <c r="M84" s="229"/>
      <c r="N84" s="229"/>
      <c r="O84" s="229"/>
      <c r="P84" s="229"/>
      <c r="Q84" s="229"/>
      <c r="R84" s="229"/>
      <c r="S84" s="229"/>
      <c r="T84" s="229"/>
      <c r="U84" s="430"/>
      <c r="AM84" s="25"/>
      <c r="AN84" s="25"/>
      <c r="AO84" s="25"/>
      <c r="AP84" s="25"/>
      <c r="AQ84" s="25"/>
      <c r="AR84" s="25"/>
      <c r="AS84" s="25"/>
      <c r="AT84" s="25"/>
      <c r="AU84" s="25"/>
      <c r="AV84" s="25"/>
    </row>
    <row r="85" spans="7:48">
      <c r="G85" s="232" t="s">
        <v>2634</v>
      </c>
      <c r="H85" s="231"/>
      <c r="I85" s="233" t="s">
        <v>58</v>
      </c>
      <c r="J85" s="233" t="s">
        <v>685</v>
      </c>
      <c r="K85" s="233" t="s">
        <v>685</v>
      </c>
      <c r="L85" s="233" t="s">
        <v>685</v>
      </c>
      <c r="M85" s="233" t="s">
        <v>685</v>
      </c>
      <c r="N85" s="233" t="s">
        <v>685</v>
      </c>
      <c r="O85" s="233" t="s">
        <v>685</v>
      </c>
      <c r="P85" s="233" t="s">
        <v>685</v>
      </c>
      <c r="Q85" s="233" t="s">
        <v>685</v>
      </c>
      <c r="R85" s="233" t="s">
        <v>685</v>
      </c>
      <c r="S85" s="233" t="s">
        <v>685</v>
      </c>
      <c r="T85" s="233"/>
      <c r="U85" s="1283"/>
      <c r="AM85" s="25"/>
      <c r="AN85" s="25"/>
      <c r="AO85" s="25"/>
      <c r="AP85" s="25"/>
      <c r="AQ85" s="25"/>
      <c r="AR85" s="25"/>
      <c r="AS85" s="25"/>
      <c r="AT85" s="25"/>
      <c r="AU85" s="25"/>
      <c r="AV85" s="25"/>
    </row>
    <row r="86" spans="7:48">
      <c r="G86" s="246"/>
      <c r="H86" s="231"/>
      <c r="I86" s="231">
        <f>E$13</f>
        <v>5</v>
      </c>
      <c r="J86" s="248">
        <f t="shared" ref="J86:J116" si="18">((20.9*I86*J$29*J$18)/(J$11))*(1/(E$7-(87*((I86*J$29*J$18/(J$11))^0.5))))</f>
        <v>5.8557649751169984E-2</v>
      </c>
      <c r="K86" s="248"/>
      <c r="L86" s="248">
        <f>IF($E$6=1,((((0.5*L$75*(1.1^2)*$I86*L$18*(2/L$75)*(1/L$11))*(L$14+L$15+L$16))/($I86*L$18))+(((1/(PI()*L$12*L$13))/(0.5*L$75*(1.1^2)*$I86*L$18*(2/L$75)*(1/L$11)))*$I86*L$18)+((500/60)/((1.1^1)*(($I86*L$18*(2/L$75)*(1/L$11))^0.5))))*L$29,IF($E$6=2,((((0.5*L$75*(1.1^2)*$I86*L$18*(2/L$75)*(1/L$11))*(L$14+L$15+L$16))/($I86*L$18))+(((1/(PI()*L$12*L$13))/(0.5*L$75*(1.1^2)*$I86*L$18*(2/L$75)*(1/L$11)))*$I86*L$18)+((200/60)/((1.1^1)*(($I86*L$18*(2/L$75)*(1/L$11))^0.5))))*L$29,""))</f>
        <v>0.22565092105825471</v>
      </c>
      <c r="M86" s="248" t="str">
        <f>IF($J$22=1,"",IF($E$6=1,(($J$22+1)/$J$22)*((((0.5*M$75*('8'!#REF!^2)*$I86*M$18*(2/M$75)*(1/M$11))*(M$14+M$15+M$16))/($I86*M$18))+(((1/(PI()*M$12*M$13))/(0.5*M$75*('8'!#REF!^2)*$I86*M$18*(2/M$75)*(1/M$11)))*$I86*M$18)+((100/60)/(('8'!#REF!^1)*(($I86*M$18*(2/M$75)*(1/M$11))^0.5))))*M$29,IF($E$6=2,"",(($J$22+1)/$J$22)*((((0.5*M$75*('8'!#REF!^2)*$I86*M$18*(2/M$75)*(1/M$11))*(M$14+M$15+M$16))/($I86*M$18))+(((1/(PI()*M$12*M$13))/(0.5*M$75*('8'!#REF!^2)*$I86*M$18*(2/M$75)*(1/M$11)))*$I86*M$18)+0.03)*M$29)))</f>
        <v/>
      </c>
      <c r="N86" s="248" t="str">
        <f>IF($J$22=1,"",IF($E$6=1,"",IF($E$6=2,"",(($J$22+1)/$J$22)*((((0.5*N$75*('8'!#REF!^2)*$I86*N$18*(2/N$75)*(1/N$11))*(N$14+N$15+N$16))/($I86*N$18))+(((1/(PI()*N$12*N$13))/(0.5*N$75*('8'!#REF!^2)*$I86*N$18*(2/N$75)*(1/N$11)))*$I86*N$18)+0.005)*N$29)))</f>
        <v/>
      </c>
      <c r="O86" s="248">
        <f t="shared" ref="O86:O116" si="19">(((O$80*(O$14+O$15+O$16))/($I86*O$18))+(((1/(PI()*O$12*O$13*O$80))*$I86*O$18)+((300/60)/O$78)))*O$29</f>
        <v>0.34779464477378397</v>
      </c>
      <c r="P86" s="248" t="str">
        <f t="shared" ref="P86:P116" si="20">IF($J$22=1,"",(($J$22+1)/$J$22)*(((P$80*(P$14+P$15+P$16))/($I86*P$18))+(((1/(PI()*P$12*P$13*P$80)))*$I86*P$18)+((100/60)/P$78))*P$29)</f>
        <v/>
      </c>
      <c r="Q86" s="248">
        <f t="shared" ref="Q86:Q116" si="21">(((Q$80*(Q$14+Q$15+Q$16))/($I86*Q$18))+(((1/(PI()*Q$12*Q$13*Q$80))*$I86*Q$18)))*Q$29</f>
        <v>0.75876292445669025</v>
      </c>
      <c r="R86" s="248"/>
      <c r="S86" s="248">
        <f t="shared" ref="S86:S116" si="22">(((S$14*S$80)/($I86*S$18))+((((((E$10*(PI()/180)/32.174)*S$78)^2)+1)/(S$80*PI()*S$12*S$13))*$I86*S$18))*S$29</f>
        <v>0.40089908803115842</v>
      </c>
      <c r="T86" s="248"/>
      <c r="U86" s="1283"/>
      <c r="AM86" s="25"/>
      <c r="AN86" s="25"/>
      <c r="AO86" s="25"/>
      <c r="AP86" s="25"/>
      <c r="AQ86" s="25"/>
      <c r="AR86" s="25"/>
      <c r="AS86" s="25"/>
      <c r="AT86" s="25"/>
      <c r="AU86" s="25"/>
      <c r="AV86" s="25"/>
    </row>
    <row r="87" spans="7:48">
      <c r="G87" s="246"/>
      <c r="H87" s="231"/>
      <c r="I87" s="231">
        <f t="shared" ref="I87:I116" si="23">I86+E$14</f>
        <v>6</v>
      </c>
      <c r="J87" s="248">
        <f t="shared" si="18"/>
        <v>7.1258462297885045E-2</v>
      </c>
      <c r="K87" s="248"/>
      <c r="L87" s="248">
        <f t="shared" ref="L87:L116" si="24">IF($E$6=1,((((0.5*L$75*(1.1^2)*$I87*L$18*(2/L$75)*(1/L$11))*(L$14+L$15+L$16))/($I87*L$18))+(((1/(PI()*L$12*L$13))/(0.5*L$75*(1.1^2)*$I87*L$18*(2/L$75)*(1/L$11)))*$I87*L$18)+((500/60)/((1.1^1)*(($I87*L$18*(2/L$75)*(1/L$11))^0.5))))*L$29,IF($E$6=2,((((0.5*L$75*(1.1^2)*$I87*L$18*(2/L$75)*(1/L$11))*(L$14+L$15+L$16))/($I87*L$18))+(((1/(PI()*L$12*L$13))/(0.5*L$75*(1.1^2)*$I87*L$18*(2/L$75)*(1/L$11)))*$I87*L$18)+((200/60)/((1.1^1)*(($I87*L$18*(2/L$75)*(1/L$11))^0.5))))*L$29,""))</f>
        <v>0.21993135170502204</v>
      </c>
      <c r="M87" s="248" t="str">
        <f>IF($J$22=1,"",IF($E$6=1,(($J$22+1)/$J$22)*((((0.5*M$75*('8'!#REF!^2)*$I87*M$18*(2/M$75)*(1/M$11))*(M$14+M$15+M$16))/($I87*M$18))+(((1/(PI()*M$12*M$13))/(0.5*M$75*('8'!#REF!^2)*$I87*M$18*(2/M$75)*(1/M$11)))*$I87*M$18)+((100/60)/(('8'!#REF!^1)*(($I87*M$18*(2/M$75)*(1/M$11))^0.5))))*M$29,IF($E$6=2,"",(($J$22+1)/$J$22)*((((0.5*M$75*('8'!#REF!^2)*$I87*M$18*(2/M$75)*(1/M$11))*(M$14+M$15+M$16))/($I87*M$18))+(((1/(PI()*M$12*M$13))/(0.5*M$75*('8'!#REF!^2)*$I87*M$18*(2/M$75)*(1/M$11)))*$I87*M$18)+0.03)*M$29)))</f>
        <v/>
      </c>
      <c r="N87" s="248" t="str">
        <f>IF($J$22=1,"",IF($E$6=1,"",IF($E$6=2,"",(($J$22+1)/$J$22)*((((0.5*N$75*('8'!#REF!^2)*$I87*N$18*(2/N$75)*(1/N$11))*(N$14+N$15+N$16))/($I87*N$18))+(((1/(PI()*N$12*N$13))/(0.5*N$75*('8'!#REF!^2)*$I87*N$18*(2/N$75)*(1/N$11)))*$I87*N$18)+0.005)*N$29)))</f>
        <v/>
      </c>
      <c r="O87" s="248">
        <f t="shared" si="19"/>
        <v>0.33683712981524627</v>
      </c>
      <c r="P87" s="248" t="str">
        <f t="shared" si="20"/>
        <v/>
      </c>
      <c r="Q87" s="248">
        <f t="shared" si="21"/>
        <v>0.63807433464147323</v>
      </c>
      <c r="R87" s="248"/>
      <c r="S87" s="248">
        <f t="shared" si="22"/>
        <v>0.4385879622186819</v>
      </c>
      <c r="T87" s="248"/>
      <c r="U87" s="1283"/>
      <c r="AM87" s="25"/>
      <c r="AN87" s="25"/>
      <c r="AO87" s="25"/>
      <c r="AP87" s="25"/>
      <c r="AQ87" s="25"/>
      <c r="AR87" s="25"/>
      <c r="AS87" s="25"/>
      <c r="AT87" s="25"/>
      <c r="AU87" s="25"/>
      <c r="AV87" s="25"/>
    </row>
    <row r="88" spans="7:48">
      <c r="G88" s="235"/>
      <c r="H88" s="231"/>
      <c r="I88" s="231">
        <f t="shared" si="23"/>
        <v>7</v>
      </c>
      <c r="J88" s="248">
        <f>((20.9*I88*J$29*J$18)/(J$11))*(1/(E$7-(87*((I88*J$29*J$18/(J$11))^0.5))))</f>
        <v>8.4225294620762781E-2</v>
      </c>
      <c r="K88" s="248"/>
      <c r="L88" s="248">
        <f t="shared" si="24"/>
        <v>0.21548610498997703</v>
      </c>
      <c r="M88" s="248" t="str">
        <f>IF($J$22=1,"",IF($E$6=1,(($J$22+1)/$J$22)*((((0.5*M$75*('8'!#REF!^2)*$I88*M$18*(2/M$75)*(1/M$11))*(M$14+M$15+M$16))/($I88*M$18))+(((1/(PI()*M$12*M$13))/(0.5*M$75*('8'!#REF!^2)*$I88*M$18*(2/M$75)*(1/M$11)))*$I88*M$18)+((100/60)/(('8'!#REF!^1)*(($I88*M$18*(2/M$75)*(1/M$11))^0.5))))*M$29,IF($E$6=2,"",(($J$22+1)/$J$22)*((((0.5*M$75*('8'!#REF!^2)*$I88*M$18*(2/M$75)*(1/M$11))*(M$14+M$15+M$16))/($I88*M$18))+(((1/(PI()*M$12*M$13))/(0.5*M$75*('8'!#REF!^2)*$I88*M$18*(2/M$75)*(1/M$11)))*$I88*M$18)+0.03)*M$29)))</f>
        <v/>
      </c>
      <c r="N88" s="248" t="str">
        <f>IF($J$22=1,"",IF($E$6=1,"",IF($E$6=2,"",(($J$22+1)/$J$22)*((((0.5*N$75*('8'!#REF!^2)*$I88*N$18*(2/N$75)*(1/N$11))*(N$14+N$15+N$16))/($I88*N$18))+(((1/(PI()*N$12*N$13))/(0.5*N$75*('8'!#REF!^2)*$I88*N$18*(2/N$75)*(1/N$11)))*$I88*N$18)+0.005)*N$29)))</f>
        <v/>
      </c>
      <c r="O88" s="248">
        <f t="shared" si="19"/>
        <v>0.33366943260070364</v>
      </c>
      <c r="P88" s="248" t="str">
        <f t="shared" si="20"/>
        <v/>
      </c>
      <c r="Q88" s="248">
        <f t="shared" si="21"/>
        <v>0.55276771556736715</v>
      </c>
      <c r="R88" s="248"/>
      <c r="S88" s="248">
        <f t="shared" si="22"/>
        <v>0.48179514074629742</v>
      </c>
      <c r="T88" s="248"/>
      <c r="U88" s="1283"/>
      <c r="AM88" s="25"/>
      <c r="AN88" s="25"/>
      <c r="AO88" s="25"/>
      <c r="AP88" s="25"/>
      <c r="AQ88" s="25"/>
      <c r="AR88" s="25"/>
      <c r="AS88" s="25"/>
      <c r="AT88" s="25"/>
      <c r="AU88" s="25"/>
      <c r="AV88" s="25"/>
    </row>
    <row r="89" spans="7:48">
      <c r="G89" s="235"/>
      <c r="H89" s="231"/>
      <c r="I89" s="231">
        <f t="shared" si="23"/>
        <v>8</v>
      </c>
      <c r="J89" s="248">
        <f t="shared" si="18"/>
        <v>9.7447148903044248E-2</v>
      </c>
      <c r="K89" s="248"/>
      <c r="L89" s="248">
        <f t="shared" si="24"/>
        <v>0.21190289477935023</v>
      </c>
      <c r="M89" s="248" t="str">
        <f>IF($J$22=1,"",IF($E$6=1,(($J$22+1)/$J$22)*((((0.5*M$75*('8'!#REF!^2)*$I89*M$18*(2/M$75)*(1/M$11))*(M$14+M$15+M$16))/($I89*M$18))+(((1/(PI()*M$12*M$13))/(0.5*M$75*('8'!#REF!^2)*$I89*M$18*(2/M$75)*(1/M$11)))*$I89*M$18)+((100/60)/(('8'!#REF!^1)*(($I89*M$18*(2/M$75)*(1/M$11))^0.5))))*M$29,IF($E$6=2,"",(($J$22+1)/$J$22)*((((0.5*M$75*('8'!#REF!^2)*$I89*M$18*(2/M$75)*(1/M$11))*(M$14+M$15+M$16))/($I89*M$18))+(((1/(PI()*M$12*M$13))/(0.5*M$75*('8'!#REF!^2)*$I89*M$18*(2/M$75)*(1/M$11)))*$I89*M$18)+0.03)*M$29)))</f>
        <v/>
      </c>
      <c r="N89" s="248" t="str">
        <f>IF($J$22=1,"",IF($E$6=1,"",IF($E$6=2,"",(($J$22+1)/$J$22)*((((0.5*N$75*('8'!#REF!^2)*$I89*N$18*(2/N$75)*(1/N$11))*(N$14+N$15+N$16))/($I89*N$18))+(((1/(PI()*N$12*N$13))/(0.5*N$75*('8'!#REF!^2)*$I89*N$18*(2/N$75)*(1/N$11)))*$I89*N$18)+0.005)*N$29)))</f>
        <v/>
      </c>
      <c r="O89" s="248">
        <f t="shared" si="19"/>
        <v>0.335370371476158</v>
      </c>
      <c r="P89" s="248" t="str">
        <f t="shared" si="20"/>
        <v/>
      </c>
      <c r="Q89" s="248">
        <f t="shared" si="21"/>
        <v>0.48957482820645548</v>
      </c>
      <c r="R89" s="248"/>
      <c r="S89" s="248">
        <f t="shared" si="22"/>
        <v>0.52845125948647031</v>
      </c>
      <c r="T89" s="248"/>
      <c r="U89" s="1283"/>
      <c r="AM89" s="25"/>
      <c r="AN89" s="25"/>
      <c r="AO89" s="25"/>
      <c r="AP89" s="25"/>
      <c r="AQ89" s="25"/>
      <c r="AR89" s="25"/>
      <c r="AS89" s="25"/>
      <c r="AT89" s="25"/>
      <c r="AU89" s="25"/>
      <c r="AV89" s="25"/>
    </row>
    <row r="90" spans="7:48">
      <c r="G90" s="235"/>
      <c r="H90" s="231"/>
      <c r="I90" s="231">
        <f t="shared" si="23"/>
        <v>9</v>
      </c>
      <c r="J90" s="248">
        <f t="shared" si="18"/>
        <v>0.11091555610621526</v>
      </c>
      <c r="K90" s="248"/>
      <c r="L90" s="248">
        <f t="shared" si="24"/>
        <v>0.20893486925722393</v>
      </c>
      <c r="M90" s="248" t="str">
        <f>IF($J$22=1,"",IF($E$6=1,(($J$22+1)/$J$22)*((((0.5*M$75*('8'!#REF!^2)*$I90*M$18*(2/M$75)*(1/M$11))*(M$14+M$15+M$16))/($I90*M$18))+(((1/(PI()*M$12*M$13))/(0.5*M$75*('8'!#REF!^2)*$I90*M$18*(2/M$75)*(1/M$11)))*$I90*M$18)+((100/60)/(('8'!#REF!^1)*(($I90*M$18*(2/M$75)*(1/M$11))^0.5))))*M$29,IF($E$6=2,"",(($J$22+1)/$J$22)*((((0.5*M$75*('8'!#REF!^2)*$I90*M$18*(2/M$75)*(1/M$11))*(M$14+M$15+M$16))/($I90*M$18))+(((1/(PI()*M$12*M$13))/(0.5*M$75*('8'!#REF!^2)*$I90*M$18*(2/M$75)*(1/M$11)))*$I90*M$18)+0.03)*M$29)))</f>
        <v/>
      </c>
      <c r="N90" s="248" t="str">
        <f>IF($J$22=1,"",IF($E$6=1,"",IF($E$6=2,"",(($J$22+1)/$J$22)*((((0.5*N$75*('8'!#REF!^2)*$I90*N$18*(2/N$75)*(1/N$11))*(N$14+N$15+N$16))/($I90*N$18))+(((1/(PI()*N$12*N$13))/(0.5*N$75*('8'!#REF!^2)*$I90*N$18*(2/N$75)*(1/N$11)))*$I90*N$18)+0.005)*N$29)))</f>
        <v/>
      </c>
      <c r="O90" s="248">
        <f t="shared" si="19"/>
        <v>0.34031706774494352</v>
      </c>
      <c r="P90" s="248" t="str">
        <f t="shared" si="20"/>
        <v/>
      </c>
      <c r="Q90" s="248">
        <f t="shared" si="21"/>
        <v>0.44112442865434009</v>
      </c>
      <c r="R90" s="248"/>
      <c r="S90" s="248">
        <f t="shared" si="22"/>
        <v>0.57740667170168147</v>
      </c>
      <c r="T90" s="248"/>
      <c r="U90" s="1283"/>
      <c r="AM90" s="25"/>
      <c r="AN90" s="25"/>
      <c r="AO90" s="25"/>
      <c r="AP90" s="25"/>
      <c r="AQ90" s="25"/>
      <c r="AR90" s="25"/>
      <c r="AS90" s="25"/>
      <c r="AT90" s="25"/>
      <c r="AU90" s="25"/>
      <c r="AV90" s="25"/>
    </row>
    <row r="91" spans="7:48">
      <c r="G91" s="235"/>
      <c r="H91" s="231"/>
      <c r="I91" s="231">
        <f t="shared" si="23"/>
        <v>10</v>
      </c>
      <c r="J91" s="248">
        <f t="shared" si="18"/>
        <v>0.12462384244881856</v>
      </c>
      <c r="K91" s="248"/>
      <c r="L91" s="248">
        <f t="shared" si="24"/>
        <v>0.20642400790242496</v>
      </c>
      <c r="M91" s="248" t="str">
        <f>IF($J$22=1,"",IF($E$6=1,(($J$22+1)/$J$22)*((((0.5*M$75*('8'!#REF!^2)*$I91*M$18*(2/M$75)*(1/M$11))*(M$14+M$15+M$16))/($I91*M$18))+(((1/(PI()*M$12*M$13))/(0.5*M$75*('8'!#REF!^2)*$I91*M$18*(2/M$75)*(1/M$11)))*$I91*M$18)+((100/60)/(('8'!#REF!^1)*(($I91*M$18*(2/M$75)*(1/M$11))^0.5))))*M$29,IF($E$6=2,"",(($J$22+1)/$J$22)*((((0.5*M$75*('8'!#REF!^2)*$I91*M$18*(2/M$75)*(1/M$11))*(M$14+M$15+M$16))/($I91*M$18))+(((1/(PI()*M$12*M$13))/(0.5*M$75*('8'!#REF!^2)*$I91*M$18*(2/M$75)*(1/M$11)))*$I91*M$18)+0.03)*M$29)))</f>
        <v/>
      </c>
      <c r="N91" s="248" t="str">
        <f>IF($J$22=1,"",IF($E$6=1,"",IF($E$6=2,"",(($J$22+1)/$J$22)*((((0.5*N$75*('8'!#REF!^2)*$I91*N$18*(2/N$75)*(1/N$11))*(N$14+N$15+N$16))/($I91*N$18))+(((1/(PI()*N$12*N$13))/(0.5*N$75*('8'!#REF!^2)*$I91*N$18*(2/N$75)*(1/N$11)))*$I91*N$18)+0.005)*N$29)))</f>
        <v/>
      </c>
      <c r="O91" s="248">
        <f t="shared" si="19"/>
        <v>0.347535794189061</v>
      </c>
      <c r="P91" s="248" t="str">
        <f t="shared" si="20"/>
        <v/>
      </c>
      <c r="Q91" s="248">
        <f t="shared" si="21"/>
        <v>0.40299377056838215</v>
      </c>
      <c r="R91" s="248"/>
      <c r="S91" s="248">
        <f t="shared" si="22"/>
        <v>0.62797158934941955</v>
      </c>
      <c r="T91" s="248"/>
      <c r="U91" s="1283"/>
      <c r="AM91" s="25"/>
      <c r="AN91" s="25"/>
      <c r="AO91" s="25"/>
      <c r="AP91" s="25"/>
      <c r="AQ91" s="25"/>
      <c r="AR91" s="25"/>
      <c r="AS91" s="25"/>
      <c r="AT91" s="25"/>
      <c r="AU91" s="25"/>
      <c r="AV91" s="25"/>
    </row>
    <row r="92" spans="7:48">
      <c r="G92" s="235"/>
      <c r="H92" s="231"/>
      <c r="I92" s="231">
        <f t="shared" si="23"/>
        <v>11</v>
      </c>
      <c r="J92" s="248">
        <f t="shared" si="18"/>
        <v>0.13856666406456744</v>
      </c>
      <c r="K92" s="248"/>
      <c r="L92" s="248">
        <f t="shared" si="24"/>
        <v>0.20426384021031491</v>
      </c>
      <c r="M92" s="248" t="str">
        <f>IF($J$22=1,"",IF($E$6=1,(($J$22+1)/$J$22)*((((0.5*M$75*('8'!#REF!^2)*$I92*M$18*(2/M$75)*(1/M$11))*(M$14+M$15+M$16))/($I92*M$18))+(((1/(PI()*M$12*M$13))/(0.5*M$75*('8'!#REF!^2)*$I92*M$18*(2/M$75)*(1/M$11)))*$I92*M$18)+((100/60)/(('8'!#REF!^1)*(($I92*M$18*(2/M$75)*(1/M$11))^0.5))))*M$29,IF($E$6=2,"",(($J$22+1)/$J$22)*((((0.5*M$75*('8'!#REF!^2)*$I92*M$18*(2/M$75)*(1/M$11))*(M$14+M$15+M$16))/($I92*M$18))+(((1/(PI()*M$12*M$13))/(0.5*M$75*('8'!#REF!^2)*$I92*M$18*(2/M$75)*(1/M$11)))*$I92*M$18)+0.03)*M$29)))</f>
        <v/>
      </c>
      <c r="N92" s="248" t="str">
        <f>IF($J$22=1,"",IF($E$6=1,"",IF($E$6=2,"",(($J$22+1)/$J$22)*((((0.5*N$75*('8'!#REF!^2)*$I92*N$18*(2/N$75)*(1/N$11))*(N$14+N$15+N$16))/($I92*N$18))+(((1/(PI()*N$12*N$13))/(0.5*N$75*('8'!#REF!^2)*$I92*N$18*(2/N$75)*(1/N$11)))*$I92*N$18)+0.005)*N$29)))</f>
        <v/>
      </c>
      <c r="O92" s="248">
        <f t="shared" si="19"/>
        <v>0.35640690621523802</v>
      </c>
      <c r="P92" s="248" t="str">
        <f t="shared" si="20"/>
        <v/>
      </c>
      <c r="Q92" s="248">
        <f t="shared" si="21"/>
        <v>0.37236837900326591</v>
      </c>
      <c r="R92" s="248"/>
      <c r="S92" s="248">
        <f t="shared" si="22"/>
        <v>0.67970705640263174</v>
      </c>
      <c r="T92" s="248"/>
      <c r="U92" s="1283"/>
      <c r="AM92" s="25"/>
      <c r="AN92" s="25"/>
      <c r="AO92" s="25"/>
      <c r="AP92" s="25"/>
      <c r="AQ92" s="25"/>
      <c r="AR92" s="25"/>
      <c r="AS92" s="25"/>
      <c r="AT92" s="25"/>
      <c r="AU92" s="25"/>
      <c r="AV92" s="25"/>
    </row>
    <row r="93" spans="7:48">
      <c r="G93" s="246"/>
      <c r="H93" s="231"/>
      <c r="I93" s="231">
        <f t="shared" si="23"/>
        <v>12</v>
      </c>
      <c r="J93" s="248">
        <f t="shared" si="18"/>
        <v>0.15273969574142332</v>
      </c>
      <c r="K93" s="248"/>
      <c r="L93" s="248">
        <f t="shared" si="24"/>
        <v>0.20237966162728738</v>
      </c>
      <c r="M93" s="248" t="str">
        <f>IF($J$22=1,"",IF($E$6=1,(($J$22+1)/$J$22)*((((0.5*M$75*('8'!#REF!^2)*$I93*M$18*(2/M$75)*(1/M$11))*(M$14+M$15+M$16))/($I93*M$18))+(((1/(PI()*M$12*M$13))/(0.5*M$75*('8'!#REF!^2)*$I93*M$18*(2/M$75)*(1/M$11)))*$I93*M$18)+((100/60)/(('8'!#REF!^1)*(($I93*M$18*(2/M$75)*(1/M$11))^0.5))))*M$29,IF($E$6=2,"",(($J$22+1)/$J$22)*((((0.5*M$75*('8'!#REF!^2)*$I93*M$18*(2/M$75)*(1/M$11))*(M$14+M$15+M$16))/($I93*M$18))+(((1/(PI()*M$12*M$13))/(0.5*M$75*('8'!#REF!^2)*$I93*M$18*(2/M$75)*(1/M$11)))*$I93*M$18)+0.03)*M$29)))</f>
        <v/>
      </c>
      <c r="N93" s="248" t="str">
        <f>IF($J$22=1,"",IF($E$6=1,"",IF($E$6=2,"",(($J$22+1)/$J$22)*((((0.5*N$75*('8'!#REF!^2)*$I93*N$18*(2/N$75)*(1/N$11))*(N$14+N$15+N$16))/($I93*N$18))+(((1/(PI()*N$12*N$13))/(0.5*N$75*('8'!#REF!^2)*$I93*N$18*(2/N$75)*(1/N$11)))*$I93*N$18)+0.005)*N$29)))</f>
        <v/>
      </c>
      <c r="O93" s="248">
        <f t="shared" si="19"/>
        <v>0.36651730742795974</v>
      </c>
      <c r="P93" s="248" t="str">
        <f t="shared" si="20"/>
        <v/>
      </c>
      <c r="Q93" s="248">
        <f t="shared" si="21"/>
        <v>0.34737193732878097</v>
      </c>
      <c r="R93" s="248"/>
      <c r="S93" s="248">
        <f t="shared" si="22"/>
        <v>0.73232043550994941</v>
      </c>
      <c r="T93" s="248"/>
      <c r="U93" s="1283"/>
      <c r="AM93" s="25"/>
      <c r="AN93" s="25"/>
      <c r="AO93" s="25"/>
      <c r="AP93" s="25"/>
      <c r="AQ93" s="25"/>
      <c r="AR93" s="25"/>
      <c r="AS93" s="25"/>
      <c r="AT93" s="25"/>
      <c r="AU93" s="25"/>
      <c r="AV93" s="25"/>
    </row>
    <row r="94" spans="7:48">
      <c r="G94" s="246"/>
      <c r="H94" s="231"/>
      <c r="I94" s="231">
        <f t="shared" si="23"/>
        <v>13</v>
      </c>
      <c r="J94" s="248">
        <f t="shared" si="18"/>
        <v>0.16713941388975809</v>
      </c>
      <c r="K94" s="248"/>
      <c r="L94" s="248">
        <f t="shared" si="24"/>
        <v>0.20071730247142242</v>
      </c>
      <c r="M94" s="248" t="str">
        <f>IF($J$22=1,"",IF($E$6=1,(($J$22+1)/$J$22)*((((0.5*M$75*('8'!#REF!^2)*$I94*M$18*(2/M$75)*(1/M$11))*(M$14+M$15+M$16))/($I94*M$18))+(((1/(PI()*M$12*M$13))/(0.5*M$75*('8'!#REF!^2)*$I94*M$18*(2/M$75)*(1/M$11)))*$I94*M$18)+((100/60)/(('8'!#REF!^1)*(($I94*M$18*(2/M$75)*(1/M$11))^0.5))))*M$29,IF($E$6=2,"",(($J$22+1)/$J$22)*((((0.5*M$75*('8'!#REF!^2)*$I94*M$18*(2/M$75)*(1/M$11))*(M$14+M$15+M$16))/($I94*M$18))+(((1/(PI()*M$12*M$13))/(0.5*M$75*('8'!#REF!^2)*$I94*M$18*(2/M$75)*(1/M$11)))*$I94*M$18)+0.03)*M$29)))</f>
        <v/>
      </c>
      <c r="N94" s="248" t="str">
        <f>IF($J$22=1,"",IF($E$6=1,"",IF($E$6=2,"",(($J$22+1)/$J$22)*((((0.5*N$75*('8'!#REF!^2)*$I94*N$18*(2/N$75)*(1/N$11))*(N$14+N$15+N$16))/($I94*N$18))+(((1/(PI()*N$12*N$13))/(0.5*N$75*('8'!#REF!^2)*$I94*N$18*(2/N$75)*(1/N$11)))*$I94*N$18)+0.005)*N$29)))</f>
        <v/>
      </c>
      <c r="O94" s="248">
        <f t="shared" si="19"/>
        <v>0.3775810080149466</v>
      </c>
      <c r="P94" s="248" t="str">
        <f t="shared" si="20"/>
        <v/>
      </c>
      <c r="Q94" s="248">
        <f t="shared" si="21"/>
        <v>0.32670545710862781</v>
      </c>
      <c r="R94" s="248"/>
      <c r="S94" s="248">
        <f t="shared" si="22"/>
        <v>0.78560913158196366</v>
      </c>
      <c r="T94" s="248"/>
      <c r="U94" s="1283"/>
      <c r="AM94" s="25"/>
      <c r="AN94" s="25"/>
      <c r="AO94" s="25"/>
      <c r="AP94" s="25"/>
      <c r="AQ94" s="25"/>
      <c r="AR94" s="25"/>
      <c r="AS94" s="25"/>
      <c r="AT94" s="25"/>
      <c r="AU94" s="25"/>
      <c r="AV94" s="25"/>
    </row>
    <row r="95" spans="7:48">
      <c r="G95" s="246"/>
      <c r="H95" s="231"/>
      <c r="I95" s="231">
        <f t="shared" si="23"/>
        <v>14</v>
      </c>
      <c r="J95" s="248">
        <f t="shared" si="18"/>
        <v>0.18176294005535223</v>
      </c>
      <c r="K95" s="248"/>
      <c r="L95" s="248">
        <f t="shared" si="24"/>
        <v>0.19923639753103181</v>
      </c>
      <c r="M95" s="248" t="str">
        <f>IF($J$22=1,"",IF($E$6=1,(($J$22+1)/$J$22)*((((0.5*M$75*('8'!#REF!^2)*$I95*M$18*(2/M$75)*(1/M$11))*(M$14+M$15+M$16))/($I95*M$18))+(((1/(PI()*M$12*M$13))/(0.5*M$75*('8'!#REF!^2)*$I95*M$18*(2/M$75)*(1/M$11)))*$I95*M$18)+((100/60)/(('8'!#REF!^1)*(($I95*M$18*(2/M$75)*(1/M$11))^0.5))))*M$29,IF($E$6=2,"",(($J$22+1)/$J$22)*((((0.5*M$75*('8'!#REF!^2)*$I95*M$18*(2/M$75)*(1/M$11))*(M$14+M$15+M$16))/($I95*M$18))+(((1/(PI()*M$12*M$13))/(0.5*M$75*('8'!#REF!^2)*$I95*M$18*(2/M$75)*(1/M$11)))*$I95*M$18)+0.03)*M$29)))</f>
        <v/>
      </c>
      <c r="N95" s="248" t="str">
        <f>IF($J$22=1,"",IF($E$6=1,"",IF($E$6=2,"",(($J$22+1)/$J$22)*((((0.5*N$75*('8'!#REF!^2)*$I95*N$18*(2/N$75)*(1/N$11))*(N$14+N$15+N$16))/($I95*N$18))+(((1/(PI()*N$12*N$13))/(0.5*N$75*('8'!#REF!^2)*$I95*N$18*(2/N$75)*(1/N$11)))*$I95*N$18)+0.005)*N$29)))</f>
        <v/>
      </c>
      <c r="O95" s="248">
        <f t="shared" si="19"/>
        <v>0.38939372953885598</v>
      </c>
      <c r="P95" s="248" t="str">
        <f t="shared" si="20"/>
        <v/>
      </c>
      <c r="Q95" s="248">
        <f t="shared" si="21"/>
        <v>0.30944108945973536</v>
      </c>
      <c r="R95" s="248"/>
      <c r="S95" s="248">
        <f t="shared" si="22"/>
        <v>0.83942843384052523</v>
      </c>
      <c r="T95" s="248"/>
      <c r="U95" s="1283"/>
      <c r="AM95" s="25"/>
      <c r="AN95" s="25"/>
      <c r="AO95" s="25"/>
      <c r="AP95" s="25"/>
      <c r="AQ95" s="25"/>
      <c r="AR95" s="25"/>
      <c r="AS95" s="25"/>
      <c r="AT95" s="25"/>
      <c r="AU95" s="25"/>
      <c r="AV95" s="25"/>
    </row>
    <row r="96" spans="7:48">
      <c r="G96" s="235"/>
      <c r="H96" s="231"/>
      <c r="I96" s="231">
        <f t="shared" si="23"/>
        <v>15</v>
      </c>
      <c r="J96" s="248">
        <f t="shared" si="18"/>
        <v>0.19660792492804582</v>
      </c>
      <c r="K96" s="248"/>
      <c r="L96" s="248">
        <f t="shared" si="24"/>
        <v>0.1979061692249881</v>
      </c>
      <c r="M96" s="248" t="str">
        <f>IF($J$22=1,"",IF($E$6=1,(($J$22+1)/$J$22)*((((0.5*M$75*('8'!#REF!^2)*$I96*M$18*(2/M$75)*(1/M$11))*(M$14+M$15+M$16))/($I96*M$18))+(((1/(PI()*M$12*M$13))/(0.5*M$75*('8'!#REF!^2)*$I96*M$18*(2/M$75)*(1/M$11)))*$I96*M$18)+((100/60)/(('8'!#REF!^1)*(($I96*M$18*(2/M$75)*(1/M$11))^0.5))))*M$29,IF($E$6=2,"",(($J$22+1)/$J$22)*((((0.5*M$75*('8'!#REF!^2)*$I96*M$18*(2/M$75)*(1/M$11))*(M$14+M$15+M$16))/($I96*M$18))+(((1/(PI()*M$12*M$13))/(0.5*M$75*('8'!#REF!^2)*$I96*M$18*(2/M$75)*(1/M$11)))*$I96*M$18)+0.03)*M$29)))</f>
        <v/>
      </c>
      <c r="N96" s="248" t="str">
        <f>IF($J$22=1,"",IF($E$6=1,"",IF($E$6=2,"",(($J$22+1)/$J$22)*((((0.5*N$75*('8'!#REF!^2)*$I96*N$18*(2/N$75)*(1/N$11))*(N$14+N$15+N$16))/($I96*N$18))+(((1/(PI()*N$12*N$13))/(0.5*N$75*('8'!#REF!^2)*$I96*N$18*(2/N$75)*(1/N$11)))*$I96*N$18)+0.005)*N$29)))</f>
        <v/>
      </c>
      <c r="O96" s="248">
        <f t="shared" si="19"/>
        <v>0.40180566781230354</v>
      </c>
      <c r="P96" s="248" t="str">
        <f t="shared" si="20"/>
        <v/>
      </c>
      <c r="Q96" s="248">
        <f t="shared" si="21"/>
        <v>0.29489841186785143</v>
      </c>
      <c r="R96" s="248"/>
      <c r="S96" s="248">
        <f t="shared" si="22"/>
        <v>0.89367222104832456</v>
      </c>
      <c r="T96" s="248"/>
      <c r="U96" s="1283"/>
      <c r="AM96" s="25"/>
      <c r="AN96" s="25"/>
      <c r="AO96" s="25"/>
      <c r="AP96" s="25"/>
      <c r="AQ96" s="25"/>
      <c r="AR96" s="25"/>
      <c r="AS96" s="25"/>
      <c r="AT96" s="25"/>
      <c r="AU96" s="25"/>
      <c r="AV96" s="25"/>
    </row>
    <row r="97" spans="7:48">
      <c r="G97" s="235"/>
      <c r="H97" s="231"/>
      <c r="I97" s="231">
        <f t="shared" si="23"/>
        <v>16</v>
      </c>
      <c r="J97" s="248">
        <f t="shared" si="18"/>
        <v>0.21167246035400356</v>
      </c>
      <c r="K97" s="248"/>
      <c r="L97" s="248">
        <f t="shared" si="24"/>
        <v>0.1967026852926807</v>
      </c>
      <c r="M97" s="248" t="str">
        <f>IF($J$22=1,"",IF($E$6=1,(($J$22+1)/$J$22)*((((0.5*M$75*('8'!#REF!^2)*$I97*M$18*(2/M$75)*(1/M$11))*(M$14+M$15+M$16))/($I97*M$18))+(((1/(PI()*M$12*M$13))/(0.5*M$75*('8'!#REF!^2)*$I97*M$18*(2/M$75)*(1/M$11)))*$I97*M$18)+((100/60)/(('8'!#REF!^1)*(($I97*M$18*(2/M$75)*(1/M$11))^0.5))))*M$29,IF($E$6=2,"",(($J$22+1)/$J$22)*((((0.5*M$75*('8'!#REF!^2)*$I97*M$18*(2/M$75)*(1/M$11))*(M$14+M$15+M$16))/($I97*M$18))+(((1/(PI()*M$12*M$13))/(0.5*M$75*('8'!#REF!^2)*$I97*M$18*(2/M$75)*(1/M$11)))*$I97*M$18)+0.03)*M$29)))</f>
        <v/>
      </c>
      <c r="N97" s="248" t="str">
        <f>IF($J$22=1,"",IF($E$6=1,"",IF($E$6=2,"",(($J$22+1)/$J$22)*((((0.5*N$75*('8'!#REF!^2)*$I97*N$18*(2/N$75)*(1/N$11))*(N$14+N$15+N$16))/($I97*N$18))+(((1/(PI()*N$12*N$13))/(0.5*N$75*('8'!#REF!^2)*$I97*N$18*(2/N$75)*(1/N$11)))*$I97*N$18)+0.005)*N$29)))</f>
        <v/>
      </c>
      <c r="O97" s="248">
        <f t="shared" si="19"/>
        <v>0.41470446969475072</v>
      </c>
      <c r="P97" s="248" t="str">
        <f t="shared" si="20"/>
        <v/>
      </c>
      <c r="Q97" s="248">
        <f t="shared" si="21"/>
        <v>0.28256710744728691</v>
      </c>
      <c r="R97" s="248"/>
      <c r="S97" s="248">
        <f t="shared" si="22"/>
        <v>0.9482609022773798</v>
      </c>
      <c r="T97" s="248"/>
      <c r="U97" s="1283"/>
      <c r="AM97" s="25"/>
      <c r="AN97" s="25"/>
      <c r="AO97" s="25"/>
      <c r="AP97" s="25"/>
      <c r="AQ97" s="25"/>
      <c r="AR97" s="25"/>
      <c r="AS97" s="25"/>
      <c r="AT97" s="25"/>
      <c r="AU97" s="25"/>
      <c r="AV97" s="25"/>
    </row>
    <row r="98" spans="7:48">
      <c r="G98" s="235"/>
      <c r="H98" s="231"/>
      <c r="I98" s="231">
        <f t="shared" si="23"/>
        <v>17</v>
      </c>
      <c r="J98" s="248">
        <f t="shared" si="18"/>
        <v>0.22695501126567205</v>
      </c>
      <c r="K98" s="248"/>
      <c r="L98" s="248">
        <f t="shared" si="24"/>
        <v>0.19560701799984986</v>
      </c>
      <c r="M98" s="248" t="str">
        <f>IF($J$22=1,"",IF($E$6=1,(($J$22+1)/$J$22)*((((0.5*M$75*('8'!#REF!^2)*$I98*M$18*(2/M$75)*(1/M$11))*(M$14+M$15+M$16))/($I98*M$18))+(((1/(PI()*M$12*M$13))/(0.5*M$75*('8'!#REF!^2)*$I98*M$18*(2/M$75)*(1/M$11)))*$I98*M$18)+((100/60)/(('8'!#REF!^1)*(($I98*M$18*(2/M$75)*(1/M$11))^0.5))))*M$29,IF($E$6=2,"",(($J$22+1)/$J$22)*((((0.5*M$75*('8'!#REF!^2)*$I98*M$18*(2/M$75)*(1/M$11))*(M$14+M$15+M$16))/($I98*M$18))+(((1/(PI()*M$12*M$13))/(0.5*M$75*('8'!#REF!^2)*$I98*M$18*(2/M$75)*(1/M$11)))*$I98*M$18)+0.03)*M$29)))</f>
        <v/>
      </c>
      <c r="N98" s="248" t="str">
        <f>IF($J$22=1,"",IF($E$6=1,"",IF($E$6=2,"",(($J$22+1)/$J$22)*((((0.5*N$75*('8'!#REF!^2)*$I98*N$18*(2/N$75)*(1/N$11))*(N$14+N$15+N$16))/($I98*N$18))+(((1/(PI()*N$12*N$13))/(0.5*N$75*('8'!#REF!^2)*$I98*N$18*(2/N$75)*(1/N$11)))*$I98*N$18)+0.005)*N$29)))</f>
        <v/>
      </c>
      <c r="O98" s="248">
        <f t="shared" si="19"/>
        <v>0.42800421807872707</v>
      </c>
      <c r="P98" s="248" t="str">
        <f t="shared" si="20"/>
        <v/>
      </c>
      <c r="Q98" s="248">
        <f t="shared" si="21"/>
        <v>0.2720569338736914</v>
      </c>
      <c r="R98" s="248"/>
      <c r="S98" s="248">
        <f t="shared" si="22"/>
        <v>1.0031336138768809</v>
      </c>
      <c r="T98" s="248"/>
      <c r="U98" s="1283"/>
      <c r="AM98" s="25"/>
      <c r="AN98" s="25"/>
      <c r="AO98" s="25"/>
      <c r="AP98" s="25"/>
      <c r="AQ98" s="25"/>
      <c r="AR98" s="25"/>
      <c r="AS98" s="25"/>
      <c r="AT98" s="25"/>
      <c r="AU98" s="25"/>
      <c r="AV98" s="25"/>
    </row>
    <row r="99" spans="7:48">
      <c r="G99" s="235"/>
      <c r="H99" s="231"/>
      <c r="I99" s="231">
        <f t="shared" si="23"/>
        <v>18</v>
      </c>
      <c r="J99" s="248">
        <f t="shared" si="18"/>
        <v>0.24245436212368554</v>
      </c>
      <c r="K99" s="248"/>
      <c r="L99" s="248">
        <f t="shared" si="24"/>
        <v>0.1946039743192505</v>
      </c>
      <c r="M99" s="248" t="str">
        <f>IF($J$22=1,"",IF($E$6=1,(($J$22+1)/$J$22)*((((0.5*M$75*('8'!#REF!^2)*$I99*M$18*(2/M$75)*(1/M$11))*(M$14+M$15+M$16))/($I99*M$18))+(((1/(PI()*M$12*M$13))/(0.5*M$75*('8'!#REF!^2)*$I99*M$18*(2/M$75)*(1/M$11)))*$I99*M$18)+((100/60)/(('8'!#REF!^1)*(($I99*M$18*(2/M$75)*(1/M$11))^0.5))))*M$29,IF($E$6=2,"",(($J$22+1)/$J$22)*((((0.5*M$75*('8'!#REF!^2)*$I99*M$18*(2/M$75)*(1/M$11))*(M$14+M$15+M$16))/($I99*M$18))+(((1/(PI()*M$12*M$13))/(0.5*M$75*('8'!#REF!^2)*$I99*M$18*(2/M$75)*(1/M$11)))*$I99*M$18)+0.03)*M$29)))</f>
        <v/>
      </c>
      <c r="N99" s="248" t="str">
        <f>IF($J$22=1,"",IF($E$6=1,"",IF($E$6=2,"",(($J$22+1)/$J$22)*((((0.5*N$75*('8'!#REF!^2)*$I99*N$18*(2/N$75)*(1/N$11))*(N$14+N$15+N$16))/($I99*N$18))+(((1/(PI()*N$12*N$13))/(0.5*N$75*('8'!#REF!^2)*$I99*N$18*(2/N$75)*(1/N$11)))*$I99*N$18)+0.005)*N$29)))</f>
        <v/>
      </c>
      <c r="O99" s="248">
        <f t="shared" si="19"/>
        <v>0.44163808854731107</v>
      </c>
      <c r="P99" s="248" t="str">
        <f t="shared" si="20"/>
        <v/>
      </c>
      <c r="Q99" s="248">
        <f t="shared" si="21"/>
        <v>0.26306436933923666</v>
      </c>
      <c r="R99" s="248"/>
      <c r="S99" s="248">
        <f t="shared" si="22"/>
        <v>1.0582430174517534</v>
      </c>
      <c r="T99" s="248"/>
      <c r="U99" s="1283"/>
      <c r="AM99" s="25"/>
      <c r="AN99" s="25"/>
      <c r="AO99" s="25"/>
      <c r="AP99" s="25"/>
      <c r="AQ99" s="25"/>
      <c r="AR99" s="25"/>
      <c r="AS99" s="25"/>
      <c r="AT99" s="25"/>
      <c r="AU99" s="25"/>
      <c r="AV99" s="25"/>
    </row>
    <row r="100" spans="7:48">
      <c r="G100" s="235"/>
      <c r="H100" s="231"/>
      <c r="I100" s="231">
        <f t="shared" si="23"/>
        <v>19</v>
      </c>
      <c r="J100" s="248">
        <f t="shared" si="18"/>
        <v>0.25816957415511826</v>
      </c>
      <c r="K100" s="248"/>
      <c r="L100" s="248">
        <f t="shared" si="24"/>
        <v>0.19368119893183586</v>
      </c>
      <c r="M100" s="248" t="str">
        <f>IF($J$22=1,"",IF($E$6=1,(($J$22+1)/$J$22)*((((0.5*M$75*('8'!#REF!^2)*$I100*M$18*(2/M$75)*(1/M$11))*(M$14+M$15+M$16))/($I100*M$18))+(((1/(PI()*M$12*M$13))/(0.5*M$75*('8'!#REF!^2)*$I100*M$18*(2/M$75)*(1/M$11)))*$I100*M$18)+((100/60)/(('8'!#REF!^1)*(($I100*M$18*(2/M$75)*(1/M$11))^0.5))))*M$29,IF($E$6=2,"",(($J$22+1)/$J$22)*((((0.5*M$75*('8'!#REF!^2)*$I100*M$18*(2/M$75)*(1/M$11))*(M$14+M$15+M$16))/($I100*M$18))+(((1/(PI()*M$12*M$13))/(0.5*M$75*('8'!#REF!^2)*$I100*M$18*(2/M$75)*(1/M$11)))*$I100*M$18)+0.03)*M$29)))</f>
        <v/>
      </c>
      <c r="N100" s="248" t="str">
        <f>IF($J$22=1,"",IF($E$6=1,"",IF($E$6=2,"",(($J$22+1)/$J$22)*((((0.5*N$75*('8'!#REF!^2)*$I100*N$18*(2/N$75)*(1/N$11))*(N$14+N$15+N$16))/($I100*N$18))+(((1/(PI()*N$12*N$13))/(0.5*N$75*('8'!#REF!^2)*$I100*N$18*(2/N$75)*(1/N$11)))*$I100*N$18)+0.005)*N$29)))</f>
        <v/>
      </c>
      <c r="O100" s="248">
        <f t="shared" si="19"/>
        <v>0.45555332498188039</v>
      </c>
      <c r="P100" s="248" t="str">
        <f t="shared" si="20"/>
        <v/>
      </c>
      <c r="Q100" s="248">
        <f t="shared" si="21"/>
        <v>0.25534979136405833</v>
      </c>
      <c r="R100" s="248"/>
      <c r="S100" s="248">
        <f t="shared" si="22"/>
        <v>1.1135517405848339</v>
      </c>
      <c r="T100" s="248"/>
      <c r="U100" s="1283"/>
      <c r="AM100" s="25"/>
      <c r="AN100" s="25"/>
      <c r="AO100" s="25"/>
      <c r="AP100" s="25"/>
      <c r="AQ100" s="25"/>
      <c r="AR100" s="25"/>
      <c r="AS100" s="25"/>
      <c r="AT100" s="25"/>
      <c r="AU100" s="25"/>
      <c r="AV100" s="25"/>
    </row>
    <row r="101" spans="7:48">
      <c r="G101" s="235"/>
      <c r="H101" s="231"/>
      <c r="I101" s="231">
        <f t="shared" si="23"/>
        <v>20</v>
      </c>
      <c r="J101" s="248">
        <f t="shared" si="18"/>
        <v>0.27409995077191501</v>
      </c>
      <c r="K101" s="248"/>
      <c r="L101" s="248">
        <f t="shared" si="24"/>
        <v>0.19282852722865287</v>
      </c>
      <c r="M101" s="248" t="str">
        <f>IF($J$22=1,"",IF($E$6=1,(($J$22+1)/$J$22)*((((0.5*M$75*('8'!#REF!^2)*$I101*M$18*(2/M$75)*(1/M$11))*(M$14+M$15+M$16))/($I101*M$18))+(((1/(PI()*M$12*M$13))/(0.5*M$75*('8'!#REF!^2)*$I101*M$18*(2/M$75)*(1/M$11)))*$I101*M$18)+((100/60)/(('8'!#REF!^1)*(($I101*M$18*(2/M$75)*(1/M$11))^0.5))))*M$29,IF($E$6=2,"",(($J$22+1)/$J$22)*((((0.5*M$75*('8'!#REF!^2)*$I101*M$18*(2/M$75)*(1/M$11))*(M$14+M$15+M$16))/($I101*M$18))+(((1/(PI()*M$12*M$13))/(0.5*M$75*('8'!#REF!^2)*$I101*M$18*(2/M$75)*(1/M$11)))*$I101*M$18)+0.03)*M$29)))</f>
        <v/>
      </c>
      <c r="N101" s="248" t="str">
        <f>IF($J$22=1,"",IF($E$6=1,"",IF($E$6=2,"",(($J$22+1)/$J$22)*((((0.5*N$75*('8'!#REF!^2)*$I101*N$18*(2/N$75)*(1/N$11))*(N$14+N$15+N$16))/($I101*N$18))+(((1/(PI()*N$12*N$13))/(0.5*N$75*('8'!#REF!^2)*$I101*N$18*(2/N$75)*(1/N$11)))*$I101*N$18)+0.005)*N$29)))</f>
        <v/>
      </c>
      <c r="O101" s="248">
        <f t="shared" si="19"/>
        <v>0.46970772248753739</v>
      </c>
      <c r="P101" s="248" t="str">
        <f t="shared" si="20"/>
        <v/>
      </c>
      <c r="Q101" s="248">
        <f t="shared" si="21"/>
        <v>0.24872150196426504</v>
      </c>
      <c r="R101" s="248"/>
      <c r="S101" s="248">
        <f t="shared" si="22"/>
        <v>1.1690298853423906</v>
      </c>
      <c r="T101" s="248"/>
      <c r="U101" s="1283"/>
      <c r="AM101" s="25"/>
      <c r="AN101" s="25"/>
      <c r="AO101" s="25"/>
      <c r="AP101" s="25"/>
      <c r="AQ101" s="25"/>
      <c r="AR101" s="25"/>
      <c r="AS101" s="25"/>
      <c r="AT101" s="25"/>
      <c r="AU101" s="25"/>
      <c r="AV101" s="25"/>
    </row>
    <row r="102" spans="7:48">
      <c r="G102" s="235"/>
      <c r="H102" s="231"/>
      <c r="I102" s="231">
        <f t="shared" si="23"/>
        <v>21</v>
      </c>
      <c r="J102" s="248">
        <f t="shared" si="18"/>
        <v>0.29024500928810576</v>
      </c>
      <c r="K102" s="248"/>
      <c r="L102" s="248">
        <f t="shared" si="24"/>
        <v>0.19203750993170496</v>
      </c>
      <c r="M102" s="248" t="str">
        <f>IF($J$22=1,"",IF($E$6=1,(($J$22+1)/$J$22)*((((0.5*M$75*('8'!#REF!^2)*$I102*M$18*(2/M$75)*(1/M$11))*(M$14+M$15+M$16))/($I102*M$18))+(((1/(PI()*M$12*M$13))/(0.5*M$75*('8'!#REF!^2)*$I102*M$18*(2/M$75)*(1/M$11)))*$I102*M$18)+((100/60)/(('8'!#REF!^1)*(($I102*M$18*(2/M$75)*(1/M$11))^0.5))))*M$29,IF($E$6=2,"",(($J$22+1)/$J$22)*((((0.5*M$75*('8'!#REF!^2)*$I102*M$18*(2/M$75)*(1/M$11))*(M$14+M$15+M$16))/($I102*M$18))+(((1/(PI()*M$12*M$13))/(0.5*M$75*('8'!#REF!^2)*$I102*M$18*(2/M$75)*(1/M$11)))*$I102*M$18)+0.03)*M$29)))</f>
        <v/>
      </c>
      <c r="N102" s="248" t="str">
        <f>IF($J$22=1,"",IF($E$6=1,"",IF($E$6=2,"",(($J$22+1)/$J$22)*((((0.5*N$75*('8'!#REF!^2)*$I102*N$18*(2/N$75)*(1/N$11))*(N$14+N$15+N$16))/($I102*N$18))+(((1/(PI()*N$12*N$13))/(0.5*N$75*('8'!#REF!^2)*$I102*N$18*(2/N$75)*(1/N$11)))*$I102*N$18)+0.005)*N$29)))</f>
        <v/>
      </c>
      <c r="O102" s="248">
        <f t="shared" si="19"/>
        <v>0.48406711519698375</v>
      </c>
      <c r="P102" s="248" t="str">
        <f t="shared" si="20"/>
        <v/>
      </c>
      <c r="Q102" s="248">
        <f t="shared" si="21"/>
        <v>0.24302431705765887</v>
      </c>
      <c r="R102" s="248"/>
      <c r="S102" s="248">
        <f t="shared" si="22"/>
        <v>1.2246532486352129</v>
      </c>
      <c r="T102" s="248"/>
      <c r="U102" s="1283"/>
      <c r="AM102" s="25"/>
      <c r="AN102" s="25"/>
      <c r="AO102" s="25"/>
      <c r="AP102" s="25"/>
      <c r="AQ102" s="25"/>
      <c r="AR102" s="25"/>
      <c r="AS102" s="25"/>
      <c r="AT102" s="25"/>
      <c r="AU102" s="25"/>
      <c r="AV102" s="25"/>
    </row>
    <row r="103" spans="7:48">
      <c r="G103" s="235"/>
      <c r="H103" s="231"/>
      <c r="I103" s="231">
        <f t="shared" si="23"/>
        <v>22</v>
      </c>
      <c r="J103" s="248">
        <f t="shared" si="18"/>
        <v>0.30660445755730575</v>
      </c>
      <c r="K103" s="248"/>
      <c r="L103" s="248">
        <f t="shared" si="24"/>
        <v>0.19130105800506175</v>
      </c>
      <c r="M103" s="248" t="str">
        <f>IF($J$22=1,"",IF($E$6=1,(($J$22+1)/$J$22)*((((0.5*M$75*('8'!#REF!^2)*$I103*M$18*(2/M$75)*(1/M$11))*(M$14+M$15+M$16))/($I103*M$18))+(((1/(PI()*M$12*M$13))/(0.5*M$75*('8'!#REF!^2)*$I103*M$18*(2/M$75)*(1/M$11)))*$I103*M$18)+((100/60)/(('8'!#REF!^1)*(($I103*M$18*(2/M$75)*(1/M$11))^0.5))))*M$29,IF($E$6=2,"",(($J$22+1)/$J$22)*((((0.5*M$75*('8'!#REF!^2)*$I103*M$18*(2/M$75)*(1/M$11))*(M$14+M$15+M$16))/($I103*M$18))+(((1/(PI()*M$12*M$13))/(0.5*M$75*('8'!#REF!^2)*$I103*M$18*(2/M$75)*(1/M$11)))*$I103*M$18)+0.03)*M$29)))</f>
        <v/>
      </c>
      <c r="N103" s="248" t="str">
        <f>IF($J$22=1,"",IF($E$6=1,"",IF($E$6=2,"",(($J$22+1)/$J$22)*((((0.5*N$75*('8'!#REF!^2)*$I103*N$18*(2/N$75)*(1/N$11))*(N$14+N$15+N$16))/($I103*N$18))+(((1/(PI()*N$12*N$13))/(0.5*N$75*('8'!#REF!^2)*$I103*N$18*(2/N$75)*(1/N$11)))*$I103*N$18)+0.005)*N$29)))</f>
        <v/>
      </c>
      <c r="O103" s="248">
        <f t="shared" si="19"/>
        <v>0.49860354921879341</v>
      </c>
      <c r="P103" s="248" t="str">
        <f t="shared" si="20"/>
        <v/>
      </c>
      <c r="Q103" s="248">
        <f t="shared" si="21"/>
        <v>0.23813126784971433</v>
      </c>
      <c r="R103" s="248"/>
      <c r="S103" s="248">
        <f t="shared" si="22"/>
        <v>1.2804020279357649</v>
      </c>
      <c r="T103" s="248"/>
      <c r="U103" s="1283"/>
      <c r="AM103" s="25"/>
      <c r="AN103" s="25"/>
      <c r="AO103" s="25"/>
      <c r="AP103" s="25"/>
      <c r="AQ103" s="25"/>
      <c r="AR103" s="25"/>
      <c r="AS103" s="25"/>
      <c r="AT103" s="25"/>
      <c r="AU103" s="25"/>
      <c r="AV103" s="25"/>
    </row>
    <row r="104" spans="7:48">
      <c r="G104" s="235"/>
      <c r="H104" s="231"/>
      <c r="I104" s="231">
        <f t="shared" si="23"/>
        <v>23</v>
      </c>
      <c r="J104" s="248">
        <f t="shared" si="18"/>
        <v>0.3231781745035136</v>
      </c>
      <c r="K104" s="248"/>
      <c r="L104" s="248">
        <f t="shared" si="24"/>
        <v>0.19061317346311196</v>
      </c>
      <c r="M104" s="248" t="str">
        <f>IF($J$22=1,"",IF($E$6=1,(($J$22+1)/$J$22)*((((0.5*M$75*('8'!#REF!^2)*$I104*M$18*(2/M$75)*(1/M$11))*(M$14+M$15+M$16))/($I104*M$18))+(((1/(PI()*M$12*M$13))/(0.5*M$75*('8'!#REF!^2)*$I104*M$18*(2/M$75)*(1/M$11)))*$I104*M$18)+((100/60)/(('8'!#REF!^1)*(($I104*M$18*(2/M$75)*(1/M$11))^0.5))))*M$29,IF($E$6=2,"",(($J$22+1)/$J$22)*((((0.5*M$75*('8'!#REF!^2)*$I104*M$18*(2/M$75)*(1/M$11))*(M$14+M$15+M$16))/($I104*M$18))+(((1/(PI()*M$12*M$13))/(0.5*M$75*('8'!#REF!^2)*$I104*M$18*(2/M$75)*(1/M$11)))*$I104*M$18)+0.03)*M$29)))</f>
        <v/>
      </c>
      <c r="N104" s="248" t="str">
        <f>IF($J$22=1,"",IF($E$6=1,"",IF($E$6=2,"",(($J$22+1)/$J$22)*((((0.5*N$75*('8'!#REF!^2)*$I104*N$18*(2/N$75)*(1/N$11))*(N$14+N$15+N$16))/($I104*N$18))+(((1/(PI()*N$12*N$13))/(0.5*N$75*('8'!#REF!^2)*$I104*N$18*(2/N$75)*(1/N$11)))*$I104*N$18)+0.005)*N$29)))</f>
        <v/>
      </c>
      <c r="O104" s="248">
        <f t="shared" si="19"/>
        <v>0.51329393220787589</v>
      </c>
      <c r="P104" s="248" t="str">
        <f t="shared" si="20"/>
        <v/>
      </c>
      <c r="Q104" s="248">
        <f t="shared" si="21"/>
        <v>0.23393746707538859</v>
      </c>
      <c r="R104" s="248"/>
      <c r="S104" s="248">
        <f t="shared" si="22"/>
        <v>1.336259864634342</v>
      </c>
      <c r="T104" s="248"/>
      <c r="U104" s="1283"/>
      <c r="AM104" s="25"/>
      <c r="AN104" s="25"/>
      <c r="AO104" s="25"/>
      <c r="AP104" s="25"/>
      <c r="AQ104" s="25"/>
      <c r="AR104" s="25"/>
      <c r="AS104" s="25"/>
      <c r="AT104" s="25"/>
      <c r="AU104" s="25"/>
      <c r="AV104" s="25"/>
    </row>
    <row r="105" spans="7:48">
      <c r="G105" s="235"/>
      <c r="H105" s="231"/>
      <c r="I105" s="231">
        <f t="shared" si="23"/>
        <v>24</v>
      </c>
      <c r="J105" s="248">
        <f t="shared" si="18"/>
        <v>0.33996619376860021</v>
      </c>
      <c r="K105" s="248"/>
      <c r="L105" s="248">
        <f t="shared" si="24"/>
        <v>0.18996874255203652</v>
      </c>
      <c r="M105" s="248" t="str">
        <f>IF($J$22=1,"",IF($E$6=1,(($J$22+1)/$J$22)*((((0.5*M$75*('8'!#REF!^2)*$I105*M$18*(2/M$75)*(1/M$11))*(M$14+M$15+M$16))/($I105*M$18))+(((1/(PI()*M$12*M$13))/(0.5*M$75*('8'!#REF!^2)*$I105*M$18*(2/M$75)*(1/M$11)))*$I105*M$18)+((100/60)/(('8'!#REF!^1)*(($I105*M$18*(2/M$75)*(1/M$11))^0.5))))*M$29,IF($E$6=2,"",(($J$22+1)/$J$22)*((((0.5*M$75*('8'!#REF!^2)*$I105*M$18*(2/M$75)*(1/M$11))*(M$14+M$15+M$16))/($I105*M$18))+(((1/(PI()*M$12*M$13))/(0.5*M$75*('8'!#REF!^2)*$I105*M$18*(2/M$75)*(1/M$11)))*$I105*M$18)+0.03)*M$29)))</f>
        <v/>
      </c>
      <c r="N105" s="248" t="str">
        <f>IF($J$22=1,"",IF($E$6=1,"",IF($E$6=2,"",(($J$22+1)/$J$22)*((((0.5*N$75*('8'!#REF!^2)*$I105*N$18*(2/N$75)*(1/N$11))*(N$14+N$15+N$16))/($I105*N$18))+(((1/(PI()*N$12*N$13))/(0.5*N$75*('8'!#REF!^2)*$I105*N$18*(2/N$75)*(1/N$11)))*$I105*N$18)+0.005)*N$29)))</f>
        <v/>
      </c>
      <c r="O105" s="248">
        <f t="shared" si="19"/>
        <v>0.52811902054332172</v>
      </c>
      <c r="P105" s="248" t="str">
        <f t="shared" si="20"/>
        <v/>
      </c>
      <c r="Q105" s="248">
        <f t="shared" si="21"/>
        <v>0.2303555086804793</v>
      </c>
      <c r="R105" s="248"/>
      <c r="S105" s="248">
        <f t="shared" si="22"/>
        <v>1.3922131265561914</v>
      </c>
      <c r="T105" s="248"/>
      <c r="U105" s="1283"/>
      <c r="AM105" s="25"/>
      <c r="AN105" s="25"/>
      <c r="AO105" s="25"/>
      <c r="AP105" s="25"/>
      <c r="AQ105" s="25"/>
      <c r="AR105" s="25"/>
      <c r="AS105" s="25"/>
      <c r="AT105" s="25"/>
      <c r="AU105" s="25"/>
      <c r="AV105" s="25"/>
    </row>
    <row r="106" spans="7:48">
      <c r="G106" s="235"/>
      <c r="H106" s="231"/>
      <c r="I106" s="231">
        <f t="shared" si="23"/>
        <v>25</v>
      </c>
      <c r="J106" s="248">
        <f t="shared" si="18"/>
        <v>0.35696868988125796</v>
      </c>
      <c r="K106" s="248"/>
      <c r="L106" s="248">
        <f t="shared" si="24"/>
        <v>0.18936337491395477</v>
      </c>
      <c r="M106" s="248" t="str">
        <f>IF($J$22=1,"",IF($E$6=1,(($J$22+1)/$J$22)*((((0.5*M$75*('8'!#REF!^2)*$I106*M$18*(2/M$75)*(1/M$11))*(M$14+M$15+M$16))/($I106*M$18))+(((1/(PI()*M$12*M$13))/(0.5*M$75*('8'!#REF!^2)*$I106*M$18*(2/M$75)*(1/M$11)))*$I106*M$18)+((100/60)/(('8'!#REF!^1)*(($I106*M$18*(2/M$75)*(1/M$11))^0.5))))*M$29,IF($E$6=2,"",(($J$22+1)/$J$22)*((((0.5*M$75*('8'!#REF!^2)*$I106*M$18*(2/M$75)*(1/M$11))*(M$14+M$15+M$16))/($I106*M$18))+(((1/(PI()*M$12*M$13))/(0.5*M$75*('8'!#REF!^2)*$I106*M$18*(2/M$75)*(1/M$11)))*$I106*M$18)+0.03)*M$29)))</f>
        <v/>
      </c>
      <c r="N106" s="248" t="str">
        <f>IF($J$22=1,"",IF($E$6=1,"",IF($E$6=2,"",(($J$22+1)/$J$22)*((((0.5*N$75*('8'!#REF!^2)*$I106*N$18*(2/N$75)*(1/N$11))*(N$14+N$15+N$16))/($I106*N$18))+(((1/(PI()*N$12*N$13))/(0.5*N$75*('8'!#REF!^2)*$I106*N$18*(2/N$75)*(1/N$11)))*$I106*N$18)+0.005)*N$29)))</f>
        <v/>
      </c>
      <c r="O106" s="248">
        <f t="shared" si="19"/>
        <v>0.54306264958356765</v>
      </c>
      <c r="P106" s="248" t="str">
        <f t="shared" si="20"/>
        <v/>
      </c>
      <c r="Q106" s="248">
        <f t="shared" si="21"/>
        <v>0.22731197157945643</v>
      </c>
      <c r="R106" s="248"/>
      <c r="S106" s="248">
        <f t="shared" si="22"/>
        <v>1.4482503626745209</v>
      </c>
      <c r="T106" s="248"/>
      <c r="U106" s="1283"/>
      <c r="AM106" s="25"/>
      <c r="AN106" s="25"/>
      <c r="AO106" s="25"/>
      <c r="AP106" s="25"/>
      <c r="AQ106" s="25"/>
      <c r="AR106" s="25"/>
      <c r="AS106" s="25"/>
      <c r="AT106" s="25"/>
      <c r="AU106" s="25"/>
      <c r="AV106" s="25"/>
    </row>
    <row r="107" spans="7:48">
      <c r="G107" s="235"/>
      <c r="H107" s="231"/>
      <c r="I107" s="231">
        <f t="shared" si="23"/>
        <v>26</v>
      </c>
      <c r="J107" s="248">
        <f t="shared" si="18"/>
        <v>0.37418596648559843</v>
      </c>
      <c r="K107" s="248"/>
      <c r="L107" s="248">
        <f t="shared" si="24"/>
        <v>0.18879327712015687</v>
      </c>
      <c r="M107" s="248" t="str">
        <f>IF($J$22=1,"",IF($E$6=1,(($J$22+1)/$J$22)*((((0.5*M$75*('8'!#REF!^2)*$I107*M$18*(2/M$75)*(1/M$11))*(M$14+M$15+M$16))/($I107*M$18))+(((1/(PI()*M$12*M$13))/(0.5*M$75*('8'!#REF!^2)*$I107*M$18*(2/M$75)*(1/M$11)))*$I107*M$18)+((100/60)/(('8'!#REF!^1)*(($I107*M$18*(2/M$75)*(1/M$11))^0.5))))*M$29,IF($E$6=2,"",(($J$22+1)/$J$22)*((((0.5*M$75*('8'!#REF!^2)*$I107*M$18*(2/M$75)*(1/M$11))*(M$14+M$15+M$16))/($I107*M$18))+(((1/(PI()*M$12*M$13))/(0.5*M$75*('8'!#REF!^2)*$I107*M$18*(2/M$75)*(1/M$11)))*$I107*M$18)+0.03)*M$29)))</f>
        <v/>
      </c>
      <c r="N107" s="248" t="str">
        <f>IF($J$22=1,"",IF($E$6=1,"",IF($E$6=2,"",(($J$22+1)/$J$22)*((((0.5*N$75*('8'!#REF!^2)*$I107*N$18*(2/N$75)*(1/N$11))*(N$14+N$15+N$16))/($I107*N$18))+(((1/(PI()*N$12*N$13))/(0.5*N$75*('8'!#REF!^2)*$I107*N$18*(2/N$75)*(1/N$11)))*$I107*N$18)+0.005)*N$29)))</f>
        <v/>
      </c>
      <c r="O107" s="248">
        <f t="shared" si="19"/>
        <v>0.55811114155498276</v>
      </c>
      <c r="P107" s="248" t="str">
        <f t="shared" si="20"/>
        <v/>
      </c>
      <c r="Q107" s="248">
        <f t="shared" si="21"/>
        <v>0.2247447302384101</v>
      </c>
      <c r="R107" s="248"/>
      <c r="S107" s="248">
        <f t="shared" si="22"/>
        <v>1.5043618836589667</v>
      </c>
      <c r="T107" s="248"/>
      <c r="U107" s="1283"/>
      <c r="AM107" s="25"/>
      <c r="AN107" s="25"/>
      <c r="AO107" s="25"/>
      <c r="AP107" s="25"/>
      <c r="AQ107" s="25"/>
      <c r="AR107" s="25"/>
      <c r="AS107" s="25"/>
      <c r="AT107" s="25"/>
      <c r="AU107" s="25"/>
      <c r="AV107" s="25"/>
    </row>
    <row r="108" spans="7:48">
      <c r="G108" s="235"/>
      <c r="H108" s="231"/>
      <c r="I108" s="231">
        <f t="shared" si="23"/>
        <v>27</v>
      </c>
      <c r="J108" s="248">
        <f t="shared" si="18"/>
        <v>0.39161844626710479</v>
      </c>
      <c r="K108" s="248"/>
      <c r="L108" s="248">
        <f t="shared" si="24"/>
        <v>0.18825515221787525</v>
      </c>
      <c r="M108" s="248" t="str">
        <f>IF($J$22=1,"",IF($E$6=1,(($J$22+1)/$J$22)*((((0.5*M$75*('8'!#REF!^2)*$I108*M$18*(2/M$75)*(1/M$11))*(M$14+M$15+M$16))/($I108*M$18))+(((1/(PI()*M$12*M$13))/(0.5*M$75*('8'!#REF!^2)*$I108*M$18*(2/M$75)*(1/M$11)))*$I108*M$18)+((100/60)/(('8'!#REF!^1)*(($I108*M$18*(2/M$75)*(1/M$11))^0.5))))*M$29,IF($E$6=2,"",(($J$22+1)/$J$22)*((((0.5*M$75*('8'!#REF!^2)*$I108*M$18*(2/M$75)*(1/M$11))*(M$14+M$15+M$16))/($I108*M$18))+(((1/(PI()*M$12*M$13))/(0.5*M$75*('8'!#REF!^2)*$I108*M$18*(2/M$75)*(1/M$11)))*$I108*M$18)+0.03)*M$29)))</f>
        <v/>
      </c>
      <c r="N108" s="248" t="str">
        <f>IF($J$22=1,"",IF($E$6=1,"",IF($E$6=2,"",(($J$22+1)/$J$22)*((((0.5*N$75*('8'!#REF!^2)*$I108*N$18*(2/N$75)*(1/N$11))*(N$14+N$15+N$16))/($I108*N$18))+(((1/(PI()*N$12*N$13))/(0.5*N$75*('8'!#REF!^2)*$I108*N$18*(2/N$75)*(1/N$11)))*$I108*N$18)+0.005)*N$29)))</f>
        <v/>
      </c>
      <c r="O108" s="248">
        <f t="shared" si="19"/>
        <v>0.57325284502077045</v>
      </c>
      <c r="P108" s="248" t="str">
        <f t="shared" si="20"/>
        <v/>
      </c>
      <c r="Q108" s="248">
        <f t="shared" si="21"/>
        <v>0.22260086290623177</v>
      </c>
      <c r="R108" s="248"/>
      <c r="S108" s="248">
        <f t="shared" si="22"/>
        <v>1.5605394356355164</v>
      </c>
      <c r="T108" s="248"/>
      <c r="U108" s="1283"/>
      <c r="AM108" s="25"/>
      <c r="AN108" s="25"/>
      <c r="AO108" s="25"/>
      <c r="AP108" s="25"/>
      <c r="AQ108" s="25"/>
      <c r="AR108" s="25"/>
      <c r="AS108" s="25"/>
      <c r="AT108" s="25"/>
      <c r="AU108" s="25"/>
      <c r="AV108" s="25"/>
    </row>
    <row r="109" spans="7:48">
      <c r="G109" s="235"/>
      <c r="H109" s="231"/>
      <c r="I109" s="231">
        <f t="shared" si="23"/>
        <v>28</v>
      </c>
      <c r="J109" s="248">
        <f t="shared" si="18"/>
        <v>0.40926666228880759</v>
      </c>
      <c r="K109" s="248"/>
      <c r="L109" s="248">
        <f t="shared" si="24"/>
        <v>0.18774611919451406</v>
      </c>
      <c r="M109" s="248" t="str">
        <f>IF($J$22=1,"",IF($E$6=1,(($J$22+1)/$J$22)*((((0.5*M$75*('8'!#REF!^2)*$I109*M$18*(2/M$75)*(1/M$11))*(M$14+M$15+M$16))/($I109*M$18))+(((1/(PI()*M$12*M$13))/(0.5*M$75*('8'!#REF!^2)*$I109*M$18*(2/M$75)*(1/M$11)))*$I109*M$18)+((100/60)/(('8'!#REF!^1)*(($I109*M$18*(2/M$75)*(1/M$11))^0.5))))*M$29,IF($E$6=2,"",(($J$22+1)/$J$22)*((((0.5*M$75*('8'!#REF!^2)*$I109*M$18*(2/M$75)*(1/M$11))*(M$14+M$15+M$16))/($I109*M$18))+(((1/(PI()*M$12*M$13))/(0.5*M$75*('8'!#REF!^2)*$I109*M$18*(2/M$75)*(1/M$11)))*$I109*M$18)+0.03)*M$29)))</f>
        <v/>
      </c>
      <c r="N109" s="248" t="str">
        <f>IF($J$22=1,"",IF($E$6=1,"",IF($E$6=2,"",(($J$22+1)/$J$22)*((((0.5*N$75*('8'!#REF!^2)*$I109*N$18*(2/N$75)*(1/N$11))*(N$14+N$15+N$16))/($I109*N$18))+(((1/(PI()*N$12*N$13))/(0.5*N$75*('8'!#REF!^2)*$I109*N$18*(2/N$75)*(1/N$11)))*$I109*N$18)+0.005)*N$29)))</f>
        <v/>
      </c>
      <c r="O109" s="248">
        <f t="shared" si="19"/>
        <v>0.58847777303510507</v>
      </c>
      <c r="P109" s="248" t="str">
        <f t="shared" si="20"/>
        <v/>
      </c>
      <c r="Q109" s="248">
        <f t="shared" si="21"/>
        <v>0.22083500808197126</v>
      </c>
      <c r="R109" s="248"/>
      <c r="S109" s="248">
        <f t="shared" si="22"/>
        <v>1.6167759438550158</v>
      </c>
      <c r="T109" s="248"/>
      <c r="U109" s="1283"/>
      <c r="AM109" s="25"/>
      <c r="AN109" s="25"/>
      <c r="AO109" s="25"/>
      <c r="AP109" s="25"/>
      <c r="AQ109" s="25"/>
      <c r="AR109" s="25"/>
      <c r="AS109" s="25"/>
      <c r="AT109" s="25"/>
      <c r="AU109" s="25"/>
      <c r="AV109" s="25"/>
    </row>
    <row r="110" spans="7:48">
      <c r="G110" s="235"/>
      <c r="H110" s="231"/>
      <c r="I110" s="231">
        <f t="shared" si="23"/>
        <v>29</v>
      </c>
      <c r="J110" s="248">
        <f t="shared" si="18"/>
        <v>0.42713125050800788</v>
      </c>
      <c r="K110" s="248"/>
      <c r="L110" s="248">
        <f t="shared" si="24"/>
        <v>0.18726364785432822</v>
      </c>
      <c r="M110" s="248" t="str">
        <f>IF($J$22=1,"",IF($E$6=1,(($J$22+1)/$J$22)*((((0.5*M$75*('8'!#REF!^2)*$I110*M$18*(2/M$75)*(1/M$11))*(M$14+M$15+M$16))/($I110*M$18))+(((1/(PI()*M$12*M$13))/(0.5*M$75*('8'!#REF!^2)*$I110*M$18*(2/M$75)*(1/M$11)))*$I110*M$18)+((100/60)/(('8'!#REF!^1)*(($I110*M$18*(2/M$75)*(1/M$11))^0.5))))*M$29,IF($E$6=2,"",(($J$22+1)/$J$22)*((((0.5*M$75*('8'!#REF!^2)*$I110*M$18*(2/M$75)*(1/M$11))*(M$14+M$15+M$16))/($I110*M$18))+(((1/(PI()*M$12*M$13))/(0.5*M$75*('8'!#REF!^2)*$I110*M$18*(2/M$75)*(1/M$11)))*$I110*M$18)+0.03)*M$29)))</f>
        <v/>
      </c>
      <c r="N110" s="248" t="str">
        <f>IF($J$22=1,"",IF($E$6=1,"",IF($E$6=2,"",(($J$22+1)/$J$22)*((((0.5*N$75*('8'!#REF!^2)*$I110*N$18*(2/N$75)*(1/N$11))*(N$14+N$15+N$16))/($I110*N$18))+(((1/(PI()*N$12*N$13))/(0.5*N$75*('8'!#REF!^2)*$I110*N$18*(2/N$75)*(1/N$11)))*$I110*N$18)+0.005)*N$29)))</f>
        <v/>
      </c>
      <c r="O110" s="248">
        <f t="shared" si="19"/>
        <v>0.60377731616193009</v>
      </c>
      <c r="P110" s="248" t="str">
        <f t="shared" si="20"/>
        <v/>
      </c>
      <c r="Q110" s="248">
        <f t="shared" si="21"/>
        <v>0.21940806102343025</v>
      </c>
      <c r="R110" s="248"/>
      <c r="S110" s="248">
        <f t="shared" si="22"/>
        <v>1.6730653093957801</v>
      </c>
      <c r="T110" s="248"/>
      <c r="U110" s="1283"/>
      <c r="AM110" s="25"/>
      <c r="AN110" s="25"/>
      <c r="AO110" s="25"/>
      <c r="AP110" s="25"/>
      <c r="AQ110" s="25"/>
      <c r="AR110" s="25"/>
      <c r="AS110" s="25"/>
      <c r="AT110" s="25"/>
      <c r="AU110" s="25"/>
      <c r="AV110" s="25"/>
    </row>
    <row r="111" spans="7:48">
      <c r="G111" s="235"/>
      <c r="H111" s="231"/>
      <c r="I111" s="231">
        <f t="shared" si="23"/>
        <v>30</v>
      </c>
      <c r="J111" s="248">
        <f t="shared" si="18"/>
        <v>0.44521294328823291</v>
      </c>
      <c r="K111" s="248"/>
      <c r="L111" s="248">
        <f t="shared" si="24"/>
        <v>0.18680550573878424</v>
      </c>
      <c r="M111" s="248" t="str">
        <f>IF($J$22=1,"",IF($E$6=1,(($J$22+1)/$J$22)*((((0.5*M$75*('8'!#REF!^2)*$I111*M$18*(2/M$75)*(1/M$11))*(M$14+M$15+M$16))/($I111*M$18))+(((1/(PI()*M$12*M$13))/(0.5*M$75*('8'!#REF!^2)*$I111*M$18*(2/M$75)*(1/M$11)))*$I111*M$18)+((100/60)/(('8'!#REF!^1)*(($I111*M$18*(2/M$75)*(1/M$11))^0.5))))*M$29,IF($E$6=2,"",(($J$22+1)/$J$22)*((((0.5*M$75*('8'!#REF!^2)*$I111*M$18*(2/M$75)*(1/M$11))*(M$14+M$15+M$16))/($I111*M$18))+(((1/(PI()*M$12*M$13))/(0.5*M$75*('8'!#REF!^2)*$I111*M$18*(2/M$75)*(1/M$11)))*$I111*M$18)+0.03)*M$29)))</f>
        <v/>
      </c>
      <c r="N111" s="248" t="str">
        <f>IF($J$22=1,"",IF($E$6=1,"",IF($E$6=2,"",(($J$22+1)/$J$22)*((((0.5*N$75*('8'!#REF!^2)*$I111*N$18*(2/N$75)*(1/N$11))*(N$14+N$15+N$16))/($I111*N$18))+(((1/(PI()*N$12*N$13))/(0.5*N$75*('8'!#REF!^2)*$I111*N$18*(2/N$75)*(1/N$11)))*$I111*N$18)+0.005)*N$29)))</f>
        <v/>
      </c>
      <c r="O111" s="248">
        <f t="shared" si="19"/>
        <v>0.61914401288999643</v>
      </c>
      <c r="P111" s="248" t="str">
        <f t="shared" si="20"/>
        <v/>
      </c>
      <c r="Q111" s="248">
        <f t="shared" si="21"/>
        <v>0.21828613095403673</v>
      </c>
      <c r="R111" s="248"/>
      <c r="S111" s="248">
        <f t="shared" si="22"/>
        <v>1.7294022465256833</v>
      </c>
      <c r="T111" s="248"/>
      <c r="U111" s="1283"/>
      <c r="AM111" s="25"/>
      <c r="AN111" s="25"/>
      <c r="AO111" s="25"/>
      <c r="AP111" s="25"/>
      <c r="AQ111" s="25"/>
      <c r="AR111" s="25"/>
      <c r="AS111" s="25"/>
      <c r="AT111" s="25"/>
      <c r="AU111" s="25"/>
      <c r="AV111" s="25"/>
    </row>
    <row r="112" spans="7:48">
      <c r="G112" s="235"/>
      <c r="H112" s="231"/>
      <c r="I112" s="231">
        <f t="shared" si="23"/>
        <v>31</v>
      </c>
      <c r="J112" s="248">
        <f t="shared" si="18"/>
        <v>0.46351256375572769</v>
      </c>
      <c r="K112" s="248"/>
      <c r="L112" s="248">
        <f t="shared" si="24"/>
        <v>0.18636971454383733</v>
      </c>
      <c r="M112" s="248" t="str">
        <f>IF($J$22=1,"",IF($E$6=1,(($J$22+1)/$J$22)*((((0.5*M$75*('8'!#REF!^2)*$I112*M$18*(2/M$75)*(1/M$11))*(M$14+M$15+M$16))/($I112*M$18))+(((1/(PI()*M$12*M$13))/(0.5*M$75*('8'!#REF!^2)*$I112*M$18*(2/M$75)*(1/M$11)))*$I112*M$18)+((100/60)/(('8'!#REF!^1)*(($I112*M$18*(2/M$75)*(1/M$11))^0.5))))*M$29,IF($E$6=2,"",(($J$22+1)/$J$22)*((((0.5*M$75*('8'!#REF!^2)*$I112*M$18*(2/M$75)*(1/M$11))*(M$14+M$15+M$16))/($I112*M$18))+(((1/(PI()*M$12*M$13))/(0.5*M$75*('8'!#REF!^2)*$I112*M$18*(2/M$75)*(1/M$11)))*$I112*M$18)+0.03)*M$29)))</f>
        <v/>
      </c>
      <c r="N112" s="248" t="str">
        <f>IF($J$22=1,"",IF($E$6=1,"",IF($E$6=2,"",(($J$22+1)/$J$22)*((((0.5*N$75*('8'!#REF!^2)*$I112*N$18*(2/N$75)*(1/N$11))*(N$14+N$15+N$16))/($I112*N$18))+(((1/(PI()*N$12*N$13))/(0.5*N$75*('8'!#REF!^2)*$I112*N$18*(2/N$75)*(1/N$11)))*$I112*N$18)+0.005)*N$29)))</f>
        <v/>
      </c>
      <c r="O112" s="248">
        <f t="shared" si="19"/>
        <v>0.6345713644837</v>
      </c>
      <c r="P112" s="248" t="str">
        <f t="shared" si="20"/>
        <v/>
      </c>
      <c r="Q112" s="248">
        <f t="shared" si="21"/>
        <v>0.21743970010064737</v>
      </c>
      <c r="R112" s="248"/>
      <c r="S112" s="248">
        <f t="shared" si="22"/>
        <v>1.7857821515425507</v>
      </c>
      <c r="T112" s="248"/>
      <c r="U112" s="1283"/>
      <c r="AM112" s="25"/>
      <c r="AN112" s="25"/>
      <c r="AO112" s="25"/>
      <c r="AP112" s="25"/>
      <c r="AQ112" s="25"/>
      <c r="AR112" s="25"/>
      <c r="AS112" s="25"/>
      <c r="AT112" s="25"/>
      <c r="AU112" s="25"/>
      <c r="AV112" s="25"/>
    </row>
    <row r="113" spans="7:48">
      <c r="G113" s="235"/>
      <c r="H113" s="231"/>
      <c r="I113" s="231">
        <f t="shared" si="23"/>
        <v>32</v>
      </c>
      <c r="J113" s="248">
        <f t="shared" si="18"/>
        <v>0.48203102087703076</v>
      </c>
      <c r="K113" s="248"/>
      <c r="L113" s="248">
        <f t="shared" si="24"/>
        <v>0.18595451408920063</v>
      </c>
      <c r="M113" s="248" t="str">
        <f>IF($J$22=1,"",IF($E$6=1,(($J$22+1)/$J$22)*((((0.5*M$75*('8'!#REF!^2)*$I113*M$18*(2/M$75)*(1/M$11))*(M$14+M$15+M$16))/($I113*M$18))+(((1/(PI()*M$12*M$13))/(0.5*M$75*('8'!#REF!^2)*$I113*M$18*(2/M$75)*(1/M$11)))*$I113*M$18)+((100/60)/(('8'!#REF!^1)*(($I113*M$18*(2/M$75)*(1/M$11))^0.5))))*M$29,IF($E$6=2,"",(($J$22+1)/$J$22)*((((0.5*M$75*('8'!#REF!^2)*$I113*M$18*(2/M$75)*(1/M$11))*(M$14+M$15+M$16))/($I113*M$18))+(((1/(PI()*M$12*M$13))/(0.5*M$75*('8'!#REF!^2)*$I113*M$18*(2/M$75)*(1/M$11)))*$I113*M$18)+0.03)*M$29)))</f>
        <v/>
      </c>
      <c r="N113" s="248" t="str">
        <f>IF($J$22=1,"",IF($E$6=1,"",IF($E$6=2,"",(($J$22+1)/$J$22)*((((0.5*N$75*('8'!#REF!^2)*$I113*N$18*(2/N$75)*(1/N$11))*(N$14+N$15+N$16))/($I113*N$18))+(((1/(PI()*N$12*N$13))/(0.5*N$75*('8'!#REF!^2)*$I113*N$18*(2/N$75)*(1/N$11)))*$I113*N$18)+0.005)*N$29)))</f>
        <v/>
      </c>
      <c r="O113" s="248">
        <f t="shared" si="19"/>
        <v>0.65005368454938761</v>
      </c>
      <c r="P113" s="248" t="str">
        <f t="shared" si="20"/>
        <v/>
      </c>
      <c r="Q113" s="248">
        <f t="shared" si="21"/>
        <v>0.21684294041176186</v>
      </c>
      <c r="R113" s="248"/>
      <c r="S113" s="248">
        <f t="shared" si="22"/>
        <v>1.842200996206979</v>
      </c>
      <c r="T113" s="248"/>
      <c r="U113" s="1283"/>
      <c r="AM113" s="25"/>
      <c r="AN113" s="25"/>
      <c r="AO113" s="25"/>
      <c r="AP113" s="25"/>
      <c r="AQ113" s="25"/>
      <c r="AR113" s="25"/>
      <c r="AS113" s="25"/>
      <c r="AT113" s="25"/>
      <c r="AU113" s="25"/>
      <c r="AV113" s="25"/>
    </row>
    <row r="114" spans="7:48">
      <c r="G114" s="235"/>
      <c r="H114" s="231"/>
      <c r="I114" s="231">
        <f t="shared" si="23"/>
        <v>33</v>
      </c>
      <c r="J114" s="248">
        <f t="shared" si="18"/>
        <v>0.50076930515581319</v>
      </c>
      <c r="K114" s="248"/>
      <c r="L114" s="248">
        <f t="shared" si="24"/>
        <v>0.18555833234024977</v>
      </c>
      <c r="M114" s="248" t="str">
        <f>IF($J$22=1,"",IF($E$6=1,(($J$22+1)/$J$22)*((((0.5*M$75*('8'!#REF!^2)*$I114*M$18*(2/M$75)*(1/M$11))*(M$14+M$15+M$16))/($I114*M$18))+(((1/(PI()*M$12*M$13))/(0.5*M$75*('8'!#REF!^2)*$I114*M$18*(2/M$75)*(1/M$11)))*$I114*M$18)+((100/60)/(('8'!#REF!^1)*(($I114*M$18*(2/M$75)*(1/M$11))^0.5))))*M$29,IF($E$6=2,"",(($J$22+1)/$J$22)*((((0.5*M$75*('8'!#REF!^2)*$I114*M$18*(2/M$75)*(1/M$11))*(M$14+M$15+M$16))/($I114*M$18))+(((1/(PI()*M$12*M$13))/(0.5*M$75*('8'!#REF!^2)*$I114*M$18*(2/M$75)*(1/M$11)))*$I114*M$18)+0.03)*M$29)))</f>
        <v/>
      </c>
      <c r="N114" s="248" t="str">
        <f>IF($J$22=1,"",IF($E$6=1,"",IF($E$6=2,"",(($J$22+1)/$J$22)*((((0.5*N$75*('8'!#REF!^2)*$I114*N$18*(2/N$75)*(1/N$11))*(N$14+N$15+N$16))/($I114*N$18))+(((1/(PI()*N$12*N$13))/(0.5*N$75*('8'!#REF!^2)*$I114*N$18*(2/N$75)*(1/N$11)))*$I114*N$18)+0.005)*N$29)))</f>
        <v/>
      </c>
      <c r="O114" s="248">
        <f t="shared" si="19"/>
        <v>0.6655859759532422</v>
      </c>
      <c r="P114" s="248" t="str">
        <f t="shared" si="20"/>
        <v/>
      </c>
      <c r="Q114" s="248">
        <f t="shared" si="21"/>
        <v>0.21647315450878887</v>
      </c>
      <c r="R114" s="248"/>
      <c r="S114" s="248">
        <f t="shared" si="22"/>
        <v>1.8986552405510084</v>
      </c>
      <c r="T114" s="248"/>
      <c r="U114" s="1283"/>
      <c r="AM114" s="25"/>
      <c r="AN114" s="25"/>
      <c r="AO114" s="25"/>
      <c r="AP114" s="25"/>
      <c r="AQ114" s="25"/>
      <c r="AR114" s="25"/>
      <c r="AS114" s="25"/>
      <c r="AT114" s="25"/>
      <c r="AU114" s="25"/>
      <c r="AV114" s="25"/>
    </row>
    <row r="115" spans="7:48">
      <c r="G115" s="235"/>
      <c r="H115" s="231"/>
      <c r="I115" s="231">
        <f t="shared" si="23"/>
        <v>34</v>
      </c>
      <c r="J115" s="248">
        <f t="shared" si="18"/>
        <v>0.51972848486446843</v>
      </c>
      <c r="K115" s="248"/>
      <c r="L115" s="248">
        <f t="shared" si="24"/>
        <v>0.18517976031651562</v>
      </c>
      <c r="M115" s="248" t="str">
        <f>IF($J$22=1,"",IF($E$6=1,(($J$22+1)/$J$22)*((((0.5*M$75*('8'!#REF!^2)*$I115*M$18*(2/M$75)*(1/M$11))*(M$14+M$15+M$16))/($I115*M$18))+(((1/(PI()*M$12*M$13))/(0.5*M$75*('8'!#REF!^2)*$I115*M$18*(2/M$75)*(1/M$11)))*$I115*M$18)+((100/60)/(('8'!#REF!^1)*(($I115*M$18*(2/M$75)*(1/M$11))^0.5))))*M$29,IF($E$6=2,"",(($J$22+1)/$J$22)*((((0.5*M$75*('8'!#REF!^2)*$I115*M$18*(2/M$75)*(1/M$11))*(M$14+M$15+M$16))/($I115*M$18))+(((1/(PI()*M$12*M$13))/(0.5*M$75*('8'!#REF!^2)*$I115*M$18*(2/M$75)*(1/M$11)))*$I115*M$18)+0.03)*M$29)))</f>
        <v/>
      </c>
      <c r="N115" s="248" t="str">
        <f>IF($J$22=1,"",IF($E$6=1,"",IF($E$6=2,"",(($J$22+1)/$J$22)*((((0.5*N$75*('8'!#REF!^2)*$I115*N$18*(2/N$75)*(1/N$11))*(N$14+N$15+N$16))/($I115*N$18))+(((1/(PI()*N$12*N$13))/(0.5*N$75*('8'!#REF!^2)*$I115*N$18*(2/N$75)*(1/N$11)))*$I115*N$18)+0.005)*N$29)))</f>
        <v/>
      </c>
      <c r="O115" s="248">
        <f t="shared" si="19"/>
        <v>0.68116382945954324</v>
      </c>
      <c r="P115" s="248" t="str">
        <f t="shared" si="20"/>
        <v/>
      </c>
      <c r="Q115" s="248">
        <f t="shared" si="21"/>
        <v>0.21631031529297151</v>
      </c>
      <c r="R115" s="248"/>
      <c r="S115" s="248">
        <f t="shared" si="22"/>
        <v>1.9551417610734978</v>
      </c>
      <c r="T115" s="248"/>
      <c r="U115" s="1283"/>
      <c r="AM115" s="25"/>
      <c r="AN115" s="25"/>
      <c r="AO115" s="25"/>
      <c r="AP115" s="25"/>
      <c r="AQ115" s="25"/>
      <c r="AR115" s="25"/>
      <c r="AS115" s="25"/>
      <c r="AT115" s="25"/>
      <c r="AU115" s="25"/>
      <c r="AV115" s="25"/>
    </row>
    <row r="116" spans="7:48">
      <c r="G116" s="235"/>
      <c r="H116" s="231"/>
      <c r="I116" s="231">
        <f t="shared" si="23"/>
        <v>35</v>
      </c>
      <c r="J116" s="248">
        <f t="shared" si="18"/>
        <v>0.53890970273989802</v>
      </c>
      <c r="K116" s="248"/>
      <c r="L116" s="248">
        <f t="shared" si="24"/>
        <v>0.18481753097246459</v>
      </c>
      <c r="M116" s="248" t="str">
        <f>IF($J$22=1,"",IF($E$6=1,(($J$22+1)/$J$22)*((((0.5*M$75*('8'!#REF!^2)*$I116*M$18*(2/M$75)*(1/M$11))*(M$14+M$15+M$16))/($I116*M$18))+(((1/(PI()*M$12*M$13))/(0.5*M$75*('8'!#REF!^2)*$I116*M$18*(2/M$75)*(1/M$11)))*$I116*M$18)+((100/60)/(('8'!#REF!^1)*(($I116*M$18*(2/M$75)*(1/M$11))^0.5))))*M$29,IF($E$6=2,"",(($J$22+1)/$J$22)*((((0.5*M$75*('8'!#REF!^2)*$I116*M$18*(2/M$75)*(1/M$11))*(M$14+M$15+M$16))/($I116*M$18))+(((1/(PI()*M$12*M$13))/(0.5*M$75*('8'!#REF!^2)*$I116*M$18*(2/M$75)*(1/M$11)))*$I116*M$18)+0.03)*M$29)))</f>
        <v/>
      </c>
      <c r="N116" s="248" t="str">
        <f>IF($J$22=1,"",IF($E$6=1,"",IF($E$6=2,"",(($J$22+1)/$J$22)*((((0.5*N$75*('8'!#REF!^2)*$I116*N$18*(2/N$75)*(1/N$11))*(N$14+N$15+N$16))/($I116*N$18))+(((1/(PI()*N$12*N$13))/(0.5*N$75*('8'!#REF!^2)*$I116*N$18*(2/N$75)*(1/N$11)))*$I116*N$18)+0.005)*N$29)))</f>
        <v/>
      </c>
      <c r="O116" s="248">
        <f t="shared" si="19"/>
        <v>0.696783339745224</v>
      </c>
      <c r="P116" s="248" t="str">
        <f t="shared" si="20"/>
        <v/>
      </c>
      <c r="Q116" s="248">
        <f t="shared" si="21"/>
        <v>0.21633668447683918</v>
      </c>
      <c r="R116" s="248"/>
      <c r="S116" s="248">
        <f t="shared" si="22"/>
        <v>2.0116577912448643</v>
      </c>
      <c r="T116" s="248"/>
      <c r="U116" s="433"/>
      <c r="AM116" s="25"/>
      <c r="AN116" s="25"/>
      <c r="AO116" s="25"/>
      <c r="AP116" s="25"/>
      <c r="AQ116" s="25"/>
      <c r="AR116" s="25"/>
      <c r="AS116" s="25"/>
      <c r="AT116" s="25"/>
      <c r="AU116" s="25"/>
      <c r="AV116" s="25"/>
    </row>
    <row r="117" spans="7:48">
      <c r="G117" s="235"/>
      <c r="H117" s="231"/>
      <c r="I117" s="231"/>
      <c r="J117" s="231"/>
      <c r="K117" s="231"/>
      <c r="L117" s="231"/>
      <c r="M117" s="231"/>
      <c r="N117" s="231"/>
      <c r="O117" s="231"/>
      <c r="P117" s="231"/>
      <c r="Q117" s="231"/>
      <c r="R117" s="231"/>
      <c r="S117" s="231"/>
      <c r="T117" s="231"/>
      <c r="U117" s="433"/>
      <c r="AM117" s="25"/>
      <c r="AN117" s="25"/>
      <c r="AO117" s="25"/>
      <c r="AP117" s="25"/>
      <c r="AQ117" s="25"/>
      <c r="AR117" s="25"/>
      <c r="AS117" s="25"/>
      <c r="AT117" s="25"/>
      <c r="AU117" s="25"/>
      <c r="AV117" s="25"/>
    </row>
    <row r="118" spans="7:48">
      <c r="G118" s="235"/>
      <c r="H118" s="231"/>
      <c r="I118" s="231" t="s">
        <v>46</v>
      </c>
      <c r="J118" s="231"/>
      <c r="K118" s="231"/>
      <c r="L118" s="231"/>
      <c r="M118" s="231"/>
      <c r="N118" s="231"/>
      <c r="O118" s="231"/>
      <c r="P118" s="231"/>
      <c r="Q118" s="231"/>
      <c r="R118" s="231"/>
      <c r="S118" s="231"/>
      <c r="T118" s="231"/>
      <c r="U118" s="433"/>
      <c r="AM118" s="25"/>
      <c r="AN118" s="25"/>
      <c r="AO118" s="25"/>
      <c r="AP118" s="25"/>
      <c r="AQ118" s="25"/>
      <c r="AR118" s="25"/>
      <c r="AS118" s="25"/>
      <c r="AT118" s="25"/>
      <c r="AU118" s="25"/>
      <c r="AV118" s="25"/>
    </row>
    <row r="119" spans="7:48">
      <c r="G119" s="235"/>
      <c r="H119" s="231"/>
      <c r="I119" s="231" t="s">
        <v>58</v>
      </c>
      <c r="J119" s="231" t="s">
        <v>686</v>
      </c>
      <c r="K119" s="231" t="s">
        <v>686</v>
      </c>
      <c r="L119" s="231" t="s">
        <v>686</v>
      </c>
      <c r="M119" s="231" t="s">
        <v>686</v>
      </c>
      <c r="N119" s="231" t="s">
        <v>686</v>
      </c>
      <c r="O119" s="231" t="s">
        <v>686</v>
      </c>
      <c r="P119" s="231" t="s">
        <v>686</v>
      </c>
      <c r="Q119" s="231" t="s">
        <v>686</v>
      </c>
      <c r="R119" s="231" t="s">
        <v>686</v>
      </c>
      <c r="S119" s="231" t="s">
        <v>686</v>
      </c>
      <c r="T119" s="231"/>
      <c r="U119" s="433"/>
      <c r="AM119" s="25"/>
      <c r="AN119" s="25"/>
      <c r="AO119" s="25"/>
      <c r="AP119" s="25"/>
      <c r="AQ119" s="25"/>
      <c r="AR119" s="25"/>
      <c r="AS119" s="25"/>
      <c r="AT119" s="25"/>
      <c r="AU119" s="25"/>
      <c r="AV119" s="25"/>
    </row>
    <row r="120" spans="7:48">
      <c r="G120" s="235"/>
      <c r="H120" s="231"/>
      <c r="I120" s="231">
        <f>E$13</f>
        <v>5</v>
      </c>
      <c r="J120" s="248">
        <f t="shared" ref="J120:J150" si="25">J86*(1.2*(($I120*J$18*(2/(J$75*J$11)))^0.5))/(550*J$17)</f>
        <v>9.1380111069067193E-3</v>
      </c>
      <c r="K120" s="248"/>
      <c r="L120" s="248">
        <f>IF(L86="","",L86*((1.1^1)*(($I120*L$18*(2/(L$75*L$11)))^0.5))/(550*L$17))</f>
        <v>3.1991878244556064E-2</v>
      </c>
      <c r="M120" s="248" t="str">
        <f>IF(M86="","",M86*(('8'!#REF!^1)*(($I120*M$18*(2/(M$75*M$11)))^0.5))/(550*M$17))</f>
        <v/>
      </c>
      <c r="N120" s="248" t="str">
        <f>IF(N86="","",N86*(('8'!#REF!^1)*(($I120*N$18*(2/(N$75*N$11)))^0.5))/(550*N$17))</f>
        <v/>
      </c>
      <c r="O120" s="248">
        <f>IF(O86="","",O86*(O$78/(550*O$17)))</f>
        <v>5.9458588974143009E-2</v>
      </c>
      <c r="P120" s="248" t="str">
        <f t="shared" ref="O120:Q150" si="26">IF(P86="","",P86*(P$78/(550*P$17)))</f>
        <v/>
      </c>
      <c r="Q120" s="248">
        <f t="shared" si="26"/>
        <v>0.26440925653040676</v>
      </c>
      <c r="R120" s="231"/>
      <c r="S120" s="248">
        <f t="shared" ref="S120:S150" si="27">IF(S86="","",S86*(S$78/(550*S$17)))</f>
        <v>7.4447986677383393E-2</v>
      </c>
      <c r="T120" s="248"/>
      <c r="U120" s="433"/>
      <c r="AM120" s="25"/>
      <c r="AN120" s="25"/>
      <c r="AO120" s="25"/>
      <c r="AP120" s="25"/>
      <c r="AQ120" s="25"/>
      <c r="AR120" s="25"/>
      <c r="AS120" s="25"/>
      <c r="AT120" s="25"/>
      <c r="AU120" s="25"/>
      <c r="AV120" s="25"/>
    </row>
    <row r="121" spans="7:48">
      <c r="G121" s="235"/>
      <c r="H121" s="231"/>
      <c r="I121" s="231">
        <f t="shared" ref="I121:I150" si="28">I120+E$14</f>
        <v>6</v>
      </c>
      <c r="J121" s="248">
        <f t="shared" si="25"/>
        <v>1.2181341348748518E-2</v>
      </c>
      <c r="K121" s="231"/>
      <c r="L121" s="248">
        <f t="shared" ref="L121:L150" si="29">IF(L87="","",L87*((1.1^1)*(($I121*L$18*(2/(L$75*L$11)))^0.5))/(550*L$17))</f>
        <v>3.4157053044646377E-2</v>
      </c>
      <c r="M121" s="248" t="str">
        <f>IF(M87="","",M87*(('8'!#REF!^1)*(($I121*M$18*(2/(M$75*M$11)))^0.5))/(550*M$17))</f>
        <v/>
      </c>
      <c r="N121" s="248" t="str">
        <f>IF(N87="","",N87*(('8'!#REF!^1)*(($I121*N$18*(2/(N$75*N$11)))^0.5))/(550*N$17))</f>
        <v/>
      </c>
      <c r="O121" s="248">
        <f t="shared" si="26"/>
        <v>5.7585304299154746E-2</v>
      </c>
      <c r="P121" s="248" t="str">
        <f t="shared" si="26"/>
        <v/>
      </c>
      <c r="Q121" s="248">
        <f t="shared" si="26"/>
        <v>0.22235240415112811</v>
      </c>
      <c r="R121" s="231"/>
      <c r="S121" s="248">
        <f t="shared" si="27"/>
        <v>8.1446907071984667E-2</v>
      </c>
      <c r="T121" s="248"/>
      <c r="U121" s="433"/>
      <c r="AM121" s="25"/>
      <c r="AN121" s="25"/>
      <c r="AO121" s="25"/>
      <c r="AP121" s="25"/>
      <c r="AQ121" s="25"/>
      <c r="AR121" s="25"/>
      <c r="AS121" s="25"/>
      <c r="AT121" s="25"/>
      <c r="AU121" s="25"/>
      <c r="AV121" s="25"/>
    </row>
    <row r="122" spans="7:48">
      <c r="G122" s="235"/>
      <c r="H122" s="231"/>
      <c r="I122" s="231">
        <f t="shared" si="28"/>
        <v>7</v>
      </c>
      <c r="J122" s="248">
        <f t="shared" si="25"/>
        <v>1.5551582927177007E-2</v>
      </c>
      <c r="K122" s="231"/>
      <c r="L122" s="248">
        <f t="shared" si="29"/>
        <v>3.6148136762395922E-2</v>
      </c>
      <c r="M122" s="248" t="str">
        <f>IF(M88="","",M88*(('8'!#REF!^1)*(($I122*M$18*(2/(M$75*M$11)))^0.5))/(550*M$17))</f>
        <v/>
      </c>
      <c r="N122" s="248" t="str">
        <f>IF(N88="","",N88*(('8'!#REF!^1)*(($I122*N$18*(2/(N$75*N$11)))^0.5))/(550*N$17))</f>
        <v/>
      </c>
      <c r="O122" s="248">
        <f t="shared" si="26"/>
        <v>5.7043758276223502E-2</v>
      </c>
      <c r="P122" s="248" t="str">
        <f t="shared" si="26"/>
        <v/>
      </c>
      <c r="Q122" s="248">
        <f t="shared" si="26"/>
        <v>0.19262525354916896</v>
      </c>
      <c r="R122" s="231"/>
      <c r="S122" s="248">
        <f t="shared" si="27"/>
        <v>8.9470590705660685E-2</v>
      </c>
      <c r="T122" s="248"/>
      <c r="U122" s="433"/>
      <c r="AM122" s="25"/>
      <c r="AN122" s="25"/>
      <c r="AO122" s="25"/>
      <c r="AP122" s="25"/>
      <c r="AQ122" s="25"/>
      <c r="AR122" s="25"/>
      <c r="AS122" s="25"/>
      <c r="AT122" s="25"/>
      <c r="AU122" s="25"/>
      <c r="AV122" s="25"/>
    </row>
    <row r="123" spans="7:48">
      <c r="G123" s="235"/>
      <c r="H123" s="231"/>
      <c r="I123" s="231">
        <f t="shared" si="28"/>
        <v>8</v>
      </c>
      <c r="J123" s="248">
        <f t="shared" si="25"/>
        <v>1.9235220640322376E-2</v>
      </c>
      <c r="K123" s="231"/>
      <c r="L123" s="248">
        <f t="shared" si="29"/>
        <v>3.8001392300059576E-2</v>
      </c>
      <c r="M123" s="248" t="str">
        <f>IF(M89="","",M89*(('8'!#REF!^1)*(($I123*M$18*(2/(M$75*M$11)))^0.5))/(550*M$17))</f>
        <v/>
      </c>
      <c r="N123" s="248" t="str">
        <f>IF(N89="","",N89*(('8'!#REF!^1)*(($I123*N$18*(2/(N$75*N$11)))^0.5))/(550*N$17))</f>
        <v/>
      </c>
      <c r="O123" s="248">
        <f t="shared" si="26"/>
        <v>5.7334548910827905E-2</v>
      </c>
      <c r="P123" s="248" t="str">
        <f t="shared" si="26"/>
        <v/>
      </c>
      <c r="Q123" s="248">
        <f t="shared" si="26"/>
        <v>0.17060416655803445</v>
      </c>
      <c r="R123" s="231"/>
      <c r="S123" s="248">
        <f t="shared" si="27"/>
        <v>9.8134751363758377E-2</v>
      </c>
      <c r="T123" s="248"/>
      <c r="U123" s="433"/>
      <c r="AM123" s="25"/>
      <c r="AN123" s="25"/>
      <c r="AO123" s="25"/>
      <c r="AP123" s="25"/>
      <c r="AQ123" s="25"/>
      <c r="AR123" s="25"/>
      <c r="AS123" s="25"/>
      <c r="AT123" s="25"/>
      <c r="AU123" s="25"/>
      <c r="AV123" s="25"/>
    </row>
    <row r="124" spans="7:48">
      <c r="G124" s="235"/>
      <c r="H124" s="231"/>
      <c r="I124" s="231">
        <f t="shared" si="28"/>
        <v>9</v>
      </c>
      <c r="J124" s="248">
        <f t="shared" si="25"/>
        <v>2.3221846898417386E-2</v>
      </c>
      <c r="K124" s="231"/>
      <c r="L124" s="248">
        <f t="shared" si="29"/>
        <v>3.974200795556837E-2</v>
      </c>
      <c r="M124" s="248" t="str">
        <f>IF(M90="","",M90*(('8'!#REF!^1)*(($I124*M$18*(2/(M$75*M$11)))^0.5))/(550*M$17))</f>
        <v/>
      </c>
      <c r="N124" s="248" t="str">
        <f>IF(N90="","",N90*(('8'!#REF!^1)*(($I124*N$18*(2/(N$75*N$11)))^0.5))/(550*N$17))</f>
        <v/>
      </c>
      <c r="O124" s="248">
        <f t="shared" si="26"/>
        <v>5.8180230650456043E-2</v>
      </c>
      <c r="P124" s="248" t="str">
        <f t="shared" si="26"/>
        <v/>
      </c>
      <c r="Q124" s="248">
        <f t="shared" si="26"/>
        <v>0.15372045530744974</v>
      </c>
      <c r="R124" s="231"/>
      <c r="S124" s="248">
        <f t="shared" si="27"/>
        <v>0.10722589670480387</v>
      </c>
      <c r="T124" s="248"/>
      <c r="U124" s="433"/>
      <c r="AM124" s="25"/>
      <c r="AN124" s="25"/>
      <c r="AO124" s="25"/>
      <c r="AP124" s="25"/>
      <c r="AQ124" s="25"/>
      <c r="AR124" s="25"/>
      <c r="AS124" s="25"/>
      <c r="AT124" s="25"/>
      <c r="AU124" s="25"/>
      <c r="AV124" s="25"/>
    </row>
    <row r="125" spans="7:48">
      <c r="G125" s="235"/>
      <c r="H125" s="231"/>
      <c r="I125" s="231">
        <f t="shared" si="28"/>
        <v>10</v>
      </c>
      <c r="J125" s="248">
        <f t="shared" si="25"/>
        <v>2.750326030061976E-2</v>
      </c>
      <c r="K125" s="231"/>
      <c r="L125" s="248">
        <f t="shared" si="29"/>
        <v>4.1388323175328874E-2</v>
      </c>
      <c r="M125" s="248" t="str">
        <f>IF(M91="","",M91*(('8'!#REF!^1)*(($I125*M$18*(2/(M$75*M$11)))^0.5))/(550*M$17))</f>
        <v/>
      </c>
      <c r="N125" s="248" t="str">
        <f>IF(N91="","",N91*(('8'!#REF!^1)*(($I125*N$18*(2/(N$75*N$11)))^0.5))/(550*N$17))</f>
        <v/>
      </c>
      <c r="O125" s="248">
        <f t="shared" si="26"/>
        <v>5.9414336163600825E-2</v>
      </c>
      <c r="P125" s="248" t="str">
        <f t="shared" si="26"/>
        <v/>
      </c>
      <c r="Q125" s="248">
        <f t="shared" si="26"/>
        <v>0.14043290707524989</v>
      </c>
      <c r="R125" s="231"/>
      <c r="S125" s="248">
        <f t="shared" si="27"/>
        <v>0.11661593132391285</v>
      </c>
      <c r="T125" s="248"/>
      <c r="U125" s="433"/>
      <c r="AM125" s="25"/>
      <c r="AN125" s="25"/>
      <c r="AO125" s="25"/>
      <c r="AP125" s="25"/>
      <c r="AQ125" s="25"/>
      <c r="AR125" s="25"/>
      <c r="AS125" s="25"/>
      <c r="AT125" s="25"/>
      <c r="AU125" s="25"/>
      <c r="AV125" s="25"/>
    </row>
    <row r="126" spans="7:48">
      <c r="G126" s="235"/>
      <c r="H126" s="231"/>
      <c r="I126" s="231">
        <f t="shared" si="28"/>
        <v>11</v>
      </c>
      <c r="J126" s="248">
        <f t="shared" si="25"/>
        <v>3.2072893777008872E-2</v>
      </c>
      <c r="K126" s="231"/>
      <c r="L126" s="248">
        <f t="shared" si="29"/>
        <v>4.2954182760003609E-2</v>
      </c>
      <c r="M126" s="248" t="str">
        <f>IF(M92="","",M92*(('8'!#REF!^1)*(($I126*M$18*(2/(M$75*M$11)))^0.5))/(550*M$17))</f>
        <v/>
      </c>
      <c r="N126" s="248" t="str">
        <f>IF(N92="","",N92*(('8'!#REF!^1)*(($I126*N$18*(2/(N$75*N$11)))^0.5))/(550*N$17))</f>
        <v/>
      </c>
      <c r="O126" s="248">
        <f t="shared" si="26"/>
        <v>6.0930931693848611E-2</v>
      </c>
      <c r="P126" s="248" t="str">
        <f t="shared" si="26"/>
        <v/>
      </c>
      <c r="Q126" s="248">
        <f t="shared" si="26"/>
        <v>0.12976075012914809</v>
      </c>
      <c r="R126" s="231"/>
      <c r="S126" s="248">
        <f t="shared" si="27"/>
        <v>0.1262233399634316</v>
      </c>
      <c r="T126" s="248"/>
      <c r="U126" s="433"/>
      <c r="AM126" s="25"/>
      <c r="AN126" s="25"/>
      <c r="AO126" s="25"/>
      <c r="AP126" s="25"/>
      <c r="AQ126" s="25"/>
      <c r="AR126" s="25"/>
      <c r="AS126" s="25"/>
      <c r="AT126" s="25"/>
      <c r="AU126" s="25"/>
      <c r="AV126" s="25"/>
    </row>
    <row r="127" spans="7:48">
      <c r="G127" s="235"/>
      <c r="H127" s="231"/>
      <c r="I127" s="231">
        <f t="shared" si="28"/>
        <v>12</v>
      </c>
      <c r="J127" s="248">
        <f t="shared" si="25"/>
        <v>3.6925432080466822E-2</v>
      </c>
      <c r="K127" s="231"/>
      <c r="L127" s="248">
        <f t="shared" si="29"/>
        <v>4.4450342742525045E-2</v>
      </c>
      <c r="M127" s="248" t="str">
        <f>IF(M93="","",M93*(('8'!#REF!^1)*(($I127*M$18*(2/(M$75*M$11)))^0.5))/(550*M$17))</f>
        <v/>
      </c>
      <c r="N127" s="248" t="str">
        <f>IF(N93="","",N93*(('8'!#REF!^1)*(($I127*N$18*(2/(N$75*N$11)))^0.5))/(550*N$17))</f>
        <v/>
      </c>
      <c r="O127" s="248">
        <f t="shared" si="26"/>
        <v>6.2659394736923654E-2</v>
      </c>
      <c r="P127" s="248" t="str">
        <f t="shared" si="26"/>
        <v/>
      </c>
      <c r="Q127" s="248">
        <f t="shared" si="26"/>
        <v>0.12105013664761986</v>
      </c>
      <c r="R127" s="231"/>
      <c r="S127" s="248">
        <f t="shared" si="27"/>
        <v>0.13599377911825772</v>
      </c>
      <c r="T127" s="248"/>
      <c r="U127" s="433"/>
      <c r="AM127" s="25"/>
      <c r="AN127" s="25"/>
      <c r="AO127" s="25"/>
      <c r="AP127" s="25"/>
      <c r="AQ127" s="25"/>
      <c r="AR127" s="25"/>
      <c r="AS127" s="25"/>
      <c r="AT127" s="25"/>
      <c r="AU127" s="25"/>
      <c r="AV127" s="25"/>
    </row>
    <row r="128" spans="7:48">
      <c r="G128" s="235"/>
      <c r="H128" s="231"/>
      <c r="I128" s="231">
        <f t="shared" si="28"/>
        <v>13</v>
      </c>
      <c r="J128" s="248">
        <f t="shared" si="25"/>
        <v>4.2056545076552022E-2</v>
      </c>
      <c r="K128" s="231"/>
      <c r="L128" s="248">
        <f t="shared" si="29"/>
        <v>4.5885356831238219E-2</v>
      </c>
      <c r="M128" s="248" t="str">
        <f>IF(M94="","",M94*(('8'!#REF!^1)*(($I128*M$18*(2/(M$75*M$11)))^0.5))/(550*M$17))</f>
        <v/>
      </c>
      <c r="N128" s="248" t="str">
        <f>IF(N94="","",N94*(('8'!#REF!^1)*(($I128*N$18*(2/(N$75*N$11)))^0.5))/(550*N$17))</f>
        <v/>
      </c>
      <c r="O128" s="248">
        <f t="shared" si="26"/>
        <v>6.4550832789865814E-2</v>
      </c>
      <c r="P128" s="248" t="str">
        <f t="shared" si="26"/>
        <v/>
      </c>
      <c r="Q128" s="248">
        <f t="shared" si="26"/>
        <v>0.11384840275422513</v>
      </c>
      <c r="R128" s="231"/>
      <c r="S128" s="248">
        <f t="shared" si="27"/>
        <v>0.14588962636178179</v>
      </c>
      <c r="T128" s="248"/>
      <c r="U128" s="433"/>
      <c r="AM128" s="25"/>
      <c r="AN128" s="25"/>
      <c r="AO128" s="25"/>
      <c r="AP128" s="25"/>
      <c r="AQ128" s="25"/>
      <c r="AR128" s="25"/>
      <c r="AS128" s="25"/>
      <c r="AT128" s="25"/>
      <c r="AU128" s="25"/>
      <c r="AV128" s="25"/>
    </row>
    <row r="129" spans="7:48">
      <c r="G129" s="235"/>
      <c r="H129" s="231"/>
      <c r="I129" s="231">
        <f t="shared" si="28"/>
        <v>14</v>
      </c>
      <c r="J129" s="248">
        <f t="shared" si="25"/>
        <v>4.7462695436838093E-2</v>
      </c>
      <c r="K129" s="231"/>
      <c r="L129" s="248">
        <f t="shared" si="29"/>
        <v>4.72661603399867E-2</v>
      </c>
      <c r="M129" s="248" t="str">
        <f>IF(M95="","",M95*(('8'!#REF!^1)*(($I129*M$18*(2/(M$75*M$11)))^0.5))/(550*M$17))</f>
        <v/>
      </c>
      <c r="N129" s="248" t="str">
        <f>IF(N95="","",N95*(('8'!#REF!^1)*(($I129*N$18*(2/(N$75*N$11)))^0.5))/(550*N$17))</f>
        <v/>
      </c>
      <c r="O129" s="248">
        <f t="shared" si="26"/>
        <v>6.6570322636274978E-2</v>
      </c>
      <c r="P129" s="248" t="str">
        <f t="shared" si="26"/>
        <v/>
      </c>
      <c r="Q129" s="248">
        <f t="shared" si="26"/>
        <v>0.10783221710864958</v>
      </c>
      <c r="R129" s="231"/>
      <c r="S129" s="248">
        <f t="shared" si="27"/>
        <v>0.15588400853213996</v>
      </c>
      <c r="T129" s="248"/>
      <c r="U129" s="433"/>
      <c r="AM129" s="25"/>
      <c r="AN129" s="25"/>
      <c r="AO129" s="25"/>
      <c r="AP129" s="25"/>
      <c r="AQ129" s="25"/>
      <c r="AR129" s="25"/>
      <c r="AS129" s="25"/>
      <c r="AT129" s="25"/>
      <c r="AU129" s="25"/>
      <c r="AV129" s="25"/>
    </row>
    <row r="130" spans="7:48">
      <c r="G130" s="235"/>
      <c r="H130" s="231"/>
      <c r="I130" s="231">
        <f t="shared" si="28"/>
        <v>15</v>
      </c>
      <c r="J130" s="248">
        <f t="shared" si="25"/>
        <v>5.3140996097304716E-2</v>
      </c>
      <c r="K130" s="231"/>
      <c r="L130" s="248">
        <f t="shared" si="29"/>
        <v>4.8598468961768948E-2</v>
      </c>
      <c r="M130" s="248" t="str">
        <f>IF(M96="","",M96*(('8'!#REF!^1)*(($I130*M$18*(2/(M$75*M$11)))^0.5))/(550*M$17))</f>
        <v/>
      </c>
      <c r="N130" s="248" t="str">
        <f>IF(N96="","",N96*(('8'!#REF!^1)*(($I130*N$18*(2/(N$75*N$11)))^0.5))/(550*N$17))</f>
        <v/>
      </c>
      <c r="O130" s="248">
        <f t="shared" si="26"/>
        <v>6.8692253917457785E-2</v>
      </c>
      <c r="P130" s="248" t="str">
        <f t="shared" si="26"/>
        <v/>
      </c>
      <c r="Q130" s="248">
        <f t="shared" si="26"/>
        <v>0.10276447006132938</v>
      </c>
      <c r="R130" s="231"/>
      <c r="S130" s="248">
        <f t="shared" si="27"/>
        <v>0.1659572186439654</v>
      </c>
      <c r="T130" s="248"/>
      <c r="U130" s="433"/>
      <c r="AM130" s="25"/>
      <c r="AN130" s="25"/>
      <c r="AO130" s="25"/>
      <c r="AP130" s="25"/>
      <c r="AQ130" s="25"/>
      <c r="AR130" s="25"/>
      <c r="AS130" s="25"/>
      <c r="AT130" s="25"/>
      <c r="AU130" s="25"/>
      <c r="AV130" s="25"/>
    </row>
    <row r="131" spans="7:48">
      <c r="G131" s="235"/>
      <c r="H131" s="231"/>
      <c r="I131" s="231">
        <f t="shared" si="28"/>
        <v>16</v>
      </c>
      <c r="J131" s="248">
        <f t="shared" si="25"/>
        <v>5.9089102130331417E-2</v>
      </c>
      <c r="K131" s="231"/>
      <c r="L131" s="248">
        <f t="shared" si="29"/>
        <v>4.9887059455893681E-2</v>
      </c>
      <c r="M131" s="248" t="str">
        <f>IF(M97="","",M97*(('8'!#REF!^1)*(($I131*M$18*(2/(M$75*M$11)))^0.5))/(550*M$17))</f>
        <v/>
      </c>
      <c r="N131" s="248" t="str">
        <f>IF(N97="","",N97*(('8'!#REF!^1)*(($I131*N$18*(2/(N$75*N$11)))^0.5))/(550*N$17))</f>
        <v/>
      </c>
      <c r="O131" s="248">
        <f t="shared" si="26"/>
        <v>7.0897418864394129E-2</v>
      </c>
      <c r="P131" s="248" t="str">
        <f t="shared" si="26"/>
        <v/>
      </c>
      <c r="Q131" s="248">
        <f t="shared" si="26"/>
        <v>9.8467329375091631E-2</v>
      </c>
      <c r="R131" s="231"/>
      <c r="S131" s="248">
        <f t="shared" si="27"/>
        <v>0.17609447645823303</v>
      </c>
      <c r="T131" s="248"/>
      <c r="U131" s="433"/>
      <c r="AM131" s="25"/>
      <c r="AN131" s="25"/>
      <c r="AO131" s="25"/>
      <c r="AP131" s="25"/>
      <c r="AQ131" s="25"/>
      <c r="AR131" s="25"/>
      <c r="AS131" s="25"/>
      <c r="AT131" s="25"/>
      <c r="AU131" s="25"/>
      <c r="AV131" s="25"/>
    </row>
    <row r="132" spans="7:48">
      <c r="G132" s="235"/>
      <c r="H132" s="231"/>
      <c r="I132" s="231">
        <f t="shared" si="28"/>
        <v>17</v>
      </c>
      <c r="J132" s="248">
        <f t="shared" si="25"/>
        <v>6.5305127093515922E-2</v>
      </c>
      <c r="K132" s="231"/>
      <c r="L132" s="248">
        <f t="shared" si="29"/>
        <v>5.1135972367764633E-2</v>
      </c>
      <c r="M132" s="248" t="str">
        <f>IF(M98="","",M98*(('8'!#REF!^1)*(($I132*M$18*(2/(M$75*M$11)))^0.5))/(550*M$17))</f>
        <v/>
      </c>
      <c r="N132" s="248" t="str">
        <f>IF(N98="","",N98*(('8'!#REF!^1)*(($I132*N$18*(2/(N$75*N$11)))^0.5))/(550*N$17))</f>
        <v/>
      </c>
      <c r="O132" s="248">
        <f t="shared" si="26"/>
        <v>7.3171129183127542E-2</v>
      </c>
      <c r="P132" s="248" t="str">
        <f t="shared" si="26"/>
        <v/>
      </c>
      <c r="Q132" s="248">
        <f t="shared" si="26"/>
        <v>9.4804805692098287E-2</v>
      </c>
      <c r="R132" s="231"/>
      <c r="S132" s="248">
        <f t="shared" si="27"/>
        <v>0.18628447943921778</v>
      </c>
      <c r="T132" s="248"/>
      <c r="U132" s="433"/>
      <c r="AM132" s="25"/>
      <c r="AN132" s="25"/>
      <c r="AO132" s="25"/>
      <c r="AP132" s="25"/>
      <c r="AQ132" s="25"/>
      <c r="AR132" s="25"/>
      <c r="AS132" s="25"/>
      <c r="AT132" s="25"/>
      <c r="AU132" s="25"/>
      <c r="AV132" s="25"/>
    </row>
    <row r="133" spans="7:48">
      <c r="G133" s="235"/>
      <c r="H133" s="231"/>
      <c r="I133" s="231">
        <f t="shared" si="28"/>
        <v>18</v>
      </c>
      <c r="J133" s="248">
        <f t="shared" si="25"/>
        <v>7.1787577212205411E-2</v>
      </c>
      <c r="K133" s="231"/>
      <c r="L133" s="248">
        <f t="shared" si="29"/>
        <v>5.2348661722793149E-2</v>
      </c>
      <c r="M133" s="248" t="str">
        <f>IF(M99="","",M99*(('8'!#REF!^1)*(($I133*M$18*(2/(M$75*M$11)))^0.5))/(550*M$17))</f>
        <v/>
      </c>
      <c r="N133" s="248" t="str">
        <f>IF(N99="","",N99*(('8'!#REF!^1)*(($I133*N$18*(2/(N$75*N$11)))^0.5))/(550*N$17))</f>
        <v/>
      </c>
      <c r="O133" s="248">
        <f t="shared" si="26"/>
        <v>7.5501960645025165E-2</v>
      </c>
      <c r="P133" s="248" t="str">
        <f t="shared" si="26"/>
        <v/>
      </c>
      <c r="Q133" s="248">
        <f t="shared" si="26"/>
        <v>9.1671129511808586E-2</v>
      </c>
      <c r="R133" s="231"/>
      <c r="S133" s="248">
        <f t="shared" si="27"/>
        <v>0.19651843672580002</v>
      </c>
      <c r="T133" s="248"/>
      <c r="U133" s="433"/>
      <c r="AM133" s="25"/>
      <c r="AN133" s="25"/>
      <c r="AO133" s="25"/>
      <c r="AP133" s="25"/>
      <c r="AQ133" s="25"/>
      <c r="AR133" s="25"/>
      <c r="AS133" s="25"/>
      <c r="AT133" s="25"/>
      <c r="AU133" s="25"/>
      <c r="AV133" s="25"/>
    </row>
    <row r="134" spans="7:48">
      <c r="G134" s="235"/>
      <c r="H134" s="231"/>
      <c r="I134" s="231">
        <f t="shared" si="28"/>
        <v>19</v>
      </c>
      <c r="J134" s="248">
        <f t="shared" si="25"/>
        <v>7.8535298829644412E-2</v>
      </c>
      <c r="K134" s="231"/>
      <c r="L134" s="248">
        <f t="shared" si="29"/>
        <v>5.3528107721526171E-2</v>
      </c>
      <c r="M134" s="248" t="str">
        <f>IF(M100="","",M100*(('8'!#REF!^1)*(($I134*M$18*(2/(M$75*M$11)))^0.5))/(550*M$17))</f>
        <v/>
      </c>
      <c r="N134" s="248" t="str">
        <f>IF(N100="","",N100*(('8'!#REF!^1)*(($I134*N$18*(2/(N$75*N$11)))^0.5))/(550*N$17))</f>
        <v/>
      </c>
      <c r="O134" s="248">
        <f t="shared" si="26"/>
        <v>7.7880894122218949E-2</v>
      </c>
      <c r="P134" s="248" t="str">
        <f t="shared" si="26"/>
        <v/>
      </c>
      <c r="Q134" s="248">
        <f t="shared" si="26"/>
        <v>8.898279859695353E-2</v>
      </c>
      <c r="R134" s="231"/>
      <c r="S134" s="248">
        <f t="shared" si="27"/>
        <v>0.20678940816446448</v>
      </c>
      <c r="T134" s="248"/>
      <c r="U134" s="433"/>
      <c r="AM134" s="25"/>
      <c r="AN134" s="25"/>
      <c r="AO134" s="25"/>
      <c r="AP134" s="25"/>
      <c r="AQ134" s="25"/>
      <c r="AR134" s="25"/>
      <c r="AS134" s="25"/>
      <c r="AT134" s="25"/>
      <c r="AU134" s="25"/>
      <c r="AV134" s="25"/>
    </row>
    <row r="135" spans="7:48">
      <c r="G135" s="235"/>
      <c r="H135" s="231"/>
      <c r="I135" s="231">
        <f t="shared" si="28"/>
        <v>20</v>
      </c>
      <c r="J135" s="248">
        <f t="shared" si="25"/>
        <v>8.554743590973099E-2</v>
      </c>
      <c r="K135" s="231"/>
      <c r="L135" s="248">
        <f t="shared" si="29"/>
        <v>5.4676903034519699E-2</v>
      </c>
      <c r="M135" s="248" t="str">
        <f>IF(M101="","",M101*(('8'!#REF!^1)*(($I135*M$18*(2/(M$75*M$11)))^0.5))/(550*M$17))</f>
        <v/>
      </c>
      <c r="N135" s="248" t="str">
        <f>IF(N101="","",N101*(('8'!#REF!^1)*(($I135*N$18*(2/(N$75*N$11)))^0.5))/(550*N$17))</f>
        <v/>
      </c>
      <c r="O135" s="248">
        <f t="shared" si="26"/>
        <v>8.0300714312414506E-2</v>
      </c>
      <c r="P135" s="248" t="str">
        <f t="shared" si="26"/>
        <v/>
      </c>
      <c r="Q135" s="248">
        <f t="shared" si="26"/>
        <v>8.6673011157717958E-2</v>
      </c>
      <c r="R135" s="231"/>
      <c r="S135" s="248">
        <f t="shared" si="27"/>
        <v>0.21709184163239875</v>
      </c>
      <c r="T135" s="248"/>
      <c r="U135" s="433"/>
      <c r="AM135" s="25"/>
      <c r="AN135" s="25"/>
      <c r="AO135" s="25"/>
      <c r="AP135" s="25"/>
      <c r="AQ135" s="25"/>
      <c r="AR135" s="25"/>
      <c r="AS135" s="25"/>
      <c r="AT135" s="25"/>
      <c r="AU135" s="25"/>
      <c r="AV135" s="25"/>
    </row>
    <row r="136" spans="7:48">
      <c r="G136" s="235"/>
      <c r="H136" s="231"/>
      <c r="I136" s="231">
        <f t="shared" si="28"/>
        <v>21</v>
      </c>
      <c r="J136" s="248">
        <f t="shared" si="25"/>
        <v>9.2823395280341378E-2</v>
      </c>
      <c r="K136" s="231"/>
      <c r="L136" s="248">
        <f t="shared" si="29"/>
        <v>5.5797319884058498E-2</v>
      </c>
      <c r="M136" s="248" t="str">
        <f>IF(M102="","",M102*(('8'!#REF!^1)*(($I136*M$18*(2/(M$75*M$11)))^0.5))/(550*M$17))</f>
        <v/>
      </c>
      <c r="N136" s="248" t="str">
        <f>IF(N102="","",N102*(('8'!#REF!^1)*(($I136*N$18*(2/(N$75*N$11)))^0.5))/(550*N$17))</f>
        <v/>
      </c>
      <c r="O136" s="248">
        <f t="shared" si="26"/>
        <v>8.2755580256611574E-2</v>
      </c>
      <c r="P136" s="248" t="str">
        <f t="shared" si="26"/>
        <v/>
      </c>
      <c r="Q136" s="248">
        <f t="shared" si="26"/>
        <v>8.4687689554727621E-2</v>
      </c>
      <c r="R136" s="231"/>
      <c r="S136" s="248">
        <f t="shared" si="27"/>
        <v>0.22742124255399285</v>
      </c>
      <c r="T136" s="248"/>
      <c r="U136" s="433"/>
      <c r="AM136" s="25"/>
      <c r="AN136" s="25"/>
      <c r="AO136" s="25"/>
      <c r="AP136" s="25"/>
      <c r="AQ136" s="25"/>
      <c r="AR136" s="25"/>
      <c r="AS136" s="25"/>
      <c r="AT136" s="25"/>
      <c r="AU136" s="25"/>
      <c r="AV136" s="25"/>
    </row>
    <row r="137" spans="7:48">
      <c r="G137" s="235"/>
      <c r="H137" s="231"/>
      <c r="I137" s="231">
        <f t="shared" si="28"/>
        <v>22</v>
      </c>
      <c r="J137" s="248">
        <f t="shared" si="25"/>
        <v>0.10036281792318562</v>
      </c>
      <c r="K137" s="231"/>
      <c r="L137" s="248">
        <f t="shared" si="29"/>
        <v>5.6891362895938609E-2</v>
      </c>
      <c r="M137" s="248" t="str">
        <f>IF(M103="","",M103*(('8'!#REF!^1)*(($I137*M$18*(2/(M$75*M$11)))^0.5))/(550*M$17))</f>
        <v/>
      </c>
      <c r="N137" s="248" t="str">
        <f>IF(N103="","",N103*(('8'!#REF!^1)*(($I137*N$18*(2/(N$75*N$11)))^0.5))/(550*N$17))</f>
        <v/>
      </c>
      <c r="O137" s="248">
        <f t="shared" si="26"/>
        <v>8.5240712988355338E-2</v>
      </c>
      <c r="P137" s="248" t="str">
        <f t="shared" si="26"/>
        <v/>
      </c>
      <c r="Q137" s="248">
        <f t="shared" si="26"/>
        <v>8.2982588446676359E-2</v>
      </c>
      <c r="R137" s="231"/>
      <c r="S137" s="248">
        <f t="shared" si="27"/>
        <v>0.23777393354920237</v>
      </c>
      <c r="T137" s="248"/>
      <c r="U137" s="433"/>
      <c r="AM137" s="25"/>
      <c r="AN137" s="25"/>
      <c r="AO137" s="25"/>
      <c r="AP137" s="25"/>
      <c r="AQ137" s="25"/>
      <c r="AR137" s="25"/>
      <c r="AS137" s="25"/>
      <c r="AT137" s="25"/>
      <c r="AU137" s="25"/>
      <c r="AV137" s="25"/>
    </row>
    <row r="138" spans="7:48">
      <c r="G138" s="235"/>
      <c r="H138" s="231"/>
      <c r="I138" s="231">
        <f t="shared" si="28"/>
        <v>23</v>
      </c>
      <c r="J138" s="248">
        <f t="shared" si="25"/>
        <v>0.10816555504813237</v>
      </c>
      <c r="K138" s="231"/>
      <c r="L138" s="248">
        <f t="shared" si="29"/>
        <v>5.7960811245483579E-2</v>
      </c>
      <c r="M138" s="248" t="str">
        <f>IF(M104="","",M104*(('8'!#REF!^1)*(($I138*M$18*(2/(M$75*M$11)))^0.5))/(550*M$17))</f>
        <v/>
      </c>
      <c r="N138" s="248" t="str">
        <f>IF(N104="","",N104*(('8'!#REF!^1)*(($I138*N$18*(2/(N$75*N$11)))^0.5))/(550*N$17))</f>
        <v/>
      </c>
      <c r="O138" s="248">
        <f t="shared" si="26"/>
        <v>8.7752164665791985E-2</v>
      </c>
      <c r="P138" s="248" t="str">
        <f t="shared" si="26"/>
        <v/>
      </c>
      <c r="Q138" s="248">
        <f t="shared" si="26"/>
        <v>8.1521157334224312E-2</v>
      </c>
      <c r="R138" s="231"/>
      <c r="S138" s="248">
        <f t="shared" si="27"/>
        <v>0.24814687678233821</v>
      </c>
      <c r="T138" s="248"/>
      <c r="U138" s="433"/>
      <c r="AM138" s="25"/>
      <c r="AN138" s="25"/>
      <c r="AO138" s="25"/>
      <c r="AP138" s="25"/>
      <c r="AQ138" s="25"/>
      <c r="AR138" s="25"/>
      <c r="AS138" s="25"/>
      <c r="AT138" s="25"/>
      <c r="AU138" s="25"/>
      <c r="AV138" s="25"/>
    </row>
    <row r="139" spans="7:48">
      <c r="G139" s="235"/>
      <c r="H139" s="231"/>
      <c r="I139" s="231">
        <f t="shared" si="28"/>
        <v>24</v>
      </c>
      <c r="J139" s="248">
        <f t="shared" si="25"/>
        <v>0.11623164799763053</v>
      </c>
      <c r="K139" s="231"/>
      <c r="L139" s="248">
        <f t="shared" si="29"/>
        <v>5.9007252634700323E-2</v>
      </c>
      <c r="M139" s="248" t="str">
        <f>IF(M105="","",M105*(('8'!#REF!^1)*(($I139*M$18*(2/(M$75*M$11)))^0.5))/(550*M$17))</f>
        <v/>
      </c>
      <c r="N139" s="248" t="str">
        <f>IF(N105="","",N105*(('8'!#REF!^1)*(($I139*N$18*(2/(N$75*N$11)))^0.5))/(550*N$17))</f>
        <v/>
      </c>
      <c r="O139" s="248">
        <f t="shared" si="26"/>
        <v>9.0286645420709799E-2</v>
      </c>
      <c r="P139" s="248" t="str">
        <f t="shared" si="26"/>
        <v/>
      </c>
      <c r="Q139" s="248">
        <f t="shared" si="26"/>
        <v>8.0272937467921565E-2</v>
      </c>
      <c r="R139" s="231"/>
      <c r="S139" s="248">
        <f t="shared" si="27"/>
        <v>0.25853754072365959</v>
      </c>
      <c r="T139" s="248"/>
      <c r="U139" s="433"/>
      <c r="AM139" s="25"/>
      <c r="AN139" s="25"/>
      <c r="AO139" s="25"/>
      <c r="AP139" s="25"/>
      <c r="AQ139" s="25"/>
      <c r="AR139" s="25"/>
      <c r="AS139" s="25"/>
      <c r="AT139" s="25"/>
      <c r="AU139" s="25"/>
      <c r="AV139" s="25"/>
    </row>
    <row r="140" spans="7:48">
      <c r="G140" s="235"/>
      <c r="H140" s="231"/>
      <c r="I140" s="231">
        <f t="shared" si="28"/>
        <v>25</v>
      </c>
      <c r="J140" s="248">
        <f t="shared" si="25"/>
        <v>0.12456131124974959</v>
      </c>
      <c r="K140" s="231"/>
      <c r="L140" s="248">
        <f t="shared" si="29"/>
        <v>6.0032110956218993E-2</v>
      </c>
      <c r="M140" s="248" t="str">
        <f>IF(M106="","",M106*(('8'!#REF!^1)*(($I140*M$18*(2/(M$75*M$11)))^0.5))/(550*M$17))</f>
        <v/>
      </c>
      <c r="N140" s="248" t="str">
        <f>IF(N106="","",N106*(('8'!#REF!^1)*(($I140*N$18*(2/(N$75*N$11)))^0.5))/(550*N$17))</f>
        <v/>
      </c>
      <c r="O140" s="248">
        <f t="shared" si="26"/>
        <v>9.2841391763811121E-2</v>
      </c>
      <c r="P140" s="248" t="str">
        <f t="shared" si="26"/>
        <v/>
      </c>
      <c r="Q140" s="248">
        <f t="shared" si="26"/>
        <v>7.921234349823017E-2</v>
      </c>
      <c r="R140" s="231"/>
      <c r="S140" s="248">
        <f t="shared" si="27"/>
        <v>0.26894379888818437</v>
      </c>
      <c r="T140" s="248"/>
      <c r="U140" s="433"/>
      <c r="AM140" s="25"/>
      <c r="AN140" s="25"/>
      <c r="AO140" s="25"/>
      <c r="AP140" s="25"/>
      <c r="AQ140" s="25"/>
      <c r="AR140" s="25"/>
      <c r="AS140" s="25"/>
      <c r="AT140" s="25"/>
      <c r="AU140" s="25"/>
      <c r="AV140" s="25"/>
    </row>
    <row r="141" spans="7:48">
      <c r="G141" s="235"/>
      <c r="H141" s="231"/>
      <c r="I141" s="231">
        <f t="shared" si="28"/>
        <v>26</v>
      </c>
      <c r="J141" s="248">
        <f t="shared" si="25"/>
        <v>0.13315491795232051</v>
      </c>
      <c r="K141" s="231"/>
      <c r="L141" s="248">
        <f t="shared" si="29"/>
        <v>6.1036669021154961E-2</v>
      </c>
      <c r="M141" s="248" t="str">
        <f>IF(M107="","",M107*(('8'!#REF!^1)*(($I141*M$18*(2/(M$75*M$11)))^0.5))/(550*M$17))</f>
        <v/>
      </c>
      <c r="N141" s="248" t="str">
        <f>IF(N107="","",N107*(('8'!#REF!^1)*(($I141*N$18*(2/(N$75*N$11)))^0.5))/(550*N$17))</f>
        <v/>
      </c>
      <c r="O141" s="248">
        <f t="shared" si="26"/>
        <v>9.5414065357997846E-2</v>
      </c>
      <c r="P141" s="248" t="str">
        <f t="shared" si="26"/>
        <v/>
      </c>
      <c r="Q141" s="248">
        <f t="shared" si="26"/>
        <v>7.8317726283233496E-2</v>
      </c>
      <c r="R141" s="231"/>
      <c r="S141" s="248">
        <f t="shared" si="27"/>
        <v>0.27936385194246588</v>
      </c>
      <c r="T141" s="248"/>
      <c r="U141" s="433"/>
      <c r="AM141" s="25"/>
      <c r="AN141" s="25"/>
      <c r="AO141" s="25"/>
      <c r="AP141" s="25"/>
      <c r="AQ141" s="25"/>
      <c r="AR141" s="25"/>
      <c r="AS141" s="25"/>
      <c r="AT141" s="25"/>
      <c r="AU141" s="25"/>
      <c r="AV141" s="25"/>
    </row>
    <row r="142" spans="7:48">
      <c r="G142" s="235"/>
      <c r="H142" s="231"/>
      <c r="I142" s="231">
        <f t="shared" si="28"/>
        <v>27</v>
      </c>
      <c r="J142" s="248">
        <f t="shared" si="25"/>
        <v>0.14201298754295102</v>
      </c>
      <c r="K142" s="231"/>
      <c r="L142" s="248">
        <f t="shared" si="29"/>
        <v>6.2022087386491363E-2</v>
      </c>
      <c r="M142" s="248" t="str">
        <f>IF(M108="","",M108*(('8'!#REF!^1)*(($I142*M$18*(2/(M$75*M$11)))^0.5))/(550*M$17))</f>
        <v/>
      </c>
      <c r="N142" s="248" t="str">
        <f>IF(N108="","",N108*(('8'!#REF!^1)*(($I142*N$18*(2/(N$75*N$11)))^0.5))/(550*N$17))</f>
        <v/>
      </c>
      <c r="O142" s="248">
        <f t="shared" si="26"/>
        <v>9.8002674286482669E-2</v>
      </c>
      <c r="P142" s="248" t="str">
        <f t="shared" si="26"/>
        <v/>
      </c>
      <c r="Q142" s="248">
        <f t="shared" si="26"/>
        <v>7.7570643961298744E-2</v>
      </c>
      <c r="R142" s="231"/>
      <c r="S142" s="248">
        <f t="shared" si="27"/>
        <v>0.28979616712097567</v>
      </c>
      <c r="T142" s="248"/>
      <c r="U142" s="433"/>
      <c r="AM142" s="25"/>
      <c r="AN142" s="25"/>
      <c r="AO142" s="25"/>
      <c r="AP142" s="25"/>
      <c r="AQ142" s="25"/>
      <c r="AR142" s="25"/>
      <c r="AS142" s="25"/>
      <c r="AT142" s="25"/>
      <c r="AU142" s="25"/>
      <c r="AV142" s="25"/>
    </row>
    <row r="143" spans="7:48">
      <c r="G143" s="235"/>
      <c r="H143" s="231"/>
      <c r="I143" s="231">
        <f t="shared" si="28"/>
        <v>28</v>
      </c>
      <c r="J143" s="248">
        <f t="shared" si="25"/>
        <v>0.1511361751020657</v>
      </c>
      <c r="K143" s="231"/>
      <c r="L143" s="248">
        <f t="shared" si="29"/>
        <v>6.298942007019942E-2</v>
      </c>
      <c r="M143" s="248" t="str">
        <f>IF(M109="","",M109*(('8'!#REF!^1)*(($I143*M$18*(2/(M$75*M$11)))^0.5))/(550*M$17))</f>
        <v/>
      </c>
      <c r="N143" s="248" t="str">
        <f>IF(N109="","",N109*(('8'!#REF!^1)*(($I143*N$18*(2/(N$75*N$11)))^0.5))/(550*N$17))</f>
        <v/>
      </c>
      <c r="O143" s="248">
        <f t="shared" si="26"/>
        <v>0.10060551119201938</v>
      </c>
      <c r="P143" s="248" t="str">
        <f t="shared" si="26"/>
        <v/>
      </c>
      <c r="Q143" s="248">
        <f t="shared" si="26"/>
        <v>7.6955289222455023E-2</v>
      </c>
      <c r="R143" s="231"/>
      <c r="S143" s="248">
        <f t="shared" si="27"/>
        <v>0.30023943062468922</v>
      </c>
      <c r="T143" s="248"/>
      <c r="U143" s="433"/>
      <c r="AM143" s="25"/>
      <c r="AN143" s="25"/>
      <c r="AO143" s="25"/>
      <c r="AP143" s="25"/>
      <c r="AQ143" s="25"/>
      <c r="AR143" s="25"/>
      <c r="AS143" s="25"/>
      <c r="AT143" s="25"/>
      <c r="AU143" s="25"/>
      <c r="AV143" s="25"/>
    </row>
    <row r="144" spans="7:48">
      <c r="G144" s="235"/>
      <c r="H144" s="231"/>
      <c r="I144" s="231">
        <f t="shared" si="28"/>
        <v>29</v>
      </c>
      <c r="J144" s="248">
        <f t="shared" si="25"/>
        <v>0.16052526215671575</v>
      </c>
      <c r="K144" s="231"/>
      <c r="L144" s="248">
        <f t="shared" si="29"/>
        <v>6.3939627760711409E-2</v>
      </c>
      <c r="M144" s="248" t="str">
        <f>IF(M110="","",M110*(('8'!#REF!^1)*(($I144*M$18*(2/(M$75*M$11)))^0.5))/(550*M$17))</f>
        <v/>
      </c>
      <c r="N144" s="248" t="str">
        <f>IF(N110="","",N110*(('8'!#REF!^1)*(($I144*N$18*(2/(N$75*N$11)))^0.5))/(550*N$17))</f>
        <v/>
      </c>
      <c r="O144" s="248">
        <f t="shared" si="26"/>
        <v>0.10322110421491297</v>
      </c>
      <c r="P144" s="248" t="str">
        <f t="shared" si="26"/>
        <v/>
      </c>
      <c r="Q144" s="248">
        <f t="shared" si="26"/>
        <v>7.6458035075348069E-2</v>
      </c>
      <c r="R144" s="231"/>
      <c r="S144" s="248">
        <f t="shared" si="27"/>
        <v>0.31069250986824065</v>
      </c>
      <c r="T144" s="248"/>
      <c r="U144" s="433"/>
      <c r="AM144" s="25"/>
      <c r="AN144" s="25"/>
      <c r="AO144" s="25"/>
      <c r="AP144" s="25"/>
      <c r="AQ144" s="25"/>
      <c r="AR144" s="25"/>
      <c r="AS144" s="25"/>
      <c r="AT144" s="25"/>
      <c r="AU144" s="25"/>
      <c r="AV144" s="25"/>
    </row>
    <row r="145" spans="7:48">
      <c r="G145" s="235"/>
      <c r="H145" s="231"/>
      <c r="I145" s="231">
        <f t="shared" si="28"/>
        <v>30</v>
      </c>
      <c r="J145" s="248">
        <f t="shared" si="25"/>
        <v>0.1701811487074312</v>
      </c>
      <c r="K145" s="231"/>
      <c r="L145" s="248">
        <f t="shared" si="29"/>
        <v>6.4873588992390471E-2</v>
      </c>
      <c r="M145" s="248" t="str">
        <f>IF(M111="","",M111*(('8'!#REF!^1)*(($I145*M$18*(2/(M$75*M$11)))^0.5))/(550*M$17))</f>
        <v/>
      </c>
      <c r="N145" s="248" t="str">
        <f>IF(N111="","",N111*(('8'!#REF!^1)*(($I145*N$18*(2/(N$75*N$11)))^0.5))/(550*N$17))</f>
        <v/>
      </c>
      <c r="O145" s="248">
        <f t="shared" si="26"/>
        <v>0.10584817774342774</v>
      </c>
      <c r="P145" s="248" t="str">
        <f t="shared" si="26"/>
        <v/>
      </c>
      <c r="Q145" s="248">
        <f t="shared" si="26"/>
        <v>7.6067071460804228E-2</v>
      </c>
      <c r="R145" s="231"/>
      <c r="S145" s="248">
        <f t="shared" si="27"/>
        <v>0.32115442327764615</v>
      </c>
      <c r="T145" s="248"/>
      <c r="U145" s="433"/>
      <c r="AM145" s="25"/>
      <c r="AN145" s="25"/>
      <c r="AO145" s="25"/>
      <c r="AP145" s="25"/>
      <c r="AQ145" s="25"/>
      <c r="AR145" s="25"/>
      <c r="AS145" s="25"/>
      <c r="AT145" s="25"/>
      <c r="AU145" s="25"/>
      <c r="AV145" s="25"/>
    </row>
    <row r="146" spans="7:48">
      <c r="G146" s="235"/>
      <c r="H146" s="231"/>
      <c r="I146" s="231">
        <f t="shared" si="28"/>
        <v>31</v>
      </c>
      <c r="J146" s="248">
        <f t="shared" si="25"/>
        <v>0.18010484629292117</v>
      </c>
      <c r="K146" s="231"/>
      <c r="L146" s="248">
        <f t="shared" si="29"/>
        <v>6.5792109657178952E-2</v>
      </c>
      <c r="M146" s="248" t="str">
        <f>IF(M112="","",M112*(('8'!#REF!^1)*(($I146*M$18*(2/(M$75*M$11)))^0.5))/(550*M$17))</f>
        <v/>
      </c>
      <c r="N146" s="248" t="str">
        <f>IF(N112="","",N112*(('8'!#REF!^1)*(($I146*N$18*(2/(N$75*N$11)))^0.5))/(550*N$17))</f>
        <v/>
      </c>
      <c r="O146" s="248">
        <f t="shared" si="26"/>
        <v>0.10848562076089066</v>
      </c>
      <c r="P146" s="248" t="str">
        <f t="shared" si="26"/>
        <v/>
      </c>
      <c r="Q146" s="248">
        <f t="shared" si="26"/>
        <v>7.5772112198252833E-2</v>
      </c>
      <c r="R146" s="231"/>
      <c r="S146" s="248">
        <f t="shared" si="27"/>
        <v>0.33162431593362957</v>
      </c>
      <c r="T146" s="248"/>
      <c r="U146" s="433"/>
      <c r="AM146" s="25"/>
      <c r="AN146" s="25"/>
      <c r="AO146" s="25"/>
      <c r="AP146" s="25"/>
      <c r="AQ146" s="25"/>
      <c r="AR146" s="25"/>
      <c r="AS146" s="25"/>
      <c r="AT146" s="25"/>
      <c r="AU146" s="25"/>
      <c r="AV146" s="25"/>
    </row>
    <row r="147" spans="7:48">
      <c r="G147" s="235"/>
      <c r="H147" s="231"/>
      <c r="I147" s="231">
        <f t="shared" si="28"/>
        <v>32</v>
      </c>
      <c r="J147" s="248">
        <f t="shared" si="25"/>
        <v>0.19029747194091323</v>
      </c>
      <c r="K147" s="231"/>
      <c r="L147" s="248">
        <f t="shared" si="29"/>
        <v>6.669593114552673E-2</v>
      </c>
      <c r="M147" s="248" t="str">
        <f>IF(M113="","",M113*(('8'!#REF!^1)*(($I147*M$18*(2/(M$75*M$11)))^0.5))/(550*M$17))</f>
        <v/>
      </c>
      <c r="N147" s="248" t="str">
        <f>IF(N113="","",N113*(('8'!#REF!^1)*(($I147*N$18*(2/(N$75*N$11)))^0.5))/(550*N$17))</f>
        <v/>
      </c>
      <c r="O147" s="248">
        <f t="shared" si="26"/>
        <v>0.11113246112771288</v>
      </c>
      <c r="P147" s="248" t="str">
        <f t="shared" si="26"/>
        <v/>
      </c>
      <c r="Q147" s="248">
        <f t="shared" si="26"/>
        <v>7.5564156879694658E-2</v>
      </c>
      <c r="R147" s="231"/>
      <c r="S147" s="248">
        <f t="shared" si="27"/>
        <v>0.34210143978182417</v>
      </c>
      <c r="T147" s="248"/>
      <c r="U147" s="433"/>
      <c r="AM147" s="25"/>
      <c r="AN147" s="25"/>
      <c r="AO147" s="25"/>
      <c r="AP147" s="25"/>
      <c r="AQ147" s="25"/>
      <c r="AR147" s="25"/>
      <c r="AS147" s="25"/>
      <c r="AT147" s="25"/>
      <c r="AU147" s="25"/>
      <c r="AV147" s="25"/>
    </row>
    <row r="148" spans="7:48">
      <c r="G148" s="235"/>
      <c r="H148" s="231"/>
      <c r="I148" s="231">
        <f t="shared" si="28"/>
        <v>33</v>
      </c>
      <c r="J148" s="248">
        <f t="shared" si="25"/>
        <v>0.20076024288000455</v>
      </c>
      <c r="K148" s="231"/>
      <c r="L148" s="248">
        <f t="shared" si="29"/>
        <v>6.7585737350565819E-2</v>
      </c>
      <c r="M148" s="248" t="str">
        <f>IF(M114="","",M114*(('8'!#REF!^1)*(($I148*M$18*(2/(M$75*M$11)))^0.5))/(550*M$17))</f>
        <v/>
      </c>
      <c r="N148" s="248" t="str">
        <f>IF(N114="","",N114*(('8'!#REF!^1)*(($I148*N$18*(2/(N$75*N$11)))^0.5))/(550*N$17))</f>
        <v/>
      </c>
      <c r="O148" s="248">
        <f t="shared" si="26"/>
        <v>0.11378784453940714</v>
      </c>
      <c r="P148" s="248" t="str">
        <f t="shared" si="26"/>
        <v/>
      </c>
      <c r="Q148" s="248">
        <f t="shared" si="26"/>
        <v>7.5435296055675713E-2</v>
      </c>
      <c r="R148" s="231"/>
      <c r="S148" s="248">
        <f t="shared" si="27"/>
        <v>0.35258513744111991</v>
      </c>
      <c r="T148" s="248"/>
      <c r="U148" s="433"/>
      <c r="AM148" s="25"/>
      <c r="AN148" s="25"/>
      <c r="AO148" s="25"/>
      <c r="AP148" s="25"/>
      <c r="AQ148" s="25"/>
      <c r="AR148" s="25"/>
      <c r="AS148" s="25"/>
      <c r="AT148" s="25"/>
      <c r="AU148" s="25"/>
      <c r="AV148" s="25"/>
    </row>
    <row r="149" spans="7:48">
      <c r="G149" s="235"/>
      <c r="H149" s="231"/>
      <c r="I149" s="231">
        <f t="shared" si="28"/>
        <v>34</v>
      </c>
      <c r="J149" s="248">
        <f t="shared" si="25"/>
        <v>0.21149447190866816</v>
      </c>
      <c r="K149" s="231"/>
      <c r="L149" s="248">
        <f t="shared" si="29"/>
        <v>6.8462160723717483E-2</v>
      </c>
      <c r="M149" s="248" t="str">
        <f>IF(M115="","",M115*(('8'!#REF!^1)*(($I149*M$18*(2/(M$75*M$11)))^0.5))/(550*M$17))</f>
        <v/>
      </c>
      <c r="N149" s="248" t="str">
        <f>IF(N115="","",N115*(('8'!#REF!^1)*(($I149*N$18*(2/(N$75*N$11)))^0.5))/(550*N$17))</f>
        <v/>
      </c>
      <c r="O149" s="248">
        <f t="shared" si="26"/>
        <v>0.11645101719789651</v>
      </c>
      <c r="P149" s="248" t="str">
        <f t="shared" si="26"/>
        <v/>
      </c>
      <c r="Q149" s="248">
        <f t="shared" si="26"/>
        <v>7.5378550800207278E-2</v>
      </c>
      <c r="R149" s="231"/>
      <c r="S149" s="248">
        <f t="shared" si="27"/>
        <v>0.36307482886936082</v>
      </c>
      <c r="T149" s="248"/>
      <c r="U149" s="433"/>
      <c r="AM149" s="25"/>
      <c r="AN149" s="25"/>
      <c r="AO149" s="25"/>
      <c r="AP149" s="25"/>
      <c r="AQ149" s="25"/>
      <c r="AR149" s="25"/>
      <c r="AS149" s="25"/>
      <c r="AT149" s="25"/>
      <c r="AU149" s="25"/>
      <c r="AV149" s="25"/>
    </row>
    <row r="150" spans="7:48" ht="13.8" thickBot="1">
      <c r="G150" s="254"/>
      <c r="H150" s="255"/>
      <c r="I150" s="255">
        <f t="shared" si="28"/>
        <v>35</v>
      </c>
      <c r="J150" s="1284">
        <f t="shared" si="25"/>
        <v>0.22250156333470889</v>
      </c>
      <c r="K150" s="255"/>
      <c r="L150" s="1284">
        <f t="shared" si="29"/>
        <v>6.9325787534171457E-2</v>
      </c>
      <c r="M150" s="1284" t="str">
        <f>IF(M116="","",M116*(('8'!#REF!^1)*(($I150*M$18*(2/(M$75*M$11)))^0.5))/(550*M$17))</f>
        <v/>
      </c>
      <c r="N150" s="1284" t="str">
        <f>IF(N116="","",N116*(('8'!#REF!^1)*(($I150*N$18*(2/(N$75*N$11)))^0.5))/(550*N$17))</f>
        <v/>
      </c>
      <c r="O150" s="1284">
        <f t="shared" si="26"/>
        <v>0.11912131145345572</v>
      </c>
      <c r="P150" s="1284" t="str">
        <f t="shared" si="26"/>
        <v/>
      </c>
      <c r="Q150" s="1284">
        <f t="shared" si="26"/>
        <v>7.5387739778842153E-2</v>
      </c>
      <c r="R150" s="255"/>
      <c r="S150" s="1284">
        <f t="shared" si="27"/>
        <v>0.37357000031492288</v>
      </c>
      <c r="T150" s="1284"/>
      <c r="U150" s="446"/>
      <c r="AM150" s="25"/>
      <c r="AN150" s="25"/>
      <c r="AO150" s="25"/>
      <c r="AP150" s="25"/>
      <c r="AQ150" s="25"/>
      <c r="AR150" s="25"/>
      <c r="AS150" s="25"/>
      <c r="AT150" s="25"/>
      <c r="AU150" s="25"/>
      <c r="AV150" s="25"/>
    </row>
    <row r="151" spans="7:48">
      <c r="G151" s="231"/>
      <c r="H151" s="231"/>
      <c r="I151" s="231"/>
      <c r="J151" s="248"/>
      <c r="K151" s="231"/>
      <c r="L151" s="231"/>
      <c r="M151" s="231"/>
      <c r="N151" s="231"/>
      <c r="O151" s="231"/>
      <c r="P151" s="231"/>
      <c r="Q151" s="231"/>
      <c r="R151" s="231"/>
      <c r="S151" s="231"/>
      <c r="T151" s="231"/>
      <c r="U151" s="231"/>
      <c r="AM151" s="25"/>
      <c r="AN151" s="25"/>
      <c r="AO151" s="25"/>
      <c r="AP151" s="25"/>
      <c r="AQ151" s="25"/>
      <c r="AR151" s="25"/>
      <c r="AS151" s="25"/>
      <c r="AT151" s="25"/>
      <c r="AU151" s="25"/>
      <c r="AV151" s="25"/>
    </row>
    <row r="152" spans="7:48">
      <c r="G152" s="231"/>
      <c r="H152" s="231"/>
      <c r="I152" s="231"/>
      <c r="J152" s="248"/>
      <c r="K152" s="231"/>
      <c r="L152" s="231"/>
      <c r="M152" s="231"/>
      <c r="N152" s="231"/>
      <c r="O152" s="231"/>
      <c r="P152" s="231"/>
      <c r="Q152" s="231"/>
      <c r="R152" s="231"/>
      <c r="S152" s="231"/>
      <c r="T152" s="231"/>
      <c r="U152" s="231"/>
      <c r="AM152" s="25"/>
      <c r="AN152" s="25"/>
      <c r="AO152" s="25"/>
      <c r="AP152" s="25"/>
      <c r="AQ152" s="25"/>
      <c r="AR152" s="25"/>
      <c r="AS152" s="25"/>
      <c r="AT152" s="25"/>
      <c r="AU152" s="25"/>
      <c r="AV152" s="25"/>
    </row>
    <row r="153" spans="7:48" ht="13.8" thickBot="1">
      <c r="G153" s="231"/>
      <c r="H153" s="231"/>
      <c r="I153" s="25"/>
      <c r="J153" s="25"/>
      <c r="K153" s="25"/>
      <c r="L153" s="25"/>
      <c r="M153" s="25"/>
      <c r="N153" s="231"/>
      <c r="O153" s="231"/>
      <c r="P153" s="231"/>
      <c r="Q153" s="231"/>
      <c r="R153" s="231"/>
      <c r="S153" s="231"/>
      <c r="T153" s="231"/>
      <c r="U153" s="231"/>
      <c r="AM153" s="25"/>
      <c r="AN153" s="25"/>
      <c r="AO153" s="25"/>
      <c r="AP153" s="25"/>
      <c r="AQ153" s="25"/>
      <c r="AR153" s="25"/>
      <c r="AS153" s="25"/>
      <c r="AT153" s="25"/>
      <c r="AU153" s="25"/>
      <c r="AV153" s="25"/>
    </row>
    <row r="154" spans="7:48">
      <c r="G154" s="1281" t="s">
        <v>2638</v>
      </c>
      <c r="H154" s="229"/>
      <c r="I154" s="229" t="s">
        <v>46</v>
      </c>
      <c r="J154" s="229"/>
      <c r="K154" s="1282"/>
      <c r="L154" s="229"/>
      <c r="M154" s="229"/>
      <c r="N154" s="229"/>
      <c r="O154" s="229"/>
      <c r="P154" s="229"/>
      <c r="Q154" s="229"/>
      <c r="R154" s="229"/>
      <c r="S154" s="229"/>
      <c r="T154" s="229"/>
      <c r="U154" s="430"/>
      <c r="AM154" s="25"/>
      <c r="AN154" s="25"/>
      <c r="AO154" s="25"/>
      <c r="AP154" s="25"/>
      <c r="AQ154" s="25"/>
      <c r="AR154" s="25"/>
      <c r="AS154" s="25"/>
      <c r="AT154" s="25"/>
      <c r="AU154" s="25"/>
      <c r="AV154" s="25"/>
    </row>
    <row r="155" spans="7:48">
      <c r="G155" s="232" t="s">
        <v>2635</v>
      </c>
      <c r="H155" s="231"/>
      <c r="I155" s="233" t="s">
        <v>58</v>
      </c>
      <c r="J155" s="233" t="s">
        <v>685</v>
      </c>
      <c r="K155" s="233" t="s">
        <v>685</v>
      </c>
      <c r="L155" s="233" t="s">
        <v>685</v>
      </c>
      <c r="M155" s="233" t="s">
        <v>685</v>
      </c>
      <c r="N155" s="233" t="s">
        <v>685</v>
      </c>
      <c r="O155" s="233" t="s">
        <v>685</v>
      </c>
      <c r="P155" s="233" t="s">
        <v>685</v>
      </c>
      <c r="Q155" s="233" t="s">
        <v>685</v>
      </c>
      <c r="R155" s="233" t="s">
        <v>685</v>
      </c>
      <c r="S155" s="233" t="s">
        <v>685</v>
      </c>
      <c r="T155" s="231"/>
      <c r="U155" s="433"/>
      <c r="AM155" s="25"/>
      <c r="AN155" s="25"/>
      <c r="AO155" s="25"/>
      <c r="AP155" s="25"/>
      <c r="AQ155" s="25"/>
      <c r="AR155" s="25"/>
      <c r="AS155" s="25"/>
      <c r="AT155" s="25"/>
      <c r="AU155" s="25"/>
      <c r="AV155" s="25"/>
    </row>
    <row r="156" spans="7:48">
      <c r="G156" s="235"/>
      <c r="H156" s="231"/>
      <c r="I156" s="231">
        <f>E$13</f>
        <v>5</v>
      </c>
      <c r="J156" s="244">
        <f t="shared" ref="J156:J186" si="30">((20.9*I156*J$37*J$18)/(J$11))*(1/(E$7-(87*((I156*J$37*J$18/(J$11))^0.5))))</f>
        <v>0</v>
      </c>
      <c r="K156" s="248"/>
      <c r="L156" s="244">
        <f>IF($E$6=1,((((0.5*L$75*(1.1^2)*$I156*L$18*(2/L$75)*(1/L$11))*(L$14+L$15+L$16))/($I156*L$18))+(((1/(PI()*L$12*L$13))/(0.5*L$75*(1.1^2)*$I156*L$18*(2/L$75)*(1/L$11)))*$I156*L$18)+((500/60)/((1.1^1)*(($I156*L$18*(2/L$75)*(1/L$11))^0.5))))*L$37,IF($E$6=2,((((0.5*L$75*(1.1^2)*$I156*L$18*(2/L$75)*(1/L$11))*(L$14+L$15+L$16))/($I156*L$18))+(((1/(PI()*L$12*L$13))/(0.5*L$75*(1.1^2)*$I156*L$18*(2/L$75)*(1/L$11)))*$I156*L$18)+((200/60)/((1.1^1)*(($I156*L$18*(2/L$75)*(1/L$11))^0.5))))*L$37,""))</f>
        <v>0</v>
      </c>
      <c r="M156" s="248" t="str">
        <f>IF($J$22=1,"",IF($E$6=1,(($J$22+1)/$J$22)*((((0.5*M$75*('8'!#REF!^2)*$I156*M$18*(2/M$75)*(1/M$11))*(M$14+M$15+M$16))/($I156*M$18))+(((1/(PI()*M$12*M$13))/(0.5*M$75*('8'!#REF!^2)*$I156*M$18*(2/M$75)*(1/M$11)))*$I156*M$18)+((100/60)/(('8'!#REF!^1)*(($I156*M$18*(2/M$75)*(1/M$11))^0.5))))*M$37,IF($E$6=2,"",(($J$22+1)/$J$22)*((((0.5*M$75*('8'!#REF!^2)*$I156*M$18*(2/M$75)*(1/M$11))*(M$14+M$15+M$16))/($I156*M$18))+(((1/(PI()*M$12*M$13))/(0.5*M$75*('8'!#REF!^2)*$I156*M$18*(2/M$75)*(1/M$11)))*$I156*M$18)+0.03)*M$37)))</f>
        <v/>
      </c>
      <c r="N156" s="248" t="str">
        <f>IF($J$22=1,"",IF($E$6=1,"",IF($E$6=2,"",(($J$22+1)/$J$22)*((((0.5*N$75*('8'!#REF!^2)*$I156*N$18*(2/N$75)*(1/N$11))*(N$14+N$15+N$16))/($I156*N$18))+(((1/(PI()*N$12*N$13))/(0.5*N$75*('8'!#REF!^2)*$I156*N$18*(2/N$75)*(1/N$11)))*$I156*N$18)+0.005)*N$37)))</f>
        <v/>
      </c>
      <c r="O156" s="248">
        <f t="shared" ref="O156:O186" si="31">(((O$80*(O$14+O$15+O$16))/($I156*O$18))+(((1/(PI()*O$12*O$13*O$80))*$I156*O$18)+((300/60)/O$78)))*O$37</f>
        <v>0</v>
      </c>
      <c r="P156" s="248" t="str">
        <f t="shared" ref="P156:P186" si="32">IF($J$22=1,"",(($J$22+1)/$J$22)*(((P$80*(P$14+P$15+P$16))/($I156*P$18))+(((1/(PI()*P$12*P$13*P$80)))*$I156*P$18)+((100/60)/P$78))*P$37)</f>
        <v/>
      </c>
      <c r="Q156" s="248">
        <f t="shared" ref="Q156:Q186" si="33">(((Q$80*(Q$14+Q$15+Q$16))/($I156*Q$18))+(((1/(PI()*Q$12*Q$13*Q$80))*$I156*Q$18)))*Q$37</f>
        <v>0</v>
      </c>
      <c r="R156" s="248"/>
      <c r="S156" s="248">
        <f t="shared" ref="S156:S186" si="34">(((S$14*S$80)/($I156*S$18))+((((((E$10*(PI()/180)/32.174)*S$78)^2)+1)/(S$80*PI()*S$12*S$13))*$I156*S$18))*S$37</f>
        <v>0</v>
      </c>
      <c r="T156" s="231"/>
      <c r="U156" s="433"/>
      <c r="AM156" s="25"/>
      <c r="AN156" s="25"/>
      <c r="AO156" s="25"/>
      <c r="AP156" s="25"/>
      <c r="AQ156" s="25"/>
      <c r="AR156" s="25"/>
      <c r="AS156" s="25"/>
      <c r="AT156" s="25"/>
      <c r="AU156" s="25"/>
      <c r="AV156" s="25"/>
    </row>
    <row r="157" spans="7:48">
      <c r="G157" s="235"/>
      <c r="H157" s="231"/>
      <c r="I157" s="231">
        <f t="shared" ref="I157:I186" si="35">I156+E$14</f>
        <v>6</v>
      </c>
      <c r="J157" s="244">
        <f t="shared" si="30"/>
        <v>0</v>
      </c>
      <c r="K157" s="248"/>
      <c r="L157" s="244">
        <f t="shared" ref="L157:L186" si="36">IF($E$6=1,((((0.5*L$75*(1.1^2)*$I157*L$18*(2/L$75)*(1/L$11))*(L$14+L$15+L$16))/($I157*L$18))+(((1/(PI()*L$12*L$13))/(0.5*L$75*(1.1^2)*$I157*L$18*(2/L$75)*(1/L$11)))*$I157*L$18)+((500/60)/((1.1^1)*(($I157*L$18*(2/L$75)*(1/L$11))^0.5))))*L$37,IF($E$6=2,((((0.5*L$75*(1.1^2)*$I157*L$18*(2/L$75)*(1/L$11))*(L$14+L$15+L$16))/($I157*L$18))+(((1/(PI()*L$12*L$13))/(0.5*L$75*(1.1^2)*$I157*L$18*(2/L$75)*(1/L$11)))*$I157*L$18)+((200/60)/((1.1^1)*(($I157*L$18*(2/L$75)*(1/L$11))^0.5))))*L$37,""))</f>
        <v>0</v>
      </c>
      <c r="M157" s="248" t="str">
        <f>IF($J$22=1,"",IF($E$6=1,(($J$22+1)/$J$22)*((((0.5*M$75*('8'!#REF!^2)*$I157*M$18*(2/M$75)*(1/M$11))*(M$14+M$15+M$16))/($I157*M$18))+(((1/(PI()*M$12*M$13))/(0.5*M$75*('8'!#REF!^2)*$I157*M$18*(2/M$75)*(1/M$11)))*$I157*M$18)+((100/60)/(('8'!#REF!^1)*(($I157*M$18*(2/M$75)*(1/M$11))^0.5))))*M$37,IF($E$6=2,"",(($J$22+1)/$J$22)*((((0.5*M$75*('8'!#REF!^2)*$I157*M$18*(2/M$75)*(1/M$11))*(M$14+M$15+M$16))/($I157*M$18))+(((1/(PI()*M$12*M$13))/(0.5*M$75*('8'!#REF!^2)*$I157*M$18*(2/M$75)*(1/M$11)))*$I157*M$18)+0.03)*M$37)))</f>
        <v/>
      </c>
      <c r="N157" s="248" t="str">
        <f>IF($J$22=1,"",IF($E$6=1,"",IF($E$6=2,"",(($J$22+1)/$J$22)*((((0.5*N$75*('8'!#REF!^2)*$I157*N$18*(2/N$75)*(1/N$11))*(N$14+N$15+N$16))/($I157*N$18))+(((1/(PI()*N$12*N$13))/(0.5*N$75*('8'!#REF!^2)*$I157*N$18*(2/N$75)*(1/N$11)))*$I157*N$18)+0.005)*N$37)))</f>
        <v/>
      </c>
      <c r="O157" s="248">
        <f t="shared" si="31"/>
        <v>0</v>
      </c>
      <c r="P157" s="248" t="str">
        <f t="shared" si="32"/>
        <v/>
      </c>
      <c r="Q157" s="248">
        <f t="shared" si="33"/>
        <v>0</v>
      </c>
      <c r="R157" s="248"/>
      <c r="S157" s="248">
        <f t="shared" si="34"/>
        <v>0</v>
      </c>
      <c r="T157" s="231"/>
      <c r="U157" s="433"/>
      <c r="AM157" s="25"/>
      <c r="AN157" s="25"/>
      <c r="AO157" s="25"/>
      <c r="AP157" s="25"/>
      <c r="AQ157" s="25"/>
      <c r="AR157" s="25"/>
      <c r="AS157" s="25"/>
      <c r="AT157" s="25"/>
      <c r="AU157" s="25"/>
      <c r="AV157" s="25"/>
    </row>
    <row r="158" spans="7:48">
      <c r="G158" s="235"/>
      <c r="H158" s="231"/>
      <c r="I158" s="231">
        <f t="shared" si="35"/>
        <v>7</v>
      </c>
      <c r="J158" s="244">
        <f t="shared" si="30"/>
        <v>0</v>
      </c>
      <c r="K158" s="248"/>
      <c r="L158" s="244">
        <f t="shared" si="36"/>
        <v>0</v>
      </c>
      <c r="M158" s="248" t="str">
        <f>IF($J$22=1,"",IF($E$6=1,(($J$22+1)/$J$22)*((((0.5*M$75*('8'!#REF!^2)*$I158*M$18*(2/M$75)*(1/M$11))*(M$14+M$15+M$16))/($I158*M$18))+(((1/(PI()*M$12*M$13))/(0.5*M$75*('8'!#REF!^2)*$I158*M$18*(2/M$75)*(1/M$11)))*$I158*M$18)+((100/60)/(('8'!#REF!^1)*(($I158*M$18*(2/M$75)*(1/M$11))^0.5))))*M$37,IF($E$6=2,"",(($J$22+1)/$J$22)*((((0.5*M$75*('8'!#REF!^2)*$I158*M$18*(2/M$75)*(1/M$11))*(M$14+M$15+M$16))/($I158*M$18))+(((1/(PI()*M$12*M$13))/(0.5*M$75*('8'!#REF!^2)*$I158*M$18*(2/M$75)*(1/M$11)))*$I158*M$18)+0.03)*M$37)))</f>
        <v/>
      </c>
      <c r="N158" s="248" t="str">
        <f>IF($J$22=1,"",IF($E$6=1,"",IF($E$6=2,"",(($J$22+1)/$J$22)*((((0.5*N$75*('8'!#REF!^2)*$I158*N$18*(2/N$75)*(1/N$11))*(N$14+N$15+N$16))/($I158*N$18))+(((1/(PI()*N$12*N$13))/(0.5*N$75*('8'!#REF!^2)*$I158*N$18*(2/N$75)*(1/N$11)))*$I158*N$18)+0.005)*N$37)))</f>
        <v/>
      </c>
      <c r="O158" s="248">
        <f t="shared" si="31"/>
        <v>0</v>
      </c>
      <c r="P158" s="248" t="str">
        <f t="shared" si="32"/>
        <v/>
      </c>
      <c r="Q158" s="248">
        <f t="shared" si="33"/>
        <v>0</v>
      </c>
      <c r="R158" s="248"/>
      <c r="S158" s="248">
        <f t="shared" si="34"/>
        <v>0</v>
      </c>
      <c r="T158" s="231"/>
      <c r="U158" s="433"/>
      <c r="AM158" s="25"/>
      <c r="AN158" s="25"/>
      <c r="AO158" s="25"/>
      <c r="AP158" s="25"/>
      <c r="AQ158" s="25"/>
      <c r="AR158" s="25"/>
      <c r="AS158" s="25"/>
      <c r="AT158" s="25"/>
      <c r="AU158" s="25"/>
      <c r="AV158" s="25"/>
    </row>
    <row r="159" spans="7:48">
      <c r="G159" s="235"/>
      <c r="H159" s="231"/>
      <c r="I159" s="231">
        <f t="shared" si="35"/>
        <v>8</v>
      </c>
      <c r="J159" s="244">
        <f t="shared" si="30"/>
        <v>0</v>
      </c>
      <c r="K159" s="248"/>
      <c r="L159" s="244">
        <f t="shared" si="36"/>
        <v>0</v>
      </c>
      <c r="M159" s="248" t="str">
        <f>IF($J$22=1,"",IF($E$6=1,(($J$22+1)/$J$22)*((((0.5*M$75*('8'!#REF!^2)*$I159*M$18*(2/M$75)*(1/M$11))*(M$14+M$15+M$16))/($I159*M$18))+(((1/(PI()*M$12*M$13))/(0.5*M$75*('8'!#REF!^2)*$I159*M$18*(2/M$75)*(1/M$11)))*$I159*M$18)+((100/60)/(('8'!#REF!^1)*(($I159*M$18*(2/M$75)*(1/M$11))^0.5))))*M$37,IF($E$6=2,"",(($J$22+1)/$J$22)*((((0.5*M$75*('8'!#REF!^2)*$I159*M$18*(2/M$75)*(1/M$11))*(M$14+M$15+M$16))/($I159*M$18))+(((1/(PI()*M$12*M$13))/(0.5*M$75*('8'!#REF!^2)*$I159*M$18*(2/M$75)*(1/M$11)))*$I159*M$18)+0.03)*M$37)))</f>
        <v/>
      </c>
      <c r="N159" s="248" t="str">
        <f>IF($J$22=1,"",IF($E$6=1,"",IF($E$6=2,"",(($J$22+1)/$J$22)*((((0.5*N$75*('8'!#REF!^2)*$I159*N$18*(2/N$75)*(1/N$11))*(N$14+N$15+N$16))/($I159*N$18))+(((1/(PI()*N$12*N$13))/(0.5*N$75*('8'!#REF!^2)*$I159*N$18*(2/N$75)*(1/N$11)))*$I159*N$18)+0.005)*N$37)))</f>
        <v/>
      </c>
      <c r="O159" s="248">
        <f t="shared" si="31"/>
        <v>0</v>
      </c>
      <c r="P159" s="248" t="str">
        <f t="shared" si="32"/>
        <v/>
      </c>
      <c r="Q159" s="248">
        <f t="shared" si="33"/>
        <v>0</v>
      </c>
      <c r="R159" s="248"/>
      <c r="S159" s="248">
        <f t="shared" si="34"/>
        <v>0</v>
      </c>
      <c r="T159" s="231"/>
      <c r="U159" s="433"/>
      <c r="AM159" s="25"/>
      <c r="AN159" s="25"/>
      <c r="AO159" s="25"/>
      <c r="AP159" s="25"/>
      <c r="AQ159" s="25"/>
      <c r="AR159" s="25"/>
      <c r="AS159" s="25"/>
      <c r="AT159" s="25"/>
      <c r="AU159" s="25"/>
      <c r="AV159" s="25"/>
    </row>
    <row r="160" spans="7:48">
      <c r="G160" s="235"/>
      <c r="H160" s="231"/>
      <c r="I160" s="231">
        <f t="shared" si="35"/>
        <v>9</v>
      </c>
      <c r="J160" s="244">
        <f t="shared" si="30"/>
        <v>0</v>
      </c>
      <c r="K160" s="248"/>
      <c r="L160" s="244">
        <f t="shared" si="36"/>
        <v>0</v>
      </c>
      <c r="M160" s="248" t="str">
        <f>IF($J$22=1,"",IF($E$6=1,(($J$22+1)/$J$22)*((((0.5*M$75*('8'!#REF!^2)*$I160*M$18*(2/M$75)*(1/M$11))*(M$14+M$15+M$16))/($I160*M$18))+(((1/(PI()*M$12*M$13))/(0.5*M$75*('8'!#REF!^2)*$I160*M$18*(2/M$75)*(1/M$11)))*$I160*M$18)+((100/60)/(('8'!#REF!^1)*(($I160*M$18*(2/M$75)*(1/M$11))^0.5))))*M$37,IF($E$6=2,"",(($J$22+1)/$J$22)*((((0.5*M$75*('8'!#REF!^2)*$I160*M$18*(2/M$75)*(1/M$11))*(M$14+M$15+M$16))/($I160*M$18))+(((1/(PI()*M$12*M$13))/(0.5*M$75*('8'!#REF!^2)*$I160*M$18*(2/M$75)*(1/M$11)))*$I160*M$18)+0.03)*M$37)))</f>
        <v/>
      </c>
      <c r="N160" s="248" t="str">
        <f>IF($J$22=1,"",IF($E$6=1,"",IF($E$6=2,"",(($J$22+1)/$J$22)*((((0.5*N$75*('8'!#REF!^2)*$I160*N$18*(2/N$75)*(1/N$11))*(N$14+N$15+N$16))/($I160*N$18))+(((1/(PI()*N$12*N$13))/(0.5*N$75*('8'!#REF!^2)*$I160*N$18*(2/N$75)*(1/N$11)))*$I160*N$18)+0.005)*N$37)))</f>
        <v/>
      </c>
      <c r="O160" s="248">
        <f t="shared" si="31"/>
        <v>0</v>
      </c>
      <c r="P160" s="248" t="str">
        <f t="shared" si="32"/>
        <v/>
      </c>
      <c r="Q160" s="248">
        <f t="shared" si="33"/>
        <v>0</v>
      </c>
      <c r="R160" s="248"/>
      <c r="S160" s="248">
        <f t="shared" si="34"/>
        <v>0</v>
      </c>
      <c r="T160" s="231"/>
      <c r="U160" s="433"/>
      <c r="AM160" s="25"/>
      <c r="AN160" s="25"/>
      <c r="AO160" s="25"/>
      <c r="AP160" s="25"/>
      <c r="AQ160" s="25"/>
      <c r="AR160" s="25"/>
      <c r="AS160" s="25"/>
      <c r="AT160" s="25"/>
      <c r="AU160" s="25"/>
      <c r="AV160" s="25"/>
    </row>
    <row r="161" spans="7:48">
      <c r="G161" s="235"/>
      <c r="H161" s="231"/>
      <c r="I161" s="231">
        <f t="shared" si="35"/>
        <v>10</v>
      </c>
      <c r="J161" s="244">
        <f t="shared" si="30"/>
        <v>0</v>
      </c>
      <c r="K161" s="248"/>
      <c r="L161" s="244">
        <f t="shared" si="36"/>
        <v>0</v>
      </c>
      <c r="M161" s="248" t="str">
        <f>IF($J$22=1,"",IF($E$6=1,(($J$22+1)/$J$22)*((((0.5*M$75*('8'!#REF!^2)*$I161*M$18*(2/M$75)*(1/M$11))*(M$14+M$15+M$16))/($I161*M$18))+(((1/(PI()*M$12*M$13))/(0.5*M$75*('8'!#REF!^2)*$I161*M$18*(2/M$75)*(1/M$11)))*$I161*M$18)+((100/60)/(('8'!#REF!^1)*(($I161*M$18*(2/M$75)*(1/M$11))^0.5))))*M$37,IF($E$6=2,"",(($J$22+1)/$J$22)*((((0.5*M$75*('8'!#REF!^2)*$I161*M$18*(2/M$75)*(1/M$11))*(M$14+M$15+M$16))/($I161*M$18))+(((1/(PI()*M$12*M$13))/(0.5*M$75*('8'!#REF!^2)*$I161*M$18*(2/M$75)*(1/M$11)))*$I161*M$18)+0.03)*M$37)))</f>
        <v/>
      </c>
      <c r="N161" s="248" t="str">
        <f>IF($J$22=1,"",IF($E$6=1,"",IF($E$6=2,"",(($J$22+1)/$J$22)*((((0.5*N$75*('8'!#REF!^2)*$I161*N$18*(2/N$75)*(1/N$11))*(N$14+N$15+N$16))/($I161*N$18))+(((1/(PI()*N$12*N$13))/(0.5*N$75*('8'!#REF!^2)*$I161*N$18*(2/N$75)*(1/N$11)))*$I161*N$18)+0.005)*N$37)))</f>
        <v/>
      </c>
      <c r="O161" s="248">
        <f t="shared" si="31"/>
        <v>0</v>
      </c>
      <c r="P161" s="248" t="str">
        <f t="shared" si="32"/>
        <v/>
      </c>
      <c r="Q161" s="248">
        <f t="shared" si="33"/>
        <v>0</v>
      </c>
      <c r="R161" s="248"/>
      <c r="S161" s="248">
        <f t="shared" si="34"/>
        <v>0</v>
      </c>
      <c r="T161" s="231"/>
      <c r="U161" s="433"/>
      <c r="AM161" s="25"/>
      <c r="AN161" s="25"/>
      <c r="AO161" s="25"/>
      <c r="AP161" s="25"/>
      <c r="AQ161" s="25"/>
      <c r="AR161" s="25"/>
      <c r="AS161" s="25"/>
      <c r="AT161" s="25"/>
      <c r="AU161" s="25"/>
      <c r="AV161" s="25"/>
    </row>
    <row r="162" spans="7:48">
      <c r="G162" s="235"/>
      <c r="H162" s="25"/>
      <c r="I162" s="231">
        <f t="shared" si="35"/>
        <v>11</v>
      </c>
      <c r="J162" s="244">
        <f t="shared" si="30"/>
        <v>0</v>
      </c>
      <c r="K162" s="248"/>
      <c r="L162" s="244">
        <f t="shared" si="36"/>
        <v>0</v>
      </c>
      <c r="M162" s="248" t="str">
        <f>IF($J$22=1,"",IF($E$6=1,(($J$22+1)/$J$22)*((((0.5*M$75*('8'!#REF!^2)*$I162*M$18*(2/M$75)*(1/M$11))*(M$14+M$15+M$16))/($I162*M$18))+(((1/(PI()*M$12*M$13))/(0.5*M$75*('8'!#REF!^2)*$I162*M$18*(2/M$75)*(1/M$11)))*$I162*M$18)+((100/60)/(('8'!#REF!^1)*(($I162*M$18*(2/M$75)*(1/M$11))^0.5))))*M$37,IF($E$6=2,"",(($J$22+1)/$J$22)*((((0.5*M$75*('8'!#REF!^2)*$I162*M$18*(2/M$75)*(1/M$11))*(M$14+M$15+M$16))/($I162*M$18))+(((1/(PI()*M$12*M$13))/(0.5*M$75*('8'!#REF!^2)*$I162*M$18*(2/M$75)*(1/M$11)))*$I162*M$18)+0.03)*M$37)))</f>
        <v/>
      </c>
      <c r="N162" s="248" t="str">
        <f>IF($J$22=1,"",IF($E$6=1,"",IF($E$6=2,"",(($J$22+1)/$J$22)*((((0.5*N$75*('8'!#REF!^2)*$I162*N$18*(2/N$75)*(1/N$11))*(N$14+N$15+N$16))/($I162*N$18))+(((1/(PI()*N$12*N$13))/(0.5*N$75*('8'!#REF!^2)*$I162*N$18*(2/N$75)*(1/N$11)))*$I162*N$18)+0.005)*N$37)))</f>
        <v/>
      </c>
      <c r="O162" s="248">
        <f t="shared" si="31"/>
        <v>0</v>
      </c>
      <c r="P162" s="248" t="str">
        <f t="shared" si="32"/>
        <v/>
      </c>
      <c r="Q162" s="248">
        <f t="shared" si="33"/>
        <v>0</v>
      </c>
      <c r="R162" s="248"/>
      <c r="S162" s="248">
        <f t="shared" si="34"/>
        <v>0</v>
      </c>
      <c r="T162" s="25"/>
      <c r="U162" s="26"/>
      <c r="AM162" s="25"/>
      <c r="AN162" s="25"/>
      <c r="AO162" s="25"/>
      <c r="AP162" s="25"/>
      <c r="AQ162" s="25"/>
      <c r="AR162" s="25"/>
      <c r="AS162" s="25"/>
      <c r="AT162" s="25"/>
      <c r="AU162" s="25"/>
      <c r="AV162" s="25"/>
    </row>
    <row r="163" spans="7:48">
      <c r="G163" s="235"/>
      <c r="H163" s="25"/>
      <c r="I163" s="231">
        <f t="shared" si="35"/>
        <v>12</v>
      </c>
      <c r="J163" s="244">
        <f t="shared" si="30"/>
        <v>0</v>
      </c>
      <c r="K163" s="248"/>
      <c r="L163" s="244">
        <f t="shared" si="36"/>
        <v>0</v>
      </c>
      <c r="M163" s="248" t="str">
        <f>IF($J$22=1,"",IF($E$6=1,(($J$22+1)/$J$22)*((((0.5*M$75*('8'!#REF!^2)*$I163*M$18*(2/M$75)*(1/M$11))*(M$14+M$15+M$16))/($I163*M$18))+(((1/(PI()*M$12*M$13))/(0.5*M$75*('8'!#REF!^2)*$I163*M$18*(2/M$75)*(1/M$11)))*$I163*M$18)+((100/60)/(('8'!#REF!^1)*(($I163*M$18*(2/M$75)*(1/M$11))^0.5))))*M$37,IF($E$6=2,"",(($J$22+1)/$J$22)*((((0.5*M$75*('8'!#REF!^2)*$I163*M$18*(2/M$75)*(1/M$11))*(M$14+M$15+M$16))/($I163*M$18))+(((1/(PI()*M$12*M$13))/(0.5*M$75*('8'!#REF!^2)*$I163*M$18*(2/M$75)*(1/M$11)))*$I163*M$18)+0.03)*M$37)))</f>
        <v/>
      </c>
      <c r="N163" s="248" t="str">
        <f>IF($J$22=1,"",IF($E$6=1,"",IF($E$6=2,"",(($J$22+1)/$J$22)*((((0.5*N$75*('8'!#REF!^2)*$I163*N$18*(2/N$75)*(1/N$11))*(N$14+N$15+N$16))/($I163*N$18))+(((1/(PI()*N$12*N$13))/(0.5*N$75*('8'!#REF!^2)*$I163*N$18*(2/N$75)*(1/N$11)))*$I163*N$18)+0.005)*N$37)))</f>
        <v/>
      </c>
      <c r="O163" s="248">
        <f t="shared" si="31"/>
        <v>0</v>
      </c>
      <c r="P163" s="248" t="str">
        <f t="shared" si="32"/>
        <v/>
      </c>
      <c r="Q163" s="248">
        <f t="shared" si="33"/>
        <v>0</v>
      </c>
      <c r="R163" s="248"/>
      <c r="S163" s="248">
        <f t="shared" si="34"/>
        <v>0</v>
      </c>
      <c r="T163" s="25"/>
      <c r="U163" s="26"/>
      <c r="AM163" s="25"/>
      <c r="AN163" s="25"/>
      <c r="AO163" s="25"/>
      <c r="AP163" s="25"/>
      <c r="AQ163" s="25"/>
      <c r="AR163" s="25"/>
      <c r="AS163" s="25"/>
      <c r="AT163" s="25"/>
      <c r="AU163" s="25"/>
      <c r="AV163" s="25"/>
    </row>
    <row r="164" spans="7:48">
      <c r="G164" s="235"/>
      <c r="H164" s="25"/>
      <c r="I164" s="231">
        <f t="shared" si="35"/>
        <v>13</v>
      </c>
      <c r="J164" s="244">
        <f t="shared" si="30"/>
        <v>0</v>
      </c>
      <c r="K164" s="248"/>
      <c r="L164" s="244">
        <f t="shared" si="36"/>
        <v>0</v>
      </c>
      <c r="M164" s="248" t="str">
        <f>IF($J$22=1,"",IF($E$6=1,(($J$22+1)/$J$22)*((((0.5*M$75*('8'!#REF!^2)*$I164*M$18*(2/M$75)*(1/M$11))*(M$14+M$15+M$16))/($I164*M$18))+(((1/(PI()*M$12*M$13))/(0.5*M$75*('8'!#REF!^2)*$I164*M$18*(2/M$75)*(1/M$11)))*$I164*M$18)+((100/60)/(('8'!#REF!^1)*(($I164*M$18*(2/M$75)*(1/M$11))^0.5))))*M$37,IF($E$6=2,"",(($J$22+1)/$J$22)*((((0.5*M$75*('8'!#REF!^2)*$I164*M$18*(2/M$75)*(1/M$11))*(M$14+M$15+M$16))/($I164*M$18))+(((1/(PI()*M$12*M$13))/(0.5*M$75*('8'!#REF!^2)*$I164*M$18*(2/M$75)*(1/M$11)))*$I164*M$18)+0.03)*M$37)))</f>
        <v/>
      </c>
      <c r="N164" s="248" t="str">
        <f>IF($J$22=1,"",IF($E$6=1,"",IF($E$6=2,"",(($J$22+1)/$J$22)*((((0.5*N$75*('8'!#REF!^2)*$I164*N$18*(2/N$75)*(1/N$11))*(N$14+N$15+N$16))/($I164*N$18))+(((1/(PI()*N$12*N$13))/(0.5*N$75*('8'!#REF!^2)*$I164*N$18*(2/N$75)*(1/N$11)))*$I164*N$18)+0.005)*N$37)))</f>
        <v/>
      </c>
      <c r="O164" s="248">
        <f t="shared" si="31"/>
        <v>0</v>
      </c>
      <c r="P164" s="248" t="str">
        <f t="shared" si="32"/>
        <v/>
      </c>
      <c r="Q164" s="248">
        <f t="shared" si="33"/>
        <v>0</v>
      </c>
      <c r="R164" s="248"/>
      <c r="S164" s="248">
        <f t="shared" si="34"/>
        <v>0</v>
      </c>
      <c r="T164" s="25"/>
      <c r="U164" s="26"/>
      <c r="AM164" s="25"/>
      <c r="AN164" s="25"/>
      <c r="AO164" s="25"/>
      <c r="AP164" s="25"/>
      <c r="AQ164" s="25"/>
      <c r="AR164" s="25"/>
      <c r="AS164" s="25"/>
      <c r="AT164" s="25"/>
      <c r="AU164" s="25"/>
      <c r="AV164" s="25"/>
    </row>
    <row r="165" spans="7:48">
      <c r="G165" s="235"/>
      <c r="H165" s="25"/>
      <c r="I165" s="231">
        <f t="shared" si="35"/>
        <v>14</v>
      </c>
      <c r="J165" s="244">
        <f t="shared" si="30"/>
        <v>0</v>
      </c>
      <c r="K165" s="248"/>
      <c r="L165" s="244">
        <f t="shared" si="36"/>
        <v>0</v>
      </c>
      <c r="M165" s="248" t="str">
        <f>IF($J$22=1,"",IF($E$6=1,(($J$22+1)/$J$22)*((((0.5*M$75*('8'!#REF!^2)*$I165*M$18*(2/M$75)*(1/M$11))*(M$14+M$15+M$16))/($I165*M$18))+(((1/(PI()*M$12*M$13))/(0.5*M$75*('8'!#REF!^2)*$I165*M$18*(2/M$75)*(1/M$11)))*$I165*M$18)+((100/60)/(('8'!#REF!^1)*(($I165*M$18*(2/M$75)*(1/M$11))^0.5))))*M$37,IF($E$6=2,"",(($J$22+1)/$J$22)*((((0.5*M$75*('8'!#REF!^2)*$I165*M$18*(2/M$75)*(1/M$11))*(M$14+M$15+M$16))/($I165*M$18))+(((1/(PI()*M$12*M$13))/(0.5*M$75*('8'!#REF!^2)*$I165*M$18*(2/M$75)*(1/M$11)))*$I165*M$18)+0.03)*M$37)))</f>
        <v/>
      </c>
      <c r="N165" s="248" t="str">
        <f>IF($J$22=1,"",IF($E$6=1,"",IF($E$6=2,"",(($J$22+1)/$J$22)*((((0.5*N$75*('8'!#REF!^2)*$I165*N$18*(2/N$75)*(1/N$11))*(N$14+N$15+N$16))/($I165*N$18))+(((1/(PI()*N$12*N$13))/(0.5*N$75*('8'!#REF!^2)*$I165*N$18*(2/N$75)*(1/N$11)))*$I165*N$18)+0.005)*N$37)))</f>
        <v/>
      </c>
      <c r="O165" s="248">
        <f t="shared" si="31"/>
        <v>0</v>
      </c>
      <c r="P165" s="248" t="str">
        <f t="shared" si="32"/>
        <v/>
      </c>
      <c r="Q165" s="248">
        <f t="shared" si="33"/>
        <v>0</v>
      </c>
      <c r="R165" s="248"/>
      <c r="S165" s="248">
        <f t="shared" si="34"/>
        <v>0</v>
      </c>
      <c r="T165" s="25"/>
      <c r="U165" s="26"/>
      <c r="AM165" s="25"/>
      <c r="AN165" s="25"/>
      <c r="AO165" s="25"/>
      <c r="AP165" s="25"/>
      <c r="AQ165" s="25"/>
      <c r="AR165" s="25"/>
      <c r="AS165" s="25"/>
      <c r="AT165" s="25"/>
      <c r="AU165" s="25"/>
      <c r="AV165" s="25"/>
    </row>
    <row r="166" spans="7:48">
      <c r="G166" s="235"/>
      <c r="H166" s="25"/>
      <c r="I166" s="231">
        <f t="shared" si="35"/>
        <v>15</v>
      </c>
      <c r="J166" s="244">
        <f t="shared" si="30"/>
        <v>0</v>
      </c>
      <c r="K166" s="248"/>
      <c r="L166" s="244">
        <f t="shared" si="36"/>
        <v>0</v>
      </c>
      <c r="M166" s="248" t="str">
        <f>IF($J$22=1,"",IF($E$6=1,(($J$22+1)/$J$22)*((((0.5*M$75*('8'!#REF!^2)*$I166*M$18*(2/M$75)*(1/M$11))*(M$14+M$15+M$16))/($I166*M$18))+(((1/(PI()*M$12*M$13))/(0.5*M$75*('8'!#REF!^2)*$I166*M$18*(2/M$75)*(1/M$11)))*$I166*M$18)+((100/60)/(('8'!#REF!^1)*(($I166*M$18*(2/M$75)*(1/M$11))^0.5))))*M$37,IF($E$6=2,"",(($J$22+1)/$J$22)*((((0.5*M$75*('8'!#REF!^2)*$I166*M$18*(2/M$75)*(1/M$11))*(M$14+M$15+M$16))/($I166*M$18))+(((1/(PI()*M$12*M$13))/(0.5*M$75*('8'!#REF!^2)*$I166*M$18*(2/M$75)*(1/M$11)))*$I166*M$18)+0.03)*M$37)))</f>
        <v/>
      </c>
      <c r="N166" s="248" t="str">
        <f>IF($J$22=1,"",IF($E$6=1,"",IF($E$6=2,"",(($J$22+1)/$J$22)*((((0.5*N$75*('8'!#REF!^2)*$I166*N$18*(2/N$75)*(1/N$11))*(N$14+N$15+N$16))/($I166*N$18))+(((1/(PI()*N$12*N$13))/(0.5*N$75*('8'!#REF!^2)*$I166*N$18*(2/N$75)*(1/N$11)))*$I166*N$18)+0.005)*N$37)))</f>
        <v/>
      </c>
      <c r="O166" s="248">
        <f t="shared" si="31"/>
        <v>0</v>
      </c>
      <c r="P166" s="248" t="str">
        <f t="shared" si="32"/>
        <v/>
      </c>
      <c r="Q166" s="248">
        <f t="shared" si="33"/>
        <v>0</v>
      </c>
      <c r="R166" s="248"/>
      <c r="S166" s="248">
        <f t="shared" si="34"/>
        <v>0</v>
      </c>
      <c r="T166" s="25"/>
      <c r="U166" s="26"/>
      <c r="AM166" s="25"/>
      <c r="AN166" s="25"/>
      <c r="AO166" s="25"/>
      <c r="AP166" s="25"/>
      <c r="AQ166" s="25"/>
      <c r="AR166" s="25"/>
      <c r="AS166" s="25"/>
      <c r="AT166" s="25"/>
      <c r="AU166" s="25"/>
      <c r="AV166" s="25"/>
    </row>
    <row r="167" spans="7:48">
      <c r="G167" s="235"/>
      <c r="H167" s="25"/>
      <c r="I167" s="231">
        <f t="shared" si="35"/>
        <v>16</v>
      </c>
      <c r="J167" s="244">
        <f t="shared" si="30"/>
        <v>0</v>
      </c>
      <c r="K167" s="248"/>
      <c r="L167" s="244">
        <f t="shared" si="36"/>
        <v>0</v>
      </c>
      <c r="M167" s="248" t="str">
        <f>IF($J$22=1,"",IF($E$6=1,(($J$22+1)/$J$22)*((((0.5*M$75*('8'!#REF!^2)*$I167*M$18*(2/M$75)*(1/M$11))*(M$14+M$15+M$16))/($I167*M$18))+(((1/(PI()*M$12*M$13))/(0.5*M$75*('8'!#REF!^2)*$I167*M$18*(2/M$75)*(1/M$11)))*$I167*M$18)+((100/60)/(('8'!#REF!^1)*(($I167*M$18*(2/M$75)*(1/M$11))^0.5))))*M$37,IF($E$6=2,"",(($J$22+1)/$J$22)*((((0.5*M$75*('8'!#REF!^2)*$I167*M$18*(2/M$75)*(1/M$11))*(M$14+M$15+M$16))/($I167*M$18))+(((1/(PI()*M$12*M$13))/(0.5*M$75*('8'!#REF!^2)*$I167*M$18*(2/M$75)*(1/M$11)))*$I167*M$18)+0.03)*M$37)))</f>
        <v/>
      </c>
      <c r="N167" s="248" t="str">
        <f>IF($J$22=1,"",IF($E$6=1,"",IF($E$6=2,"",(($J$22+1)/$J$22)*((((0.5*N$75*('8'!#REF!^2)*$I167*N$18*(2/N$75)*(1/N$11))*(N$14+N$15+N$16))/($I167*N$18))+(((1/(PI()*N$12*N$13))/(0.5*N$75*('8'!#REF!^2)*$I167*N$18*(2/N$75)*(1/N$11)))*$I167*N$18)+0.005)*N$37)))</f>
        <v/>
      </c>
      <c r="O167" s="248">
        <f t="shared" si="31"/>
        <v>0</v>
      </c>
      <c r="P167" s="248" t="str">
        <f t="shared" si="32"/>
        <v/>
      </c>
      <c r="Q167" s="248">
        <f t="shared" si="33"/>
        <v>0</v>
      </c>
      <c r="R167" s="248"/>
      <c r="S167" s="248">
        <f t="shared" si="34"/>
        <v>0</v>
      </c>
      <c r="T167" s="25"/>
      <c r="U167" s="26"/>
      <c r="AM167" s="25"/>
      <c r="AN167" s="25"/>
      <c r="AO167" s="25"/>
      <c r="AP167" s="25"/>
      <c r="AQ167" s="25"/>
      <c r="AR167" s="25"/>
      <c r="AS167" s="25"/>
      <c r="AT167" s="25"/>
      <c r="AU167" s="25"/>
      <c r="AV167" s="25"/>
    </row>
    <row r="168" spans="7:48">
      <c r="G168" s="235"/>
      <c r="H168" s="25"/>
      <c r="I168" s="231">
        <f t="shared" si="35"/>
        <v>17</v>
      </c>
      <c r="J168" s="244">
        <f t="shared" si="30"/>
        <v>0</v>
      </c>
      <c r="K168" s="248"/>
      <c r="L168" s="244">
        <f t="shared" si="36"/>
        <v>0</v>
      </c>
      <c r="M168" s="248" t="str">
        <f>IF($J$22=1,"",IF($E$6=1,(($J$22+1)/$J$22)*((((0.5*M$75*('8'!#REF!^2)*$I168*M$18*(2/M$75)*(1/M$11))*(M$14+M$15+M$16))/($I168*M$18))+(((1/(PI()*M$12*M$13))/(0.5*M$75*('8'!#REF!^2)*$I168*M$18*(2/M$75)*(1/M$11)))*$I168*M$18)+((100/60)/(('8'!#REF!^1)*(($I168*M$18*(2/M$75)*(1/M$11))^0.5))))*M$37,IF($E$6=2,"",(($J$22+1)/$J$22)*((((0.5*M$75*('8'!#REF!^2)*$I168*M$18*(2/M$75)*(1/M$11))*(M$14+M$15+M$16))/($I168*M$18))+(((1/(PI()*M$12*M$13))/(0.5*M$75*('8'!#REF!^2)*$I168*M$18*(2/M$75)*(1/M$11)))*$I168*M$18)+0.03)*M$37)))</f>
        <v/>
      </c>
      <c r="N168" s="248" t="str">
        <f>IF($J$22=1,"",IF($E$6=1,"",IF($E$6=2,"",(($J$22+1)/$J$22)*((((0.5*N$75*('8'!#REF!^2)*$I168*N$18*(2/N$75)*(1/N$11))*(N$14+N$15+N$16))/($I168*N$18))+(((1/(PI()*N$12*N$13))/(0.5*N$75*('8'!#REF!^2)*$I168*N$18*(2/N$75)*(1/N$11)))*$I168*N$18)+0.005)*N$37)))</f>
        <v/>
      </c>
      <c r="O168" s="248">
        <f t="shared" si="31"/>
        <v>0</v>
      </c>
      <c r="P168" s="248" t="str">
        <f t="shared" si="32"/>
        <v/>
      </c>
      <c r="Q168" s="248">
        <f t="shared" si="33"/>
        <v>0</v>
      </c>
      <c r="R168" s="248"/>
      <c r="S168" s="248">
        <f t="shared" si="34"/>
        <v>0</v>
      </c>
      <c r="T168" s="25"/>
      <c r="U168" s="26"/>
      <c r="AM168" s="25"/>
      <c r="AN168" s="25"/>
      <c r="AO168" s="25"/>
      <c r="AP168" s="25"/>
      <c r="AQ168" s="25"/>
      <c r="AR168" s="25"/>
      <c r="AS168" s="25"/>
      <c r="AT168" s="25"/>
      <c r="AU168" s="25"/>
      <c r="AV168" s="25"/>
    </row>
    <row r="169" spans="7:48">
      <c r="G169" s="235"/>
      <c r="H169" s="25"/>
      <c r="I169" s="231">
        <f t="shared" si="35"/>
        <v>18</v>
      </c>
      <c r="J169" s="244">
        <f t="shared" si="30"/>
        <v>0</v>
      </c>
      <c r="K169" s="248"/>
      <c r="L169" s="244">
        <f t="shared" si="36"/>
        <v>0</v>
      </c>
      <c r="M169" s="248" t="str">
        <f>IF($J$22=1,"",IF($E$6=1,(($J$22+1)/$J$22)*((((0.5*M$75*('8'!#REF!^2)*$I169*M$18*(2/M$75)*(1/M$11))*(M$14+M$15+M$16))/($I169*M$18))+(((1/(PI()*M$12*M$13))/(0.5*M$75*('8'!#REF!^2)*$I169*M$18*(2/M$75)*(1/M$11)))*$I169*M$18)+((100/60)/(('8'!#REF!^1)*(($I169*M$18*(2/M$75)*(1/M$11))^0.5))))*M$37,IF($E$6=2,"",(($J$22+1)/$J$22)*((((0.5*M$75*('8'!#REF!^2)*$I169*M$18*(2/M$75)*(1/M$11))*(M$14+M$15+M$16))/($I169*M$18))+(((1/(PI()*M$12*M$13))/(0.5*M$75*('8'!#REF!^2)*$I169*M$18*(2/M$75)*(1/M$11)))*$I169*M$18)+0.03)*M$37)))</f>
        <v/>
      </c>
      <c r="N169" s="248" t="str">
        <f>IF($J$22=1,"",IF($E$6=1,"",IF($E$6=2,"",(($J$22+1)/$J$22)*((((0.5*N$75*('8'!#REF!^2)*$I169*N$18*(2/N$75)*(1/N$11))*(N$14+N$15+N$16))/($I169*N$18))+(((1/(PI()*N$12*N$13))/(0.5*N$75*('8'!#REF!^2)*$I169*N$18*(2/N$75)*(1/N$11)))*$I169*N$18)+0.005)*N$37)))</f>
        <v/>
      </c>
      <c r="O169" s="248">
        <f t="shared" si="31"/>
        <v>0</v>
      </c>
      <c r="P169" s="248" t="str">
        <f t="shared" si="32"/>
        <v/>
      </c>
      <c r="Q169" s="248">
        <f t="shared" si="33"/>
        <v>0</v>
      </c>
      <c r="R169" s="248"/>
      <c r="S169" s="248">
        <f t="shared" si="34"/>
        <v>0</v>
      </c>
      <c r="T169" s="25"/>
      <c r="U169" s="26"/>
      <c r="AM169" s="25"/>
      <c r="AN169" s="25"/>
      <c r="AO169" s="25"/>
      <c r="AP169" s="25"/>
      <c r="AQ169" s="25"/>
      <c r="AR169" s="25"/>
      <c r="AS169" s="25"/>
      <c r="AT169" s="25"/>
      <c r="AU169" s="25"/>
      <c r="AV169" s="25"/>
    </row>
    <row r="170" spans="7:48">
      <c r="G170" s="235"/>
      <c r="H170" s="25"/>
      <c r="I170" s="231">
        <f t="shared" si="35"/>
        <v>19</v>
      </c>
      <c r="J170" s="244">
        <f t="shared" si="30"/>
        <v>0</v>
      </c>
      <c r="K170" s="248"/>
      <c r="L170" s="244">
        <f t="shared" si="36"/>
        <v>0</v>
      </c>
      <c r="M170" s="248" t="str">
        <f>IF($J$22=1,"",IF($E$6=1,(($J$22+1)/$J$22)*((((0.5*M$75*('8'!#REF!^2)*$I170*M$18*(2/M$75)*(1/M$11))*(M$14+M$15+M$16))/($I170*M$18))+(((1/(PI()*M$12*M$13))/(0.5*M$75*('8'!#REF!^2)*$I170*M$18*(2/M$75)*(1/M$11)))*$I170*M$18)+((100/60)/(('8'!#REF!^1)*(($I170*M$18*(2/M$75)*(1/M$11))^0.5))))*M$37,IF($E$6=2,"",(($J$22+1)/$J$22)*((((0.5*M$75*('8'!#REF!^2)*$I170*M$18*(2/M$75)*(1/M$11))*(M$14+M$15+M$16))/($I170*M$18))+(((1/(PI()*M$12*M$13))/(0.5*M$75*('8'!#REF!^2)*$I170*M$18*(2/M$75)*(1/M$11)))*$I170*M$18)+0.03)*M$37)))</f>
        <v/>
      </c>
      <c r="N170" s="248" t="str">
        <f>IF($J$22=1,"",IF($E$6=1,"",IF($E$6=2,"",(($J$22+1)/$J$22)*((((0.5*N$75*('8'!#REF!^2)*$I170*N$18*(2/N$75)*(1/N$11))*(N$14+N$15+N$16))/($I170*N$18))+(((1/(PI()*N$12*N$13))/(0.5*N$75*('8'!#REF!^2)*$I170*N$18*(2/N$75)*(1/N$11)))*$I170*N$18)+0.005)*N$37)))</f>
        <v/>
      </c>
      <c r="O170" s="248">
        <f t="shared" si="31"/>
        <v>0</v>
      </c>
      <c r="P170" s="248" t="str">
        <f t="shared" si="32"/>
        <v/>
      </c>
      <c r="Q170" s="248">
        <f t="shared" si="33"/>
        <v>0</v>
      </c>
      <c r="R170" s="248"/>
      <c r="S170" s="248">
        <f t="shared" si="34"/>
        <v>0</v>
      </c>
      <c r="T170" s="25"/>
      <c r="U170" s="26"/>
      <c r="AM170" s="25"/>
      <c r="AN170" s="25"/>
      <c r="AO170" s="25"/>
      <c r="AP170" s="25"/>
      <c r="AQ170" s="25"/>
      <c r="AR170" s="25"/>
      <c r="AS170" s="25"/>
      <c r="AT170" s="25"/>
      <c r="AU170" s="25"/>
      <c r="AV170" s="25"/>
    </row>
    <row r="171" spans="7:48">
      <c r="G171" s="235"/>
      <c r="H171" s="25"/>
      <c r="I171" s="231">
        <f t="shared" si="35"/>
        <v>20</v>
      </c>
      <c r="J171" s="244">
        <f t="shared" si="30"/>
        <v>0</v>
      </c>
      <c r="K171" s="248"/>
      <c r="L171" s="244">
        <f t="shared" si="36"/>
        <v>0</v>
      </c>
      <c r="M171" s="248" t="str">
        <f>IF($J$22=1,"",IF($E$6=1,(($J$22+1)/$J$22)*((((0.5*M$75*('8'!#REF!^2)*$I171*M$18*(2/M$75)*(1/M$11))*(M$14+M$15+M$16))/($I171*M$18))+(((1/(PI()*M$12*M$13))/(0.5*M$75*('8'!#REF!^2)*$I171*M$18*(2/M$75)*(1/M$11)))*$I171*M$18)+((100/60)/(('8'!#REF!^1)*(($I171*M$18*(2/M$75)*(1/M$11))^0.5))))*M$37,IF($E$6=2,"",(($J$22+1)/$J$22)*((((0.5*M$75*('8'!#REF!^2)*$I171*M$18*(2/M$75)*(1/M$11))*(M$14+M$15+M$16))/($I171*M$18))+(((1/(PI()*M$12*M$13))/(0.5*M$75*('8'!#REF!^2)*$I171*M$18*(2/M$75)*(1/M$11)))*$I171*M$18)+0.03)*M$37)))</f>
        <v/>
      </c>
      <c r="N171" s="248" t="str">
        <f>IF($J$22=1,"",IF($E$6=1,"",IF($E$6=2,"",(($J$22+1)/$J$22)*((((0.5*N$75*('8'!#REF!^2)*$I171*N$18*(2/N$75)*(1/N$11))*(N$14+N$15+N$16))/($I171*N$18))+(((1/(PI()*N$12*N$13))/(0.5*N$75*('8'!#REF!^2)*$I171*N$18*(2/N$75)*(1/N$11)))*$I171*N$18)+0.005)*N$37)))</f>
        <v/>
      </c>
      <c r="O171" s="248">
        <f t="shared" si="31"/>
        <v>0</v>
      </c>
      <c r="P171" s="248" t="str">
        <f t="shared" si="32"/>
        <v/>
      </c>
      <c r="Q171" s="248">
        <f t="shared" si="33"/>
        <v>0</v>
      </c>
      <c r="R171" s="248"/>
      <c r="S171" s="248">
        <f t="shared" si="34"/>
        <v>0</v>
      </c>
      <c r="T171" s="25"/>
      <c r="U171" s="26"/>
      <c r="AM171" s="25"/>
      <c r="AN171" s="25"/>
      <c r="AO171" s="25"/>
      <c r="AP171" s="25"/>
      <c r="AQ171" s="25"/>
      <c r="AR171" s="25"/>
      <c r="AS171" s="25"/>
      <c r="AT171" s="25"/>
      <c r="AU171" s="25"/>
      <c r="AV171" s="25"/>
    </row>
    <row r="172" spans="7:48">
      <c r="G172" s="235"/>
      <c r="H172" s="25"/>
      <c r="I172" s="231">
        <f t="shared" si="35"/>
        <v>21</v>
      </c>
      <c r="J172" s="244">
        <f t="shared" si="30"/>
        <v>0</v>
      </c>
      <c r="K172" s="248"/>
      <c r="L172" s="244">
        <f t="shared" si="36"/>
        <v>0</v>
      </c>
      <c r="M172" s="248" t="str">
        <f>IF($J$22=1,"",IF($E$6=1,(($J$22+1)/$J$22)*((((0.5*M$75*('8'!#REF!^2)*$I172*M$18*(2/M$75)*(1/M$11))*(M$14+M$15+M$16))/($I172*M$18))+(((1/(PI()*M$12*M$13))/(0.5*M$75*('8'!#REF!^2)*$I172*M$18*(2/M$75)*(1/M$11)))*$I172*M$18)+((100/60)/(('8'!#REF!^1)*(($I172*M$18*(2/M$75)*(1/M$11))^0.5))))*M$37,IF($E$6=2,"",(($J$22+1)/$J$22)*((((0.5*M$75*('8'!#REF!^2)*$I172*M$18*(2/M$75)*(1/M$11))*(M$14+M$15+M$16))/($I172*M$18))+(((1/(PI()*M$12*M$13))/(0.5*M$75*('8'!#REF!^2)*$I172*M$18*(2/M$75)*(1/M$11)))*$I172*M$18)+0.03)*M$37)))</f>
        <v/>
      </c>
      <c r="N172" s="248" t="str">
        <f>IF($J$22=1,"",IF($E$6=1,"",IF($E$6=2,"",(($J$22+1)/$J$22)*((((0.5*N$75*('8'!#REF!^2)*$I172*N$18*(2/N$75)*(1/N$11))*(N$14+N$15+N$16))/($I172*N$18))+(((1/(PI()*N$12*N$13))/(0.5*N$75*('8'!#REF!^2)*$I172*N$18*(2/N$75)*(1/N$11)))*$I172*N$18)+0.005)*N$37)))</f>
        <v/>
      </c>
      <c r="O172" s="248">
        <f t="shared" si="31"/>
        <v>0</v>
      </c>
      <c r="P172" s="248" t="str">
        <f t="shared" si="32"/>
        <v/>
      </c>
      <c r="Q172" s="248">
        <f t="shared" si="33"/>
        <v>0</v>
      </c>
      <c r="R172" s="248"/>
      <c r="S172" s="248">
        <f t="shared" si="34"/>
        <v>0</v>
      </c>
      <c r="T172" s="25"/>
      <c r="U172" s="26"/>
    </row>
    <row r="173" spans="7:48">
      <c r="G173" s="235"/>
      <c r="H173" s="25"/>
      <c r="I173" s="231">
        <f t="shared" si="35"/>
        <v>22</v>
      </c>
      <c r="J173" s="244">
        <f t="shared" si="30"/>
        <v>0</v>
      </c>
      <c r="K173" s="248"/>
      <c r="L173" s="244">
        <f t="shared" si="36"/>
        <v>0</v>
      </c>
      <c r="M173" s="248" t="str">
        <f>IF($J$22=1,"",IF($E$6=1,(($J$22+1)/$J$22)*((((0.5*M$75*('8'!#REF!^2)*$I173*M$18*(2/M$75)*(1/M$11))*(M$14+M$15+M$16))/($I173*M$18))+(((1/(PI()*M$12*M$13))/(0.5*M$75*('8'!#REF!^2)*$I173*M$18*(2/M$75)*(1/M$11)))*$I173*M$18)+((100/60)/(('8'!#REF!^1)*(($I173*M$18*(2/M$75)*(1/M$11))^0.5))))*M$37,IF($E$6=2,"",(($J$22+1)/$J$22)*((((0.5*M$75*('8'!#REF!^2)*$I173*M$18*(2/M$75)*(1/M$11))*(M$14+M$15+M$16))/($I173*M$18))+(((1/(PI()*M$12*M$13))/(0.5*M$75*('8'!#REF!^2)*$I173*M$18*(2/M$75)*(1/M$11)))*$I173*M$18)+0.03)*M$37)))</f>
        <v/>
      </c>
      <c r="N173" s="248" t="str">
        <f>IF($J$22=1,"",IF($E$6=1,"",IF($E$6=2,"",(($J$22+1)/$J$22)*((((0.5*N$75*('8'!#REF!^2)*$I173*N$18*(2/N$75)*(1/N$11))*(N$14+N$15+N$16))/($I173*N$18))+(((1/(PI()*N$12*N$13))/(0.5*N$75*('8'!#REF!^2)*$I173*N$18*(2/N$75)*(1/N$11)))*$I173*N$18)+0.005)*N$37)))</f>
        <v/>
      </c>
      <c r="O173" s="248">
        <f t="shared" si="31"/>
        <v>0</v>
      </c>
      <c r="P173" s="248" t="str">
        <f t="shared" si="32"/>
        <v/>
      </c>
      <c r="Q173" s="248">
        <f t="shared" si="33"/>
        <v>0</v>
      </c>
      <c r="R173" s="248"/>
      <c r="S173" s="248">
        <f t="shared" si="34"/>
        <v>0</v>
      </c>
      <c r="T173" s="25"/>
      <c r="U173" s="26"/>
    </row>
    <row r="174" spans="7:48">
      <c r="G174" s="235"/>
      <c r="H174" s="25"/>
      <c r="I174" s="231">
        <f t="shared" si="35"/>
        <v>23</v>
      </c>
      <c r="J174" s="244">
        <f t="shared" si="30"/>
        <v>0</v>
      </c>
      <c r="K174" s="248"/>
      <c r="L174" s="244">
        <f t="shared" si="36"/>
        <v>0</v>
      </c>
      <c r="M174" s="248" t="str">
        <f>IF($J$22=1,"",IF($E$6=1,(($J$22+1)/$J$22)*((((0.5*M$75*('8'!#REF!^2)*$I174*M$18*(2/M$75)*(1/M$11))*(M$14+M$15+M$16))/($I174*M$18))+(((1/(PI()*M$12*M$13))/(0.5*M$75*('8'!#REF!^2)*$I174*M$18*(2/M$75)*(1/M$11)))*$I174*M$18)+((100/60)/(('8'!#REF!^1)*(($I174*M$18*(2/M$75)*(1/M$11))^0.5))))*M$37,IF($E$6=2,"",(($J$22+1)/$J$22)*((((0.5*M$75*('8'!#REF!^2)*$I174*M$18*(2/M$75)*(1/M$11))*(M$14+M$15+M$16))/($I174*M$18))+(((1/(PI()*M$12*M$13))/(0.5*M$75*('8'!#REF!^2)*$I174*M$18*(2/M$75)*(1/M$11)))*$I174*M$18)+0.03)*M$37)))</f>
        <v/>
      </c>
      <c r="N174" s="248" t="str">
        <f>IF($J$22=1,"",IF($E$6=1,"",IF($E$6=2,"",(($J$22+1)/$J$22)*((((0.5*N$75*('8'!#REF!^2)*$I174*N$18*(2/N$75)*(1/N$11))*(N$14+N$15+N$16))/($I174*N$18))+(((1/(PI()*N$12*N$13))/(0.5*N$75*('8'!#REF!^2)*$I174*N$18*(2/N$75)*(1/N$11)))*$I174*N$18)+0.005)*N$37)))</f>
        <v/>
      </c>
      <c r="O174" s="248">
        <f t="shared" si="31"/>
        <v>0</v>
      </c>
      <c r="P174" s="248" t="str">
        <f t="shared" si="32"/>
        <v/>
      </c>
      <c r="Q174" s="248">
        <f t="shared" si="33"/>
        <v>0</v>
      </c>
      <c r="R174" s="248"/>
      <c r="S174" s="248">
        <f t="shared" si="34"/>
        <v>0</v>
      </c>
      <c r="T174" s="25"/>
      <c r="U174" s="26"/>
    </row>
    <row r="175" spans="7:48">
      <c r="G175" s="235"/>
      <c r="H175" s="25"/>
      <c r="I175" s="231">
        <f t="shared" si="35"/>
        <v>24</v>
      </c>
      <c r="J175" s="244">
        <f t="shared" si="30"/>
        <v>0</v>
      </c>
      <c r="K175" s="248"/>
      <c r="L175" s="244">
        <f t="shared" si="36"/>
        <v>0</v>
      </c>
      <c r="M175" s="248" t="str">
        <f>IF($J$22=1,"",IF($E$6=1,(($J$22+1)/$J$22)*((((0.5*M$75*('8'!#REF!^2)*$I175*M$18*(2/M$75)*(1/M$11))*(M$14+M$15+M$16))/($I175*M$18))+(((1/(PI()*M$12*M$13))/(0.5*M$75*('8'!#REF!^2)*$I175*M$18*(2/M$75)*(1/M$11)))*$I175*M$18)+((100/60)/(('8'!#REF!^1)*(($I175*M$18*(2/M$75)*(1/M$11))^0.5))))*M$37,IF($E$6=2,"",(($J$22+1)/$J$22)*((((0.5*M$75*('8'!#REF!^2)*$I175*M$18*(2/M$75)*(1/M$11))*(M$14+M$15+M$16))/($I175*M$18))+(((1/(PI()*M$12*M$13))/(0.5*M$75*('8'!#REF!^2)*$I175*M$18*(2/M$75)*(1/M$11)))*$I175*M$18)+0.03)*M$37)))</f>
        <v/>
      </c>
      <c r="N175" s="248" t="str">
        <f>IF($J$22=1,"",IF($E$6=1,"",IF($E$6=2,"",(($J$22+1)/$J$22)*((((0.5*N$75*('8'!#REF!^2)*$I175*N$18*(2/N$75)*(1/N$11))*(N$14+N$15+N$16))/($I175*N$18))+(((1/(PI()*N$12*N$13))/(0.5*N$75*('8'!#REF!^2)*$I175*N$18*(2/N$75)*(1/N$11)))*$I175*N$18)+0.005)*N$37)))</f>
        <v/>
      </c>
      <c r="O175" s="248">
        <f t="shared" si="31"/>
        <v>0</v>
      </c>
      <c r="P175" s="248" t="str">
        <f t="shared" si="32"/>
        <v/>
      </c>
      <c r="Q175" s="248">
        <f t="shared" si="33"/>
        <v>0</v>
      </c>
      <c r="R175" s="248"/>
      <c r="S175" s="248">
        <f t="shared" si="34"/>
        <v>0</v>
      </c>
      <c r="T175" s="25"/>
      <c r="U175" s="26"/>
    </row>
    <row r="176" spans="7:48">
      <c r="G176" s="235"/>
      <c r="H176" s="25"/>
      <c r="I176" s="231">
        <f t="shared" si="35"/>
        <v>25</v>
      </c>
      <c r="J176" s="244">
        <f t="shared" si="30"/>
        <v>0</v>
      </c>
      <c r="K176" s="248"/>
      <c r="L176" s="244">
        <f t="shared" si="36"/>
        <v>0</v>
      </c>
      <c r="M176" s="248" t="str">
        <f>IF($J$22=1,"",IF($E$6=1,(($J$22+1)/$J$22)*((((0.5*M$75*('8'!#REF!^2)*$I176*M$18*(2/M$75)*(1/M$11))*(M$14+M$15+M$16))/($I176*M$18))+(((1/(PI()*M$12*M$13))/(0.5*M$75*('8'!#REF!^2)*$I176*M$18*(2/M$75)*(1/M$11)))*$I176*M$18)+((100/60)/(('8'!#REF!^1)*(($I176*M$18*(2/M$75)*(1/M$11))^0.5))))*M$37,IF($E$6=2,"",(($J$22+1)/$J$22)*((((0.5*M$75*('8'!#REF!^2)*$I176*M$18*(2/M$75)*(1/M$11))*(M$14+M$15+M$16))/($I176*M$18))+(((1/(PI()*M$12*M$13))/(0.5*M$75*('8'!#REF!^2)*$I176*M$18*(2/M$75)*(1/M$11)))*$I176*M$18)+0.03)*M$37)))</f>
        <v/>
      </c>
      <c r="N176" s="248" t="str">
        <f>IF($J$22=1,"",IF($E$6=1,"",IF($E$6=2,"",(($J$22+1)/$J$22)*((((0.5*N$75*('8'!#REF!^2)*$I176*N$18*(2/N$75)*(1/N$11))*(N$14+N$15+N$16))/($I176*N$18))+(((1/(PI()*N$12*N$13))/(0.5*N$75*('8'!#REF!^2)*$I176*N$18*(2/N$75)*(1/N$11)))*$I176*N$18)+0.005)*N$37)))</f>
        <v/>
      </c>
      <c r="O176" s="248">
        <f t="shared" si="31"/>
        <v>0</v>
      </c>
      <c r="P176" s="248" t="str">
        <f t="shared" si="32"/>
        <v/>
      </c>
      <c r="Q176" s="248">
        <f t="shared" si="33"/>
        <v>0</v>
      </c>
      <c r="R176" s="248"/>
      <c r="S176" s="248">
        <f t="shared" si="34"/>
        <v>0</v>
      </c>
      <c r="T176" s="25"/>
      <c r="U176" s="26"/>
    </row>
    <row r="177" spans="7:21">
      <c r="G177" s="235"/>
      <c r="H177" s="25"/>
      <c r="I177" s="231">
        <f t="shared" si="35"/>
        <v>26</v>
      </c>
      <c r="J177" s="244">
        <f t="shared" si="30"/>
        <v>0</v>
      </c>
      <c r="K177" s="248"/>
      <c r="L177" s="244">
        <f t="shared" si="36"/>
        <v>0</v>
      </c>
      <c r="M177" s="248" t="str">
        <f>IF($J$22=1,"",IF($E$6=1,(($J$22+1)/$J$22)*((((0.5*M$75*('8'!#REF!^2)*$I177*M$18*(2/M$75)*(1/M$11))*(M$14+M$15+M$16))/($I177*M$18))+(((1/(PI()*M$12*M$13))/(0.5*M$75*('8'!#REF!^2)*$I177*M$18*(2/M$75)*(1/M$11)))*$I177*M$18)+((100/60)/(('8'!#REF!^1)*(($I177*M$18*(2/M$75)*(1/M$11))^0.5))))*M$37,IF($E$6=2,"",(($J$22+1)/$J$22)*((((0.5*M$75*('8'!#REF!^2)*$I177*M$18*(2/M$75)*(1/M$11))*(M$14+M$15+M$16))/($I177*M$18))+(((1/(PI()*M$12*M$13))/(0.5*M$75*('8'!#REF!^2)*$I177*M$18*(2/M$75)*(1/M$11)))*$I177*M$18)+0.03)*M$37)))</f>
        <v/>
      </c>
      <c r="N177" s="248" t="str">
        <f>IF($J$22=1,"",IF($E$6=1,"",IF($E$6=2,"",(($J$22+1)/$J$22)*((((0.5*N$75*('8'!#REF!^2)*$I177*N$18*(2/N$75)*(1/N$11))*(N$14+N$15+N$16))/($I177*N$18))+(((1/(PI()*N$12*N$13))/(0.5*N$75*('8'!#REF!^2)*$I177*N$18*(2/N$75)*(1/N$11)))*$I177*N$18)+0.005)*N$37)))</f>
        <v/>
      </c>
      <c r="O177" s="248">
        <f t="shared" si="31"/>
        <v>0</v>
      </c>
      <c r="P177" s="248" t="str">
        <f t="shared" si="32"/>
        <v/>
      </c>
      <c r="Q177" s="248">
        <f t="shared" si="33"/>
        <v>0</v>
      </c>
      <c r="R177" s="248"/>
      <c r="S177" s="248">
        <f t="shared" si="34"/>
        <v>0</v>
      </c>
      <c r="T177" s="25"/>
      <c r="U177" s="26"/>
    </row>
    <row r="178" spans="7:21">
      <c r="G178" s="235"/>
      <c r="H178" s="25"/>
      <c r="I178" s="231">
        <f t="shared" si="35"/>
        <v>27</v>
      </c>
      <c r="J178" s="244">
        <f t="shared" si="30"/>
        <v>0</v>
      </c>
      <c r="K178" s="248"/>
      <c r="L178" s="244">
        <f t="shared" si="36"/>
        <v>0</v>
      </c>
      <c r="M178" s="248" t="str">
        <f>IF($J$22=1,"",IF($E$6=1,(($J$22+1)/$J$22)*((((0.5*M$75*('8'!#REF!^2)*$I178*M$18*(2/M$75)*(1/M$11))*(M$14+M$15+M$16))/($I178*M$18))+(((1/(PI()*M$12*M$13))/(0.5*M$75*('8'!#REF!^2)*$I178*M$18*(2/M$75)*(1/M$11)))*$I178*M$18)+((100/60)/(('8'!#REF!^1)*(($I178*M$18*(2/M$75)*(1/M$11))^0.5))))*M$37,IF($E$6=2,"",(($J$22+1)/$J$22)*((((0.5*M$75*('8'!#REF!^2)*$I178*M$18*(2/M$75)*(1/M$11))*(M$14+M$15+M$16))/($I178*M$18))+(((1/(PI()*M$12*M$13))/(0.5*M$75*('8'!#REF!^2)*$I178*M$18*(2/M$75)*(1/M$11)))*$I178*M$18)+0.03)*M$37)))</f>
        <v/>
      </c>
      <c r="N178" s="248" t="str">
        <f>IF($J$22=1,"",IF($E$6=1,"",IF($E$6=2,"",(($J$22+1)/$J$22)*((((0.5*N$75*('8'!#REF!^2)*$I178*N$18*(2/N$75)*(1/N$11))*(N$14+N$15+N$16))/($I178*N$18))+(((1/(PI()*N$12*N$13))/(0.5*N$75*('8'!#REF!^2)*$I178*N$18*(2/N$75)*(1/N$11)))*$I178*N$18)+0.005)*N$37)))</f>
        <v/>
      </c>
      <c r="O178" s="248">
        <f t="shared" si="31"/>
        <v>0</v>
      </c>
      <c r="P178" s="248" t="str">
        <f t="shared" si="32"/>
        <v/>
      </c>
      <c r="Q178" s="248">
        <f t="shared" si="33"/>
        <v>0</v>
      </c>
      <c r="R178" s="248"/>
      <c r="S178" s="248">
        <f t="shared" si="34"/>
        <v>0</v>
      </c>
      <c r="T178" s="25"/>
      <c r="U178" s="26"/>
    </row>
    <row r="179" spans="7:21">
      <c r="G179" s="235"/>
      <c r="H179" s="25"/>
      <c r="I179" s="231">
        <f t="shared" si="35"/>
        <v>28</v>
      </c>
      <c r="J179" s="244">
        <f t="shared" si="30"/>
        <v>0</v>
      </c>
      <c r="K179" s="248"/>
      <c r="L179" s="244">
        <f t="shared" si="36"/>
        <v>0</v>
      </c>
      <c r="M179" s="248" t="str">
        <f>IF($J$22=1,"",IF($E$6=1,(($J$22+1)/$J$22)*((((0.5*M$75*('8'!#REF!^2)*$I179*M$18*(2/M$75)*(1/M$11))*(M$14+M$15+M$16))/($I179*M$18))+(((1/(PI()*M$12*M$13))/(0.5*M$75*('8'!#REF!^2)*$I179*M$18*(2/M$75)*(1/M$11)))*$I179*M$18)+((100/60)/(('8'!#REF!^1)*(($I179*M$18*(2/M$75)*(1/M$11))^0.5))))*M$37,IF($E$6=2,"",(($J$22+1)/$J$22)*((((0.5*M$75*('8'!#REF!^2)*$I179*M$18*(2/M$75)*(1/M$11))*(M$14+M$15+M$16))/($I179*M$18))+(((1/(PI()*M$12*M$13))/(0.5*M$75*('8'!#REF!^2)*$I179*M$18*(2/M$75)*(1/M$11)))*$I179*M$18)+0.03)*M$37)))</f>
        <v/>
      </c>
      <c r="N179" s="248" t="str">
        <f>IF($J$22=1,"",IF($E$6=1,"",IF($E$6=2,"",(($J$22+1)/$J$22)*((((0.5*N$75*('8'!#REF!^2)*$I179*N$18*(2/N$75)*(1/N$11))*(N$14+N$15+N$16))/($I179*N$18))+(((1/(PI()*N$12*N$13))/(0.5*N$75*('8'!#REF!^2)*$I179*N$18*(2/N$75)*(1/N$11)))*$I179*N$18)+0.005)*N$37)))</f>
        <v/>
      </c>
      <c r="O179" s="248">
        <f t="shared" si="31"/>
        <v>0</v>
      </c>
      <c r="P179" s="248" t="str">
        <f t="shared" si="32"/>
        <v/>
      </c>
      <c r="Q179" s="248">
        <f t="shared" si="33"/>
        <v>0</v>
      </c>
      <c r="R179" s="248"/>
      <c r="S179" s="248">
        <f t="shared" si="34"/>
        <v>0</v>
      </c>
      <c r="T179" s="25"/>
      <c r="U179" s="26"/>
    </row>
    <row r="180" spans="7:21">
      <c r="G180" s="235"/>
      <c r="H180" s="25"/>
      <c r="I180" s="231">
        <f t="shared" si="35"/>
        <v>29</v>
      </c>
      <c r="J180" s="244">
        <f t="shared" si="30"/>
        <v>0</v>
      </c>
      <c r="K180" s="248"/>
      <c r="L180" s="244">
        <f t="shared" si="36"/>
        <v>0</v>
      </c>
      <c r="M180" s="248" t="str">
        <f>IF($J$22=1,"",IF($E$6=1,(($J$22+1)/$J$22)*((((0.5*M$75*('8'!#REF!^2)*$I180*M$18*(2/M$75)*(1/M$11))*(M$14+M$15+M$16))/($I180*M$18))+(((1/(PI()*M$12*M$13))/(0.5*M$75*('8'!#REF!^2)*$I180*M$18*(2/M$75)*(1/M$11)))*$I180*M$18)+((100/60)/(('8'!#REF!^1)*(($I180*M$18*(2/M$75)*(1/M$11))^0.5))))*M$37,IF($E$6=2,"",(($J$22+1)/$J$22)*((((0.5*M$75*('8'!#REF!^2)*$I180*M$18*(2/M$75)*(1/M$11))*(M$14+M$15+M$16))/($I180*M$18))+(((1/(PI()*M$12*M$13))/(0.5*M$75*('8'!#REF!^2)*$I180*M$18*(2/M$75)*(1/M$11)))*$I180*M$18)+0.03)*M$37)))</f>
        <v/>
      </c>
      <c r="N180" s="248" t="str">
        <f>IF($J$22=1,"",IF($E$6=1,"",IF($E$6=2,"",(($J$22+1)/$J$22)*((((0.5*N$75*('8'!#REF!^2)*$I180*N$18*(2/N$75)*(1/N$11))*(N$14+N$15+N$16))/($I180*N$18))+(((1/(PI()*N$12*N$13))/(0.5*N$75*('8'!#REF!^2)*$I180*N$18*(2/N$75)*(1/N$11)))*$I180*N$18)+0.005)*N$37)))</f>
        <v/>
      </c>
      <c r="O180" s="248">
        <f t="shared" si="31"/>
        <v>0</v>
      </c>
      <c r="P180" s="248" t="str">
        <f t="shared" si="32"/>
        <v/>
      </c>
      <c r="Q180" s="248">
        <f t="shared" si="33"/>
        <v>0</v>
      </c>
      <c r="R180" s="248"/>
      <c r="S180" s="248">
        <f t="shared" si="34"/>
        <v>0</v>
      </c>
      <c r="T180" s="25"/>
      <c r="U180" s="26"/>
    </row>
    <row r="181" spans="7:21">
      <c r="G181" s="235"/>
      <c r="H181" s="25"/>
      <c r="I181" s="231">
        <f t="shared" si="35"/>
        <v>30</v>
      </c>
      <c r="J181" s="244">
        <f t="shared" si="30"/>
        <v>0</v>
      </c>
      <c r="K181" s="248"/>
      <c r="L181" s="244">
        <f t="shared" si="36"/>
        <v>0</v>
      </c>
      <c r="M181" s="248" t="str">
        <f>IF($J$22=1,"",IF($E$6=1,(($J$22+1)/$J$22)*((((0.5*M$75*('8'!#REF!^2)*$I181*M$18*(2/M$75)*(1/M$11))*(M$14+M$15+M$16))/($I181*M$18))+(((1/(PI()*M$12*M$13))/(0.5*M$75*('8'!#REF!^2)*$I181*M$18*(2/M$75)*(1/M$11)))*$I181*M$18)+((100/60)/(('8'!#REF!^1)*(($I181*M$18*(2/M$75)*(1/M$11))^0.5))))*M$37,IF($E$6=2,"",(($J$22+1)/$J$22)*((((0.5*M$75*('8'!#REF!^2)*$I181*M$18*(2/M$75)*(1/M$11))*(M$14+M$15+M$16))/($I181*M$18))+(((1/(PI()*M$12*M$13))/(0.5*M$75*('8'!#REF!^2)*$I181*M$18*(2/M$75)*(1/M$11)))*$I181*M$18)+0.03)*M$37)))</f>
        <v/>
      </c>
      <c r="N181" s="248" t="str">
        <f>IF($J$22=1,"",IF($E$6=1,"",IF($E$6=2,"",(($J$22+1)/$J$22)*((((0.5*N$75*('8'!#REF!^2)*$I181*N$18*(2/N$75)*(1/N$11))*(N$14+N$15+N$16))/($I181*N$18))+(((1/(PI()*N$12*N$13))/(0.5*N$75*('8'!#REF!^2)*$I181*N$18*(2/N$75)*(1/N$11)))*$I181*N$18)+0.005)*N$37)))</f>
        <v/>
      </c>
      <c r="O181" s="248">
        <f t="shared" si="31"/>
        <v>0</v>
      </c>
      <c r="P181" s="248" t="str">
        <f t="shared" si="32"/>
        <v/>
      </c>
      <c r="Q181" s="248">
        <f t="shared" si="33"/>
        <v>0</v>
      </c>
      <c r="R181" s="248"/>
      <c r="S181" s="248">
        <f t="shared" si="34"/>
        <v>0</v>
      </c>
      <c r="T181" s="25"/>
      <c r="U181" s="26"/>
    </row>
    <row r="182" spans="7:21">
      <c r="G182" s="235"/>
      <c r="H182" s="25"/>
      <c r="I182" s="231">
        <f t="shared" si="35"/>
        <v>31</v>
      </c>
      <c r="J182" s="244">
        <f t="shared" si="30"/>
        <v>0</v>
      </c>
      <c r="K182" s="248"/>
      <c r="L182" s="244">
        <f t="shared" si="36"/>
        <v>0</v>
      </c>
      <c r="M182" s="248" t="str">
        <f>IF($J$22=1,"",IF($E$6=1,(($J$22+1)/$J$22)*((((0.5*M$75*('8'!#REF!^2)*$I182*M$18*(2/M$75)*(1/M$11))*(M$14+M$15+M$16))/($I182*M$18))+(((1/(PI()*M$12*M$13))/(0.5*M$75*('8'!#REF!^2)*$I182*M$18*(2/M$75)*(1/M$11)))*$I182*M$18)+((100/60)/(('8'!#REF!^1)*(($I182*M$18*(2/M$75)*(1/M$11))^0.5))))*M$37,IF($E$6=2,"",(($J$22+1)/$J$22)*((((0.5*M$75*('8'!#REF!^2)*$I182*M$18*(2/M$75)*(1/M$11))*(M$14+M$15+M$16))/($I182*M$18))+(((1/(PI()*M$12*M$13))/(0.5*M$75*('8'!#REF!^2)*$I182*M$18*(2/M$75)*(1/M$11)))*$I182*M$18)+0.03)*M$37)))</f>
        <v/>
      </c>
      <c r="N182" s="248" t="str">
        <f>IF($J$22=1,"",IF($E$6=1,"",IF($E$6=2,"",(($J$22+1)/$J$22)*((((0.5*N$75*('8'!#REF!^2)*$I182*N$18*(2/N$75)*(1/N$11))*(N$14+N$15+N$16))/($I182*N$18))+(((1/(PI()*N$12*N$13))/(0.5*N$75*('8'!#REF!^2)*$I182*N$18*(2/N$75)*(1/N$11)))*$I182*N$18)+0.005)*N$37)))</f>
        <v/>
      </c>
      <c r="O182" s="248">
        <f t="shared" si="31"/>
        <v>0</v>
      </c>
      <c r="P182" s="248" t="str">
        <f t="shared" si="32"/>
        <v/>
      </c>
      <c r="Q182" s="248">
        <f t="shared" si="33"/>
        <v>0</v>
      </c>
      <c r="R182" s="248"/>
      <c r="S182" s="248">
        <f t="shared" si="34"/>
        <v>0</v>
      </c>
      <c r="T182" s="25"/>
      <c r="U182" s="26"/>
    </row>
    <row r="183" spans="7:21">
      <c r="G183" s="235"/>
      <c r="H183" s="25"/>
      <c r="I183" s="231">
        <f t="shared" si="35"/>
        <v>32</v>
      </c>
      <c r="J183" s="244">
        <f t="shared" si="30"/>
        <v>0</v>
      </c>
      <c r="K183" s="248"/>
      <c r="L183" s="244">
        <f t="shared" si="36"/>
        <v>0</v>
      </c>
      <c r="M183" s="248" t="str">
        <f>IF($J$22=1,"",IF($E$6=1,(($J$22+1)/$J$22)*((((0.5*M$75*('8'!#REF!^2)*$I183*M$18*(2/M$75)*(1/M$11))*(M$14+M$15+M$16))/($I183*M$18))+(((1/(PI()*M$12*M$13))/(0.5*M$75*('8'!#REF!^2)*$I183*M$18*(2/M$75)*(1/M$11)))*$I183*M$18)+((100/60)/(('8'!#REF!^1)*(($I183*M$18*(2/M$75)*(1/M$11))^0.5))))*M$37,IF($E$6=2,"",(($J$22+1)/$J$22)*((((0.5*M$75*('8'!#REF!^2)*$I183*M$18*(2/M$75)*(1/M$11))*(M$14+M$15+M$16))/($I183*M$18))+(((1/(PI()*M$12*M$13))/(0.5*M$75*('8'!#REF!^2)*$I183*M$18*(2/M$75)*(1/M$11)))*$I183*M$18)+0.03)*M$37)))</f>
        <v/>
      </c>
      <c r="N183" s="248" t="str">
        <f>IF($J$22=1,"",IF($E$6=1,"",IF($E$6=2,"",(($J$22+1)/$J$22)*((((0.5*N$75*('8'!#REF!^2)*$I183*N$18*(2/N$75)*(1/N$11))*(N$14+N$15+N$16))/($I183*N$18))+(((1/(PI()*N$12*N$13))/(0.5*N$75*('8'!#REF!^2)*$I183*N$18*(2/N$75)*(1/N$11)))*$I183*N$18)+0.005)*N$37)))</f>
        <v/>
      </c>
      <c r="O183" s="248">
        <f t="shared" si="31"/>
        <v>0</v>
      </c>
      <c r="P183" s="248" t="str">
        <f t="shared" si="32"/>
        <v/>
      </c>
      <c r="Q183" s="248">
        <f t="shared" si="33"/>
        <v>0</v>
      </c>
      <c r="R183" s="248"/>
      <c r="S183" s="248">
        <f t="shared" si="34"/>
        <v>0</v>
      </c>
      <c r="T183" s="25"/>
      <c r="U183" s="26"/>
    </row>
    <row r="184" spans="7:21">
      <c r="G184" s="235"/>
      <c r="H184" s="25"/>
      <c r="I184" s="231">
        <f t="shared" si="35"/>
        <v>33</v>
      </c>
      <c r="J184" s="244">
        <f t="shared" si="30"/>
        <v>0</v>
      </c>
      <c r="K184" s="248"/>
      <c r="L184" s="244">
        <f t="shared" si="36"/>
        <v>0</v>
      </c>
      <c r="M184" s="248" t="str">
        <f>IF($J$22=1,"",IF($E$6=1,(($J$22+1)/$J$22)*((((0.5*M$75*('8'!#REF!^2)*$I184*M$18*(2/M$75)*(1/M$11))*(M$14+M$15+M$16))/($I184*M$18))+(((1/(PI()*M$12*M$13))/(0.5*M$75*('8'!#REF!^2)*$I184*M$18*(2/M$75)*(1/M$11)))*$I184*M$18)+((100/60)/(('8'!#REF!^1)*(($I184*M$18*(2/M$75)*(1/M$11))^0.5))))*M$37,IF($E$6=2,"",(($J$22+1)/$J$22)*((((0.5*M$75*('8'!#REF!^2)*$I184*M$18*(2/M$75)*(1/M$11))*(M$14+M$15+M$16))/($I184*M$18))+(((1/(PI()*M$12*M$13))/(0.5*M$75*('8'!#REF!^2)*$I184*M$18*(2/M$75)*(1/M$11)))*$I184*M$18)+0.03)*M$37)))</f>
        <v/>
      </c>
      <c r="N184" s="248" t="str">
        <f>IF($J$22=1,"",IF($E$6=1,"",IF($E$6=2,"",(($J$22+1)/$J$22)*((((0.5*N$75*('8'!#REF!^2)*$I184*N$18*(2/N$75)*(1/N$11))*(N$14+N$15+N$16))/($I184*N$18))+(((1/(PI()*N$12*N$13))/(0.5*N$75*('8'!#REF!^2)*$I184*N$18*(2/N$75)*(1/N$11)))*$I184*N$18)+0.005)*N$37)))</f>
        <v/>
      </c>
      <c r="O184" s="248">
        <f t="shared" si="31"/>
        <v>0</v>
      </c>
      <c r="P184" s="248" t="str">
        <f t="shared" si="32"/>
        <v/>
      </c>
      <c r="Q184" s="248">
        <f t="shared" si="33"/>
        <v>0</v>
      </c>
      <c r="R184" s="248"/>
      <c r="S184" s="248">
        <f t="shared" si="34"/>
        <v>0</v>
      </c>
      <c r="T184" s="25"/>
      <c r="U184" s="26"/>
    </row>
    <row r="185" spans="7:21">
      <c r="G185" s="235"/>
      <c r="H185" s="25"/>
      <c r="I185" s="231">
        <f t="shared" si="35"/>
        <v>34</v>
      </c>
      <c r="J185" s="244">
        <f t="shared" si="30"/>
        <v>0</v>
      </c>
      <c r="K185" s="248"/>
      <c r="L185" s="244">
        <f t="shared" si="36"/>
        <v>0</v>
      </c>
      <c r="M185" s="248" t="str">
        <f>IF($J$22=1,"",IF($E$6=1,(($J$22+1)/$J$22)*((((0.5*M$75*('8'!#REF!^2)*$I185*M$18*(2/M$75)*(1/M$11))*(M$14+M$15+M$16))/($I185*M$18))+(((1/(PI()*M$12*M$13))/(0.5*M$75*('8'!#REF!^2)*$I185*M$18*(2/M$75)*(1/M$11)))*$I185*M$18)+((100/60)/(('8'!#REF!^1)*(($I185*M$18*(2/M$75)*(1/M$11))^0.5))))*M$37,IF($E$6=2,"",(($J$22+1)/$J$22)*((((0.5*M$75*('8'!#REF!^2)*$I185*M$18*(2/M$75)*(1/M$11))*(M$14+M$15+M$16))/($I185*M$18))+(((1/(PI()*M$12*M$13))/(0.5*M$75*('8'!#REF!^2)*$I185*M$18*(2/M$75)*(1/M$11)))*$I185*M$18)+0.03)*M$37)))</f>
        <v/>
      </c>
      <c r="N185" s="248" t="str">
        <f>IF($J$22=1,"",IF($E$6=1,"",IF($E$6=2,"",(($J$22+1)/$J$22)*((((0.5*N$75*('8'!#REF!^2)*$I185*N$18*(2/N$75)*(1/N$11))*(N$14+N$15+N$16))/($I185*N$18))+(((1/(PI()*N$12*N$13))/(0.5*N$75*('8'!#REF!^2)*$I185*N$18*(2/N$75)*(1/N$11)))*$I185*N$18)+0.005)*N$37)))</f>
        <v/>
      </c>
      <c r="O185" s="248">
        <f t="shared" si="31"/>
        <v>0</v>
      </c>
      <c r="P185" s="248" t="str">
        <f t="shared" si="32"/>
        <v/>
      </c>
      <c r="Q185" s="248">
        <f t="shared" si="33"/>
        <v>0</v>
      </c>
      <c r="R185" s="248"/>
      <c r="S185" s="248">
        <f t="shared" si="34"/>
        <v>0</v>
      </c>
      <c r="T185" s="25"/>
      <c r="U185" s="26"/>
    </row>
    <row r="186" spans="7:21">
      <c r="G186" s="235"/>
      <c r="H186" s="25"/>
      <c r="I186" s="231">
        <f t="shared" si="35"/>
        <v>35</v>
      </c>
      <c r="J186" s="244">
        <f t="shared" si="30"/>
        <v>0</v>
      </c>
      <c r="K186" s="248"/>
      <c r="L186" s="244">
        <f t="shared" si="36"/>
        <v>0</v>
      </c>
      <c r="M186" s="248" t="str">
        <f>IF($J$22=1,"",IF($E$6=1,(($J$22+1)/$J$22)*((((0.5*M$75*('8'!#REF!^2)*$I186*M$18*(2/M$75)*(1/M$11))*(M$14+M$15+M$16))/($I186*M$18))+(((1/(PI()*M$12*M$13))/(0.5*M$75*('8'!#REF!^2)*$I186*M$18*(2/M$75)*(1/M$11)))*$I186*M$18)+((100/60)/(('8'!#REF!^1)*(($I186*M$18*(2/M$75)*(1/M$11))^0.5))))*M$37,IF($E$6=2,"",(($J$22+1)/$J$22)*((((0.5*M$75*('8'!#REF!^2)*$I186*M$18*(2/M$75)*(1/M$11))*(M$14+M$15+M$16))/($I186*M$18))+(((1/(PI()*M$12*M$13))/(0.5*M$75*('8'!#REF!^2)*$I186*M$18*(2/M$75)*(1/M$11)))*$I186*M$18)+0.03)*M$37)))</f>
        <v/>
      </c>
      <c r="N186" s="248" t="str">
        <f>IF($J$22=1,"",IF($E$6=1,"",IF($E$6=2,"",(($J$22+1)/$J$22)*((((0.5*N$75*('8'!#REF!^2)*$I186*N$18*(2/N$75)*(1/N$11))*(N$14+N$15+N$16))/($I186*N$18))+(((1/(PI()*N$12*N$13))/(0.5*N$75*('8'!#REF!^2)*$I186*N$18*(2/N$75)*(1/N$11)))*$I186*N$18)+0.005)*N$37)))</f>
        <v/>
      </c>
      <c r="O186" s="248">
        <f t="shared" si="31"/>
        <v>0</v>
      </c>
      <c r="P186" s="248" t="str">
        <f t="shared" si="32"/>
        <v/>
      </c>
      <c r="Q186" s="248">
        <f t="shared" si="33"/>
        <v>0</v>
      </c>
      <c r="R186" s="248"/>
      <c r="S186" s="248">
        <f t="shared" si="34"/>
        <v>0</v>
      </c>
      <c r="T186" s="25"/>
      <c r="U186" s="26"/>
    </row>
    <row r="187" spans="7:21">
      <c r="G187" s="235"/>
      <c r="H187" s="25"/>
      <c r="I187" s="231"/>
      <c r="J187" s="231"/>
      <c r="K187" s="231"/>
      <c r="L187" s="231"/>
      <c r="M187" s="231"/>
      <c r="N187" s="231"/>
      <c r="O187" s="231"/>
      <c r="P187" s="231"/>
      <c r="Q187" s="231"/>
      <c r="R187" s="231"/>
      <c r="S187" s="231"/>
      <c r="T187" s="25"/>
      <c r="U187" s="26"/>
    </row>
    <row r="188" spans="7:21">
      <c r="G188" s="235"/>
      <c r="H188" s="25"/>
      <c r="I188" s="231" t="s">
        <v>46</v>
      </c>
      <c r="J188" s="231"/>
      <c r="K188" s="231"/>
      <c r="L188" s="231"/>
      <c r="M188" s="231"/>
      <c r="N188" s="231"/>
      <c r="O188" s="231"/>
      <c r="P188" s="231"/>
      <c r="Q188" s="231"/>
      <c r="R188" s="231"/>
      <c r="S188" s="231"/>
      <c r="T188" s="25"/>
      <c r="U188" s="26"/>
    </row>
    <row r="189" spans="7:21">
      <c r="G189" s="235"/>
      <c r="H189" s="25"/>
      <c r="I189" s="231" t="s">
        <v>58</v>
      </c>
      <c r="J189" s="231" t="s">
        <v>686</v>
      </c>
      <c r="K189" s="231" t="s">
        <v>686</v>
      </c>
      <c r="L189" s="231" t="s">
        <v>686</v>
      </c>
      <c r="M189" s="231" t="s">
        <v>686</v>
      </c>
      <c r="N189" s="231" t="s">
        <v>686</v>
      </c>
      <c r="O189" s="231" t="s">
        <v>686</v>
      </c>
      <c r="P189" s="231" t="s">
        <v>686</v>
      </c>
      <c r="Q189" s="231" t="s">
        <v>686</v>
      </c>
      <c r="R189" s="231" t="s">
        <v>686</v>
      </c>
      <c r="S189" s="231" t="s">
        <v>686</v>
      </c>
      <c r="T189" s="25"/>
      <c r="U189" s="26"/>
    </row>
    <row r="190" spans="7:21">
      <c r="G190" s="235"/>
      <c r="H190" s="25"/>
      <c r="I190" s="231">
        <f>E$13</f>
        <v>5</v>
      </c>
      <c r="J190" s="248">
        <f t="shared" ref="J190:J220" si="37">J156*(1.2*(($I190*J$18*(2/(J$75*J$11)))^0.5))/(550*J$17)</f>
        <v>0</v>
      </c>
      <c r="K190" s="248"/>
      <c r="L190" s="248">
        <f>IF(L156="","",L156*((1.1^1)*(($I190*L$18*(2/(L$75*L$11)))^0.5))/(550*L$17))</f>
        <v>0</v>
      </c>
      <c r="M190" s="248" t="str">
        <f>IF(M156="","",M156*(('8'!#REF!^1)*(($I190*M$18*(2/(M$75*M$11)))^0.5))/(550*M$17))</f>
        <v/>
      </c>
      <c r="N190" s="248" t="str">
        <f>IF(N156="","",N156*(('8'!#REF!^1)*(($I190*N$18*(2/(N$75*N$11)))^0.5))/(550*N$17))</f>
        <v/>
      </c>
      <c r="O190" s="248">
        <f t="shared" ref="O190:Q220" si="38">IF(O156="","",O156*(O$78/(550*O$17)))</f>
        <v>0</v>
      </c>
      <c r="P190" s="248" t="str">
        <f t="shared" si="38"/>
        <v/>
      </c>
      <c r="Q190" s="248">
        <f t="shared" si="38"/>
        <v>0</v>
      </c>
      <c r="R190" s="231"/>
      <c r="S190" s="248">
        <f t="shared" ref="S190:S220" si="39">IF(S156="","",S156*(S$78/(550*S$17)))</f>
        <v>0</v>
      </c>
      <c r="T190" s="25"/>
      <c r="U190" s="26"/>
    </row>
    <row r="191" spans="7:21">
      <c r="G191" s="235"/>
      <c r="H191" s="231"/>
      <c r="I191" s="231">
        <f t="shared" ref="I191:I220" si="40">I190+E$14</f>
        <v>6</v>
      </c>
      <c r="J191" s="248">
        <f t="shared" si="37"/>
        <v>0</v>
      </c>
      <c r="K191" s="231"/>
      <c r="L191" s="248">
        <f t="shared" ref="L191:L220" si="41">IF(L157="","",L157*((1.1^1)*(($I191*L$18*(2/(L$75*L$11)))^0.5))/(550*L$17))</f>
        <v>0</v>
      </c>
      <c r="M191" s="248" t="str">
        <f>IF(M157="","",M157*(('8'!#REF!^1)*(($I191*M$18*(2/(M$75*M$11)))^0.5))/(550*M$17))</f>
        <v/>
      </c>
      <c r="N191" s="248" t="str">
        <f>IF(N157="","",N157*(('8'!#REF!^1)*(($I191*N$18*(2/(N$75*N$11)))^0.5))/(550*N$17))</f>
        <v/>
      </c>
      <c r="O191" s="248">
        <f t="shared" si="38"/>
        <v>0</v>
      </c>
      <c r="P191" s="248" t="str">
        <f t="shared" si="38"/>
        <v/>
      </c>
      <c r="Q191" s="248">
        <f t="shared" si="38"/>
        <v>0</v>
      </c>
      <c r="R191" s="231"/>
      <c r="S191" s="248">
        <f t="shared" si="39"/>
        <v>0</v>
      </c>
      <c r="T191" s="231"/>
      <c r="U191" s="433"/>
    </row>
    <row r="192" spans="7:21">
      <c r="G192" s="235"/>
      <c r="H192" s="231"/>
      <c r="I192" s="231">
        <f t="shared" si="40"/>
        <v>7</v>
      </c>
      <c r="J192" s="248">
        <f t="shared" si="37"/>
        <v>0</v>
      </c>
      <c r="K192" s="231"/>
      <c r="L192" s="248">
        <f t="shared" si="41"/>
        <v>0</v>
      </c>
      <c r="M192" s="248" t="str">
        <f>IF(M158="","",M158*(('8'!#REF!^1)*(($I192*M$18*(2/(M$75*M$11)))^0.5))/(550*M$17))</f>
        <v/>
      </c>
      <c r="N192" s="248" t="str">
        <f>IF(N158="","",N158*(('8'!#REF!^1)*(($I192*N$18*(2/(N$75*N$11)))^0.5))/(550*N$17))</f>
        <v/>
      </c>
      <c r="O192" s="248">
        <f t="shared" si="38"/>
        <v>0</v>
      </c>
      <c r="P192" s="248" t="str">
        <f t="shared" si="38"/>
        <v/>
      </c>
      <c r="Q192" s="248">
        <f t="shared" si="38"/>
        <v>0</v>
      </c>
      <c r="R192" s="231"/>
      <c r="S192" s="248">
        <f t="shared" si="39"/>
        <v>0</v>
      </c>
      <c r="T192" s="231"/>
      <c r="U192" s="433"/>
    </row>
    <row r="193" spans="7:21">
      <c r="G193" s="24"/>
      <c r="H193" s="25"/>
      <c r="I193" s="231">
        <f t="shared" si="40"/>
        <v>8</v>
      </c>
      <c r="J193" s="248">
        <f t="shared" si="37"/>
        <v>0</v>
      </c>
      <c r="K193" s="231"/>
      <c r="L193" s="248">
        <f t="shared" si="41"/>
        <v>0</v>
      </c>
      <c r="M193" s="248" t="str">
        <f>IF(M159="","",M159*(('8'!#REF!^1)*(($I193*M$18*(2/(M$75*M$11)))^0.5))/(550*M$17))</f>
        <v/>
      </c>
      <c r="N193" s="248" t="str">
        <f>IF(N159="","",N159*(('8'!#REF!^1)*(($I193*N$18*(2/(N$75*N$11)))^0.5))/(550*N$17))</f>
        <v/>
      </c>
      <c r="O193" s="248">
        <f t="shared" si="38"/>
        <v>0</v>
      </c>
      <c r="P193" s="248" t="str">
        <f t="shared" si="38"/>
        <v/>
      </c>
      <c r="Q193" s="248">
        <f t="shared" si="38"/>
        <v>0</v>
      </c>
      <c r="R193" s="231"/>
      <c r="S193" s="248">
        <f t="shared" si="39"/>
        <v>0</v>
      </c>
      <c r="T193" s="25"/>
      <c r="U193" s="26"/>
    </row>
    <row r="194" spans="7:21">
      <c r="G194" s="24"/>
      <c r="H194" s="25"/>
      <c r="I194" s="231">
        <f t="shared" si="40"/>
        <v>9</v>
      </c>
      <c r="J194" s="248">
        <f t="shared" si="37"/>
        <v>0</v>
      </c>
      <c r="K194" s="231"/>
      <c r="L194" s="248">
        <f t="shared" si="41"/>
        <v>0</v>
      </c>
      <c r="M194" s="248" t="str">
        <f>IF(M160="","",M160*(('8'!#REF!^1)*(($I194*M$18*(2/(M$75*M$11)))^0.5))/(550*M$17))</f>
        <v/>
      </c>
      <c r="N194" s="248" t="str">
        <f>IF(N160="","",N160*(('8'!#REF!^1)*(($I194*N$18*(2/(N$75*N$11)))^0.5))/(550*N$17))</f>
        <v/>
      </c>
      <c r="O194" s="248">
        <f t="shared" si="38"/>
        <v>0</v>
      </c>
      <c r="P194" s="248" t="str">
        <f t="shared" si="38"/>
        <v/>
      </c>
      <c r="Q194" s="248">
        <f t="shared" si="38"/>
        <v>0</v>
      </c>
      <c r="R194" s="231"/>
      <c r="S194" s="248">
        <f t="shared" si="39"/>
        <v>0</v>
      </c>
      <c r="T194" s="25"/>
      <c r="U194" s="26"/>
    </row>
    <row r="195" spans="7:21">
      <c r="G195" s="24"/>
      <c r="H195" s="25"/>
      <c r="I195" s="231">
        <f t="shared" si="40"/>
        <v>10</v>
      </c>
      <c r="J195" s="248">
        <f t="shared" si="37"/>
        <v>0</v>
      </c>
      <c r="K195" s="231"/>
      <c r="L195" s="248">
        <f t="shared" si="41"/>
        <v>0</v>
      </c>
      <c r="M195" s="248" t="str">
        <f>IF(M161="","",M161*(('8'!#REF!^1)*(($I195*M$18*(2/(M$75*M$11)))^0.5))/(550*M$17))</f>
        <v/>
      </c>
      <c r="N195" s="248" t="str">
        <f>IF(N161="","",N161*(('8'!#REF!^1)*(($I195*N$18*(2/(N$75*N$11)))^0.5))/(550*N$17))</f>
        <v/>
      </c>
      <c r="O195" s="248">
        <f t="shared" si="38"/>
        <v>0</v>
      </c>
      <c r="P195" s="248" t="str">
        <f t="shared" si="38"/>
        <v/>
      </c>
      <c r="Q195" s="248">
        <f t="shared" si="38"/>
        <v>0</v>
      </c>
      <c r="R195" s="231"/>
      <c r="S195" s="248">
        <f t="shared" si="39"/>
        <v>0</v>
      </c>
      <c r="T195" s="25"/>
      <c r="U195" s="26"/>
    </row>
    <row r="196" spans="7:21">
      <c r="G196" s="24"/>
      <c r="H196" s="25"/>
      <c r="I196" s="231">
        <f t="shared" si="40"/>
        <v>11</v>
      </c>
      <c r="J196" s="248">
        <f t="shared" si="37"/>
        <v>0</v>
      </c>
      <c r="K196" s="231"/>
      <c r="L196" s="248">
        <f t="shared" si="41"/>
        <v>0</v>
      </c>
      <c r="M196" s="248" t="str">
        <f>IF(M162="","",M162*(('8'!#REF!^1)*(($I196*M$18*(2/(M$75*M$11)))^0.5))/(550*M$17))</f>
        <v/>
      </c>
      <c r="N196" s="248" t="str">
        <f>IF(N162="","",N162*(('8'!#REF!^1)*(($I196*N$18*(2/(N$75*N$11)))^0.5))/(550*N$17))</f>
        <v/>
      </c>
      <c r="O196" s="248">
        <f t="shared" si="38"/>
        <v>0</v>
      </c>
      <c r="P196" s="248" t="str">
        <f t="shared" si="38"/>
        <v/>
      </c>
      <c r="Q196" s="248">
        <f t="shared" si="38"/>
        <v>0</v>
      </c>
      <c r="R196" s="231"/>
      <c r="S196" s="248">
        <f t="shared" si="39"/>
        <v>0</v>
      </c>
      <c r="T196" s="25"/>
      <c r="U196" s="26"/>
    </row>
    <row r="197" spans="7:21">
      <c r="G197" s="24"/>
      <c r="H197" s="25"/>
      <c r="I197" s="231">
        <f t="shared" si="40"/>
        <v>12</v>
      </c>
      <c r="J197" s="248">
        <f t="shared" si="37"/>
        <v>0</v>
      </c>
      <c r="K197" s="231"/>
      <c r="L197" s="248">
        <f t="shared" si="41"/>
        <v>0</v>
      </c>
      <c r="M197" s="248" t="str">
        <f>IF(M163="","",M163*(('8'!#REF!^1)*(($I197*M$18*(2/(M$75*M$11)))^0.5))/(550*M$17))</f>
        <v/>
      </c>
      <c r="N197" s="248" t="str">
        <f>IF(N163="","",N163*(('8'!#REF!^1)*(($I197*N$18*(2/(N$75*N$11)))^0.5))/(550*N$17))</f>
        <v/>
      </c>
      <c r="O197" s="248">
        <f t="shared" si="38"/>
        <v>0</v>
      </c>
      <c r="P197" s="248" t="str">
        <f t="shared" si="38"/>
        <v/>
      </c>
      <c r="Q197" s="248">
        <f t="shared" si="38"/>
        <v>0</v>
      </c>
      <c r="R197" s="231"/>
      <c r="S197" s="248">
        <f t="shared" si="39"/>
        <v>0</v>
      </c>
      <c r="T197" s="25"/>
      <c r="U197" s="26"/>
    </row>
    <row r="198" spans="7:21">
      <c r="G198" s="24"/>
      <c r="H198" s="25"/>
      <c r="I198" s="231">
        <f t="shared" si="40"/>
        <v>13</v>
      </c>
      <c r="J198" s="248">
        <f t="shared" si="37"/>
        <v>0</v>
      </c>
      <c r="K198" s="231"/>
      <c r="L198" s="248">
        <f t="shared" si="41"/>
        <v>0</v>
      </c>
      <c r="M198" s="248" t="str">
        <f>IF(M164="","",M164*(('8'!#REF!^1)*(($I198*M$18*(2/(M$75*M$11)))^0.5))/(550*M$17))</f>
        <v/>
      </c>
      <c r="N198" s="248" t="str">
        <f>IF(N164="","",N164*(('8'!#REF!^1)*(($I198*N$18*(2/(N$75*N$11)))^0.5))/(550*N$17))</f>
        <v/>
      </c>
      <c r="O198" s="248">
        <f t="shared" si="38"/>
        <v>0</v>
      </c>
      <c r="P198" s="248" t="str">
        <f t="shared" si="38"/>
        <v/>
      </c>
      <c r="Q198" s="248">
        <f t="shared" si="38"/>
        <v>0</v>
      </c>
      <c r="R198" s="231"/>
      <c r="S198" s="248">
        <f t="shared" si="39"/>
        <v>0</v>
      </c>
      <c r="T198" s="25"/>
      <c r="U198" s="26"/>
    </row>
    <row r="199" spans="7:21">
      <c r="G199" s="24"/>
      <c r="H199" s="25"/>
      <c r="I199" s="231">
        <f t="shared" si="40"/>
        <v>14</v>
      </c>
      <c r="J199" s="248">
        <f t="shared" si="37"/>
        <v>0</v>
      </c>
      <c r="K199" s="231"/>
      <c r="L199" s="248">
        <f t="shared" si="41"/>
        <v>0</v>
      </c>
      <c r="M199" s="248" t="str">
        <f>IF(M165="","",M165*(('8'!#REF!^1)*(($I199*M$18*(2/(M$75*M$11)))^0.5))/(550*M$17))</f>
        <v/>
      </c>
      <c r="N199" s="248" t="str">
        <f>IF(N165="","",N165*(('8'!#REF!^1)*(($I199*N$18*(2/(N$75*N$11)))^0.5))/(550*N$17))</f>
        <v/>
      </c>
      <c r="O199" s="248">
        <f t="shared" si="38"/>
        <v>0</v>
      </c>
      <c r="P199" s="248" t="str">
        <f t="shared" si="38"/>
        <v/>
      </c>
      <c r="Q199" s="248">
        <f t="shared" si="38"/>
        <v>0</v>
      </c>
      <c r="R199" s="231"/>
      <c r="S199" s="248">
        <f t="shared" si="39"/>
        <v>0</v>
      </c>
      <c r="T199" s="25"/>
      <c r="U199" s="26"/>
    </row>
    <row r="200" spans="7:21">
      <c r="G200" s="24"/>
      <c r="H200" s="25"/>
      <c r="I200" s="231">
        <f t="shared" si="40"/>
        <v>15</v>
      </c>
      <c r="J200" s="248">
        <f t="shared" si="37"/>
        <v>0</v>
      </c>
      <c r="K200" s="231"/>
      <c r="L200" s="248">
        <f t="shared" si="41"/>
        <v>0</v>
      </c>
      <c r="M200" s="248" t="str">
        <f>IF(M166="","",M166*(('8'!#REF!^1)*(($I200*M$18*(2/(M$75*M$11)))^0.5))/(550*M$17))</f>
        <v/>
      </c>
      <c r="N200" s="248" t="str">
        <f>IF(N166="","",N166*(('8'!#REF!^1)*(($I200*N$18*(2/(N$75*N$11)))^0.5))/(550*N$17))</f>
        <v/>
      </c>
      <c r="O200" s="248">
        <f t="shared" si="38"/>
        <v>0</v>
      </c>
      <c r="P200" s="248" t="str">
        <f t="shared" si="38"/>
        <v/>
      </c>
      <c r="Q200" s="248">
        <f t="shared" si="38"/>
        <v>0</v>
      </c>
      <c r="R200" s="231"/>
      <c r="S200" s="248">
        <f t="shared" si="39"/>
        <v>0</v>
      </c>
      <c r="T200" s="25"/>
      <c r="U200" s="26"/>
    </row>
    <row r="201" spans="7:21">
      <c r="G201" s="24"/>
      <c r="H201" s="25"/>
      <c r="I201" s="231">
        <f t="shared" si="40"/>
        <v>16</v>
      </c>
      <c r="J201" s="248">
        <f t="shared" si="37"/>
        <v>0</v>
      </c>
      <c r="K201" s="231"/>
      <c r="L201" s="248">
        <f t="shared" si="41"/>
        <v>0</v>
      </c>
      <c r="M201" s="248" t="str">
        <f>IF(M167="","",M167*(('8'!#REF!^1)*(($I201*M$18*(2/(M$75*M$11)))^0.5))/(550*M$17))</f>
        <v/>
      </c>
      <c r="N201" s="248" t="str">
        <f>IF(N167="","",N167*(('8'!#REF!^1)*(($I201*N$18*(2/(N$75*N$11)))^0.5))/(550*N$17))</f>
        <v/>
      </c>
      <c r="O201" s="248">
        <f t="shared" si="38"/>
        <v>0</v>
      </c>
      <c r="P201" s="248" t="str">
        <f t="shared" si="38"/>
        <v/>
      </c>
      <c r="Q201" s="248">
        <f t="shared" si="38"/>
        <v>0</v>
      </c>
      <c r="R201" s="231"/>
      <c r="S201" s="248">
        <f t="shared" si="39"/>
        <v>0</v>
      </c>
      <c r="T201" s="25"/>
      <c r="U201" s="26"/>
    </row>
    <row r="202" spans="7:21">
      <c r="G202" s="24"/>
      <c r="H202" s="25"/>
      <c r="I202" s="231">
        <f t="shared" si="40"/>
        <v>17</v>
      </c>
      <c r="J202" s="248">
        <f t="shared" si="37"/>
        <v>0</v>
      </c>
      <c r="K202" s="231"/>
      <c r="L202" s="248">
        <f t="shared" si="41"/>
        <v>0</v>
      </c>
      <c r="M202" s="248" t="str">
        <f>IF(M168="","",M168*(('8'!#REF!^1)*(($I202*M$18*(2/(M$75*M$11)))^0.5))/(550*M$17))</f>
        <v/>
      </c>
      <c r="N202" s="248" t="str">
        <f>IF(N168="","",N168*(('8'!#REF!^1)*(($I202*N$18*(2/(N$75*N$11)))^0.5))/(550*N$17))</f>
        <v/>
      </c>
      <c r="O202" s="248">
        <f t="shared" si="38"/>
        <v>0</v>
      </c>
      <c r="P202" s="248" t="str">
        <f t="shared" si="38"/>
        <v/>
      </c>
      <c r="Q202" s="248">
        <f t="shared" si="38"/>
        <v>0</v>
      </c>
      <c r="R202" s="231"/>
      <c r="S202" s="248">
        <f t="shared" si="39"/>
        <v>0</v>
      </c>
      <c r="T202" s="25"/>
      <c r="U202" s="26"/>
    </row>
    <row r="203" spans="7:21">
      <c r="G203" s="24"/>
      <c r="H203" s="25"/>
      <c r="I203" s="231">
        <f t="shared" si="40"/>
        <v>18</v>
      </c>
      <c r="J203" s="248">
        <f t="shared" si="37"/>
        <v>0</v>
      </c>
      <c r="K203" s="231"/>
      <c r="L203" s="248">
        <f t="shared" si="41"/>
        <v>0</v>
      </c>
      <c r="M203" s="248" t="str">
        <f>IF(M169="","",M169*(('8'!#REF!^1)*(($I203*M$18*(2/(M$75*M$11)))^0.5))/(550*M$17))</f>
        <v/>
      </c>
      <c r="N203" s="248" t="str">
        <f>IF(N169="","",N169*(('8'!#REF!^1)*(($I203*N$18*(2/(N$75*N$11)))^0.5))/(550*N$17))</f>
        <v/>
      </c>
      <c r="O203" s="248">
        <f t="shared" si="38"/>
        <v>0</v>
      </c>
      <c r="P203" s="248" t="str">
        <f t="shared" si="38"/>
        <v/>
      </c>
      <c r="Q203" s="248">
        <f t="shared" si="38"/>
        <v>0</v>
      </c>
      <c r="R203" s="231"/>
      <c r="S203" s="248">
        <f t="shared" si="39"/>
        <v>0</v>
      </c>
      <c r="T203" s="25"/>
      <c r="U203" s="26"/>
    </row>
    <row r="204" spans="7:21">
      <c r="G204" s="24"/>
      <c r="H204" s="25"/>
      <c r="I204" s="231">
        <f t="shared" si="40"/>
        <v>19</v>
      </c>
      <c r="J204" s="248">
        <f t="shared" si="37"/>
        <v>0</v>
      </c>
      <c r="K204" s="231"/>
      <c r="L204" s="248">
        <f t="shared" si="41"/>
        <v>0</v>
      </c>
      <c r="M204" s="248" t="str">
        <f>IF(M170="","",M170*(('8'!#REF!^1)*(($I204*M$18*(2/(M$75*M$11)))^0.5))/(550*M$17))</f>
        <v/>
      </c>
      <c r="N204" s="248" t="str">
        <f>IF(N170="","",N170*(('8'!#REF!^1)*(($I204*N$18*(2/(N$75*N$11)))^0.5))/(550*N$17))</f>
        <v/>
      </c>
      <c r="O204" s="248">
        <f t="shared" si="38"/>
        <v>0</v>
      </c>
      <c r="P204" s="248" t="str">
        <f t="shared" si="38"/>
        <v/>
      </c>
      <c r="Q204" s="248">
        <f t="shared" si="38"/>
        <v>0</v>
      </c>
      <c r="R204" s="231"/>
      <c r="S204" s="248">
        <f t="shared" si="39"/>
        <v>0</v>
      </c>
      <c r="T204" s="25"/>
      <c r="U204" s="26"/>
    </row>
    <row r="205" spans="7:21">
      <c r="G205" s="24"/>
      <c r="H205" s="25"/>
      <c r="I205" s="231">
        <f t="shared" si="40"/>
        <v>20</v>
      </c>
      <c r="J205" s="248">
        <f t="shared" si="37"/>
        <v>0</v>
      </c>
      <c r="K205" s="231"/>
      <c r="L205" s="248">
        <f t="shared" si="41"/>
        <v>0</v>
      </c>
      <c r="M205" s="248" t="str">
        <f>IF(M171="","",M171*(('8'!#REF!^1)*(($I205*M$18*(2/(M$75*M$11)))^0.5))/(550*M$17))</f>
        <v/>
      </c>
      <c r="N205" s="248" t="str">
        <f>IF(N171="","",N171*(('8'!#REF!^1)*(($I205*N$18*(2/(N$75*N$11)))^0.5))/(550*N$17))</f>
        <v/>
      </c>
      <c r="O205" s="248">
        <f t="shared" si="38"/>
        <v>0</v>
      </c>
      <c r="P205" s="248" t="str">
        <f t="shared" si="38"/>
        <v/>
      </c>
      <c r="Q205" s="248">
        <f t="shared" si="38"/>
        <v>0</v>
      </c>
      <c r="R205" s="231"/>
      <c r="S205" s="248">
        <f t="shared" si="39"/>
        <v>0</v>
      </c>
      <c r="T205" s="25"/>
      <c r="U205" s="26"/>
    </row>
    <row r="206" spans="7:21">
      <c r="G206" s="24"/>
      <c r="H206" s="25"/>
      <c r="I206" s="231">
        <f t="shared" si="40"/>
        <v>21</v>
      </c>
      <c r="J206" s="248">
        <f t="shared" si="37"/>
        <v>0</v>
      </c>
      <c r="K206" s="231"/>
      <c r="L206" s="248">
        <f t="shared" si="41"/>
        <v>0</v>
      </c>
      <c r="M206" s="248" t="str">
        <f>IF(M172="","",M172*(('8'!#REF!^1)*(($I206*M$18*(2/(M$75*M$11)))^0.5))/(550*M$17))</f>
        <v/>
      </c>
      <c r="N206" s="248" t="str">
        <f>IF(N172="","",N172*(('8'!#REF!^1)*(($I206*N$18*(2/(N$75*N$11)))^0.5))/(550*N$17))</f>
        <v/>
      </c>
      <c r="O206" s="248">
        <f t="shared" si="38"/>
        <v>0</v>
      </c>
      <c r="P206" s="248" t="str">
        <f t="shared" si="38"/>
        <v/>
      </c>
      <c r="Q206" s="248">
        <f t="shared" si="38"/>
        <v>0</v>
      </c>
      <c r="R206" s="231"/>
      <c r="S206" s="248">
        <f t="shared" si="39"/>
        <v>0</v>
      </c>
      <c r="T206" s="25"/>
      <c r="U206" s="26"/>
    </row>
    <row r="207" spans="7:21">
      <c r="G207" s="24"/>
      <c r="H207" s="25"/>
      <c r="I207" s="231">
        <f t="shared" si="40"/>
        <v>22</v>
      </c>
      <c r="J207" s="248">
        <f t="shared" si="37"/>
        <v>0</v>
      </c>
      <c r="K207" s="231"/>
      <c r="L207" s="248">
        <f t="shared" si="41"/>
        <v>0</v>
      </c>
      <c r="M207" s="248" t="str">
        <f>IF(M173="","",M173*(('8'!#REF!^1)*(($I207*M$18*(2/(M$75*M$11)))^0.5))/(550*M$17))</f>
        <v/>
      </c>
      <c r="N207" s="248" t="str">
        <f>IF(N173="","",N173*(('8'!#REF!^1)*(($I207*N$18*(2/(N$75*N$11)))^0.5))/(550*N$17))</f>
        <v/>
      </c>
      <c r="O207" s="248">
        <f t="shared" si="38"/>
        <v>0</v>
      </c>
      <c r="P207" s="248" t="str">
        <f t="shared" si="38"/>
        <v/>
      </c>
      <c r="Q207" s="248">
        <f t="shared" si="38"/>
        <v>0</v>
      </c>
      <c r="R207" s="231"/>
      <c r="S207" s="248">
        <f t="shared" si="39"/>
        <v>0</v>
      </c>
      <c r="T207" s="25"/>
      <c r="U207" s="26"/>
    </row>
    <row r="208" spans="7:21">
      <c r="G208" s="24"/>
      <c r="H208" s="25"/>
      <c r="I208" s="231">
        <f t="shared" si="40"/>
        <v>23</v>
      </c>
      <c r="J208" s="248">
        <f t="shared" si="37"/>
        <v>0</v>
      </c>
      <c r="K208" s="231"/>
      <c r="L208" s="248">
        <f t="shared" si="41"/>
        <v>0</v>
      </c>
      <c r="M208" s="248" t="str">
        <f>IF(M174="","",M174*(('8'!#REF!^1)*(($I208*M$18*(2/(M$75*M$11)))^0.5))/(550*M$17))</f>
        <v/>
      </c>
      <c r="N208" s="248" t="str">
        <f>IF(N174="","",N174*(('8'!#REF!^1)*(($I208*N$18*(2/(N$75*N$11)))^0.5))/(550*N$17))</f>
        <v/>
      </c>
      <c r="O208" s="248">
        <f t="shared" si="38"/>
        <v>0</v>
      </c>
      <c r="P208" s="248" t="str">
        <f t="shared" si="38"/>
        <v/>
      </c>
      <c r="Q208" s="248">
        <f t="shared" si="38"/>
        <v>0</v>
      </c>
      <c r="R208" s="231"/>
      <c r="S208" s="248">
        <f t="shared" si="39"/>
        <v>0</v>
      </c>
      <c r="T208" s="25"/>
      <c r="U208" s="26"/>
    </row>
    <row r="209" spans="7:21">
      <c r="G209" s="24"/>
      <c r="H209" s="25"/>
      <c r="I209" s="231">
        <f t="shared" si="40"/>
        <v>24</v>
      </c>
      <c r="J209" s="248">
        <f t="shared" si="37"/>
        <v>0</v>
      </c>
      <c r="K209" s="231"/>
      <c r="L209" s="248">
        <f t="shared" si="41"/>
        <v>0</v>
      </c>
      <c r="M209" s="248" t="str">
        <f>IF(M175="","",M175*(('8'!#REF!^1)*(($I209*M$18*(2/(M$75*M$11)))^0.5))/(550*M$17))</f>
        <v/>
      </c>
      <c r="N209" s="248" t="str">
        <f>IF(N175="","",N175*(('8'!#REF!^1)*(($I209*N$18*(2/(N$75*N$11)))^0.5))/(550*N$17))</f>
        <v/>
      </c>
      <c r="O209" s="248">
        <f t="shared" si="38"/>
        <v>0</v>
      </c>
      <c r="P209" s="248" t="str">
        <f t="shared" si="38"/>
        <v/>
      </c>
      <c r="Q209" s="248">
        <f t="shared" si="38"/>
        <v>0</v>
      </c>
      <c r="R209" s="231"/>
      <c r="S209" s="248">
        <f t="shared" si="39"/>
        <v>0</v>
      </c>
      <c r="T209" s="25"/>
      <c r="U209" s="26"/>
    </row>
    <row r="210" spans="7:21">
      <c r="G210" s="24"/>
      <c r="H210" s="25"/>
      <c r="I210" s="231">
        <f t="shared" si="40"/>
        <v>25</v>
      </c>
      <c r="J210" s="248">
        <f t="shared" si="37"/>
        <v>0</v>
      </c>
      <c r="K210" s="231"/>
      <c r="L210" s="248">
        <f t="shared" si="41"/>
        <v>0</v>
      </c>
      <c r="M210" s="248" t="str">
        <f>IF(M176="","",M176*(('8'!#REF!^1)*(($I210*M$18*(2/(M$75*M$11)))^0.5))/(550*M$17))</f>
        <v/>
      </c>
      <c r="N210" s="248" t="str">
        <f>IF(N176="","",N176*(('8'!#REF!^1)*(($I210*N$18*(2/(N$75*N$11)))^0.5))/(550*N$17))</f>
        <v/>
      </c>
      <c r="O210" s="248">
        <f t="shared" si="38"/>
        <v>0</v>
      </c>
      <c r="P210" s="248" t="str">
        <f t="shared" si="38"/>
        <v/>
      </c>
      <c r="Q210" s="248">
        <f t="shared" si="38"/>
        <v>0</v>
      </c>
      <c r="R210" s="231"/>
      <c r="S210" s="248">
        <f t="shared" si="39"/>
        <v>0</v>
      </c>
      <c r="T210" s="25"/>
      <c r="U210" s="26"/>
    </row>
    <row r="211" spans="7:21">
      <c r="G211" s="24"/>
      <c r="H211" s="25"/>
      <c r="I211" s="231">
        <f t="shared" si="40"/>
        <v>26</v>
      </c>
      <c r="J211" s="248">
        <f t="shared" si="37"/>
        <v>0</v>
      </c>
      <c r="K211" s="231"/>
      <c r="L211" s="248">
        <f t="shared" si="41"/>
        <v>0</v>
      </c>
      <c r="M211" s="248" t="str">
        <f>IF(M177="","",M177*(('8'!#REF!^1)*(($I211*M$18*(2/(M$75*M$11)))^0.5))/(550*M$17))</f>
        <v/>
      </c>
      <c r="N211" s="248" t="str">
        <f>IF(N177="","",N177*(('8'!#REF!^1)*(($I211*N$18*(2/(N$75*N$11)))^0.5))/(550*N$17))</f>
        <v/>
      </c>
      <c r="O211" s="248">
        <f t="shared" si="38"/>
        <v>0</v>
      </c>
      <c r="P211" s="248" t="str">
        <f t="shared" si="38"/>
        <v/>
      </c>
      <c r="Q211" s="248">
        <f t="shared" si="38"/>
        <v>0</v>
      </c>
      <c r="R211" s="231"/>
      <c r="S211" s="248">
        <f t="shared" si="39"/>
        <v>0</v>
      </c>
      <c r="T211" s="25"/>
      <c r="U211" s="26"/>
    </row>
    <row r="212" spans="7:21">
      <c r="G212" s="24"/>
      <c r="H212" s="25"/>
      <c r="I212" s="231">
        <f t="shared" si="40"/>
        <v>27</v>
      </c>
      <c r="J212" s="248">
        <f t="shared" si="37"/>
        <v>0</v>
      </c>
      <c r="K212" s="231"/>
      <c r="L212" s="248">
        <f t="shared" si="41"/>
        <v>0</v>
      </c>
      <c r="M212" s="248" t="str">
        <f>IF(M178="","",M178*(('8'!#REF!^1)*(($I212*M$18*(2/(M$75*M$11)))^0.5))/(550*M$17))</f>
        <v/>
      </c>
      <c r="N212" s="248" t="str">
        <f>IF(N178="","",N178*(('8'!#REF!^1)*(($I212*N$18*(2/(N$75*N$11)))^0.5))/(550*N$17))</f>
        <v/>
      </c>
      <c r="O212" s="248">
        <f t="shared" si="38"/>
        <v>0</v>
      </c>
      <c r="P212" s="248" t="str">
        <f t="shared" si="38"/>
        <v/>
      </c>
      <c r="Q212" s="248">
        <f t="shared" si="38"/>
        <v>0</v>
      </c>
      <c r="R212" s="231"/>
      <c r="S212" s="248">
        <f t="shared" si="39"/>
        <v>0</v>
      </c>
      <c r="T212" s="25"/>
      <c r="U212" s="26"/>
    </row>
    <row r="213" spans="7:21">
      <c r="G213" s="24"/>
      <c r="H213" s="25"/>
      <c r="I213" s="231">
        <f t="shared" si="40"/>
        <v>28</v>
      </c>
      <c r="J213" s="248">
        <f t="shared" si="37"/>
        <v>0</v>
      </c>
      <c r="K213" s="231"/>
      <c r="L213" s="248">
        <f t="shared" si="41"/>
        <v>0</v>
      </c>
      <c r="M213" s="248" t="str">
        <f>IF(M179="","",M179*(('8'!#REF!^1)*(($I213*M$18*(2/(M$75*M$11)))^0.5))/(550*M$17))</f>
        <v/>
      </c>
      <c r="N213" s="248" t="str">
        <f>IF(N179="","",N179*(('8'!#REF!^1)*(($I213*N$18*(2/(N$75*N$11)))^0.5))/(550*N$17))</f>
        <v/>
      </c>
      <c r="O213" s="248">
        <f t="shared" si="38"/>
        <v>0</v>
      </c>
      <c r="P213" s="248" t="str">
        <f t="shared" si="38"/>
        <v/>
      </c>
      <c r="Q213" s="248">
        <f t="shared" si="38"/>
        <v>0</v>
      </c>
      <c r="R213" s="231"/>
      <c r="S213" s="248">
        <f t="shared" si="39"/>
        <v>0</v>
      </c>
      <c r="T213" s="25"/>
      <c r="U213" s="26"/>
    </row>
    <row r="214" spans="7:21">
      <c r="G214" s="24"/>
      <c r="H214" s="25"/>
      <c r="I214" s="231">
        <f t="shared" si="40"/>
        <v>29</v>
      </c>
      <c r="J214" s="248">
        <f t="shared" si="37"/>
        <v>0</v>
      </c>
      <c r="K214" s="231"/>
      <c r="L214" s="248">
        <f t="shared" si="41"/>
        <v>0</v>
      </c>
      <c r="M214" s="248" t="str">
        <f>IF(M180="","",M180*(('8'!#REF!^1)*(($I214*M$18*(2/(M$75*M$11)))^0.5))/(550*M$17))</f>
        <v/>
      </c>
      <c r="N214" s="248" t="str">
        <f>IF(N180="","",N180*(('8'!#REF!^1)*(($I214*N$18*(2/(N$75*N$11)))^0.5))/(550*N$17))</f>
        <v/>
      </c>
      <c r="O214" s="248">
        <f t="shared" si="38"/>
        <v>0</v>
      </c>
      <c r="P214" s="248" t="str">
        <f t="shared" si="38"/>
        <v/>
      </c>
      <c r="Q214" s="248">
        <f t="shared" si="38"/>
        <v>0</v>
      </c>
      <c r="R214" s="231"/>
      <c r="S214" s="248">
        <f t="shared" si="39"/>
        <v>0</v>
      </c>
      <c r="T214" s="25"/>
      <c r="U214" s="26"/>
    </row>
    <row r="215" spans="7:21">
      <c r="G215" s="24"/>
      <c r="H215" s="25"/>
      <c r="I215" s="231">
        <f t="shared" si="40"/>
        <v>30</v>
      </c>
      <c r="J215" s="248">
        <f t="shared" si="37"/>
        <v>0</v>
      </c>
      <c r="K215" s="231"/>
      <c r="L215" s="248">
        <f t="shared" si="41"/>
        <v>0</v>
      </c>
      <c r="M215" s="248" t="str">
        <f>IF(M181="","",M181*(('8'!#REF!^1)*(($I215*M$18*(2/(M$75*M$11)))^0.5))/(550*M$17))</f>
        <v/>
      </c>
      <c r="N215" s="248" t="str">
        <f>IF(N181="","",N181*(('8'!#REF!^1)*(($I215*N$18*(2/(N$75*N$11)))^0.5))/(550*N$17))</f>
        <v/>
      </c>
      <c r="O215" s="248">
        <f t="shared" si="38"/>
        <v>0</v>
      </c>
      <c r="P215" s="248" t="str">
        <f t="shared" si="38"/>
        <v/>
      </c>
      <c r="Q215" s="248">
        <f t="shared" si="38"/>
        <v>0</v>
      </c>
      <c r="R215" s="231"/>
      <c r="S215" s="248">
        <f t="shared" si="39"/>
        <v>0</v>
      </c>
      <c r="T215" s="25"/>
      <c r="U215" s="26"/>
    </row>
    <row r="216" spans="7:21">
      <c r="G216" s="24"/>
      <c r="H216" s="25"/>
      <c r="I216" s="231">
        <f t="shared" si="40"/>
        <v>31</v>
      </c>
      <c r="J216" s="248">
        <f t="shared" si="37"/>
        <v>0</v>
      </c>
      <c r="K216" s="231"/>
      <c r="L216" s="248">
        <f t="shared" si="41"/>
        <v>0</v>
      </c>
      <c r="M216" s="248" t="str">
        <f>IF(M182="","",M182*(('8'!#REF!^1)*(($I216*M$18*(2/(M$75*M$11)))^0.5))/(550*M$17))</f>
        <v/>
      </c>
      <c r="N216" s="248" t="str">
        <f>IF(N182="","",N182*(('8'!#REF!^1)*(($I216*N$18*(2/(N$75*N$11)))^0.5))/(550*N$17))</f>
        <v/>
      </c>
      <c r="O216" s="248">
        <f t="shared" si="38"/>
        <v>0</v>
      </c>
      <c r="P216" s="248" t="str">
        <f t="shared" si="38"/>
        <v/>
      </c>
      <c r="Q216" s="248">
        <f t="shared" si="38"/>
        <v>0</v>
      </c>
      <c r="R216" s="231"/>
      <c r="S216" s="248">
        <f t="shared" si="39"/>
        <v>0</v>
      </c>
      <c r="T216" s="25"/>
      <c r="U216" s="26"/>
    </row>
    <row r="217" spans="7:21">
      <c r="G217" s="24"/>
      <c r="H217" s="25"/>
      <c r="I217" s="231">
        <f t="shared" si="40"/>
        <v>32</v>
      </c>
      <c r="J217" s="248">
        <f t="shared" si="37"/>
        <v>0</v>
      </c>
      <c r="K217" s="231"/>
      <c r="L217" s="248">
        <f t="shared" si="41"/>
        <v>0</v>
      </c>
      <c r="M217" s="248" t="str">
        <f>IF(M183="","",M183*(('8'!#REF!^1)*(($I217*M$18*(2/(M$75*M$11)))^0.5))/(550*M$17))</f>
        <v/>
      </c>
      <c r="N217" s="248" t="str">
        <f>IF(N183="","",N183*(('8'!#REF!^1)*(($I217*N$18*(2/(N$75*N$11)))^0.5))/(550*N$17))</f>
        <v/>
      </c>
      <c r="O217" s="248">
        <f t="shared" si="38"/>
        <v>0</v>
      </c>
      <c r="P217" s="248" t="str">
        <f t="shared" si="38"/>
        <v/>
      </c>
      <c r="Q217" s="248">
        <f t="shared" si="38"/>
        <v>0</v>
      </c>
      <c r="R217" s="231"/>
      <c r="S217" s="248">
        <f t="shared" si="39"/>
        <v>0</v>
      </c>
      <c r="T217" s="25"/>
      <c r="U217" s="26"/>
    </row>
    <row r="218" spans="7:21">
      <c r="G218" s="24"/>
      <c r="H218" s="25"/>
      <c r="I218" s="231">
        <f t="shared" si="40"/>
        <v>33</v>
      </c>
      <c r="J218" s="248">
        <f t="shared" si="37"/>
        <v>0</v>
      </c>
      <c r="K218" s="231"/>
      <c r="L218" s="248">
        <f t="shared" si="41"/>
        <v>0</v>
      </c>
      <c r="M218" s="248" t="str">
        <f>IF(M184="","",M184*(('8'!#REF!^1)*(($I218*M$18*(2/(M$75*M$11)))^0.5))/(550*M$17))</f>
        <v/>
      </c>
      <c r="N218" s="248" t="str">
        <f>IF(N184="","",N184*(('8'!#REF!^1)*(($I218*N$18*(2/(N$75*N$11)))^0.5))/(550*N$17))</f>
        <v/>
      </c>
      <c r="O218" s="248">
        <f t="shared" si="38"/>
        <v>0</v>
      </c>
      <c r="P218" s="248" t="str">
        <f t="shared" si="38"/>
        <v/>
      </c>
      <c r="Q218" s="248">
        <f t="shared" si="38"/>
        <v>0</v>
      </c>
      <c r="R218" s="231"/>
      <c r="S218" s="248">
        <f t="shared" si="39"/>
        <v>0</v>
      </c>
      <c r="T218" s="25"/>
      <c r="U218" s="26"/>
    </row>
    <row r="219" spans="7:21">
      <c r="G219" s="24"/>
      <c r="H219" s="25"/>
      <c r="I219" s="231">
        <f t="shared" si="40"/>
        <v>34</v>
      </c>
      <c r="J219" s="248">
        <f t="shared" si="37"/>
        <v>0</v>
      </c>
      <c r="K219" s="231"/>
      <c r="L219" s="248">
        <f t="shared" si="41"/>
        <v>0</v>
      </c>
      <c r="M219" s="248" t="str">
        <f>IF(M185="","",M185*(('8'!#REF!^1)*(($I219*M$18*(2/(M$75*M$11)))^0.5))/(550*M$17))</f>
        <v/>
      </c>
      <c r="N219" s="248" t="str">
        <f>IF(N185="","",N185*(('8'!#REF!^1)*(($I219*N$18*(2/(N$75*N$11)))^0.5))/(550*N$17))</f>
        <v/>
      </c>
      <c r="O219" s="248">
        <f t="shared" si="38"/>
        <v>0</v>
      </c>
      <c r="P219" s="248" t="str">
        <f t="shared" si="38"/>
        <v/>
      </c>
      <c r="Q219" s="248">
        <f t="shared" si="38"/>
        <v>0</v>
      </c>
      <c r="R219" s="231"/>
      <c r="S219" s="248">
        <f t="shared" si="39"/>
        <v>0</v>
      </c>
      <c r="T219" s="25"/>
      <c r="U219" s="26"/>
    </row>
    <row r="220" spans="7:21" ht="13.8" thickBot="1">
      <c r="G220" s="60"/>
      <c r="H220" s="62"/>
      <c r="I220" s="255">
        <f t="shared" si="40"/>
        <v>35</v>
      </c>
      <c r="J220" s="1284">
        <f t="shared" si="37"/>
        <v>0</v>
      </c>
      <c r="K220" s="255"/>
      <c r="L220" s="1284">
        <f t="shared" si="41"/>
        <v>0</v>
      </c>
      <c r="M220" s="1284" t="str">
        <f>IF(M186="","",M186*(('8'!#REF!^1)*(($I220*M$18*(2/(M$75*M$11)))^0.5))/(550*M$17))</f>
        <v/>
      </c>
      <c r="N220" s="1284" t="str">
        <f>IF(N186="","",N186*(('8'!#REF!^1)*(($I220*N$18*(2/(N$75*N$11)))^0.5))/(550*N$17))</f>
        <v/>
      </c>
      <c r="O220" s="1284">
        <f t="shared" si="38"/>
        <v>0</v>
      </c>
      <c r="P220" s="1284" t="str">
        <f t="shared" si="38"/>
        <v/>
      </c>
      <c r="Q220" s="1284">
        <f t="shared" si="38"/>
        <v>0</v>
      </c>
      <c r="R220" s="255"/>
      <c r="S220" s="1284">
        <f t="shared" si="39"/>
        <v>0</v>
      </c>
      <c r="T220" s="62"/>
      <c r="U220" s="63"/>
    </row>
    <row r="224" spans="7:21" ht="13.8" thickBot="1"/>
    <row r="225" spans="8:12">
      <c r="H225" s="886" t="s">
        <v>2636</v>
      </c>
      <c r="I225" s="22"/>
      <c r="J225" s="22"/>
      <c r="K225" s="22"/>
      <c r="L225" s="23"/>
    </row>
    <row r="226" spans="8:12">
      <c r="H226" s="235"/>
      <c r="I226" s="248"/>
      <c r="J226" s="231" t="s">
        <v>627</v>
      </c>
      <c r="K226" s="231"/>
      <c r="L226" s="433"/>
    </row>
    <row r="227" spans="8:12">
      <c r="H227" s="235"/>
      <c r="I227" s="231"/>
      <c r="J227" s="231" t="s">
        <v>633</v>
      </c>
      <c r="K227" s="231" t="s">
        <v>634</v>
      </c>
      <c r="L227" s="433" t="s">
        <v>635</v>
      </c>
    </row>
    <row r="228" spans="8:12">
      <c r="H228" s="235" t="s">
        <v>716</v>
      </c>
      <c r="I228" s="231" t="s">
        <v>625</v>
      </c>
      <c r="J228" s="252" t="s">
        <v>639</v>
      </c>
      <c r="K228" s="231" t="s">
        <v>639</v>
      </c>
      <c r="L228" s="433" t="s">
        <v>233</v>
      </c>
    </row>
    <row r="229" spans="8:12">
      <c r="H229" s="1023" t="s">
        <v>717</v>
      </c>
      <c r="I229" s="233" t="s">
        <v>687</v>
      </c>
      <c r="J229" s="233" t="s">
        <v>687</v>
      </c>
      <c r="K229" s="233" t="s">
        <v>687</v>
      </c>
      <c r="L229" s="708" t="s">
        <v>687</v>
      </c>
    </row>
    <row r="230" spans="8:12">
      <c r="H230" s="238">
        <v>0</v>
      </c>
      <c r="I230" s="227">
        <f>(1/K$18)*(K$76*K$11/118)*(E$8-400)</f>
        <v>15.788168013429111</v>
      </c>
      <c r="J230" s="227">
        <f>(1/R18)*R80*R11/((((E9*(PI()/180)*R78/32.174)^2)+1)^0.5)</f>
        <v>10.951533247360359</v>
      </c>
      <c r="K230" s="227">
        <f>(1/T18)*(T75/32)*(T78^2)*((SIN(PI()*E11/180))^2)*(((1/(PI()*T12*T13))/3)^(-3/2))*(T14^(-1/2))</f>
        <v>30.215676379157049</v>
      </c>
      <c r="L230" s="452">
        <f>(U75/2)*U11*(U78^2)</f>
        <v>12.581572669090967</v>
      </c>
    </row>
    <row r="231" spans="8:12" ht="13.8" thickBot="1">
      <c r="H231" s="444">
        <f>E16</f>
        <v>6</v>
      </c>
      <c r="I231" s="748">
        <f>I230</f>
        <v>15.788168013429111</v>
      </c>
      <c r="J231" s="748">
        <f>J230</f>
        <v>10.951533247360359</v>
      </c>
      <c r="K231" s="748">
        <f>K230</f>
        <v>30.215676379157049</v>
      </c>
      <c r="L231" s="1285">
        <f>L230</f>
        <v>12.581572669090967</v>
      </c>
    </row>
  </sheetData>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AA104"/>
  <sheetViews>
    <sheetView zoomScale="81" zoomScaleNormal="80" workbookViewId="0">
      <selection activeCell="G23" sqref="G23"/>
    </sheetView>
  </sheetViews>
  <sheetFormatPr defaultColWidth="8.77734375" defaultRowHeight="13.2"/>
  <cols>
    <col min="1" max="1" width="6.109375" customWidth="1"/>
    <col min="2" max="2" width="41.109375" bestFit="1" customWidth="1"/>
    <col min="3" max="3" width="12" customWidth="1"/>
    <col min="4" max="4" width="11" customWidth="1"/>
    <col min="7" max="7" width="10.44140625" customWidth="1"/>
    <col min="8" max="8" width="11.109375" customWidth="1"/>
    <col min="9" max="9" width="10.44140625" customWidth="1"/>
  </cols>
  <sheetData>
    <row r="2" spans="2:26" ht="22.8">
      <c r="B2" s="882" t="s">
        <v>261</v>
      </c>
      <c r="C2" s="25"/>
      <c r="D2" s="25"/>
      <c r="E2" s="25"/>
      <c r="F2" s="25"/>
      <c r="G2" s="25"/>
      <c r="H2" s="25"/>
      <c r="I2" s="25"/>
      <c r="J2" s="25"/>
      <c r="K2" s="25"/>
      <c r="L2" s="25"/>
      <c r="M2" s="25"/>
      <c r="N2" s="1351" t="s">
        <v>2761</v>
      </c>
      <c r="O2" s="25"/>
      <c r="P2" s="25"/>
      <c r="Q2" s="25"/>
      <c r="R2" s="25"/>
      <c r="S2" s="25"/>
      <c r="T2" s="25"/>
      <c r="U2" s="25"/>
      <c r="V2" s="25"/>
      <c r="W2" s="25"/>
      <c r="X2" s="25"/>
      <c r="Y2" s="25"/>
      <c r="Z2" s="25"/>
    </row>
    <row r="3" spans="2:26" ht="13.8" thickBot="1">
      <c r="B3" s="25"/>
      <c r="C3" s="25"/>
      <c r="D3" s="25"/>
      <c r="E3" s="25"/>
      <c r="F3" s="25"/>
      <c r="G3" s="25"/>
      <c r="H3" s="25"/>
      <c r="I3" s="25"/>
      <c r="J3" s="25"/>
      <c r="K3" s="25"/>
      <c r="L3" s="25"/>
      <c r="M3" s="25"/>
      <c r="N3" s="25"/>
      <c r="O3" s="25"/>
      <c r="P3" s="25"/>
      <c r="Q3" s="25"/>
      <c r="R3" s="25"/>
      <c r="S3" s="25"/>
      <c r="T3" s="25"/>
      <c r="U3" s="25"/>
      <c r="V3" s="25"/>
      <c r="W3" s="25"/>
      <c r="X3" s="25"/>
      <c r="Y3" s="25"/>
      <c r="Z3" s="25"/>
    </row>
    <row r="4" spans="2:26" ht="15.6">
      <c r="B4" s="85" t="s">
        <v>167</v>
      </c>
      <c r="C4" s="31" t="s">
        <v>89</v>
      </c>
      <c r="D4" s="31" t="s">
        <v>90</v>
      </c>
      <c r="E4" s="31" t="s">
        <v>91</v>
      </c>
      <c r="F4" s="25"/>
      <c r="G4" s="9" t="s">
        <v>294</v>
      </c>
      <c r="H4" s="106"/>
      <c r="I4" s="106"/>
      <c r="J4" s="106"/>
      <c r="K4" s="106"/>
      <c r="L4" s="107"/>
      <c r="M4" s="25"/>
      <c r="N4" s="25"/>
      <c r="O4" s="25"/>
      <c r="P4" s="25"/>
      <c r="Q4" s="25"/>
      <c r="R4" s="25"/>
      <c r="S4" s="25"/>
      <c r="T4" s="25"/>
      <c r="U4" s="25"/>
      <c r="V4" s="25"/>
      <c r="W4" s="25"/>
      <c r="X4" s="25"/>
      <c r="Y4" s="25"/>
      <c r="Z4" s="25"/>
    </row>
    <row r="5" spans="2:26">
      <c r="B5" s="27" t="s">
        <v>171</v>
      </c>
      <c r="C5" s="27" t="s">
        <v>87</v>
      </c>
      <c r="D5" s="73" t="s">
        <v>87</v>
      </c>
      <c r="E5" s="181" t="s">
        <v>2786</v>
      </c>
      <c r="F5" s="25"/>
      <c r="G5" s="904" t="str">
        <f>'2'!$B4</f>
        <v>Merlin S-1X</v>
      </c>
      <c r="H5" s="428"/>
      <c r="I5" s="428"/>
      <c r="J5" s="68"/>
      <c r="K5" s="68"/>
      <c r="L5" s="108"/>
      <c r="M5" s="25"/>
      <c r="N5" s="25"/>
      <c r="O5" s="25"/>
      <c r="P5" s="25"/>
      <c r="Q5" s="25"/>
      <c r="R5" s="25"/>
      <c r="S5" s="25"/>
      <c r="T5" s="25"/>
      <c r="U5" s="25"/>
      <c r="V5" s="25"/>
      <c r="W5" s="25"/>
      <c r="X5" s="25"/>
      <c r="Y5" s="25"/>
      <c r="Z5" s="25"/>
    </row>
    <row r="6" spans="2:26">
      <c r="B6" s="27" t="s">
        <v>552</v>
      </c>
      <c r="C6" s="27" t="s">
        <v>551</v>
      </c>
      <c r="D6" s="27" t="s">
        <v>87</v>
      </c>
      <c r="E6" s="37">
        <v>1.4</v>
      </c>
      <c r="F6" s="25"/>
      <c r="G6" s="109"/>
      <c r="H6" s="68"/>
      <c r="I6" s="68"/>
      <c r="J6" s="68"/>
      <c r="K6" s="68"/>
      <c r="L6" s="108"/>
      <c r="M6" s="25"/>
      <c r="N6" s="25"/>
      <c r="O6" s="25"/>
      <c r="P6" s="25"/>
      <c r="Q6" s="25"/>
      <c r="R6" s="25"/>
      <c r="S6" s="25"/>
      <c r="T6" s="25"/>
      <c r="U6" s="25"/>
      <c r="V6" s="25"/>
      <c r="W6" s="25"/>
      <c r="X6" s="25"/>
      <c r="Y6" s="25"/>
      <c r="Z6" s="25"/>
    </row>
    <row r="7" spans="2:26">
      <c r="B7" s="27" t="s">
        <v>168</v>
      </c>
      <c r="C7" s="27" t="s">
        <v>169</v>
      </c>
      <c r="D7" s="27" t="s">
        <v>105</v>
      </c>
      <c r="E7" s="37">
        <v>0.1</v>
      </c>
      <c r="F7" s="25"/>
      <c r="G7" s="110" t="s">
        <v>183</v>
      </c>
      <c r="H7" s="68"/>
      <c r="I7" s="68"/>
      <c r="J7" s="103" t="s">
        <v>89</v>
      </c>
      <c r="K7" s="103" t="s">
        <v>90</v>
      </c>
      <c r="L7" s="111" t="s">
        <v>91</v>
      </c>
      <c r="M7" s="25"/>
      <c r="N7" s="25"/>
      <c r="O7" s="25"/>
      <c r="P7" s="25"/>
      <c r="Q7" s="25"/>
      <c r="R7" s="25"/>
      <c r="S7" s="25"/>
      <c r="T7" s="25"/>
      <c r="U7" s="25"/>
      <c r="V7" s="25"/>
      <c r="W7" s="25"/>
      <c r="X7" s="25"/>
      <c r="Y7" s="25"/>
      <c r="Z7" s="25"/>
    </row>
    <row r="8" spans="2:26">
      <c r="B8" s="27" t="s">
        <v>172</v>
      </c>
      <c r="C8" s="27" t="s">
        <v>163</v>
      </c>
      <c r="D8" s="27" t="s">
        <v>164</v>
      </c>
      <c r="E8" s="37">
        <v>0.27</v>
      </c>
      <c r="F8" s="25"/>
      <c r="G8" s="112" t="s">
        <v>184</v>
      </c>
      <c r="H8" s="68"/>
      <c r="I8" s="68"/>
      <c r="J8" s="105" t="s">
        <v>182</v>
      </c>
      <c r="K8" s="104" t="s">
        <v>87</v>
      </c>
      <c r="L8" s="118">
        <v>1</v>
      </c>
      <c r="M8" s="25"/>
      <c r="N8" s="25"/>
      <c r="O8" s="25"/>
      <c r="P8" s="25"/>
      <c r="Q8" s="25"/>
      <c r="R8" s="25"/>
      <c r="S8" s="25"/>
      <c r="T8" s="25"/>
      <c r="U8" s="25"/>
      <c r="V8" s="25"/>
      <c r="W8" s="25"/>
      <c r="X8" s="25"/>
      <c r="Y8" s="25"/>
      <c r="Z8" s="25"/>
    </row>
    <row r="9" spans="2:26" ht="15.6">
      <c r="B9" s="6" t="s">
        <v>173</v>
      </c>
      <c r="C9" s="6" t="s">
        <v>174</v>
      </c>
      <c r="D9" s="6" t="s">
        <v>165</v>
      </c>
      <c r="E9" s="37">
        <v>0</v>
      </c>
      <c r="F9" s="25"/>
      <c r="G9" s="112" t="s">
        <v>185</v>
      </c>
      <c r="H9" s="68"/>
      <c r="I9" s="68"/>
      <c r="J9" s="105" t="s">
        <v>187</v>
      </c>
      <c r="K9" s="104" t="s">
        <v>165</v>
      </c>
      <c r="L9" s="119">
        <v>0</v>
      </c>
      <c r="M9" s="25"/>
      <c r="N9" s="25"/>
      <c r="O9" s="25"/>
      <c r="P9" s="25"/>
      <c r="Q9" s="25"/>
      <c r="R9" s="25"/>
      <c r="S9" s="25"/>
      <c r="T9" s="25"/>
      <c r="U9" s="25"/>
      <c r="V9" s="25"/>
      <c r="W9" s="25"/>
      <c r="X9" s="25"/>
      <c r="Y9" s="25"/>
      <c r="Z9" s="25"/>
    </row>
    <row r="10" spans="2:26">
      <c r="B10" s="6" t="s">
        <v>175</v>
      </c>
      <c r="C10" s="6" t="s">
        <v>86</v>
      </c>
      <c r="D10" s="6" t="s">
        <v>87</v>
      </c>
      <c r="E10" s="8">
        <v>4.4999999999999997E-3</v>
      </c>
      <c r="F10" s="25"/>
      <c r="G10" s="112" t="s">
        <v>186</v>
      </c>
      <c r="H10" s="68"/>
      <c r="I10" s="68"/>
      <c r="J10" s="104" t="s">
        <v>181</v>
      </c>
      <c r="K10" s="104" t="s">
        <v>87</v>
      </c>
      <c r="L10" s="118">
        <v>0.21</v>
      </c>
      <c r="M10" s="25"/>
      <c r="N10" s="25"/>
      <c r="O10" s="25"/>
      <c r="P10" s="25"/>
      <c r="Q10" s="25"/>
      <c r="R10" s="25"/>
      <c r="S10" s="25"/>
      <c r="T10" s="25"/>
      <c r="U10" s="25"/>
      <c r="V10" s="25"/>
      <c r="W10" s="25"/>
      <c r="X10" s="25"/>
      <c r="Y10" s="25"/>
      <c r="Z10" s="25"/>
    </row>
    <row r="11" spans="2:26">
      <c r="B11" s="6" t="s">
        <v>176</v>
      </c>
      <c r="C11" s="6" t="s">
        <v>166</v>
      </c>
      <c r="D11" s="6" t="s">
        <v>164</v>
      </c>
      <c r="E11" s="37">
        <v>0.05</v>
      </c>
      <c r="F11" s="25"/>
      <c r="G11" s="112" t="s">
        <v>202</v>
      </c>
      <c r="H11" s="68"/>
      <c r="I11" s="68"/>
      <c r="J11" s="104" t="s">
        <v>203</v>
      </c>
      <c r="K11" s="104" t="s">
        <v>87</v>
      </c>
      <c r="L11" s="118">
        <v>1</v>
      </c>
      <c r="M11" s="25"/>
      <c r="N11" s="25"/>
      <c r="O11" s="87"/>
      <c r="P11" s="25"/>
      <c r="Q11" s="25"/>
      <c r="R11" s="25"/>
      <c r="S11" s="25"/>
      <c r="T11" s="25"/>
      <c r="U11" s="25"/>
      <c r="V11" s="25"/>
      <c r="W11" s="25"/>
      <c r="X11" s="25"/>
      <c r="Y11" s="25"/>
      <c r="Z11" s="25"/>
    </row>
    <row r="12" spans="2:26">
      <c r="B12" s="6" t="s">
        <v>177</v>
      </c>
      <c r="C12" s="6" t="s">
        <v>178</v>
      </c>
      <c r="D12" s="6" t="s">
        <v>87</v>
      </c>
      <c r="E12" s="74">
        <v>0.8</v>
      </c>
      <c r="F12" s="25"/>
      <c r="G12" s="112" t="s">
        <v>0</v>
      </c>
      <c r="H12" s="68"/>
      <c r="I12" s="68"/>
      <c r="J12" s="104" t="s">
        <v>93</v>
      </c>
      <c r="K12" s="104" t="s">
        <v>87</v>
      </c>
      <c r="L12" s="906">
        <f>'2'!F9</f>
        <v>5.9</v>
      </c>
      <c r="M12" s="25"/>
      <c r="N12" s="25"/>
      <c r="O12" s="25"/>
      <c r="P12" s="25"/>
      <c r="Q12" s="25"/>
      <c r="R12" s="25"/>
      <c r="S12" s="25"/>
      <c r="T12" s="25"/>
      <c r="U12" s="25"/>
      <c r="V12" s="25"/>
      <c r="W12" s="25"/>
      <c r="X12" s="25"/>
      <c r="Y12" s="25"/>
      <c r="Z12" s="25"/>
    </row>
    <row r="13" spans="2:26">
      <c r="B13" s="6" t="s">
        <v>179</v>
      </c>
      <c r="C13" s="75" t="s">
        <v>180</v>
      </c>
      <c r="D13" s="25"/>
      <c r="E13" s="37">
        <v>0.4</v>
      </c>
      <c r="F13" s="25"/>
      <c r="G13" s="109"/>
      <c r="H13" s="68"/>
      <c r="I13" s="104"/>
      <c r="J13" s="68"/>
      <c r="K13" s="68"/>
      <c r="L13" s="108"/>
      <c r="M13" s="25"/>
      <c r="N13" s="25"/>
      <c r="O13" s="25"/>
      <c r="P13" s="25"/>
      <c r="Q13" s="25"/>
      <c r="R13" s="25"/>
      <c r="S13" s="25"/>
      <c r="T13" s="25"/>
      <c r="U13" s="25"/>
      <c r="V13" s="25"/>
      <c r="W13" s="25"/>
      <c r="X13" s="25"/>
      <c r="Y13" s="25"/>
      <c r="Z13" s="25"/>
    </row>
    <row r="14" spans="2:26">
      <c r="B14" s="25"/>
      <c r="C14" s="25"/>
      <c r="D14" s="25"/>
      <c r="E14" s="25"/>
      <c r="F14" s="25"/>
      <c r="G14" s="110" t="s">
        <v>208</v>
      </c>
      <c r="H14" s="68"/>
      <c r="I14" s="68"/>
      <c r="J14" s="68"/>
      <c r="K14" s="68"/>
      <c r="L14" s="108"/>
      <c r="M14" s="25"/>
      <c r="N14" s="25"/>
      <c r="O14" s="25"/>
      <c r="P14" s="25"/>
      <c r="Q14" s="25"/>
      <c r="R14" s="25"/>
      <c r="S14" s="25"/>
      <c r="T14" s="25"/>
      <c r="U14" s="25"/>
      <c r="V14" s="25"/>
      <c r="W14" s="25"/>
      <c r="X14" s="25"/>
      <c r="Y14" s="25"/>
      <c r="Z14" s="25"/>
    </row>
    <row r="15" spans="2:26" ht="19.8">
      <c r="B15" s="66" t="s">
        <v>224</v>
      </c>
      <c r="C15" s="25"/>
      <c r="D15" s="182" t="s">
        <v>190</v>
      </c>
      <c r="E15" s="183" t="s">
        <v>554</v>
      </c>
      <c r="F15" s="25"/>
      <c r="G15" s="112" t="s">
        <v>207</v>
      </c>
      <c r="H15" s="68"/>
      <c r="I15" s="68"/>
      <c r="J15" s="104" t="s">
        <v>152</v>
      </c>
      <c r="K15" s="104" t="s">
        <v>221</v>
      </c>
      <c r="L15" s="905">
        <f>'2'!P44/'3'!AT15</f>
        <v>113.49521551947018</v>
      </c>
      <c r="M15" s="25"/>
      <c r="N15" s="25"/>
      <c r="O15" s="25"/>
      <c r="P15" s="25"/>
      <c r="Q15" s="25"/>
      <c r="R15" s="25"/>
      <c r="S15" s="25"/>
      <c r="T15" s="25"/>
      <c r="U15" s="25"/>
      <c r="V15" s="25"/>
      <c r="W15" s="25"/>
      <c r="X15" s="25"/>
      <c r="Y15" s="25"/>
      <c r="Z15" s="25"/>
    </row>
    <row r="16" spans="2:26">
      <c r="B16" s="6" t="s">
        <v>209</v>
      </c>
      <c r="C16" s="25"/>
      <c r="D16" s="88">
        <v>0</v>
      </c>
      <c r="E16" s="65">
        <f>180*ATAN(TAN(L$9*PI()/180)-D16*(2*L$18*(1-L$8)/L$17))/PI()</f>
        <v>0</v>
      </c>
      <c r="F16" s="25"/>
      <c r="G16" s="112" t="s">
        <v>243</v>
      </c>
      <c r="H16" s="68"/>
      <c r="I16" s="68"/>
      <c r="J16" s="104" t="s">
        <v>244</v>
      </c>
      <c r="K16" s="104" t="s">
        <v>221</v>
      </c>
      <c r="L16" s="71">
        <f>IF(L10&lt;=0.05,2.003*L15, (1.977+0.52*L10)*L15)</f>
        <v>236.77371861671872</v>
      </c>
      <c r="M16" s="25"/>
      <c r="N16" s="25"/>
      <c r="O16" s="25"/>
      <c r="P16" s="25"/>
      <c r="Q16" s="25"/>
      <c r="R16" s="25"/>
      <c r="S16" s="25"/>
      <c r="T16" s="25"/>
      <c r="U16" s="25"/>
      <c r="V16" s="25"/>
      <c r="W16" s="25"/>
      <c r="X16" s="25"/>
      <c r="Y16" s="25"/>
      <c r="Z16" s="25"/>
    </row>
    <row r="17" spans="2:27">
      <c r="B17" s="75" t="s">
        <v>210</v>
      </c>
      <c r="C17" s="25"/>
      <c r="D17" s="88">
        <v>0.25</v>
      </c>
      <c r="E17" s="65">
        <f>180*ATAN(TAN(L$9*PI()/180)-D17*(2*L$18*(1-L$8)/L$17))/PI()</f>
        <v>0</v>
      </c>
      <c r="F17" s="25"/>
      <c r="G17" s="113" t="s">
        <v>204</v>
      </c>
      <c r="H17" s="68"/>
      <c r="I17" s="68"/>
      <c r="J17" s="104" t="s">
        <v>189</v>
      </c>
      <c r="K17" s="104" t="s">
        <v>222</v>
      </c>
      <c r="L17" s="71">
        <f>SQRT(L15*L12)</f>
        <v>25.877051060058488</v>
      </c>
      <c r="M17" s="25"/>
      <c r="N17" s="25"/>
      <c r="O17" s="25"/>
      <c r="P17" s="25"/>
      <c r="Q17" s="25"/>
      <c r="R17" s="25"/>
      <c r="S17" s="25"/>
      <c r="T17" s="25"/>
      <c r="U17" s="25"/>
      <c r="V17" s="25"/>
      <c r="W17" s="25"/>
      <c r="X17" s="25"/>
      <c r="Y17" s="25"/>
      <c r="Z17" s="25"/>
    </row>
    <row r="18" spans="2:27">
      <c r="B18" s="6" t="s">
        <v>170</v>
      </c>
      <c r="C18" s="25"/>
      <c r="D18" s="88">
        <f>E8</f>
        <v>0.27</v>
      </c>
      <c r="E18" s="65">
        <f>180*ATAN(TAN(L$9*PI()/180)-D18*(2*L$18*(1-L$8)/L$17))/PI()</f>
        <v>0</v>
      </c>
      <c r="F18" s="25"/>
      <c r="G18" s="112" t="s">
        <v>205</v>
      </c>
      <c r="H18" s="68"/>
      <c r="I18" s="68"/>
      <c r="J18" s="104" t="s">
        <v>219</v>
      </c>
      <c r="K18" s="104" t="s">
        <v>188</v>
      </c>
      <c r="L18" s="71">
        <f>2*L17/(L12*(1+L8))</f>
        <v>4.3859408576370313</v>
      </c>
      <c r="M18" s="43"/>
      <c r="N18" s="25"/>
      <c r="O18" s="25"/>
      <c r="P18" s="25"/>
      <c r="Q18" s="25"/>
      <c r="R18" s="25"/>
      <c r="S18" s="25"/>
      <c r="T18" s="25"/>
      <c r="U18" s="25"/>
      <c r="V18" s="25"/>
      <c r="W18" s="25"/>
      <c r="X18" s="25"/>
      <c r="Y18" s="25"/>
      <c r="Z18" s="25"/>
    </row>
    <row r="19" spans="2:27">
      <c r="B19" s="6" t="s">
        <v>181</v>
      </c>
      <c r="C19" s="25"/>
      <c r="D19" s="88">
        <f>E13</f>
        <v>0.4</v>
      </c>
      <c r="E19" s="65">
        <f>180*ATAN(TAN(L$9*PI()/180)-D19*(2*L$18*(1-L$8)/L$17))/PI()</f>
        <v>0</v>
      </c>
      <c r="F19" s="25"/>
      <c r="G19" s="112" t="s">
        <v>206</v>
      </c>
      <c r="H19" s="68"/>
      <c r="I19" s="68"/>
      <c r="J19" s="104" t="s">
        <v>67</v>
      </c>
      <c r="K19" s="104" t="s">
        <v>188</v>
      </c>
      <c r="L19" s="114">
        <f>L18*L8</f>
        <v>4.3859408576370313</v>
      </c>
      <c r="M19" s="43"/>
      <c r="N19" s="25"/>
      <c r="O19" s="25"/>
      <c r="P19" s="25"/>
      <c r="Q19" s="25"/>
      <c r="R19" s="25"/>
      <c r="S19" s="25"/>
      <c r="T19" s="25"/>
      <c r="U19" s="25"/>
      <c r="V19" s="25"/>
      <c r="W19" s="25"/>
      <c r="X19" s="25"/>
      <c r="Y19" s="25"/>
      <c r="Z19" s="25"/>
    </row>
    <row r="20" spans="2:27" ht="13.8" thickBot="1">
      <c r="B20" s="6" t="s">
        <v>211</v>
      </c>
      <c r="C20" s="43"/>
      <c r="D20" s="88">
        <v>1</v>
      </c>
      <c r="E20" s="65">
        <f>180*ATAN(TAN(L$9*PI()/180)-D20*(2*L$18*(1-L$8)/L$17))/PI()</f>
        <v>0</v>
      </c>
      <c r="F20" s="25"/>
      <c r="G20" s="115" t="s">
        <v>223</v>
      </c>
      <c r="H20" s="69"/>
      <c r="I20" s="69"/>
      <c r="J20" s="116" t="s">
        <v>220</v>
      </c>
      <c r="K20" s="116" t="s">
        <v>188</v>
      </c>
      <c r="L20" s="117">
        <f>(2*L18/3)*(1+L8+L8^2)/(1+L8)</f>
        <v>4.3859408576370313</v>
      </c>
      <c r="M20" s="43"/>
      <c r="N20" s="25"/>
      <c r="O20" s="25"/>
      <c r="P20" s="25"/>
      <c r="Q20" s="25"/>
      <c r="R20" s="25"/>
      <c r="S20" s="25"/>
      <c r="T20" s="25"/>
      <c r="U20" s="25"/>
      <c r="V20" s="25"/>
      <c r="W20" s="25"/>
      <c r="X20" s="25"/>
      <c r="Y20" s="25"/>
      <c r="Z20" s="25"/>
    </row>
    <row r="21" spans="2:27" ht="13.8" thickBot="1">
      <c r="B21" s="6"/>
      <c r="C21" s="43"/>
      <c r="D21" s="88"/>
      <c r="E21" s="65"/>
      <c r="F21" s="25"/>
      <c r="G21" s="6"/>
      <c r="H21" s="43"/>
      <c r="I21" s="43"/>
      <c r="J21" s="6"/>
      <c r="K21" s="6"/>
      <c r="L21" s="175"/>
      <c r="M21" s="43"/>
      <c r="N21" s="25"/>
      <c r="O21" s="25"/>
      <c r="P21" s="25"/>
      <c r="Q21" s="25"/>
      <c r="R21" s="25"/>
      <c r="S21" s="25"/>
      <c r="T21" s="25"/>
      <c r="U21" s="25"/>
      <c r="V21" s="25"/>
      <c r="W21" s="25"/>
      <c r="X21" s="25"/>
      <c r="Y21" s="25"/>
      <c r="Z21" s="25"/>
    </row>
    <row r="22" spans="2:27">
      <c r="B22" s="6"/>
      <c r="C22" s="43"/>
      <c r="D22" s="88"/>
      <c r="E22" s="65"/>
      <c r="F22" s="25"/>
      <c r="G22" s="6"/>
      <c r="H22" s="43"/>
      <c r="I22" s="902" t="s">
        <v>2552</v>
      </c>
      <c r="J22" s="106"/>
      <c r="K22" s="106"/>
      <c r="L22" s="107"/>
      <c r="M22" s="43"/>
      <c r="N22" s="25"/>
      <c r="O22" s="25"/>
      <c r="P22" s="25"/>
      <c r="Q22" s="25"/>
      <c r="R22" s="25"/>
      <c r="S22" s="25"/>
      <c r="T22" s="25"/>
      <c r="U22" s="25"/>
      <c r="V22" s="25"/>
      <c r="W22" s="25"/>
      <c r="X22" s="25"/>
      <c r="Y22" s="25"/>
      <c r="Z22" s="25"/>
    </row>
    <row r="23" spans="2:27">
      <c r="C23" s="6"/>
      <c r="D23" s="43"/>
      <c r="E23" s="88"/>
      <c r="F23" s="65"/>
      <c r="G23" s="25"/>
      <c r="H23" s="6"/>
      <c r="I23" s="109"/>
      <c r="J23" s="68"/>
      <c r="K23" s="187" t="s">
        <v>2553</v>
      </c>
      <c r="L23" s="898">
        <f>(L25+L24)/2</f>
        <v>0.34258619169733184</v>
      </c>
      <c r="M23" s="175"/>
      <c r="N23" s="6"/>
      <c r="O23" s="34"/>
      <c r="P23" s="25"/>
      <c r="Q23" s="25"/>
      <c r="R23" s="25"/>
      <c r="S23" s="25"/>
      <c r="T23" s="6"/>
      <c r="U23" s="34"/>
      <c r="V23" s="25"/>
      <c r="W23" s="25"/>
      <c r="X23" s="25"/>
      <c r="Y23" s="25"/>
      <c r="Z23" s="25"/>
      <c r="AA23" s="25"/>
    </row>
    <row r="24" spans="2:27">
      <c r="C24" s="6"/>
      <c r="D24" s="43"/>
      <c r="E24" s="88"/>
      <c r="F24" s="65"/>
      <c r="G24" s="25"/>
      <c r="H24" s="6"/>
      <c r="I24" s="109"/>
      <c r="J24" s="68"/>
      <c r="K24" s="187" t="s">
        <v>2554</v>
      </c>
      <c r="L24" s="898">
        <f>MAX(O69:O70,U69:U70)</f>
        <v>0.38350609503053423</v>
      </c>
      <c r="M24" s="175"/>
      <c r="N24" s="43"/>
      <c r="O24" s="25"/>
      <c r="P24" s="25"/>
      <c r="Q24" s="25"/>
      <c r="R24" s="25"/>
      <c r="S24" s="25"/>
      <c r="T24" s="25"/>
      <c r="U24" s="25"/>
      <c r="V24" s="25"/>
      <c r="W24" s="25"/>
      <c r="X24" s="25"/>
      <c r="Y24" s="25"/>
      <c r="Z24" s="25"/>
      <c r="AA24" s="25"/>
    </row>
    <row r="25" spans="2:27">
      <c r="C25" s="6"/>
      <c r="D25" s="43"/>
      <c r="E25" s="88"/>
      <c r="F25" s="65"/>
      <c r="G25" s="25"/>
      <c r="H25" s="6"/>
      <c r="I25" s="109"/>
      <c r="J25" s="68"/>
      <c r="K25" s="187" t="s">
        <v>2555</v>
      </c>
      <c r="L25" s="898">
        <f>MIN(O69:O70,U69:U70)</f>
        <v>0.30166628836412951</v>
      </c>
      <c r="M25" s="175"/>
      <c r="N25" s="43"/>
      <c r="O25" s="25"/>
      <c r="P25" s="57"/>
      <c r="Q25" s="34"/>
      <c r="R25" s="34"/>
      <c r="S25" s="34"/>
      <c r="T25" s="25"/>
      <c r="U25" s="25"/>
      <c r="V25" s="25"/>
      <c r="W25" s="25"/>
      <c r="X25" s="25"/>
      <c r="Y25" s="25"/>
      <c r="Z25" s="25"/>
      <c r="AA25" s="25"/>
    </row>
    <row r="26" spans="2:27" ht="13.8" thickBot="1">
      <c r="C26" s="27"/>
      <c r="D26" s="25"/>
      <c r="E26" s="25"/>
      <c r="F26" s="25"/>
      <c r="G26" s="25"/>
      <c r="H26" s="25"/>
      <c r="I26" s="899"/>
      <c r="J26" s="69"/>
      <c r="K26" s="900" t="s">
        <v>2556</v>
      </c>
      <c r="L26" s="901">
        <f>L24-L25</f>
        <v>8.1839806666404724E-2</v>
      </c>
      <c r="M26" s="25"/>
      <c r="N26" s="25"/>
      <c r="O26" s="25"/>
      <c r="P26" s="25"/>
      <c r="Q26" s="25"/>
      <c r="R26" s="25"/>
      <c r="S26" s="34"/>
      <c r="T26" s="25"/>
      <c r="U26" s="25"/>
      <c r="V26" s="25"/>
      <c r="W26" s="25"/>
      <c r="X26" s="25"/>
      <c r="Y26" s="25"/>
      <c r="Z26" s="25"/>
      <c r="AA26" s="25"/>
    </row>
    <row r="27" spans="2:27" s="192" customFormat="1" ht="13.8" thickBot="1">
      <c r="C27" s="6"/>
      <c r="D27" s="43"/>
      <c r="E27" s="43"/>
      <c r="F27" s="43"/>
      <c r="G27" s="43"/>
      <c r="H27" s="43"/>
      <c r="I27" s="43"/>
      <c r="J27" s="43"/>
      <c r="K27" s="72"/>
      <c r="L27" s="36"/>
      <c r="M27" s="43"/>
      <c r="N27" s="43"/>
      <c r="O27" s="43"/>
      <c r="P27" s="43"/>
      <c r="Q27" s="43"/>
      <c r="R27" s="43"/>
      <c r="S27" s="36"/>
      <c r="T27" s="43"/>
      <c r="U27" s="43"/>
      <c r="V27" s="43"/>
      <c r="W27" s="43"/>
      <c r="X27" s="43"/>
      <c r="Y27" s="43"/>
      <c r="Z27" s="43"/>
      <c r="AA27" s="43"/>
    </row>
    <row r="28" spans="2:27">
      <c r="C28" s="25"/>
      <c r="D28" s="25"/>
      <c r="E28" s="25"/>
      <c r="F28" s="25"/>
      <c r="G28" s="25"/>
      <c r="H28" s="25"/>
      <c r="I28" s="25"/>
      <c r="J28" s="25"/>
      <c r="K28" s="25"/>
      <c r="L28" s="25"/>
      <c r="M28" s="25"/>
      <c r="N28" s="25"/>
      <c r="O28" s="886" t="s">
        <v>256</v>
      </c>
      <c r="P28" s="22"/>
      <c r="Q28" s="22"/>
      <c r="R28" s="22"/>
      <c r="S28" s="22"/>
      <c r="T28" s="23"/>
      <c r="U28" s="886" t="s">
        <v>257</v>
      </c>
      <c r="V28" s="22"/>
      <c r="W28" s="22"/>
      <c r="X28" s="22"/>
      <c r="Y28" s="22"/>
      <c r="Z28" s="23"/>
      <c r="AA28" s="25"/>
    </row>
    <row r="29" spans="2:27">
      <c r="C29" s="25"/>
      <c r="D29" s="25"/>
      <c r="E29" s="25"/>
      <c r="F29" s="27"/>
      <c r="G29" s="27"/>
      <c r="H29" s="27"/>
      <c r="I29" s="25"/>
      <c r="J29" s="25"/>
      <c r="K29" s="27" t="s">
        <v>37</v>
      </c>
      <c r="L29" s="25"/>
      <c r="M29" s="25"/>
      <c r="N29" s="25"/>
      <c r="O29" s="24"/>
      <c r="P29" s="25"/>
      <c r="Q29" s="25"/>
      <c r="R29" s="27" t="s">
        <v>37</v>
      </c>
      <c r="S29" s="27" t="s">
        <v>37</v>
      </c>
      <c r="T29" s="26"/>
      <c r="U29" s="24"/>
      <c r="V29" s="25"/>
      <c r="W29" s="25"/>
      <c r="X29" s="27" t="s">
        <v>37</v>
      </c>
      <c r="Y29" s="27" t="s">
        <v>37</v>
      </c>
      <c r="Z29" s="26"/>
      <c r="AA29" s="25"/>
    </row>
    <row r="30" spans="2:27">
      <c r="C30" s="27" t="s">
        <v>217</v>
      </c>
      <c r="D30" s="29" t="s">
        <v>216</v>
      </c>
      <c r="E30" s="25" t="s">
        <v>37</v>
      </c>
      <c r="F30" s="25" t="s">
        <v>37</v>
      </c>
      <c r="G30" s="82" t="s">
        <v>46</v>
      </c>
      <c r="H30" s="25"/>
      <c r="I30" s="27" t="s">
        <v>37</v>
      </c>
      <c r="J30" s="25"/>
      <c r="K30" s="27" t="s">
        <v>56</v>
      </c>
      <c r="L30" s="27"/>
      <c r="M30" s="6" t="s">
        <v>231</v>
      </c>
      <c r="N30" s="6" t="s">
        <v>37</v>
      </c>
      <c r="O30" s="86" t="s">
        <v>37</v>
      </c>
      <c r="P30" s="6" t="s">
        <v>249</v>
      </c>
      <c r="Q30" s="6" t="s">
        <v>37</v>
      </c>
      <c r="R30" s="27" t="s">
        <v>56</v>
      </c>
      <c r="S30" s="27" t="s">
        <v>56</v>
      </c>
      <c r="T30" s="28" t="s">
        <v>82</v>
      </c>
      <c r="U30" s="86" t="s">
        <v>37</v>
      </c>
      <c r="V30" s="6" t="s">
        <v>249</v>
      </c>
      <c r="W30" s="6" t="s">
        <v>37</v>
      </c>
      <c r="X30" s="27" t="s">
        <v>56</v>
      </c>
      <c r="Y30" s="27" t="s">
        <v>56</v>
      </c>
      <c r="Z30" s="28" t="s">
        <v>82</v>
      </c>
      <c r="AA30" s="25"/>
    </row>
    <row r="31" spans="2:27">
      <c r="C31" s="6" t="s">
        <v>215</v>
      </c>
      <c r="D31" s="6" t="s">
        <v>215</v>
      </c>
      <c r="E31" s="6" t="s">
        <v>225</v>
      </c>
      <c r="F31" s="6" t="s">
        <v>225</v>
      </c>
      <c r="G31" s="6" t="s">
        <v>225</v>
      </c>
      <c r="H31" s="6" t="s">
        <v>37</v>
      </c>
      <c r="I31" s="6" t="s">
        <v>241</v>
      </c>
      <c r="J31" s="6" t="s">
        <v>37</v>
      </c>
      <c r="K31" s="6" t="s">
        <v>143</v>
      </c>
      <c r="L31" s="27"/>
      <c r="M31" s="6" t="s">
        <v>228</v>
      </c>
      <c r="N31" s="6" t="s">
        <v>55</v>
      </c>
      <c r="O31" s="86" t="s">
        <v>55</v>
      </c>
      <c r="P31" s="6" t="s">
        <v>246</v>
      </c>
      <c r="Q31" s="6" t="s">
        <v>251</v>
      </c>
      <c r="R31" s="6" t="s">
        <v>251</v>
      </c>
      <c r="S31" s="6" t="s">
        <v>146</v>
      </c>
      <c r="T31" s="89" t="s">
        <v>56</v>
      </c>
      <c r="U31" s="86" t="s">
        <v>55</v>
      </c>
      <c r="V31" s="6" t="s">
        <v>246</v>
      </c>
      <c r="W31" s="6" t="s">
        <v>251</v>
      </c>
      <c r="X31" s="6" t="s">
        <v>251</v>
      </c>
      <c r="Y31" s="6" t="s">
        <v>146</v>
      </c>
      <c r="Z31" s="89" t="s">
        <v>56</v>
      </c>
      <c r="AA31" s="25"/>
    </row>
    <row r="32" spans="2:27">
      <c r="C32" s="6" t="s">
        <v>45</v>
      </c>
      <c r="D32" s="73" t="s">
        <v>213</v>
      </c>
      <c r="E32" s="27" t="s">
        <v>35</v>
      </c>
      <c r="F32" s="27" t="s">
        <v>235</v>
      </c>
      <c r="G32" s="6" t="s">
        <v>45</v>
      </c>
      <c r="H32" s="6" t="s">
        <v>239</v>
      </c>
      <c r="I32" s="6" t="s">
        <v>242</v>
      </c>
      <c r="J32" s="6" t="s">
        <v>245</v>
      </c>
      <c r="K32" s="78" t="s">
        <v>59</v>
      </c>
      <c r="L32" s="48"/>
      <c r="M32" s="27" t="s">
        <v>229</v>
      </c>
      <c r="N32" s="6" t="s">
        <v>142</v>
      </c>
      <c r="O32" s="86" t="s">
        <v>142</v>
      </c>
      <c r="P32" s="6" t="s">
        <v>247</v>
      </c>
      <c r="Q32" s="6" t="s">
        <v>59</v>
      </c>
      <c r="R32" s="78" t="s">
        <v>59</v>
      </c>
      <c r="S32" s="78" t="s">
        <v>59</v>
      </c>
      <c r="T32" s="89" t="s">
        <v>146</v>
      </c>
      <c r="U32" s="86" t="s">
        <v>142</v>
      </c>
      <c r="V32" s="6" t="s">
        <v>247</v>
      </c>
      <c r="W32" s="6" t="s">
        <v>59</v>
      </c>
      <c r="X32" s="78" t="s">
        <v>59</v>
      </c>
      <c r="Y32" s="78" t="s">
        <v>59</v>
      </c>
      <c r="Z32" s="89" t="s">
        <v>146</v>
      </c>
      <c r="AA32" s="25"/>
    </row>
    <row r="33" spans="2:27">
      <c r="C33" s="6" t="s">
        <v>212</v>
      </c>
      <c r="D33" s="73" t="s">
        <v>212</v>
      </c>
      <c r="E33" s="27" t="s">
        <v>36</v>
      </c>
      <c r="F33" s="27" t="s">
        <v>233</v>
      </c>
      <c r="G33" s="6" t="s">
        <v>32</v>
      </c>
      <c r="H33" s="6" t="s">
        <v>36</v>
      </c>
      <c r="I33" s="6" t="s">
        <v>142</v>
      </c>
      <c r="J33" s="6" t="s">
        <v>145</v>
      </c>
      <c r="K33" s="6" t="s">
        <v>142</v>
      </c>
      <c r="L33" s="6" t="s">
        <v>227</v>
      </c>
      <c r="M33" s="6" t="s">
        <v>230</v>
      </c>
      <c r="N33" s="6" t="s">
        <v>250</v>
      </c>
      <c r="O33" s="86" t="s">
        <v>2549</v>
      </c>
      <c r="P33" s="6" t="s">
        <v>248</v>
      </c>
      <c r="Q33" s="6" t="s">
        <v>145</v>
      </c>
      <c r="R33" s="6" t="s">
        <v>142</v>
      </c>
      <c r="S33" s="6" t="s">
        <v>142</v>
      </c>
      <c r="T33" s="89" t="s">
        <v>59</v>
      </c>
      <c r="U33" s="86" t="s">
        <v>2550</v>
      </c>
      <c r="V33" s="6" t="s">
        <v>248</v>
      </c>
      <c r="W33" s="6" t="s">
        <v>145</v>
      </c>
      <c r="X33" s="6" t="s">
        <v>142</v>
      </c>
      <c r="Y33" s="6" t="s">
        <v>142</v>
      </c>
      <c r="Z33" s="89" t="s">
        <v>59</v>
      </c>
      <c r="AA33" s="25"/>
    </row>
    <row r="34" spans="2:27" ht="15.6">
      <c r="B34" s="1" t="str">
        <f>'2'!C43</f>
        <v>Mission Segment</v>
      </c>
      <c r="C34" s="79" t="s">
        <v>218</v>
      </c>
      <c r="D34" s="79" t="s">
        <v>214</v>
      </c>
      <c r="E34" s="31" t="s">
        <v>226</v>
      </c>
      <c r="F34" s="39" t="s">
        <v>234</v>
      </c>
      <c r="G34" s="39" t="s">
        <v>236</v>
      </c>
      <c r="H34" s="39" t="s">
        <v>240</v>
      </c>
      <c r="I34" s="39" t="s">
        <v>192</v>
      </c>
      <c r="J34" s="39" t="s">
        <v>193</v>
      </c>
      <c r="K34" s="39" t="s">
        <v>582</v>
      </c>
      <c r="L34" s="79" t="s">
        <v>189</v>
      </c>
      <c r="M34" s="39" t="s">
        <v>232</v>
      </c>
      <c r="N34" s="83" t="s">
        <v>252</v>
      </c>
      <c r="O34" s="897" t="s">
        <v>2548</v>
      </c>
      <c r="P34" s="39" t="s">
        <v>253</v>
      </c>
      <c r="Q34" s="39" t="s">
        <v>191</v>
      </c>
      <c r="R34" s="39" t="s">
        <v>254</v>
      </c>
      <c r="S34" s="39" t="s">
        <v>254</v>
      </c>
      <c r="T34" s="90" t="s">
        <v>255</v>
      </c>
      <c r="U34" s="897" t="s">
        <v>2551</v>
      </c>
      <c r="V34" s="39" t="s">
        <v>253</v>
      </c>
      <c r="W34" s="39" t="s">
        <v>191</v>
      </c>
      <c r="X34" s="39" t="s">
        <v>254</v>
      </c>
      <c r="Y34" s="39" t="s">
        <v>254</v>
      </c>
      <c r="Z34" s="90" t="s">
        <v>255</v>
      </c>
      <c r="AA34" s="25"/>
    </row>
    <row r="35" spans="2:27">
      <c r="B35" s="2" t="str">
        <f>'2'!C44</f>
        <v>Start-up &amp; Takeoff</v>
      </c>
      <c r="C35" s="189">
        <f>((-2.949115E-35*('2'!D44^6)) + (1.361403E-29*('2'!D44^5)) - (2.309923E-24*('2'!D44^4)) + (1.762239E-19*('2'!D44^3)) - (5.221998E-15*('2'!D44^2)) - (0.00000000001696421*'2'!D44) + 0.00001208327)/32.174</f>
        <v>3.7556007956735249E-7</v>
      </c>
      <c r="D35" s="91">
        <f>C35/'2'!H44</f>
        <v>1.5757767780136161E-4</v>
      </c>
      <c r="E35" s="77">
        <f>'2'!E44*COS(L$9*PI()/180)</f>
        <v>8.1522808931001889E-2</v>
      </c>
      <c r="F35" s="50">
        <f>'2'!I44*COS(PI()*L$9/180)</f>
        <v>91.141732439999998</v>
      </c>
      <c r="G35" s="50">
        <f>0.5*'2'!H44*(F35^2)</f>
        <v>9.8989536245268521</v>
      </c>
      <c r="H35" s="91">
        <f t="shared" ref="H35:H66" si="0">F35*L$20/D35</f>
        <v>2536794.8920298424</v>
      </c>
      <c r="I35" s="91">
        <f t="shared" ref="I35:I66" si="1">IF(H35&lt;1000000,1.328/SQRT(H35), 0.455/( (LOG(H35)^2.58)*(1+0.144*E35^2)^0.65))</f>
        <v>3.7761307837049715E-3</v>
      </c>
      <c r="J35" s="36">
        <f>(1+(0.6/D$19)*L$10+100*L$10^4)*(1.34*('2'!E44^0.18)*(COS(E$19*PI()/180))^0.28)</f>
        <v>1.288138894267</v>
      </c>
      <c r="K35" s="193">
        <f>I35*L$16*J35*L$11/L$15</f>
        <v>1.0147654261025393E-2</v>
      </c>
      <c r="L35" s="34">
        <f t="shared" ref="L35:L66" si="2">(1-(E35^2))^0.5</f>
        <v>0.9966714762769121</v>
      </c>
      <c r="M35" s="67">
        <f t="shared" ref="M35:M66" si="3">(PI()/180)*2*PI()*L$12/(2+SQRT(4+L$12^2*L35^2*(1+((TAN(E$19*PI()/180))^2)/L35^2)))</f>
        <v>7.8795989605121131E-2</v>
      </c>
      <c r="N35" s="34">
        <f t="shared" ref="N35:N66" si="4">(-1)*M35*E$9</f>
        <v>0</v>
      </c>
      <c r="O35" s="895">
        <f>('2'!P44/$L$15)/'2'!K44</f>
        <v>1.1112285618497153</v>
      </c>
      <c r="P35" s="35">
        <f>(O35-N35)/M35</f>
        <v>14.102603031176272</v>
      </c>
      <c r="Q35" s="34">
        <f>1/(PI()*L$12*'3'!AU15)</f>
        <v>5.5934161430793383E-2</v>
      </c>
      <c r="R35" s="34">
        <f>Q35*(O35^2)</f>
        <v>6.9069119964464298E-2</v>
      </c>
      <c r="S35" s="34">
        <f>R35+K35</f>
        <v>7.9216774225489686E-2</v>
      </c>
      <c r="T35" s="92">
        <f>S35*'2'!K44*$L$15</f>
        <v>88.998768474460732</v>
      </c>
      <c r="U35" s="895">
        <f>('2'!Q44/$L$15)/'2'!K44</f>
        <v>1.0834478478034724</v>
      </c>
      <c r="V35" s="35">
        <f>(U35-N35)/M35</f>
        <v>13.750037955396865</v>
      </c>
      <c r="W35" s="34">
        <f>1/(PI()*L$12*'3'!AU15)</f>
        <v>5.5934161430793383E-2</v>
      </c>
      <c r="X35" s="34">
        <f>W35*(U35^2)</f>
        <v>6.5658832166218872E-2</v>
      </c>
      <c r="Y35" s="34">
        <f>X35+K35</f>
        <v>7.580648642724426E-2</v>
      </c>
      <c r="Z35" s="92">
        <f>Y35*'2'!K44*$L$15</f>
        <v>85.1673651239105</v>
      </c>
      <c r="AA35" s="25"/>
    </row>
    <row r="36" spans="2:27">
      <c r="B36" s="2" t="str">
        <f>'2'!C45</f>
        <v>Climb+Accel1</v>
      </c>
      <c r="C36" s="189">
        <f>((-2.949115E-35*('2'!D45^6)) + (1.361403E-29*('2'!D45^5)) - (2.309923E-24*('2'!D45^4)) + (1.762239E-19*('2'!D45^3)) - (5.221998E-15*('2'!D45^2)) - (0.00000000001696421*'2'!D45) + 0.00001208327)/32.174</f>
        <v>3.6562959663003988E-7</v>
      </c>
      <c r="D36" s="91">
        <f>C36/'2'!H45</f>
        <v>1.9010108590259195E-4</v>
      </c>
      <c r="E36" s="77">
        <f>'2'!E45*COS(L$9*PI()/180)</f>
        <v>0.16</v>
      </c>
      <c r="F36" s="50">
        <f>'2'!I45*COS(PI()*L$9/180)</f>
        <v>174.28771794559998</v>
      </c>
      <c r="G36" s="50">
        <f>0.5*'2'!H45*(F36^2)</f>
        <v>29.211934415292436</v>
      </c>
      <c r="H36" s="91">
        <f t="shared" si="0"/>
        <v>4021100.7711634715</v>
      </c>
      <c r="I36" s="91">
        <f t="shared" si="1"/>
        <v>3.4818649168788644E-3</v>
      </c>
      <c r="J36" s="36">
        <f>(1+(0.6/D$19)*L$10+100*L$10^4)*(1.34*('2'!E45^0.18)*(COS(E$19*PI()/180))^0.28)</f>
        <v>1.4543671151999193</v>
      </c>
      <c r="K36" s="193">
        <f t="shared" ref="K36:K66" si="5">I36*L$16*J36*L$11/L$15</f>
        <v>1.0564328697102995E-2</v>
      </c>
      <c r="L36" s="34">
        <f t="shared" si="2"/>
        <v>0.98711701434024535</v>
      </c>
      <c r="M36" s="67">
        <f t="shared" si="3"/>
        <v>7.9311218823565927E-2</v>
      </c>
      <c r="N36" s="34">
        <f t="shared" si="4"/>
        <v>0</v>
      </c>
      <c r="O36" s="895">
        <f>('2'!P45/$L$15)/'2'!K45</f>
        <v>0.36714446388683752</v>
      </c>
      <c r="P36" s="35">
        <f t="shared" ref="P36:P65" si="6">(O36-N36)/M36</f>
        <v>4.6291617924013924</v>
      </c>
      <c r="Q36" s="34">
        <f>1/(PI()*L$12*'3'!AU16)</f>
        <v>5.5934161430793383E-2</v>
      </c>
      <c r="R36" s="34">
        <f>Q36*(O36^2)</f>
        <v>7.5396484986013004E-3</v>
      </c>
      <c r="S36" s="34">
        <f>R36+K36</f>
        <v>1.8103977195704293E-2</v>
      </c>
      <c r="T36" s="92">
        <f>S36*'2'!K45*$L$15</f>
        <v>60.022193792366309</v>
      </c>
      <c r="U36" s="895">
        <f>('2'!Q45/$L$15)/'2'!K45</f>
        <v>0.36479473931796175</v>
      </c>
      <c r="V36" s="35">
        <f t="shared" ref="V36:V65" si="7">(U36-N36)/M36</f>
        <v>4.599535156930024</v>
      </c>
      <c r="W36" s="34">
        <f>1/(PI()*L$12*'3'!AU16)</f>
        <v>5.5934161430793383E-2</v>
      </c>
      <c r="X36" s="34">
        <f>W36*(U36^2)</f>
        <v>7.4434498218217049E-3</v>
      </c>
      <c r="Y36" s="34">
        <f>X36+K36</f>
        <v>1.80077785189247E-2</v>
      </c>
      <c r="Z36" s="92">
        <f>Y36*'2'!K45*$L$15</f>
        <v>59.703255276380773</v>
      </c>
      <c r="AA36" s="25"/>
    </row>
    <row r="37" spans="2:27">
      <c r="B37" s="2" t="str">
        <f>'2'!C46</f>
        <v>Cruise 1a</v>
      </c>
      <c r="C37" s="189">
        <f>((-2.949115E-35*('2'!D46^6)) + (1.361403E-29*('2'!D46^5)) - (2.309923E-24*('2'!D46^4)) + (1.762239E-19*('2'!D46^3)) - (5.221998E-15*('2'!D46^2)) - (0.00000000001696421*'2'!D46) + 0.00001208327)/32.174</f>
        <v>3.6562959663003988E-7</v>
      </c>
      <c r="D37" s="91">
        <f>C37/'2'!H46</f>
        <v>1.9010108590259195E-4</v>
      </c>
      <c r="E37" s="77">
        <f>'2'!E46*COS(L$9*PI()/180)</f>
        <v>0.16</v>
      </c>
      <c r="F37" s="50">
        <f>'2'!I46*COS(PI()*L$9/180)</f>
        <v>174.28771794559998</v>
      </c>
      <c r="G37" s="50">
        <f>0.5*'2'!H46*(F37^2)</f>
        <v>29.211934415292436</v>
      </c>
      <c r="H37" s="91">
        <f t="shared" si="0"/>
        <v>4021100.7711634715</v>
      </c>
      <c r="I37" s="91">
        <f t="shared" si="1"/>
        <v>3.4818649168788644E-3</v>
      </c>
      <c r="J37" s="36">
        <f>(1+(0.6/D$19)*L$10+100*L$10^4)*(1.34*('2'!E46^0.18)*(COS(E$19*PI()/180))^0.28)</f>
        <v>1.4543671151999193</v>
      </c>
      <c r="K37" s="193">
        <f t="shared" si="5"/>
        <v>1.0564328697102995E-2</v>
      </c>
      <c r="L37" s="34">
        <f>((1-(E37^2))^0.5)</f>
        <v>0.98711701434024535</v>
      </c>
      <c r="M37" s="67">
        <f>(PI()/180)*2*PI()*L$12/(2+SQRT(4+L$12^2*L37^2*(1+((TAN(E$19*PI()/180))^2)/L37^2)))</f>
        <v>7.9311218823565927E-2</v>
      </c>
      <c r="N37" s="34">
        <f t="shared" si="4"/>
        <v>0</v>
      </c>
      <c r="O37" s="895">
        <f>('2'!P46/$L$15)/'2'!K46</f>
        <v>0.36479473931796175</v>
      </c>
      <c r="P37" s="35">
        <f t="shared" si="6"/>
        <v>4.599535156930024</v>
      </c>
      <c r="Q37" s="34">
        <f>1/(PI()*L$12*'3'!AU17)</f>
        <v>5.5934161430793383E-2</v>
      </c>
      <c r="R37" s="34">
        <f t="shared" ref="R37:R65" si="8">Q37*(O37^2)</f>
        <v>7.4434498218217049E-3</v>
      </c>
      <c r="S37" s="34">
        <f t="shared" ref="S37:S65" si="9">R37+K37</f>
        <v>1.80077785189247E-2</v>
      </c>
      <c r="T37" s="92">
        <f>S37*'2'!K46*$L$15</f>
        <v>59.703255276380773</v>
      </c>
      <c r="U37" s="895">
        <f>('2'!Q46/$L$15)/'2'!K46</f>
        <v>0.36223328287309126</v>
      </c>
      <c r="V37" s="35">
        <f t="shared" si="7"/>
        <v>4.5672388880935975</v>
      </c>
      <c r="W37" s="34">
        <f>1/(PI()*L$12*'3'!AU17)</f>
        <v>5.5934161430793383E-2</v>
      </c>
      <c r="X37" s="34">
        <f t="shared" ref="X37:X65" si="10">W37*(U37^2)</f>
        <v>7.3392863954071796E-3</v>
      </c>
      <c r="Y37" s="34">
        <f t="shared" ref="Y37:Y65" si="11">X37+K37</f>
        <v>1.7903615092510174E-2</v>
      </c>
      <c r="Z37" s="92">
        <f>Y37*'2'!K46*$L$15</f>
        <v>59.357910311639365</v>
      </c>
      <c r="AA37" s="25"/>
    </row>
    <row r="38" spans="2:27">
      <c r="B38" s="2" t="str">
        <f>'2'!C47</f>
        <v>Cruise 1b</v>
      </c>
      <c r="C38" s="189">
        <f>((-2.949115E-35*('2'!D47^6)) + (1.361403E-29*('2'!D47^5)) - (2.309923E-24*('2'!D47^4)) + (1.762239E-19*('2'!D47^3)) - (5.221998E-15*('2'!D47^2)) - (0.00000000001696421*'2'!D47) + 0.00001208327)/32.174</f>
        <v>3.6562959663003988E-7</v>
      </c>
      <c r="D38" s="91">
        <f>C38/'2'!H47</f>
        <v>1.9010108590259195E-4</v>
      </c>
      <c r="E38" s="77">
        <f>'2'!E47*COS(L$9*PI()/180)</f>
        <v>0.16</v>
      </c>
      <c r="F38" s="50">
        <f>'2'!I47*COS(PI()*L$9/180)</f>
        <v>174.28771794559998</v>
      </c>
      <c r="G38" s="50">
        <f>0.5*'2'!H47*(F38^2)</f>
        <v>29.211934415292436</v>
      </c>
      <c r="H38" s="91">
        <f t="shared" si="0"/>
        <v>4021100.7711634715</v>
      </c>
      <c r="I38" s="91">
        <f t="shared" si="1"/>
        <v>3.4818649168788644E-3</v>
      </c>
      <c r="J38" s="36">
        <f>(1+(0.6/D$19)*L$10+100*L$10^4)*(1.34*('2'!E47^0.18)*(COS(E$19*PI()/180))^0.28)</f>
        <v>1.4543671151999193</v>
      </c>
      <c r="K38" s="193">
        <f t="shared" si="5"/>
        <v>1.0564328697102995E-2</v>
      </c>
      <c r="L38" s="34">
        <f t="shared" si="2"/>
        <v>0.98711701434024535</v>
      </c>
      <c r="M38" s="67">
        <f t="shared" si="3"/>
        <v>7.9311218823565927E-2</v>
      </c>
      <c r="N38" s="34">
        <f t="shared" si="4"/>
        <v>0</v>
      </c>
      <c r="O38" s="895">
        <f>('2'!P47/$L$15)/'2'!K47</f>
        <v>0.36223328287309126</v>
      </c>
      <c r="P38" s="35">
        <f t="shared" si="6"/>
        <v>4.5672388880935975</v>
      </c>
      <c r="Q38" s="34">
        <f>1/(PI()*L$12*'3'!AU18)</f>
        <v>5.5934161430793383E-2</v>
      </c>
      <c r="R38" s="34">
        <f t="shared" si="8"/>
        <v>7.3392863954071796E-3</v>
      </c>
      <c r="S38" s="34">
        <f t="shared" si="9"/>
        <v>1.7903615092510174E-2</v>
      </c>
      <c r="T38" s="92">
        <f>S38*'2'!K47*$L$15</f>
        <v>59.357910311639365</v>
      </c>
      <c r="U38" s="895">
        <f>('2'!Q47/$L$15)/'2'!K47</f>
        <v>0.35967665410337851</v>
      </c>
      <c r="V38" s="35">
        <f t="shared" si="7"/>
        <v>4.5350034892731586</v>
      </c>
      <c r="W38" s="34">
        <f>1/(PI()*L$12*'3'!AU18)</f>
        <v>5.5934161430793383E-2</v>
      </c>
      <c r="X38" s="34">
        <f t="shared" si="10"/>
        <v>7.2360511907537664E-3</v>
      </c>
      <c r="Y38" s="34">
        <f t="shared" si="11"/>
        <v>1.7800379887856762E-2</v>
      </c>
      <c r="Z38" s="92">
        <f>Y38*'2'!K47*$L$15</f>
        <v>59.015642787055221</v>
      </c>
      <c r="AA38" s="25"/>
    </row>
    <row r="39" spans="2:27">
      <c r="B39" s="2" t="str">
        <f>'2'!C48</f>
        <v>Cruise 1c</v>
      </c>
      <c r="C39" s="189">
        <f>((-2.949115E-35*('2'!D48^6)) + (1.361403E-29*('2'!D48^5)) - (2.309923E-24*('2'!D48^4)) + (1.762239E-19*('2'!D48^3)) - (5.221998E-15*('2'!D48^2)) - (0.00000000001696421*'2'!D48) + 0.00001208327)/32.174</f>
        <v>3.6562959663003988E-7</v>
      </c>
      <c r="D39" s="91">
        <f>C39/'2'!H48</f>
        <v>1.9010108590259195E-4</v>
      </c>
      <c r="E39" s="77">
        <f>'2'!E48*COS(L$9*PI()/180)</f>
        <v>0.16</v>
      </c>
      <c r="F39" s="50">
        <f>'2'!I48*COS(PI()*L$9/180)</f>
        <v>174.28771794559998</v>
      </c>
      <c r="G39" s="50">
        <f>0.5*'2'!H48*(F39^2)</f>
        <v>29.211934415292436</v>
      </c>
      <c r="H39" s="91">
        <f t="shared" si="0"/>
        <v>4021100.7711634715</v>
      </c>
      <c r="I39" s="91">
        <f t="shared" si="1"/>
        <v>3.4818649168788644E-3</v>
      </c>
      <c r="J39" s="36">
        <f>(1+(0.6/D$19)*L$10+100*L$10^4)*(1.34*('2'!E48^0.18)*(COS(E$19*PI()/180))^0.28)</f>
        <v>1.4543671151999193</v>
      </c>
      <c r="K39" s="193">
        <f t="shared" si="5"/>
        <v>1.0564328697102995E-2</v>
      </c>
      <c r="L39" s="34">
        <f t="shared" si="2"/>
        <v>0.98711701434024535</v>
      </c>
      <c r="M39" s="67">
        <f t="shared" si="3"/>
        <v>7.9311218823565927E-2</v>
      </c>
      <c r="N39" s="34">
        <f t="shared" si="4"/>
        <v>0</v>
      </c>
      <c r="O39" s="895">
        <f>('2'!P48/$L$15)/'2'!K48</f>
        <v>0.35967665410337851</v>
      </c>
      <c r="P39" s="35">
        <f t="shared" si="6"/>
        <v>4.5350034892731586</v>
      </c>
      <c r="Q39" s="34">
        <f>1/(PI()*L$12*'3'!AU19)</f>
        <v>5.5934161430793383E-2</v>
      </c>
      <c r="R39" s="34">
        <f t="shared" si="8"/>
        <v>7.2360511907537664E-3</v>
      </c>
      <c r="S39" s="34">
        <f t="shared" si="9"/>
        <v>1.7800379887856762E-2</v>
      </c>
      <c r="T39" s="92">
        <f>S39*'2'!K48*$L$15</f>
        <v>59.015642787055221</v>
      </c>
      <c r="U39" s="895">
        <f>('2'!Q48/$L$15)/'2'!K48</f>
        <v>0.35712481092410059</v>
      </c>
      <c r="V39" s="35">
        <f t="shared" si="7"/>
        <v>4.5028284298410917</v>
      </c>
      <c r="W39" s="34">
        <f>1/(PI()*L$12*'3'!AU19)</f>
        <v>5.5934161430793383E-2</v>
      </c>
      <c r="X39" s="34">
        <f t="shared" si="10"/>
        <v>7.1337383843076635E-3</v>
      </c>
      <c r="Y39" s="34">
        <f t="shared" si="11"/>
        <v>1.7698067081410657E-2</v>
      </c>
      <c r="Z39" s="92">
        <f>Y39*'2'!K48*$L$15</f>
        <v>58.676433395131866</v>
      </c>
      <c r="AA39" s="25"/>
    </row>
    <row r="40" spans="2:27">
      <c r="B40" s="2" t="str">
        <f>'2'!C49</f>
        <v>Cruise 1d</v>
      </c>
      <c r="C40" s="189">
        <f>((-2.949115E-35*('2'!D49^6)) + (1.361403E-29*('2'!D49^5)) - (2.309923E-24*('2'!D49^4)) + (1.762239E-19*('2'!D49^3)) - (5.221998E-15*('2'!D49^2)) - (0.00000000001696421*'2'!D49) + 0.00001208327)/32.174</f>
        <v>3.6562959663003988E-7</v>
      </c>
      <c r="D40" s="91">
        <f>C40/'2'!H49</f>
        <v>1.9010108590259195E-4</v>
      </c>
      <c r="E40" s="77">
        <f>'2'!E49*COS(L$9*PI()/180)</f>
        <v>0.16</v>
      </c>
      <c r="F40" s="50">
        <f>'2'!I49*COS(PI()*L$9/180)</f>
        <v>174.28771794559998</v>
      </c>
      <c r="G40" s="50">
        <f>0.5*'2'!H49*(F40^2)</f>
        <v>29.211934415292436</v>
      </c>
      <c r="H40" s="91">
        <f t="shared" si="0"/>
        <v>4021100.7711634715</v>
      </c>
      <c r="I40" s="91">
        <f t="shared" si="1"/>
        <v>3.4818649168788644E-3</v>
      </c>
      <c r="J40" s="36">
        <f>(1+(0.6/D$19)*L$10+100*L$10^4)*(1.34*('2'!E49^0.18)*(COS(E$19*PI()/180))^0.28)</f>
        <v>1.4543671151999193</v>
      </c>
      <c r="K40" s="193">
        <f t="shared" si="5"/>
        <v>1.0564328697102995E-2</v>
      </c>
      <c r="L40" s="34">
        <f t="shared" si="2"/>
        <v>0.98711701434024535</v>
      </c>
      <c r="M40" s="67">
        <f t="shared" si="3"/>
        <v>7.9311218823565927E-2</v>
      </c>
      <c r="N40" s="34">
        <f t="shared" si="4"/>
        <v>0</v>
      </c>
      <c r="O40" s="895">
        <f>('2'!P49/$L$15)/'2'!K49</f>
        <v>0.35712481092410059</v>
      </c>
      <c r="P40" s="35">
        <f t="shared" si="6"/>
        <v>4.5028284298410917</v>
      </c>
      <c r="Q40" s="34">
        <f>1/(PI()*L$12*'3'!AU20)</f>
        <v>5.5934161430793383E-2</v>
      </c>
      <c r="R40" s="34">
        <f t="shared" si="8"/>
        <v>7.1337383843076635E-3</v>
      </c>
      <c r="S40" s="34">
        <f t="shared" si="9"/>
        <v>1.7698067081410657E-2</v>
      </c>
      <c r="T40" s="92">
        <f>S40*'2'!K49*$L$15</f>
        <v>58.676433395131866</v>
      </c>
      <c r="U40" s="895">
        <f>('2'!Q49/$L$15)/'2'!K49</f>
        <v>0.35457771152934708</v>
      </c>
      <c r="V40" s="35">
        <f t="shared" si="7"/>
        <v>4.4707131826852038</v>
      </c>
      <c r="W40" s="34">
        <f>1/(PI()*L$12*'3'!AU20)</f>
        <v>5.5934161430793383E-2</v>
      </c>
      <c r="X40" s="34">
        <f t="shared" si="10"/>
        <v>7.0323422193614591E-3</v>
      </c>
      <c r="Y40" s="34">
        <f t="shared" si="11"/>
        <v>1.7596670916464455E-2</v>
      </c>
      <c r="Z40" s="92">
        <f>Y40*'2'!K49*$L$15</f>
        <v>58.340263049996452</v>
      </c>
      <c r="AA40" s="25"/>
    </row>
    <row r="41" spans="2:27">
      <c r="B41" s="2" t="str">
        <f>'2'!C50</f>
        <v>Cruise 1e</v>
      </c>
      <c r="C41" s="189">
        <f>((-2.949115E-35*('2'!D50^6)) + (1.361403E-29*('2'!D50^5)) - (2.309923E-24*('2'!D50^4)) + (1.762239E-19*('2'!D50^3)) - (5.221998E-15*('2'!D50^2)) - (0.00000000001696421*'2'!D50) + 0.00001208327)/32.174</f>
        <v>3.6562959663003988E-7</v>
      </c>
      <c r="D41" s="91">
        <f>C41/'2'!H50</f>
        <v>1.9010108590259195E-4</v>
      </c>
      <c r="E41" s="77">
        <f>'2'!E50*COS(L$9*PI()/180)</f>
        <v>0.16</v>
      </c>
      <c r="F41" s="50">
        <f>'2'!I50*COS(PI()*L$9/180)</f>
        <v>174.28771794559998</v>
      </c>
      <c r="G41" s="50">
        <f>0.5*'2'!H50*(F41^2)</f>
        <v>29.211934415292436</v>
      </c>
      <c r="H41" s="91">
        <f t="shared" si="0"/>
        <v>4021100.7711634715</v>
      </c>
      <c r="I41" s="91">
        <f t="shared" si="1"/>
        <v>3.4818649168788644E-3</v>
      </c>
      <c r="J41" s="36">
        <f>(1+(0.6/D$19)*L$10+100*L$10^4)*(1.34*('2'!E50^0.18)*(COS(E$19*PI()/180))^0.28)</f>
        <v>1.4543671151999193</v>
      </c>
      <c r="K41" s="193">
        <f t="shared" si="5"/>
        <v>1.0564328697102995E-2</v>
      </c>
      <c r="L41" s="34">
        <f t="shared" si="2"/>
        <v>0.98711701434024535</v>
      </c>
      <c r="M41" s="67">
        <f t="shared" si="3"/>
        <v>7.9311218823565927E-2</v>
      </c>
      <c r="N41" s="34">
        <f t="shared" si="4"/>
        <v>0</v>
      </c>
      <c r="O41" s="895">
        <f>('2'!P50/$L$15)/'2'!K50</f>
        <v>0.35457771152934708</v>
      </c>
      <c r="P41" s="35">
        <f t="shared" si="6"/>
        <v>4.4707131826852038</v>
      </c>
      <c r="Q41" s="34">
        <f>1/(PI()*L$12*'3'!AU21)</f>
        <v>5.5934161430793383E-2</v>
      </c>
      <c r="R41" s="34">
        <f t="shared" si="8"/>
        <v>7.0323422193614591E-3</v>
      </c>
      <c r="S41" s="34">
        <f t="shared" si="9"/>
        <v>1.7596670916464455E-2</v>
      </c>
      <c r="T41" s="92">
        <f>S41*'2'!K50*$L$15</f>
        <v>58.340263049996452</v>
      </c>
      <c r="U41" s="895">
        <f>('2'!Q50/$L$15)/'2'!K50</f>
        <v>0.35203531438924951</v>
      </c>
      <c r="V41" s="35">
        <f t="shared" si="7"/>
        <v>4.4386572241737943</v>
      </c>
      <c r="W41" s="34">
        <f>1/(PI()*L$12*'3'!AU21)</f>
        <v>5.5934161430793383E-2</v>
      </c>
      <c r="X41" s="34">
        <f t="shared" si="10"/>
        <v>6.9318570053242311E-3</v>
      </c>
      <c r="Y41" s="34">
        <f t="shared" si="11"/>
        <v>1.7496185702427225E-2</v>
      </c>
      <c r="Z41" s="92">
        <f>Y41*'2'!K50*$L$15</f>
        <v>58.007112884979612</v>
      </c>
      <c r="AA41" s="25"/>
    </row>
    <row r="42" spans="2:27">
      <c r="B42" s="2" t="str">
        <f>'2'!C51</f>
        <v>Loiter 1a</v>
      </c>
      <c r="C42" s="189">
        <f>((-2.949115E-35*('2'!D51^6)) + (1.361403E-29*('2'!D51^5)) - (2.309923E-24*('2'!D51^4)) + (1.762239E-19*('2'!D51^3)) - (5.221998E-15*('2'!D51^2)) - (0.00000000001696421*'2'!D51) + 0.00001208327)/32.174</f>
        <v>3.7195070095491899E-7</v>
      </c>
      <c r="D42" s="91">
        <f>C42/'2'!H51</f>
        <v>1.737510759265973E-4</v>
      </c>
      <c r="E42" s="77">
        <f>'2'!E51*COS(L$9*PI()/180)</f>
        <v>0.15</v>
      </c>
      <c r="F42" s="50">
        <f>'2'!I51*COS(PI()*L$9/180)</f>
        <v>165.54666128699998</v>
      </c>
      <c r="G42" s="50">
        <f>0.5*'2'!H51*(F42^2)</f>
        <v>29.333827656839404</v>
      </c>
      <c r="H42" s="91">
        <f t="shared" si="0"/>
        <v>4178839.5364572587</v>
      </c>
      <c r="I42" s="91">
        <f t="shared" si="1"/>
        <v>3.4602379821272421E-3</v>
      </c>
      <c r="J42" s="36">
        <f>(1+(0.6/D$19)*L$10+100*L$10^4)*(1.34*('2'!E51^0.18)*(COS(E$19*PI()/180))^0.28)</f>
        <v>1.4375695854963486</v>
      </c>
      <c r="K42" s="193">
        <f t="shared" si="5"/>
        <v>1.0377453257772043E-2</v>
      </c>
      <c r="L42" s="34">
        <f t="shared" si="2"/>
        <v>0.98868599666425949</v>
      </c>
      <c r="M42" s="67">
        <f t="shared" si="3"/>
        <v>7.9226184643820974E-2</v>
      </c>
      <c r="N42" s="34">
        <f t="shared" si="4"/>
        <v>0</v>
      </c>
      <c r="O42" s="895">
        <f>('2'!P51/$L$15)/'2'!K51</f>
        <v>0.3505724733951624</v>
      </c>
      <c r="P42" s="35">
        <f t="shared" si="6"/>
        <v>4.424957164998407</v>
      </c>
      <c r="Q42" s="34">
        <f>1/(PI()*L$12*'3'!AU22)</f>
        <v>5.5934161430793383E-2</v>
      </c>
      <c r="R42" s="34">
        <f t="shared" si="8"/>
        <v>6.8743676798492231E-3</v>
      </c>
      <c r="S42" s="34">
        <f t="shared" si="9"/>
        <v>1.7251820937621266E-2</v>
      </c>
      <c r="T42" s="92">
        <f>S42*'2'!K51*$L$15</f>
        <v>57.435609190610755</v>
      </c>
      <c r="U42" s="895">
        <f>('2'!Q51/$L$15)/'2'!K51</f>
        <v>0.34912847979189759</v>
      </c>
      <c r="V42" s="35">
        <f t="shared" si="7"/>
        <v>4.4067309483787804</v>
      </c>
      <c r="W42" s="34">
        <f>1/(PI()*L$12*'3'!AU22)</f>
        <v>5.5934161430793383E-2</v>
      </c>
      <c r="X42" s="34">
        <f t="shared" si="10"/>
        <v>6.8178538335160266E-3</v>
      </c>
      <c r="Y42" s="34">
        <f t="shared" si="11"/>
        <v>1.7195307091288071E-2</v>
      </c>
      <c r="Z42" s="92">
        <f>Y42*'2'!K51*$L$15</f>
        <v>57.247460519024834</v>
      </c>
      <c r="AA42" s="25"/>
    </row>
    <row r="43" spans="2:27">
      <c r="B43" s="2" t="str">
        <f>'2'!C52</f>
        <v>Loiter 1b</v>
      </c>
      <c r="C43" s="189">
        <f>((-2.949115E-35*('2'!D52^6)) + (1.361403E-29*('2'!D52^5)) - (2.309923E-24*('2'!D52^4)) + (1.762239E-19*('2'!D52^3)) - (5.221998E-15*('2'!D52^2)) - (0.00000000001696421*'2'!D52) + 0.00001208327)/32.174</f>
        <v>3.7195070095491899E-7</v>
      </c>
      <c r="D43" s="91">
        <f>C43/'2'!H52</f>
        <v>1.737510759265973E-4</v>
      </c>
      <c r="E43" s="77">
        <f>'2'!E52*COS(L$9*PI()/180)</f>
        <v>0.15</v>
      </c>
      <c r="F43" s="50">
        <f>'2'!I52*COS(PI()*L$9/180)</f>
        <v>165.54666128699998</v>
      </c>
      <c r="G43" s="50">
        <f>0.5*'2'!H52*(F43^2)</f>
        <v>29.333827656839404</v>
      </c>
      <c r="H43" s="91">
        <f t="shared" si="0"/>
        <v>4178839.5364572587</v>
      </c>
      <c r="I43" s="91">
        <f t="shared" si="1"/>
        <v>3.4602379821272421E-3</v>
      </c>
      <c r="J43" s="36">
        <f>(1+(0.6/D$19)*L$10+100*L$10^4)*(1.34*('2'!E52^0.18)*(COS(E$19*PI()/180))^0.28)</f>
        <v>1.4375695854963486</v>
      </c>
      <c r="K43" s="193">
        <f t="shared" si="5"/>
        <v>1.0377453257772043E-2</v>
      </c>
      <c r="L43" s="34">
        <f t="shared" si="2"/>
        <v>0.98868599666425949</v>
      </c>
      <c r="M43" s="67">
        <f t="shared" si="3"/>
        <v>7.9226184643820974E-2</v>
      </c>
      <c r="N43" s="34">
        <f t="shared" si="4"/>
        <v>0</v>
      </c>
      <c r="O43" s="895">
        <f>('2'!P52/$L$15)/'2'!K52</f>
        <v>0.34912847979189759</v>
      </c>
      <c r="P43" s="35">
        <f t="shared" si="6"/>
        <v>4.4067309483787804</v>
      </c>
      <c r="Q43" s="34">
        <f>1/(PI()*L$12*'3'!AU23)</f>
        <v>5.5934161430793383E-2</v>
      </c>
      <c r="R43" s="34">
        <f t="shared" si="8"/>
        <v>6.8178538335160266E-3</v>
      </c>
      <c r="S43" s="34">
        <f t="shared" si="9"/>
        <v>1.7195307091288071E-2</v>
      </c>
      <c r="T43" s="92">
        <f>S43*'2'!K52*$L$15</f>
        <v>57.247460519024834</v>
      </c>
      <c r="U43" s="895">
        <f>('2'!Q52/$L$15)/'2'!K52</f>
        <v>0.34768598075601076</v>
      </c>
      <c r="V43" s="35">
        <f t="shared" si="7"/>
        <v>4.3885235963224885</v>
      </c>
      <c r="W43" s="34">
        <f>1/(PI()*L$12*'3'!AU23)</f>
        <v>5.5934161430793383E-2</v>
      </c>
      <c r="X43" s="34">
        <f t="shared" si="10"/>
        <v>6.7616313769277544E-3</v>
      </c>
      <c r="Y43" s="34">
        <f t="shared" si="11"/>
        <v>1.7139084634699799E-2</v>
      </c>
      <c r="Z43" s="92">
        <f>Y43*'2'!K52*$L$15</f>
        <v>57.060281956482598</v>
      </c>
      <c r="AA43" s="25"/>
    </row>
    <row r="44" spans="2:27">
      <c r="B44" s="2" t="str">
        <f>'2'!C53</f>
        <v>Loiter 1c</v>
      </c>
      <c r="C44" s="189">
        <f>((-2.949115E-35*('2'!D53^6)) + (1.361403E-29*('2'!D53^5)) - (2.309923E-24*('2'!D53^4)) + (1.762239E-19*('2'!D53^3)) - (5.221998E-15*('2'!D53^2)) - (0.00000000001696421*'2'!D53) + 0.00001208327)/32.174</f>
        <v>3.7195070095491899E-7</v>
      </c>
      <c r="D44" s="91">
        <f>C44/'2'!H53</f>
        <v>1.737510759265973E-4</v>
      </c>
      <c r="E44" s="77">
        <f>'2'!E53*COS(L$9*PI()/180)</f>
        <v>0.15</v>
      </c>
      <c r="F44" s="50">
        <f>'2'!I53*COS(PI()*L$9/180)</f>
        <v>165.54666128699998</v>
      </c>
      <c r="G44" s="50">
        <f>0.5*'2'!H53*(F44^2)</f>
        <v>29.333827656839404</v>
      </c>
      <c r="H44" s="91">
        <f t="shared" si="0"/>
        <v>4178839.5364572587</v>
      </c>
      <c r="I44" s="91">
        <f t="shared" si="1"/>
        <v>3.4602379821272421E-3</v>
      </c>
      <c r="J44" s="36">
        <f>(1+(0.6/D$19)*L$10+100*L$10^4)*(1.34*('2'!E53^0.18)*(COS(E$19*PI()/180))^0.28)</f>
        <v>1.4375695854963486</v>
      </c>
      <c r="K44" s="193">
        <f t="shared" si="5"/>
        <v>1.0377453257772043E-2</v>
      </c>
      <c r="L44" s="34">
        <f t="shared" si="2"/>
        <v>0.98868599666425949</v>
      </c>
      <c r="M44" s="67">
        <f t="shared" si="3"/>
        <v>7.9226184643820974E-2</v>
      </c>
      <c r="N44" s="34">
        <f t="shared" si="4"/>
        <v>0</v>
      </c>
      <c r="O44" s="895">
        <f>('2'!P53/$L$15)/'2'!K53</f>
        <v>0.34768598075601076</v>
      </c>
      <c r="P44" s="35">
        <f t="shared" si="6"/>
        <v>4.3885235963224885</v>
      </c>
      <c r="Q44" s="34">
        <f>1/(PI()*L$12*'3'!AU24)</f>
        <v>5.5934161430793383E-2</v>
      </c>
      <c r="R44" s="34">
        <f t="shared" si="8"/>
        <v>6.7616313769277544E-3</v>
      </c>
      <c r="S44" s="34">
        <f t="shared" si="9"/>
        <v>1.7139084634699799E-2</v>
      </c>
      <c r="T44" s="92">
        <f>S44*'2'!K53*$L$15</f>
        <v>57.060281956482598</v>
      </c>
      <c r="U44" s="895">
        <f>('2'!Q53/$L$15)/'2'!K53</f>
        <v>0.34624496868964133</v>
      </c>
      <c r="V44" s="35">
        <f t="shared" si="7"/>
        <v>4.3703350129286545</v>
      </c>
      <c r="W44" s="34">
        <f>1/(PI()*L$12*'3'!AU24)</f>
        <v>5.5934161430793383E-2</v>
      </c>
      <c r="X44" s="34">
        <f t="shared" si="10"/>
        <v>6.7056992922552763E-3</v>
      </c>
      <c r="Y44" s="34">
        <f t="shared" si="11"/>
        <v>1.708315255002732E-2</v>
      </c>
      <c r="Z44" s="92">
        <f>Y44*'2'!K53*$L$15</f>
        <v>56.874070114377325</v>
      </c>
      <c r="AA44" s="25"/>
    </row>
    <row r="45" spans="2:27">
      <c r="B45" s="2" t="str">
        <f>'2'!C54</f>
        <v>Loiter 1d</v>
      </c>
      <c r="C45" s="189">
        <f>((-2.949115E-35*('2'!D54^6)) + (1.361403E-29*('2'!D54^5)) - (2.309923E-24*('2'!D54^4)) + (1.762239E-19*('2'!D54^3)) - (5.221998E-15*('2'!D54^2)) - (0.00000000001696421*'2'!D54) + 0.00001208327)/32.174</f>
        <v>3.7195070095491899E-7</v>
      </c>
      <c r="D45" s="91">
        <f>C45/'2'!H54</f>
        <v>1.737510759265973E-4</v>
      </c>
      <c r="E45" s="77">
        <f>'2'!E54*COS(L$9*PI()/180)</f>
        <v>0.15</v>
      </c>
      <c r="F45" s="50">
        <f>'2'!I54*COS(PI()*L$9/180)</f>
        <v>165.54666128699998</v>
      </c>
      <c r="G45" s="50">
        <f>0.5*'2'!H54*(F45^2)</f>
        <v>29.333827656839404</v>
      </c>
      <c r="H45" s="91">
        <f t="shared" si="0"/>
        <v>4178839.5364572587</v>
      </c>
      <c r="I45" s="91">
        <f t="shared" si="1"/>
        <v>3.4602379821272421E-3</v>
      </c>
      <c r="J45" s="36">
        <f>(1+(0.6/D$19)*L$10+100*L$10^4)*(1.34*('2'!E54^0.18)*(COS(E$19*PI()/180))^0.28)</f>
        <v>1.4375695854963486</v>
      </c>
      <c r="K45" s="193">
        <f t="shared" si="5"/>
        <v>1.0377453257772043E-2</v>
      </c>
      <c r="L45" s="34">
        <f t="shared" si="2"/>
        <v>0.98868599666425949</v>
      </c>
      <c r="M45" s="67">
        <f t="shared" si="3"/>
        <v>7.9226184643820974E-2</v>
      </c>
      <c r="N45" s="34">
        <f t="shared" si="4"/>
        <v>0</v>
      </c>
      <c r="O45" s="895">
        <f>('2'!P54/$L$15)/'2'!K54</f>
        <v>0.34624496868964133</v>
      </c>
      <c r="P45" s="35">
        <f t="shared" si="6"/>
        <v>4.3703350129286545</v>
      </c>
      <c r="Q45" s="34">
        <f>1/(PI()*L$12*'3'!AU25)</f>
        <v>5.5934161430793383E-2</v>
      </c>
      <c r="R45" s="34">
        <f t="shared" si="8"/>
        <v>6.7056992922552763E-3</v>
      </c>
      <c r="S45" s="34">
        <f t="shared" si="9"/>
        <v>1.708315255002732E-2</v>
      </c>
      <c r="T45" s="92">
        <f>S45*'2'!K54*$L$15</f>
        <v>56.874070114377325</v>
      </c>
      <c r="U45" s="895">
        <f>('2'!Q54/$L$15)/'2'!K54</f>
        <v>0.34480543602246549</v>
      </c>
      <c r="V45" s="35">
        <f t="shared" si="7"/>
        <v>4.3521651026439736</v>
      </c>
      <c r="W45" s="34">
        <f>1/(PI()*L$12*'3'!AU25)</f>
        <v>5.5934161430793383E-2</v>
      </c>
      <c r="X45" s="34">
        <f t="shared" si="10"/>
        <v>6.6500565683754271E-3</v>
      </c>
      <c r="Y45" s="34">
        <f t="shared" si="11"/>
        <v>1.702750982614747E-2</v>
      </c>
      <c r="Z45" s="92">
        <f>Y45*'2'!K54*$L$15</f>
        <v>56.688821626428158</v>
      </c>
      <c r="AA45" s="25"/>
    </row>
    <row r="46" spans="2:27">
      <c r="B46" s="2" t="str">
        <f>'2'!C55</f>
        <v>Loiter 1e</v>
      </c>
      <c r="C46" s="189">
        <f>((-2.949115E-35*('2'!D55^6)) + (1.361403E-29*('2'!D55^5)) - (2.309923E-24*('2'!D55^4)) + (1.762239E-19*('2'!D55^3)) - (5.221998E-15*('2'!D55^2)) - (0.00000000001696421*'2'!D55) + 0.00001208327)/32.174</f>
        <v>3.7195070095491899E-7</v>
      </c>
      <c r="D46" s="91">
        <f>C46/'2'!H55</f>
        <v>1.737510759265973E-4</v>
      </c>
      <c r="E46" s="77">
        <f>'2'!E55*COS(L$9*PI()/180)</f>
        <v>0.15</v>
      </c>
      <c r="F46" s="50">
        <f>'2'!I55*COS(PI()*L$9/180)</f>
        <v>165.54666128699998</v>
      </c>
      <c r="G46" s="50">
        <f>0.5*'2'!H55*(F46^2)</f>
        <v>29.333827656839404</v>
      </c>
      <c r="H46" s="91">
        <f t="shared" si="0"/>
        <v>4178839.5364572587</v>
      </c>
      <c r="I46" s="91">
        <f t="shared" si="1"/>
        <v>3.4602379821272421E-3</v>
      </c>
      <c r="J46" s="36">
        <f>(1+(0.6/D$19)*L$10+100*L$10^4)*(1.34*('2'!E55^0.18)*(COS(E$19*PI()/180))^0.28)</f>
        <v>1.4375695854963486</v>
      </c>
      <c r="K46" s="193">
        <f t="shared" si="5"/>
        <v>1.0377453257772043E-2</v>
      </c>
      <c r="L46" s="34">
        <f t="shared" si="2"/>
        <v>0.98868599666425949</v>
      </c>
      <c r="M46" s="67">
        <f t="shared" si="3"/>
        <v>7.9226184643820974E-2</v>
      </c>
      <c r="N46" s="34">
        <f t="shared" si="4"/>
        <v>0</v>
      </c>
      <c r="O46" s="895">
        <f>('2'!P55/$L$15)/'2'!K55</f>
        <v>0.34480543602246549</v>
      </c>
      <c r="P46" s="35">
        <f t="shared" si="6"/>
        <v>4.3521651026439736</v>
      </c>
      <c r="Q46" s="34">
        <f>1/(PI()*L$12*'3'!AU26)</f>
        <v>5.5934161430793383E-2</v>
      </c>
      <c r="R46" s="34">
        <f t="shared" si="8"/>
        <v>6.6500565683754271E-3</v>
      </c>
      <c r="S46" s="34">
        <f t="shared" si="9"/>
        <v>1.702750982614747E-2</v>
      </c>
      <c r="T46" s="92">
        <f>S46*'2'!K55*$L$15</f>
        <v>56.688821626428158</v>
      </c>
      <c r="U46" s="895">
        <f>('2'!Q55/$L$15)/'2'!K55</f>
        <v>0.34336737521153099</v>
      </c>
      <c r="V46" s="35">
        <f t="shared" si="7"/>
        <v>4.3340137702606256</v>
      </c>
      <c r="W46" s="34">
        <f>1/(PI()*L$12*'3'!AU26)</f>
        <v>5.5934161430793383E-2</v>
      </c>
      <c r="X46" s="34">
        <f t="shared" si="10"/>
        <v>6.5947022008299057E-3</v>
      </c>
      <c r="Y46" s="34">
        <f t="shared" si="11"/>
        <v>1.6972155458601951E-2</v>
      </c>
      <c r="Z46" s="92">
        <f>Y46*'2'!K55*$L$15</f>
        <v>56.504533148543217</v>
      </c>
      <c r="AA46" s="25"/>
    </row>
    <row r="47" spans="2:27">
      <c r="B47" s="2" t="str">
        <f>'2'!C56</f>
        <v>Climb+Accel2</v>
      </c>
      <c r="C47" s="189">
        <f>((-2.949115E-35*('2'!D56^6)) + (1.361403E-29*('2'!D56^5)) - (2.309923E-24*('2'!D56^4)) + (1.762239E-19*('2'!D56^3)) - (5.221998E-15*('2'!D56^2)) - (0.00000000001696421*'2'!D56) + 0.00001208327)/32.174</f>
        <v>3.7195070095491899E-7</v>
      </c>
      <c r="D47" s="91">
        <f>C47/'2'!H56</f>
        <v>1.737510759265973E-4</v>
      </c>
      <c r="E47" s="77">
        <f>'2'!E56*COS(L$9*PI()/180)</f>
        <v>0.16</v>
      </c>
      <c r="F47" s="50">
        <f>'2'!I56*COS(PI()*L$9/180)</f>
        <v>176.58310537279999</v>
      </c>
      <c r="G47" s="50">
        <f>0.5*'2'!H56*(F47^2)</f>
        <v>33.375377245115061</v>
      </c>
      <c r="H47" s="91">
        <f t="shared" si="0"/>
        <v>4457428.8388877427</v>
      </c>
      <c r="I47" s="91">
        <f t="shared" si="1"/>
        <v>3.4217407821413291E-3</v>
      </c>
      <c r="J47" s="36">
        <f>(1+(0.6/D$19)*L$10+100*L$10^4)*(1.34*('2'!E56^0.18)*(COS(E$19*PI()/180))^0.28)</f>
        <v>1.4543671151999193</v>
      </c>
      <c r="K47" s="193">
        <f t="shared" si="5"/>
        <v>1.0381906019268153E-2</v>
      </c>
      <c r="L47" s="34">
        <f t="shared" si="2"/>
        <v>0.98711701434024535</v>
      </c>
      <c r="M47" s="67">
        <f t="shared" si="3"/>
        <v>7.9311218823565927E-2</v>
      </c>
      <c r="N47" s="34">
        <f t="shared" si="4"/>
        <v>0</v>
      </c>
      <c r="O47" s="895">
        <f>('2'!P56/$L$15)/'2'!K56</f>
        <v>0.3017877321195096</v>
      </c>
      <c r="P47" s="35">
        <f t="shared" si="6"/>
        <v>3.8051077337603432</v>
      </c>
      <c r="Q47" s="34">
        <f>1/(PI()*L$12*'3'!AU27)</f>
        <v>5.5934161430793383E-2</v>
      </c>
      <c r="R47" s="34">
        <f t="shared" si="8"/>
        <v>5.0942504717561921E-3</v>
      </c>
      <c r="S47" s="34">
        <f t="shared" si="9"/>
        <v>1.5476156491024344E-2</v>
      </c>
      <c r="T47" s="92">
        <f>S47*'2'!K56*$L$15</f>
        <v>58.622839403197169</v>
      </c>
      <c r="U47" s="895">
        <f>('2'!Q56/$L$15)/'2'!K56</f>
        <v>0.30166628836412951</v>
      </c>
      <c r="V47" s="35">
        <f t="shared" si="7"/>
        <v>3.8035765032839808</v>
      </c>
      <c r="W47" s="34">
        <f>1/(PI()*L$12*'3'!AU27)</f>
        <v>5.5934161430793383E-2</v>
      </c>
      <c r="X47" s="34">
        <f t="shared" si="10"/>
        <v>5.0901512963262832E-3</v>
      </c>
      <c r="Y47" s="34">
        <f t="shared" si="11"/>
        <v>1.5472057315594437E-2</v>
      </c>
      <c r="Z47" s="92">
        <f>Y47*'2'!K56*$L$15</f>
        <v>58.607311949526597</v>
      </c>
      <c r="AA47" s="25"/>
    </row>
    <row r="48" spans="2:27">
      <c r="B48" s="2" t="str">
        <f>'2'!C57</f>
        <v>Combat</v>
      </c>
      <c r="C48" s="189">
        <f>((-2.949115E-35*('2'!D57^6)) + (1.361403E-29*('2'!D57^5)) - (2.309923E-24*('2'!D57^4)) + (1.762239E-19*('2'!D57^3)) - (5.221998E-15*('2'!D57^2)) - (0.00000000001696421*'2'!D57) + 0.00001208327)/32.174</f>
        <v>3.7195070095491899E-7</v>
      </c>
      <c r="D48" s="91">
        <f>C48/'2'!H57</f>
        <v>1.737510759265973E-4</v>
      </c>
      <c r="E48" s="77">
        <f>'2'!E57*COS(L$9*PI()/180)</f>
        <v>0.15</v>
      </c>
      <c r="F48" s="50">
        <f>'2'!I57*COS(PI()*L$9/180)</f>
        <v>165.54666128699998</v>
      </c>
      <c r="G48" s="50">
        <f>0.5*'2'!H57*(F48^2)</f>
        <v>29.333827656839404</v>
      </c>
      <c r="H48" s="91">
        <f t="shared" si="0"/>
        <v>4178839.5364572587</v>
      </c>
      <c r="I48" s="91">
        <f t="shared" si="1"/>
        <v>3.4602379821272421E-3</v>
      </c>
      <c r="J48" s="36">
        <f>(1+(0.6/D$19)*L$10+100*L$10^4)*(1.34*('2'!E57^0.18)*(COS(E$19*PI()/180))^0.28)</f>
        <v>1.4375695854963486</v>
      </c>
      <c r="K48" s="193">
        <f t="shared" si="5"/>
        <v>1.0377453257772043E-2</v>
      </c>
      <c r="L48" s="34">
        <f t="shared" si="2"/>
        <v>0.98868599666425949</v>
      </c>
      <c r="M48" s="67">
        <f t="shared" si="3"/>
        <v>7.9226184643820974E-2</v>
      </c>
      <c r="N48" s="34">
        <f t="shared" si="4"/>
        <v>0</v>
      </c>
      <c r="O48" s="895">
        <f>('2'!P57/$L$15)/'2'!K57</f>
        <v>0.34322919920540967</v>
      </c>
      <c r="P48" s="35">
        <f t="shared" si="6"/>
        <v>4.3322697003329553</v>
      </c>
      <c r="Q48" s="34">
        <f>1/(PI()*L$12*'3'!AU28)</f>
        <v>5.5934161430793383E-2</v>
      </c>
      <c r="R48" s="34">
        <f t="shared" si="8"/>
        <v>6.5893956613538663E-3</v>
      </c>
      <c r="S48" s="34">
        <f t="shared" si="9"/>
        <v>1.696684891912591E-2</v>
      </c>
      <c r="T48" s="92">
        <f>S48*'2'!K57*$L$15</f>
        <v>56.486866356811348</v>
      </c>
      <c r="U48" s="895">
        <f>('2'!Q57/$L$15)/'2'!K57</f>
        <v>0.33407642055993209</v>
      </c>
      <c r="V48" s="35">
        <f t="shared" si="7"/>
        <v>4.2167425083240762</v>
      </c>
      <c r="W48" s="34">
        <f>1/(PI()*L$12*'3'!AU28)</f>
        <v>5.5934161430793383E-2</v>
      </c>
      <c r="X48" s="34">
        <f t="shared" si="10"/>
        <v>6.2426470185519565E-3</v>
      </c>
      <c r="Y48" s="34">
        <f t="shared" si="11"/>
        <v>1.6620100276324001E-2</v>
      </c>
      <c r="Z48" s="92">
        <f>Y48*'2'!K57*$L$15</f>
        <v>55.332453752637214</v>
      </c>
      <c r="AA48" s="25"/>
    </row>
    <row r="49" spans="2:27">
      <c r="B49" s="2" t="str">
        <f>'2'!C58</f>
        <v>Drop Expendable Payload</v>
      </c>
      <c r="C49" s="189">
        <f>((-2.949115E-35*('2'!D58^6)) + (1.361403E-29*('2'!D58^5)) - (2.309923E-24*('2'!D58^4)) + (1.762239E-19*('2'!D58^3)) - (5.221998E-15*('2'!D58^2)) - (0.00000000001696421*'2'!D58) + 0.00001208327)/32.174</f>
        <v>3.7195070095491899E-7</v>
      </c>
      <c r="D49" s="91">
        <f>C49/'2'!H58</f>
        <v>1.737510759265973E-4</v>
      </c>
      <c r="E49" s="77">
        <f>'2'!E58*COS(L$9*PI()/180)</f>
        <v>0.15</v>
      </c>
      <c r="F49" s="50">
        <f>'2'!I58*COS(PI()*L$9/180)</f>
        <v>165.54666128699998</v>
      </c>
      <c r="G49" s="50">
        <f>0.5*'2'!H58*(F49^2)</f>
        <v>29.333827656839404</v>
      </c>
      <c r="H49" s="91">
        <f t="shared" si="0"/>
        <v>4178839.5364572587</v>
      </c>
      <c r="I49" s="91">
        <f t="shared" si="1"/>
        <v>3.4602379821272421E-3</v>
      </c>
      <c r="J49" s="36">
        <f>(1+(0.6/D$19)*L$10+100*L$10^4)*(1.34*('2'!E58^0.18)*(COS(E$19*PI()/180))^0.28)</f>
        <v>1.4375695854963486</v>
      </c>
      <c r="K49" s="193">
        <f t="shared" si="5"/>
        <v>1.0377453257772043E-2</v>
      </c>
      <c r="L49" s="34">
        <f t="shared" si="2"/>
        <v>0.98868599666425949</v>
      </c>
      <c r="M49" s="67">
        <f t="shared" si="3"/>
        <v>7.9226184643820974E-2</v>
      </c>
      <c r="N49" s="34">
        <f t="shared" si="4"/>
        <v>0</v>
      </c>
      <c r="O49" s="895">
        <f>('2'!P58/$L$15)/'2'!K58</f>
        <v>0.33407642055993209</v>
      </c>
      <c r="P49" s="35">
        <f t="shared" si="6"/>
        <v>4.2167425083240762</v>
      </c>
      <c r="Q49" s="34">
        <f>1/(PI()*L$12*'3'!AU29)</f>
        <v>5.5934161430793383E-2</v>
      </c>
      <c r="R49" s="34">
        <f t="shared" si="8"/>
        <v>6.2426470185519565E-3</v>
      </c>
      <c r="S49" s="34">
        <f t="shared" si="9"/>
        <v>1.6620100276324001E-2</v>
      </c>
      <c r="T49" s="92">
        <f>S49*'2'!K58*$L$15</f>
        <v>55.332453752637214</v>
      </c>
      <c r="U49" s="895">
        <f>('2'!Q58/$L$15)/'2'!K58</f>
        <v>0.33407642055993209</v>
      </c>
      <c r="V49" s="35">
        <f t="shared" si="7"/>
        <v>4.2167425083240762</v>
      </c>
      <c r="W49" s="34">
        <f>1/(PI()*L$12*'3'!AU29)</f>
        <v>5.5934161430793383E-2</v>
      </c>
      <c r="X49" s="34">
        <f t="shared" si="10"/>
        <v>6.2426470185519565E-3</v>
      </c>
      <c r="Y49" s="34">
        <f t="shared" si="11"/>
        <v>1.6620100276324001E-2</v>
      </c>
      <c r="Z49" s="92">
        <f>Y49*'2'!K58*$L$15</f>
        <v>55.332453752637214</v>
      </c>
      <c r="AA49" s="25"/>
    </row>
    <row r="50" spans="2:27">
      <c r="B50" s="2" t="str">
        <f>'2'!C59</f>
        <v>Loiter 2a</v>
      </c>
      <c r="C50" s="189">
        <f>((-2.949115E-35*('2'!D59^6)) + (1.361403E-29*('2'!D59^5)) - (2.309923E-24*('2'!D59^4)) + (1.762239E-19*('2'!D59^3)) - (5.221998E-15*('2'!D59^2)) - (0.00000000001696421*'2'!D59) + 0.00001208327)/32.174</f>
        <v>3.7195070095491899E-7</v>
      </c>
      <c r="D50" s="91">
        <f>C50/'2'!H59</f>
        <v>1.737510759265973E-4</v>
      </c>
      <c r="E50" s="77">
        <f>'2'!E59*COS(L$9*PI()/180)</f>
        <v>0.14000000000000001</v>
      </c>
      <c r="F50" s="50">
        <f>'2'!I59*COS(PI()*L$9/180)</f>
        <v>154.51021720119999</v>
      </c>
      <c r="G50" s="50">
        <f>0.5*'2'!H59*(F50^2)</f>
        <v>25.553023203291218</v>
      </c>
      <c r="H50" s="91">
        <f t="shared" si="0"/>
        <v>3900250.2340267752</v>
      </c>
      <c r="I50" s="91">
        <f t="shared" si="1"/>
        <v>3.5019156039608592E-3</v>
      </c>
      <c r="J50" s="36">
        <f>(1+(0.6/D$19)*L$10+100*L$10^4)*(1.34*('2'!E59^0.18)*(COS(E$19*PI()/180))^0.28)</f>
        <v>1.4198272126143852</v>
      </c>
      <c r="K50" s="193">
        <f t="shared" si="5"/>
        <v>1.0372826460666595E-2</v>
      </c>
      <c r="L50" s="34">
        <f t="shared" si="2"/>
        <v>0.99015150355892512</v>
      </c>
      <c r="M50" s="67">
        <f t="shared" si="3"/>
        <v>7.9146910274457402E-2</v>
      </c>
      <c r="N50" s="34">
        <f t="shared" si="4"/>
        <v>0</v>
      </c>
      <c r="O50" s="895">
        <f>('2'!P59/$L$15)/'2'!K59</f>
        <v>0.38350609503053423</v>
      </c>
      <c r="P50" s="35">
        <f t="shared" si="6"/>
        <v>4.8454967313398818</v>
      </c>
      <c r="Q50" s="34">
        <f>1/(PI()*L$12*'3'!AU30)</f>
        <v>5.5934161430793383E-2</v>
      </c>
      <c r="R50" s="34">
        <f t="shared" si="8"/>
        <v>8.2266244615314642E-3</v>
      </c>
      <c r="S50" s="34">
        <f t="shared" si="9"/>
        <v>1.8599450922198058E-2</v>
      </c>
      <c r="T50" s="92">
        <f>S50*'2'!K59*$L$15</f>
        <v>53.941120881024297</v>
      </c>
      <c r="U50" s="895">
        <f>('2'!Q59/$L$15)/'2'!K59</f>
        <v>0.38212368319151241</v>
      </c>
      <c r="V50" s="35">
        <f t="shared" si="7"/>
        <v>4.8280303282392669</v>
      </c>
      <c r="W50" s="34">
        <f>1/(PI()*L$12*'3'!AU30)</f>
        <v>5.5934161430793383E-2</v>
      </c>
      <c r="X50" s="34">
        <f t="shared" si="10"/>
        <v>8.1674228686003623E-3</v>
      </c>
      <c r="Y50" s="34">
        <f t="shared" si="11"/>
        <v>1.8540249329266956E-2</v>
      </c>
      <c r="Z50" s="92">
        <f>Y50*'2'!K59*$L$15</f>
        <v>53.769427625454341</v>
      </c>
      <c r="AA50" s="25"/>
    </row>
    <row r="51" spans="2:27">
      <c r="B51" s="2" t="str">
        <f>'2'!C60</f>
        <v>Loiter 2b</v>
      </c>
      <c r="C51" s="189">
        <f>((-2.949115E-35*('2'!D60^6)) + (1.361403E-29*('2'!D60^5)) - (2.309923E-24*('2'!D60^4)) + (1.762239E-19*('2'!D60^3)) - (5.221998E-15*('2'!D60^2)) - (0.00000000001696421*'2'!D60) + 0.00001208327)/32.174</f>
        <v>3.7195070095491899E-7</v>
      </c>
      <c r="D51" s="91">
        <f>C51/'2'!H60</f>
        <v>1.737510759265973E-4</v>
      </c>
      <c r="E51" s="77">
        <f>'2'!E60*COS(L$9*PI()/180)</f>
        <v>0.14000000000000001</v>
      </c>
      <c r="F51" s="50">
        <f>'2'!I60*COS(PI()*L$9/180)</f>
        <v>154.51021720119999</v>
      </c>
      <c r="G51" s="50">
        <f>0.5*'2'!H60*(F51^2)</f>
        <v>25.553023203291218</v>
      </c>
      <c r="H51" s="91">
        <f t="shared" si="0"/>
        <v>3900250.2340267752</v>
      </c>
      <c r="I51" s="91">
        <f t="shared" si="1"/>
        <v>3.5019156039608592E-3</v>
      </c>
      <c r="J51" s="36">
        <f>(1+(0.6/D$19)*L$10+100*L$10^4)*(1.34*('2'!E60^0.18)*(COS(E$19*PI()/180))^0.28)</f>
        <v>1.4198272126143852</v>
      </c>
      <c r="K51" s="193">
        <f t="shared" si="5"/>
        <v>1.0372826460666595E-2</v>
      </c>
      <c r="L51" s="34">
        <f t="shared" si="2"/>
        <v>0.99015150355892512</v>
      </c>
      <c r="M51" s="67">
        <f t="shared" si="3"/>
        <v>7.9146910274457402E-2</v>
      </c>
      <c r="N51" s="34">
        <f t="shared" si="4"/>
        <v>0</v>
      </c>
      <c r="O51" s="895">
        <f>('2'!P60/$L$15)/'2'!K60</f>
        <v>0.38212368319151241</v>
      </c>
      <c r="P51" s="35">
        <f t="shared" si="6"/>
        <v>4.8280303282392669</v>
      </c>
      <c r="Q51" s="34">
        <f>1/(PI()*L$12*'3'!AU31)</f>
        <v>5.5934161430793383E-2</v>
      </c>
      <c r="R51" s="34">
        <f t="shared" si="8"/>
        <v>8.1674228686003623E-3</v>
      </c>
      <c r="S51" s="34">
        <f t="shared" si="9"/>
        <v>1.8540249329266956E-2</v>
      </c>
      <c r="T51" s="92">
        <f>S51*'2'!K60*$L$15</f>
        <v>53.769427625454341</v>
      </c>
      <c r="U51" s="895">
        <f>('2'!Q60/$L$15)/'2'!K60</f>
        <v>0.38074273035968442</v>
      </c>
      <c r="V51" s="35">
        <f t="shared" si="7"/>
        <v>4.8105823593035346</v>
      </c>
      <c r="W51" s="34">
        <f>1/(PI()*L$12*'3'!AU31)</f>
        <v>5.5934161430793383E-2</v>
      </c>
      <c r="X51" s="34">
        <f t="shared" si="10"/>
        <v>8.1084972064734938E-3</v>
      </c>
      <c r="Y51" s="34">
        <f t="shared" si="11"/>
        <v>1.8481323667140087E-2</v>
      </c>
      <c r="Z51" s="92">
        <f>Y51*'2'!K60*$L$15</f>
        <v>53.598534609468246</v>
      </c>
      <c r="AA51" s="25"/>
    </row>
    <row r="52" spans="2:27">
      <c r="B52" s="2" t="str">
        <f>'2'!C61</f>
        <v>Loiter 2c</v>
      </c>
      <c r="C52" s="189">
        <f>((-2.949115E-35*('2'!D61^6)) + (1.361403E-29*('2'!D61^5)) - (2.309923E-24*('2'!D61^4)) + (1.762239E-19*('2'!D61^3)) - (5.221998E-15*('2'!D61^2)) - (0.00000000001696421*'2'!D61) + 0.00001208327)/32.174</f>
        <v>3.7195070095491899E-7</v>
      </c>
      <c r="D52" s="91">
        <f>C52/'2'!H61</f>
        <v>1.737510759265973E-4</v>
      </c>
      <c r="E52" s="77">
        <f>'2'!E61*COS(L$9*PI()/180)</f>
        <v>0.14000000000000001</v>
      </c>
      <c r="F52" s="50">
        <f>'2'!I61*COS(PI()*L$9/180)</f>
        <v>154.51021720119999</v>
      </c>
      <c r="G52" s="50">
        <f>0.5*'2'!H61*(F52^2)</f>
        <v>25.553023203291218</v>
      </c>
      <c r="H52" s="91">
        <f t="shared" si="0"/>
        <v>3900250.2340267752</v>
      </c>
      <c r="I52" s="91">
        <f t="shared" si="1"/>
        <v>3.5019156039608592E-3</v>
      </c>
      <c r="J52" s="36">
        <f>(1+(0.6/D$19)*L$10+100*L$10^4)*(1.34*('2'!E61^0.18)*(COS(E$19*PI()/180))^0.28)</f>
        <v>1.4198272126143852</v>
      </c>
      <c r="K52" s="193">
        <f t="shared" si="5"/>
        <v>1.0372826460666595E-2</v>
      </c>
      <c r="L52" s="34">
        <f t="shared" si="2"/>
        <v>0.99015150355892512</v>
      </c>
      <c r="M52" s="67">
        <f t="shared" si="3"/>
        <v>7.9146910274457402E-2</v>
      </c>
      <c r="N52" s="34">
        <f t="shared" si="4"/>
        <v>0</v>
      </c>
      <c r="O52" s="895">
        <f>('2'!P61/$L$15)/'2'!K61</f>
        <v>0.38074273035968442</v>
      </c>
      <c r="P52" s="35">
        <f t="shared" si="6"/>
        <v>4.8105823593035346</v>
      </c>
      <c r="Q52" s="34">
        <f>1/(PI()*L$12*'3'!AU32)</f>
        <v>5.5934161430793383E-2</v>
      </c>
      <c r="R52" s="34">
        <f t="shared" si="8"/>
        <v>8.1084972064734938E-3</v>
      </c>
      <c r="S52" s="34">
        <f t="shared" si="9"/>
        <v>1.8481323667140087E-2</v>
      </c>
      <c r="T52" s="92">
        <f>S52*'2'!K61*$L$15</f>
        <v>53.598534609468246</v>
      </c>
      <c r="U52" s="895">
        <f>('2'!Q61/$L$15)/'2'!K61</f>
        <v>0.37936322980019049</v>
      </c>
      <c r="V52" s="35">
        <f t="shared" si="7"/>
        <v>4.7931527394395337</v>
      </c>
      <c r="W52" s="34">
        <f>1/(PI()*L$12*'3'!AU32)</f>
        <v>5.5934161430793383E-2</v>
      </c>
      <c r="X52" s="34">
        <f t="shared" si="10"/>
        <v>8.0498465131483253E-3</v>
      </c>
      <c r="Y52" s="34">
        <f t="shared" si="11"/>
        <v>1.8422672973814919E-2</v>
      </c>
      <c r="Z52" s="92">
        <f>Y52*'2'!K61*$L$15</f>
        <v>53.428439043118324</v>
      </c>
      <c r="AA52" s="25"/>
    </row>
    <row r="53" spans="2:27">
      <c r="B53" s="2" t="str">
        <f>'2'!C62</f>
        <v>Loiter 2d</v>
      </c>
      <c r="C53" s="189">
        <f>((-2.949115E-35*('2'!D62^6)) + (1.361403E-29*('2'!D62^5)) - (2.309923E-24*('2'!D62^4)) + (1.762239E-19*('2'!D62^3)) - (5.221998E-15*('2'!D62^2)) - (0.00000000001696421*'2'!D62) + 0.00001208327)/32.174</f>
        <v>3.7195070095491899E-7</v>
      </c>
      <c r="D53" s="91">
        <f>C53/'2'!H62</f>
        <v>1.737510759265973E-4</v>
      </c>
      <c r="E53" s="77">
        <f>'2'!E62*COS(L$9*PI()/180)</f>
        <v>0.14000000000000001</v>
      </c>
      <c r="F53" s="50">
        <f>'2'!I62*COS(PI()*L$9/180)</f>
        <v>154.51021720119999</v>
      </c>
      <c r="G53" s="50">
        <f>0.5*'2'!H62*(F53^2)</f>
        <v>25.553023203291218</v>
      </c>
      <c r="H53" s="91">
        <f t="shared" si="0"/>
        <v>3900250.2340267752</v>
      </c>
      <c r="I53" s="91">
        <f t="shared" si="1"/>
        <v>3.5019156039608592E-3</v>
      </c>
      <c r="J53" s="36">
        <f>(1+(0.6/D$19)*L$10+100*L$10^4)*(1.34*('2'!E62^0.18)*(COS(E$19*PI()/180))^0.28)</f>
        <v>1.4198272126143852</v>
      </c>
      <c r="K53" s="193">
        <f t="shared" si="5"/>
        <v>1.0372826460666595E-2</v>
      </c>
      <c r="L53" s="34">
        <f t="shared" si="2"/>
        <v>0.99015150355892512</v>
      </c>
      <c r="M53" s="67">
        <f t="shared" si="3"/>
        <v>7.9146910274457402E-2</v>
      </c>
      <c r="N53" s="34">
        <f t="shared" si="4"/>
        <v>0</v>
      </c>
      <c r="O53" s="895">
        <f>('2'!P62/$L$15)/'2'!K62</f>
        <v>0.37936322980019049</v>
      </c>
      <c r="P53" s="35">
        <f t="shared" si="6"/>
        <v>4.7931527394395337</v>
      </c>
      <c r="Q53" s="34">
        <f>1/(PI()*L$12*'3'!AU33)</f>
        <v>5.5934161430793383E-2</v>
      </c>
      <c r="R53" s="34">
        <f t="shared" si="8"/>
        <v>8.0498465131483253E-3</v>
      </c>
      <c r="S53" s="34">
        <f t="shared" si="9"/>
        <v>1.8422672973814919E-2</v>
      </c>
      <c r="T53" s="92">
        <f>S53*'2'!K62*$L$15</f>
        <v>53.428439043118324</v>
      </c>
      <c r="U53" s="895">
        <f>('2'!Q62/$L$15)/'2'!K62</f>
        <v>0.37798517480217714</v>
      </c>
      <c r="V53" s="35">
        <f t="shared" si="7"/>
        <v>4.7757413838574312</v>
      </c>
      <c r="W53" s="34">
        <f>1/(PI()*L$12*'3'!AU33)</f>
        <v>5.5934161430793383E-2</v>
      </c>
      <c r="X53" s="34">
        <f t="shared" si="10"/>
        <v>7.991469832504804E-3</v>
      </c>
      <c r="Y53" s="34">
        <f t="shared" si="11"/>
        <v>1.8364296293171399E-2</v>
      </c>
      <c r="Z53" s="92">
        <f>Y53*'2'!K62*$L$15</f>
        <v>53.259138153516957</v>
      </c>
      <c r="AA53" s="25"/>
    </row>
    <row r="54" spans="2:27">
      <c r="B54" s="2" t="str">
        <f>'2'!C63</f>
        <v>Loiter 2e</v>
      </c>
      <c r="C54" s="189">
        <f>((-2.949115E-35*('2'!D63^6)) + (1.361403E-29*('2'!D63^5)) - (2.309923E-24*('2'!D63^4)) + (1.762239E-19*('2'!D63^3)) - (5.221998E-15*('2'!D63^2)) - (0.00000000001696421*'2'!D63) + 0.00001208327)/32.174</f>
        <v>3.7195070095491899E-7</v>
      </c>
      <c r="D54" s="91">
        <f>C54/'2'!H63</f>
        <v>1.737510759265973E-4</v>
      </c>
      <c r="E54" s="77">
        <f>'2'!E63*COS(L$9*PI()/180)</f>
        <v>0.14000000000000001</v>
      </c>
      <c r="F54" s="50">
        <f>'2'!I63*COS(PI()*L$9/180)</f>
        <v>154.51021720119999</v>
      </c>
      <c r="G54" s="50">
        <f>0.5*'2'!H63*(F54^2)</f>
        <v>25.553023203291218</v>
      </c>
      <c r="H54" s="91">
        <f t="shared" si="0"/>
        <v>3900250.2340267752</v>
      </c>
      <c r="I54" s="91">
        <f t="shared" si="1"/>
        <v>3.5019156039608592E-3</v>
      </c>
      <c r="J54" s="36">
        <f>(1+(0.6/D$19)*L$10+100*L$10^4)*(1.34*('2'!E63^0.18)*(COS(E$19*PI()/180))^0.28)</f>
        <v>1.4198272126143852</v>
      </c>
      <c r="K54" s="193">
        <f t="shared" si="5"/>
        <v>1.0372826460666595E-2</v>
      </c>
      <c r="L54" s="34">
        <f t="shared" si="2"/>
        <v>0.99015150355892512</v>
      </c>
      <c r="M54" s="67">
        <f t="shared" si="3"/>
        <v>7.9146910274457402E-2</v>
      </c>
      <c r="N54" s="34">
        <f t="shared" si="4"/>
        <v>0</v>
      </c>
      <c r="O54" s="895">
        <f>('2'!P63/$L$15)/'2'!K63</f>
        <v>0.37798517480217714</v>
      </c>
      <c r="P54" s="35">
        <f t="shared" si="6"/>
        <v>4.7757413838574312</v>
      </c>
      <c r="Q54" s="34">
        <f>1/(PI()*L$12*'3'!AU34)</f>
        <v>5.5934161430793383E-2</v>
      </c>
      <c r="R54" s="34">
        <f t="shared" si="8"/>
        <v>7.991469832504804E-3</v>
      </c>
      <c r="S54" s="34">
        <f t="shared" si="9"/>
        <v>1.8364296293171399E-2</v>
      </c>
      <c r="T54" s="92">
        <f>S54*'2'!K63*$L$15</f>
        <v>53.259138153516957</v>
      </c>
      <c r="U54" s="895">
        <f>('2'!Q63/$L$15)/'2'!K63</f>
        <v>0.37660855867865767</v>
      </c>
      <c r="V54" s="35">
        <f t="shared" si="7"/>
        <v>4.7583482080689414</v>
      </c>
      <c r="W54" s="34">
        <f>1/(PI()*L$12*'3'!AU34)</f>
        <v>5.5934161430793383E-2</v>
      </c>
      <c r="X54" s="34">
        <f t="shared" si="10"/>
        <v>7.9333662142700642E-3</v>
      </c>
      <c r="Y54" s="34">
        <f t="shared" si="11"/>
        <v>1.8306192674936661E-2</v>
      </c>
      <c r="Z54" s="92">
        <f>Y54*'2'!K63*$L$15</f>
        <v>53.090629184734212</v>
      </c>
      <c r="AA54" s="25"/>
    </row>
    <row r="55" spans="2:27">
      <c r="B55" s="2" t="str">
        <f>'2'!C64</f>
        <v>Climb+Accel3</v>
      </c>
      <c r="C55" s="189">
        <f>((-2.949115E-35*('2'!D64^6)) + (1.361403E-29*('2'!D64^5)) - (2.309923E-24*('2'!D64^4)) + (1.762239E-19*('2'!D64^3)) - (5.221998E-15*('2'!D64^2)) - (0.00000000001696421*'2'!D64) + 0.00001208327)/32.174</f>
        <v>3.5885760806396468E-7</v>
      </c>
      <c r="D55" s="91">
        <f>C55/'2'!H64</f>
        <v>2.0464834222967882E-4</v>
      </c>
      <c r="E55" s="77">
        <f>'2'!E64*COS(L$9*PI()/180)</f>
        <v>0.16</v>
      </c>
      <c r="F55" s="50">
        <f>'2'!I64*COS(PI()*L$9/180)</f>
        <v>172.32024300800001</v>
      </c>
      <c r="G55" s="50">
        <f>0.5*'2'!H64*(F55^2)</f>
        <v>26.034936828281378</v>
      </c>
      <c r="H55" s="91">
        <f t="shared" si="0"/>
        <v>3693098.0538239726</v>
      </c>
      <c r="I55" s="91">
        <f t="shared" si="1"/>
        <v>3.5326375830396746E-3</v>
      </c>
      <c r="J55" s="36">
        <f>(1+(0.6/D$19)*L$10+100*L$10^4)*(1.34*('2'!E64^0.18)*(COS(E$19*PI()/180))^0.28)</f>
        <v>1.4543671151999193</v>
      </c>
      <c r="K55" s="193">
        <f t="shared" si="5"/>
        <v>1.0718378077810125E-2</v>
      </c>
      <c r="L55" s="34">
        <f t="shared" si="2"/>
        <v>0.98711701434024535</v>
      </c>
      <c r="M55" s="67">
        <f t="shared" si="3"/>
        <v>7.9311218823565927E-2</v>
      </c>
      <c r="N55" s="34">
        <f t="shared" si="4"/>
        <v>0</v>
      </c>
      <c r="O55" s="895">
        <f>('2'!P64/$L$15)/'2'!K64</f>
        <v>0.36963743380471525</v>
      </c>
      <c r="P55" s="35">
        <f t="shared" si="6"/>
        <v>4.6605945449785979</v>
      </c>
      <c r="Q55" s="34">
        <f>1/(PI()*L$12*'3'!AU35)</f>
        <v>5.5934161430793383E-2</v>
      </c>
      <c r="R55" s="34">
        <f t="shared" si="8"/>
        <v>7.6423869739472893E-3</v>
      </c>
      <c r="S55" s="34">
        <f t="shared" si="9"/>
        <v>1.8360765051757415E-2</v>
      </c>
      <c r="T55" s="92">
        <f>S55*'2'!K64*$L$15</f>
        <v>54.253137076519913</v>
      </c>
      <c r="U55" s="895">
        <f>('2'!Q64/$L$15)/'2'!K64</f>
        <v>0.36934005855628027</v>
      </c>
      <c r="V55" s="35">
        <f t="shared" si="7"/>
        <v>4.6568450722955905</v>
      </c>
      <c r="W55" s="34">
        <f>1/(PI()*L$12*'3'!AU35)</f>
        <v>5.5934161430793383E-2</v>
      </c>
      <c r="X55" s="34">
        <f t="shared" si="10"/>
        <v>7.6300952397496957E-3</v>
      </c>
      <c r="Y55" s="34">
        <f t="shared" si="11"/>
        <v>1.8348473317559823E-2</v>
      </c>
      <c r="Z55" s="92">
        <f>Y55*'2'!K64*$L$15</f>
        <v>54.216816959223586</v>
      </c>
      <c r="AA55" s="25"/>
    </row>
    <row r="56" spans="2:27">
      <c r="B56" s="2" t="str">
        <f>'2'!C65</f>
        <v>Cruise 2a</v>
      </c>
      <c r="C56" s="189">
        <f>((-2.949115E-35*('2'!D65^6)) + (1.361403E-29*('2'!D65^5)) - (2.309923E-24*('2'!D65^4)) + (1.762239E-19*('2'!D65^3)) - (5.221998E-15*('2'!D65^2)) - (0.00000000001696421*'2'!D65) + 0.00001208327)/32.174</f>
        <v>3.5885760806396468E-7</v>
      </c>
      <c r="D56" s="91">
        <f>C56/'2'!H65</f>
        <v>2.0464834222967882E-4</v>
      </c>
      <c r="E56" s="77">
        <f>'2'!E65*COS(L$9*PI()/180)</f>
        <v>0.16</v>
      </c>
      <c r="F56" s="50">
        <f>'2'!I65*COS(PI()*L$9/180)</f>
        <v>172.32024300800001</v>
      </c>
      <c r="G56" s="50">
        <f>0.5*'2'!H65*(F56^2)</f>
        <v>26.034936828281378</v>
      </c>
      <c r="H56" s="91">
        <f t="shared" si="0"/>
        <v>3693098.0538239726</v>
      </c>
      <c r="I56" s="91">
        <f t="shared" si="1"/>
        <v>3.5326375830396746E-3</v>
      </c>
      <c r="J56" s="36">
        <f>(1+(0.6/D$19)*L$10+100*L$10^4)*(1.34*('2'!E65^0.18)*(COS(E$19*PI()/180))^0.28)</f>
        <v>1.4543671151999193</v>
      </c>
      <c r="K56" s="193">
        <f t="shared" si="5"/>
        <v>1.0718378077810125E-2</v>
      </c>
      <c r="L56" s="34">
        <f t="shared" si="2"/>
        <v>0.98711701434024535</v>
      </c>
      <c r="M56" s="67">
        <f t="shared" si="3"/>
        <v>7.9311218823565927E-2</v>
      </c>
      <c r="N56" s="34">
        <f t="shared" si="4"/>
        <v>0</v>
      </c>
      <c r="O56" s="895">
        <f>('2'!P65/$L$15)/'2'!K65</f>
        <v>0.36934005855628027</v>
      </c>
      <c r="P56" s="35">
        <f t="shared" si="6"/>
        <v>4.6568450722955905</v>
      </c>
      <c r="Q56" s="34">
        <f>1/(PI()*L$12*'3'!AU36)</f>
        <v>5.5934161430793383E-2</v>
      </c>
      <c r="R56" s="34">
        <f t="shared" si="8"/>
        <v>7.6300952397496957E-3</v>
      </c>
      <c r="S56" s="34">
        <f t="shared" si="9"/>
        <v>1.8348473317559823E-2</v>
      </c>
      <c r="T56" s="92">
        <f>S56*'2'!K65*$L$15</f>
        <v>54.216816959223586</v>
      </c>
      <c r="U56" s="895">
        <f>('2'!Q65/$L$15)/'2'!K65</f>
        <v>0.36675681337106103</v>
      </c>
      <c r="V56" s="35">
        <f t="shared" si="7"/>
        <v>4.624274078890914</v>
      </c>
      <c r="W56" s="34">
        <f>1/(PI()*L$12*'3'!AU36)</f>
        <v>5.5934161430793383E-2</v>
      </c>
      <c r="X56" s="34">
        <f t="shared" si="10"/>
        <v>7.5237353858056098E-3</v>
      </c>
      <c r="Y56" s="34">
        <f t="shared" si="11"/>
        <v>1.8242113463615733E-2</v>
      </c>
      <c r="Z56" s="92">
        <f>Y56*'2'!K65*$L$15</f>
        <v>53.902540526885325</v>
      </c>
      <c r="AA56" s="25"/>
    </row>
    <row r="57" spans="2:27">
      <c r="B57" s="2" t="str">
        <f>'2'!C66</f>
        <v>Cruise 2b</v>
      </c>
      <c r="C57" s="189">
        <f>((-2.949115E-35*('2'!D66^6)) + (1.361403E-29*('2'!D66^5)) - (2.309923E-24*('2'!D66^4)) + (1.762239E-19*('2'!D66^3)) - (5.221998E-15*('2'!D66^2)) - (0.00000000001696421*'2'!D66) + 0.00001208327)/32.174</f>
        <v>3.5885760806396468E-7</v>
      </c>
      <c r="D57" s="91">
        <f>C57/'2'!H66</f>
        <v>2.0464834222967882E-4</v>
      </c>
      <c r="E57" s="77">
        <f>'2'!E66*COS(L$9*PI()/180)</f>
        <v>0.16</v>
      </c>
      <c r="F57" s="50">
        <f>'2'!I66*COS(PI()*L$9/180)</f>
        <v>172.32024300800001</v>
      </c>
      <c r="G57" s="50">
        <f>0.5*'2'!H66*(F57^2)</f>
        <v>26.034936828281378</v>
      </c>
      <c r="H57" s="91">
        <f t="shared" si="0"/>
        <v>3693098.0538239726</v>
      </c>
      <c r="I57" s="91">
        <f t="shared" si="1"/>
        <v>3.5326375830396746E-3</v>
      </c>
      <c r="J57" s="36">
        <f>(1+(0.6/D$19)*L$10+100*L$10^4)*(1.34*('2'!E66^0.18)*(COS(E$19*PI()/180))^0.28)</f>
        <v>1.4543671151999193</v>
      </c>
      <c r="K57" s="193">
        <f t="shared" si="5"/>
        <v>1.0718378077810125E-2</v>
      </c>
      <c r="L57" s="34">
        <f t="shared" si="2"/>
        <v>0.98711701434024535</v>
      </c>
      <c r="M57" s="67">
        <f t="shared" si="3"/>
        <v>7.9311218823565927E-2</v>
      </c>
      <c r="N57" s="34">
        <f t="shared" si="4"/>
        <v>0</v>
      </c>
      <c r="O57" s="895">
        <f>('2'!P66/$L$15)/'2'!K66</f>
        <v>0.36675681337106103</v>
      </c>
      <c r="P57" s="35">
        <f t="shared" si="6"/>
        <v>4.624274078890914</v>
      </c>
      <c r="Q57" s="34">
        <f>1/(PI()*L$12*'3'!AU37)</f>
        <v>5.5934161430793383E-2</v>
      </c>
      <c r="R57" s="34">
        <f t="shared" si="8"/>
        <v>7.5237353858056098E-3</v>
      </c>
      <c r="S57" s="34">
        <f t="shared" si="9"/>
        <v>1.8242113463615733E-2</v>
      </c>
      <c r="T57" s="92">
        <f>S57*'2'!K66*$L$15</f>
        <v>53.902540526885325</v>
      </c>
      <c r="U57" s="895">
        <f>('2'!Q66/$L$15)/'2'!K66</f>
        <v>0.36417849649037126</v>
      </c>
      <c r="V57" s="35">
        <f t="shared" si="7"/>
        <v>4.591765224293364</v>
      </c>
      <c r="W57" s="34">
        <f>1/(PI()*L$12*'3'!AU37)</f>
        <v>5.5934161430793383E-2</v>
      </c>
      <c r="X57" s="34">
        <f t="shared" si="10"/>
        <v>7.4183228245498362E-3</v>
      </c>
      <c r="Y57" s="34">
        <f t="shared" si="11"/>
        <v>1.8136700902359963E-2</v>
      </c>
      <c r="Z57" s="92">
        <f>Y57*'2'!K66*$L$15</f>
        <v>53.591063193600185</v>
      </c>
      <c r="AA57" s="25"/>
    </row>
    <row r="58" spans="2:27">
      <c r="B58" s="2" t="str">
        <f>'2'!C67</f>
        <v>Cruise 2c</v>
      </c>
      <c r="C58" s="189">
        <f>((-2.949115E-35*('2'!D67^6)) + (1.361403E-29*('2'!D67^5)) - (2.309923E-24*('2'!D67^4)) + (1.762239E-19*('2'!D67^3)) - (5.221998E-15*('2'!D67^2)) - (0.00000000001696421*'2'!D67) + 0.00001208327)/32.174</f>
        <v>3.5885760806396468E-7</v>
      </c>
      <c r="D58" s="91">
        <f>C58/'2'!H67</f>
        <v>2.0464834222967882E-4</v>
      </c>
      <c r="E58" s="77">
        <f>'2'!E67*COS(L$9*PI()/180)</f>
        <v>0.16</v>
      </c>
      <c r="F58" s="50">
        <f>'2'!I67*COS(PI()*L$9/180)</f>
        <v>172.32024300800001</v>
      </c>
      <c r="G58" s="50">
        <f>0.5*'2'!H67*(F58^2)</f>
        <v>26.034936828281378</v>
      </c>
      <c r="H58" s="91">
        <f t="shared" si="0"/>
        <v>3693098.0538239726</v>
      </c>
      <c r="I58" s="91">
        <f t="shared" si="1"/>
        <v>3.5326375830396746E-3</v>
      </c>
      <c r="J58" s="36">
        <f>(1+(0.6/D$19)*L$10+100*L$10^4)*(1.34*('2'!E67^0.18)*(COS(E$19*PI()/180))^0.28)</f>
        <v>1.4543671151999193</v>
      </c>
      <c r="K58" s="193">
        <f t="shared" si="5"/>
        <v>1.0718378077810125E-2</v>
      </c>
      <c r="L58" s="34">
        <f t="shared" si="2"/>
        <v>0.98711701434024535</v>
      </c>
      <c r="M58" s="67">
        <f t="shared" si="3"/>
        <v>7.9311218823565927E-2</v>
      </c>
      <c r="N58" s="34">
        <f t="shared" si="4"/>
        <v>0</v>
      </c>
      <c r="O58" s="895">
        <f>('2'!P67/$L$15)/'2'!K67</f>
        <v>0.36417849649037126</v>
      </c>
      <c r="P58" s="35">
        <f t="shared" si="6"/>
        <v>4.591765224293364</v>
      </c>
      <c r="Q58" s="34">
        <f>1/(PI()*L$12*'3'!AU38)</f>
        <v>5.5934161430793383E-2</v>
      </c>
      <c r="R58" s="34">
        <f t="shared" si="8"/>
        <v>7.4183228245498362E-3</v>
      </c>
      <c r="S58" s="34">
        <f t="shared" si="9"/>
        <v>1.8136700902359963E-2</v>
      </c>
      <c r="T58" s="92">
        <f>S58*'2'!K67*$L$15</f>
        <v>53.591063193600185</v>
      </c>
      <c r="U58" s="895">
        <f>('2'!Q67/$L$15)/'2'!K67</f>
        <v>0.36160506494710459</v>
      </c>
      <c r="V58" s="35">
        <f t="shared" si="7"/>
        <v>4.5593179667497434</v>
      </c>
      <c r="W58" s="34">
        <f>1/(PI()*L$12*'3'!AU38)</f>
        <v>5.5934161430793383E-2</v>
      </c>
      <c r="X58" s="34">
        <f t="shared" si="10"/>
        <v>7.3138515534283688E-3</v>
      </c>
      <c r="Y58" s="34">
        <f t="shared" si="11"/>
        <v>1.8032229631238496E-2</v>
      </c>
      <c r="Z58" s="92">
        <f>Y58*'2'!K67*$L$15</f>
        <v>53.282367222776863</v>
      </c>
      <c r="AA58" s="25"/>
    </row>
    <row r="59" spans="2:27">
      <c r="B59" s="2" t="str">
        <f>'2'!C68</f>
        <v>Cruise 2d</v>
      </c>
      <c r="C59" s="189">
        <f>((-2.949115E-35*('2'!D68^6)) + (1.361403E-29*('2'!D68^5)) - (2.309923E-24*('2'!D68^4)) + (1.762239E-19*('2'!D68^3)) - (5.221998E-15*('2'!D68^2)) - (0.00000000001696421*'2'!D68) + 0.00001208327)/32.174</f>
        <v>3.5885760806396468E-7</v>
      </c>
      <c r="D59" s="91">
        <f>C59/'2'!H68</f>
        <v>2.0464834222967882E-4</v>
      </c>
      <c r="E59" s="77">
        <f>'2'!E68*COS(L$9*PI()/180)</f>
        <v>0.16</v>
      </c>
      <c r="F59" s="50">
        <f>'2'!I68*COS(PI()*L$9/180)</f>
        <v>172.32024300800001</v>
      </c>
      <c r="G59" s="50">
        <f>0.5*'2'!H68*(F59^2)</f>
        <v>26.034936828281378</v>
      </c>
      <c r="H59" s="91">
        <f t="shared" si="0"/>
        <v>3693098.0538239726</v>
      </c>
      <c r="I59" s="91">
        <f t="shared" si="1"/>
        <v>3.5326375830396746E-3</v>
      </c>
      <c r="J59" s="36">
        <f>(1+(0.6/D$19)*L$10+100*L$10^4)*(1.34*('2'!E68^0.18)*(COS(E$19*PI()/180))^0.28)</f>
        <v>1.4543671151999193</v>
      </c>
      <c r="K59" s="193">
        <f t="shared" si="5"/>
        <v>1.0718378077810125E-2</v>
      </c>
      <c r="L59" s="34">
        <f t="shared" si="2"/>
        <v>0.98711701434024535</v>
      </c>
      <c r="M59" s="67">
        <f t="shared" si="3"/>
        <v>7.9311218823565927E-2</v>
      </c>
      <c r="N59" s="34">
        <f t="shared" si="4"/>
        <v>0</v>
      </c>
      <c r="O59" s="895">
        <f>('2'!P68/$L$15)/'2'!K68</f>
        <v>0.36160506494710459</v>
      </c>
      <c r="P59" s="35">
        <f t="shared" si="6"/>
        <v>4.5593179667497434</v>
      </c>
      <c r="Q59" s="34">
        <f>1/(PI()*L$12*'3'!AU39)</f>
        <v>5.5934161430793383E-2</v>
      </c>
      <c r="R59" s="34">
        <f t="shared" si="8"/>
        <v>7.3138515534283688E-3</v>
      </c>
      <c r="S59" s="34">
        <f t="shared" si="9"/>
        <v>1.8032229631238496E-2</v>
      </c>
      <c r="T59" s="92">
        <f>S59*'2'!K68*$L$15</f>
        <v>53.282367222776863</v>
      </c>
      <c r="U59" s="895">
        <f>('2'!Q68/$L$15)/'2'!K68</f>
        <v>0.35903647606099548</v>
      </c>
      <c r="V59" s="35">
        <f t="shared" si="7"/>
        <v>4.5269317681235046</v>
      </c>
      <c r="W59" s="34">
        <f>1/(PI()*L$12*'3'!AU39)</f>
        <v>5.5934161430793383E-2</v>
      </c>
      <c r="X59" s="34">
        <f t="shared" si="10"/>
        <v>7.2103156389434235E-3</v>
      </c>
      <c r="Y59" s="34">
        <f t="shared" si="11"/>
        <v>1.7928693716753548E-2</v>
      </c>
      <c r="Z59" s="92">
        <f>Y59*'2'!K68*$L$15</f>
        <v>52.976435081874214</v>
      </c>
      <c r="AA59" s="25"/>
    </row>
    <row r="60" spans="2:27">
      <c r="B60" s="2" t="str">
        <f>'2'!C69</f>
        <v>Cruise 2e</v>
      </c>
      <c r="C60" s="189">
        <f>((-2.949115E-35*('2'!D69^6)) + (1.361403E-29*('2'!D69^5)) - (2.309923E-24*('2'!D69^4)) + (1.762239E-19*('2'!D69^3)) - (5.221998E-15*('2'!D69^2)) - (0.00000000001696421*'2'!D69) + 0.00001208327)/32.174</f>
        <v>3.5885760806396468E-7</v>
      </c>
      <c r="D60" s="91">
        <f>C60/'2'!H69</f>
        <v>2.0464834222967882E-4</v>
      </c>
      <c r="E60" s="77">
        <f>'2'!E69*COS(L$9*PI()/180)</f>
        <v>0.16</v>
      </c>
      <c r="F60" s="50">
        <f>'2'!I69*COS(PI()*L$9/180)</f>
        <v>172.32024300800001</v>
      </c>
      <c r="G60" s="50">
        <f>0.5*'2'!H69*(F60^2)</f>
        <v>26.034936828281378</v>
      </c>
      <c r="H60" s="91">
        <f t="shared" si="0"/>
        <v>3693098.0538239726</v>
      </c>
      <c r="I60" s="91">
        <f t="shared" si="1"/>
        <v>3.5326375830396746E-3</v>
      </c>
      <c r="J60" s="36">
        <f>(1+(0.6/D$19)*L$10+100*L$10^4)*(1.34*('2'!E69^0.18)*(COS(E$19*PI()/180))^0.28)</f>
        <v>1.4543671151999193</v>
      </c>
      <c r="K60" s="193">
        <f t="shared" si="5"/>
        <v>1.0718378077810125E-2</v>
      </c>
      <c r="L60" s="34">
        <f t="shared" si="2"/>
        <v>0.98711701434024535</v>
      </c>
      <c r="M60" s="67">
        <f t="shared" si="3"/>
        <v>7.9311218823565927E-2</v>
      </c>
      <c r="N60" s="34">
        <f t="shared" si="4"/>
        <v>0</v>
      </c>
      <c r="O60" s="895">
        <f>('2'!P69/$L$15)/'2'!K69</f>
        <v>0.35903647606099548</v>
      </c>
      <c r="P60" s="35">
        <f t="shared" si="6"/>
        <v>4.5269317681235046</v>
      </c>
      <c r="Q60" s="34">
        <f>1/(PI()*L$12*'3'!AU40)</f>
        <v>5.5934161430793383E-2</v>
      </c>
      <c r="R60" s="34">
        <f t="shared" si="8"/>
        <v>7.2103156389434235E-3</v>
      </c>
      <c r="S60" s="34">
        <f t="shared" si="9"/>
        <v>1.7928693716753548E-2</v>
      </c>
      <c r="T60" s="92">
        <f>S60*'2'!K69*$L$15</f>
        <v>52.976435081874214</v>
      </c>
      <c r="U60" s="895">
        <f>('2'!Q69/$L$15)/'2'!K69</f>
        <v>0.35647268743573979</v>
      </c>
      <c r="V60" s="35">
        <f t="shared" si="7"/>
        <v>4.494606093858442</v>
      </c>
      <c r="W60" s="34">
        <f>1/(PI()*L$12*'3'!AU40)</f>
        <v>5.5934161430793383E-2</v>
      </c>
      <c r="X60" s="34">
        <f t="shared" si="10"/>
        <v>7.1077092158934891E-3</v>
      </c>
      <c r="Y60" s="34">
        <f t="shared" si="11"/>
        <v>1.7826087293703614E-2</v>
      </c>
      <c r="Z60" s="92">
        <f>Y60*'2'!K69*$L$15</f>
        <v>52.673249440155729</v>
      </c>
      <c r="AA60" s="25"/>
    </row>
    <row r="61" spans="2:27">
      <c r="B61" s="2" t="str">
        <f>'2'!C70</f>
        <v>Loiter 3a</v>
      </c>
      <c r="C61" s="189">
        <f>((-2.949115E-35*('2'!D70^6)) + (1.361403E-29*('2'!D70^5)) - (2.309923E-24*('2'!D70^4)) + (1.762239E-19*('2'!D70^3)) - (5.221998E-15*('2'!D70^2)) - (0.00000000001696421*'2'!D70) + 0.00001208327)/32.174</f>
        <v>3.7195070095491899E-7</v>
      </c>
      <c r="D61" s="91">
        <f>C61/'2'!H70</f>
        <v>1.737510759265973E-4</v>
      </c>
      <c r="E61" s="77">
        <f>'2'!E70*COS(L$9*PI()/180)</f>
        <v>0.15</v>
      </c>
      <c r="F61" s="50">
        <f>'2'!I70*COS(PI()*L$9/180)</f>
        <v>165.54666128699998</v>
      </c>
      <c r="G61" s="50">
        <f>0.5*'2'!H70*(F61^2)</f>
        <v>29.333827656839404</v>
      </c>
      <c r="H61" s="91">
        <f t="shared" si="0"/>
        <v>4178839.5364572587</v>
      </c>
      <c r="I61" s="91">
        <f t="shared" si="1"/>
        <v>3.4602379821272421E-3</v>
      </c>
      <c r="J61" s="36">
        <f>(1+(0.6/D$19)*L$10+100*L$10^4)*(1.34*('2'!E70^0.18)*(COS(E$19*PI()/180))^0.28)</f>
        <v>1.4375695854963486</v>
      </c>
      <c r="K61" s="193">
        <f t="shared" si="5"/>
        <v>1.0377453257772043E-2</v>
      </c>
      <c r="L61" s="34">
        <f t="shared" si="2"/>
        <v>0.98868599666425949</v>
      </c>
      <c r="M61" s="67">
        <f t="shared" si="3"/>
        <v>7.9226184643820974E-2</v>
      </c>
      <c r="N61" s="34">
        <f t="shared" si="4"/>
        <v>0</v>
      </c>
      <c r="O61" s="895">
        <f>('2'!P70/$L$15)/'2'!K70</f>
        <v>0.31638366485845576</v>
      </c>
      <c r="P61" s="35">
        <f t="shared" si="6"/>
        <v>3.9934229608661487</v>
      </c>
      <c r="Q61" s="34">
        <f>1/(PI()*L$12*'3'!AU41)</f>
        <v>5.5934161430793383E-2</v>
      </c>
      <c r="R61" s="34">
        <f t="shared" si="8"/>
        <v>5.5989325596554878E-3</v>
      </c>
      <c r="S61" s="34">
        <f t="shared" si="9"/>
        <v>1.5976385817427531E-2</v>
      </c>
      <c r="T61" s="92">
        <f>S61*'2'!K70*$L$15</f>
        <v>53.189367974897806</v>
      </c>
      <c r="U61" s="895">
        <f>('2'!Q70/$L$15)/'2'!K70</f>
        <v>0.31598009830010443</v>
      </c>
      <c r="V61" s="35">
        <f t="shared" si="7"/>
        <v>3.9883291076133931</v>
      </c>
      <c r="W61" s="34">
        <f>1/(PI()*L$12*'3'!AU41)</f>
        <v>5.5934161430793383E-2</v>
      </c>
      <c r="X61" s="34">
        <f t="shared" si="10"/>
        <v>5.584658113134122E-3</v>
      </c>
      <c r="Y61" s="34">
        <f t="shared" si="11"/>
        <v>1.5962111370906164E-2</v>
      </c>
      <c r="Z61" s="92">
        <f>Y61*'2'!K70*$L$15</f>
        <v>53.141844786778833</v>
      </c>
      <c r="AA61" s="25"/>
    </row>
    <row r="62" spans="2:27">
      <c r="B62" s="2" t="str">
        <f>'2'!C71</f>
        <v>Loiter 3b</v>
      </c>
      <c r="C62" s="189">
        <f>((-2.949115E-35*('2'!D71^6)) + (1.361403E-29*('2'!D71^5)) - (2.309923E-24*('2'!D71^4)) + (1.762239E-19*('2'!D71^3)) - (5.221998E-15*('2'!D71^2)) - (0.00000000001696421*'2'!D71) + 0.00001208327)/32.174</f>
        <v>3.7195070095491899E-7</v>
      </c>
      <c r="D62" s="91">
        <f>C62/'2'!H71</f>
        <v>1.737510759265973E-4</v>
      </c>
      <c r="E62" s="77">
        <f>'2'!E71*COS(L$9*PI()/180)</f>
        <v>0.15</v>
      </c>
      <c r="F62" s="50">
        <f>'2'!I71*COS(PI()*L$9/180)</f>
        <v>165.54666128699998</v>
      </c>
      <c r="G62" s="50">
        <f>0.5*'2'!H71*(F62^2)</f>
        <v>29.333827656839404</v>
      </c>
      <c r="H62" s="91">
        <f t="shared" si="0"/>
        <v>4178839.5364572587</v>
      </c>
      <c r="I62" s="91">
        <f t="shared" si="1"/>
        <v>3.4602379821272421E-3</v>
      </c>
      <c r="J62" s="36">
        <f>(1+(0.6/D$19)*L$10+100*L$10^4)*(1.34*('2'!E71^0.18)*(COS(E$19*PI()/180))^0.28)</f>
        <v>1.4375695854963486</v>
      </c>
      <c r="K62" s="193">
        <f t="shared" si="5"/>
        <v>1.0377453257772043E-2</v>
      </c>
      <c r="L62" s="34">
        <f t="shared" si="2"/>
        <v>0.98868599666425949</v>
      </c>
      <c r="M62" s="67">
        <f t="shared" si="3"/>
        <v>7.9226184643820974E-2</v>
      </c>
      <c r="N62" s="34">
        <f t="shared" si="4"/>
        <v>0</v>
      </c>
      <c r="O62" s="895">
        <f>('2'!P71/$L$15)/'2'!K71</f>
        <v>0.31598009830010443</v>
      </c>
      <c r="P62" s="35">
        <f t="shared" si="6"/>
        <v>3.9883291076133931</v>
      </c>
      <c r="Q62" s="34">
        <f>1/(PI()*L$12*'3'!AU42)</f>
        <v>5.5934161430793383E-2</v>
      </c>
      <c r="R62" s="34">
        <f t="shared" si="8"/>
        <v>5.584658113134122E-3</v>
      </c>
      <c r="S62" s="34">
        <f t="shared" si="9"/>
        <v>1.5962111370906164E-2</v>
      </c>
      <c r="T62" s="92">
        <f>S62*'2'!K71*$L$15</f>
        <v>53.141844786778833</v>
      </c>
      <c r="U62" s="895">
        <f>('2'!Q71/$L$15)/'2'!K71</f>
        <v>0.31557663934649988</v>
      </c>
      <c r="V62" s="35">
        <f t="shared" si="7"/>
        <v>3.9832366125573913</v>
      </c>
      <c r="W62" s="34">
        <f>1/(PI()*L$12*'3'!AU42)</f>
        <v>5.5934161430793383E-2</v>
      </c>
      <c r="X62" s="34">
        <f t="shared" si="10"/>
        <v>5.5704056849282266E-3</v>
      </c>
      <c r="Y62" s="34">
        <f t="shared" si="11"/>
        <v>1.5947858942700271E-2</v>
      </c>
      <c r="Z62" s="92">
        <f>Y62*'2'!K71*$L$15</f>
        <v>53.094394903116644</v>
      </c>
      <c r="AA62" s="25"/>
    </row>
    <row r="63" spans="2:27">
      <c r="B63" s="2" t="str">
        <f>'2'!C72</f>
        <v>Loiter 3c</v>
      </c>
      <c r="C63" s="189">
        <f>((-2.949115E-35*('2'!D72^6)) + (1.361403E-29*('2'!D72^5)) - (2.309923E-24*('2'!D72^4)) + (1.762239E-19*('2'!D72^3)) - (5.221998E-15*('2'!D72^2)) - (0.00000000001696421*'2'!D72) + 0.00001208327)/32.174</f>
        <v>3.7195070095491899E-7</v>
      </c>
      <c r="D63" s="91">
        <f>C63/'2'!H72</f>
        <v>1.737510759265973E-4</v>
      </c>
      <c r="E63" s="77">
        <f>'2'!E72*COS(L$9*PI()/180)</f>
        <v>0.15</v>
      </c>
      <c r="F63" s="50">
        <f>'2'!I72*COS(PI()*L$9/180)</f>
        <v>165.54666128699998</v>
      </c>
      <c r="G63" s="50">
        <f>0.5*'2'!H72*(F63^2)</f>
        <v>29.333827656839404</v>
      </c>
      <c r="H63" s="91">
        <f t="shared" si="0"/>
        <v>4178839.5364572587</v>
      </c>
      <c r="I63" s="91">
        <f t="shared" si="1"/>
        <v>3.4602379821272421E-3</v>
      </c>
      <c r="J63" s="36">
        <f>(1+(0.6/D$19)*L$10+100*L$10^4)*(1.34*('2'!E72^0.18)*(COS(E$19*PI()/180))^0.28)</f>
        <v>1.4375695854963486</v>
      </c>
      <c r="K63" s="193">
        <f t="shared" si="5"/>
        <v>1.0377453257772043E-2</v>
      </c>
      <c r="L63" s="34">
        <f t="shared" si="2"/>
        <v>0.98868599666425949</v>
      </c>
      <c r="M63" s="67">
        <f t="shared" si="3"/>
        <v>7.9226184643820974E-2</v>
      </c>
      <c r="N63" s="34">
        <f t="shared" si="4"/>
        <v>0</v>
      </c>
      <c r="O63" s="895">
        <f>('2'!P72/$L$15)/'2'!K72</f>
        <v>0.31557663934649988</v>
      </c>
      <c r="P63" s="35">
        <f t="shared" si="6"/>
        <v>3.9832366125573913</v>
      </c>
      <c r="Q63" s="34">
        <f>1/(PI()*L$12*'3'!AU43)</f>
        <v>5.5934161430793383E-2</v>
      </c>
      <c r="R63" s="34">
        <f t="shared" si="8"/>
        <v>5.5704056849282266E-3</v>
      </c>
      <c r="S63" s="34">
        <f t="shared" si="9"/>
        <v>1.5947858942700271E-2</v>
      </c>
      <c r="T63" s="92">
        <f>S63*'2'!K72*$L$15</f>
        <v>53.094394903116644</v>
      </c>
      <c r="U63" s="895">
        <f>('2'!Q72/$L$15)/'2'!K72</f>
        <v>0.31517328783260817</v>
      </c>
      <c r="V63" s="35">
        <f t="shared" si="7"/>
        <v>3.9781454736150699</v>
      </c>
      <c r="W63" s="34">
        <f>1/(PI()*L$12*'3'!AU43)</f>
        <v>5.5934161430793383E-2</v>
      </c>
      <c r="X63" s="34">
        <f t="shared" si="10"/>
        <v>5.556175254649064E-3</v>
      </c>
      <c r="Y63" s="34">
        <f t="shared" si="11"/>
        <v>1.5933628512421107E-2</v>
      </c>
      <c r="Z63" s="92">
        <f>Y63*'2'!K72*$L$15</f>
        <v>53.047018256032054</v>
      </c>
      <c r="AA63" s="25"/>
    </row>
    <row r="64" spans="2:27">
      <c r="B64" s="2" t="str">
        <f>'2'!C73</f>
        <v>Loiter 3d</v>
      </c>
      <c r="C64" s="189">
        <f>((-2.949115E-35*('2'!D73^6)) + (1.361403E-29*('2'!D73^5)) - (2.309923E-24*('2'!D73^4)) + (1.762239E-19*('2'!D73^3)) - (5.221998E-15*('2'!D73^2)) - (0.00000000001696421*'2'!D73) + 0.00001208327)/32.174</f>
        <v>3.7195070095491899E-7</v>
      </c>
      <c r="D64" s="91">
        <f>C64/'2'!H73</f>
        <v>1.737510759265973E-4</v>
      </c>
      <c r="E64" s="77">
        <f>'2'!E73*COS(L$9*PI()/180)</f>
        <v>0.15</v>
      </c>
      <c r="F64" s="50">
        <f>'2'!I73*COS(PI()*L$9/180)</f>
        <v>165.54666128699998</v>
      </c>
      <c r="G64" s="50">
        <f>0.5*'2'!H73*(F64^2)</f>
        <v>29.333827656839404</v>
      </c>
      <c r="H64" s="91">
        <f t="shared" si="0"/>
        <v>4178839.5364572587</v>
      </c>
      <c r="I64" s="91">
        <f t="shared" si="1"/>
        <v>3.4602379821272421E-3</v>
      </c>
      <c r="J64" s="36">
        <f>(1+(0.6/D$19)*L$10+100*L$10^4)*(1.34*('2'!E73^0.18)*(COS(E$19*PI()/180))^0.28)</f>
        <v>1.4375695854963486</v>
      </c>
      <c r="K64" s="193">
        <f t="shared" si="5"/>
        <v>1.0377453257772043E-2</v>
      </c>
      <c r="L64" s="34">
        <f t="shared" si="2"/>
        <v>0.98868599666425949</v>
      </c>
      <c r="M64" s="67">
        <f t="shared" si="3"/>
        <v>7.9226184643820974E-2</v>
      </c>
      <c r="N64" s="34">
        <f t="shared" si="4"/>
        <v>0</v>
      </c>
      <c r="O64" s="895">
        <f>('2'!P73/$L$15)/'2'!K73</f>
        <v>0.31517328783260817</v>
      </c>
      <c r="P64" s="35">
        <f t="shared" si="6"/>
        <v>3.9781454736150699</v>
      </c>
      <c r="Q64" s="34">
        <f>1/(PI()*L$12*'3'!AU44)</f>
        <v>5.5934161430793383E-2</v>
      </c>
      <c r="R64" s="34">
        <f t="shared" si="8"/>
        <v>5.556175254649064E-3</v>
      </c>
      <c r="S64" s="34">
        <f t="shared" si="9"/>
        <v>1.5933628512421107E-2</v>
      </c>
      <c r="T64" s="92">
        <f>S64*'2'!K73*$L$15</f>
        <v>53.047018256032054</v>
      </c>
      <c r="U64" s="895">
        <f>('2'!Q73/$L$15)/'2'!K73</f>
        <v>0.31477004359355082</v>
      </c>
      <c r="V64" s="35">
        <f t="shared" si="7"/>
        <v>3.9730556887053177</v>
      </c>
      <c r="W64" s="34">
        <f>1/(PI()*L$12*'3'!AU44)</f>
        <v>5.5934161430793383E-2</v>
      </c>
      <c r="X64" s="34">
        <f t="shared" si="10"/>
        <v>5.5419668019470346E-3</v>
      </c>
      <c r="Y64" s="34">
        <f t="shared" si="11"/>
        <v>1.5919420059719077E-2</v>
      </c>
      <c r="Z64" s="92">
        <f>Y64*'2'!K73*$L$15</f>
        <v>52.999714777776177</v>
      </c>
      <c r="AA64" s="25"/>
    </row>
    <row r="65" spans="2:27">
      <c r="B65" s="2" t="str">
        <f>'2'!C74</f>
        <v>Loiter 3e</v>
      </c>
      <c r="C65" s="189">
        <f>((-2.949115E-35*('2'!D74^6)) + (1.361403E-29*('2'!D74^5)) - (2.309923E-24*('2'!D74^4)) + (1.762239E-19*('2'!D74^3)) - (5.221998E-15*('2'!D74^2)) - (0.00000000001696421*'2'!D74) + 0.00001208327)/32.174</f>
        <v>3.7195070095491899E-7</v>
      </c>
      <c r="D65" s="91">
        <f>C65/'2'!H74</f>
        <v>1.737510759265973E-4</v>
      </c>
      <c r="E65" s="77">
        <f>'2'!E74*COS(L$9*PI()/180)</f>
        <v>0.15</v>
      </c>
      <c r="F65" s="50">
        <f>'2'!I74*COS(PI()*L$9/180)</f>
        <v>165.54666128699998</v>
      </c>
      <c r="G65" s="50">
        <f>0.5*'2'!H74*(F65^2)</f>
        <v>29.333827656839404</v>
      </c>
      <c r="H65" s="91">
        <f t="shared" si="0"/>
        <v>4178839.5364572587</v>
      </c>
      <c r="I65" s="91">
        <f t="shared" si="1"/>
        <v>3.4602379821272421E-3</v>
      </c>
      <c r="J65" s="36">
        <f>(1+(0.6/D$19)*L$10+100*L$10^4)*(1.34*('2'!E74^0.18)*(COS(E$19*PI()/180))^0.28)</f>
        <v>1.4375695854963486</v>
      </c>
      <c r="K65" s="193">
        <f t="shared" si="5"/>
        <v>1.0377453257772043E-2</v>
      </c>
      <c r="L65" s="34">
        <f t="shared" si="2"/>
        <v>0.98868599666425949</v>
      </c>
      <c r="M65" s="67">
        <f t="shared" si="3"/>
        <v>7.9226184643820974E-2</v>
      </c>
      <c r="N65" s="34">
        <f t="shared" si="4"/>
        <v>0</v>
      </c>
      <c r="O65" s="895">
        <f>('2'!P74/$L$15)/'2'!K74</f>
        <v>0.31477004359355082</v>
      </c>
      <c r="P65" s="35">
        <f t="shared" si="6"/>
        <v>3.9730556887053177</v>
      </c>
      <c r="Q65" s="34">
        <f>1/(PI()*L$12*'3'!AU45)</f>
        <v>5.5934161430793383E-2</v>
      </c>
      <c r="R65" s="34">
        <f t="shared" si="8"/>
        <v>5.5419668019470346E-3</v>
      </c>
      <c r="S65" s="34">
        <f t="shared" si="9"/>
        <v>1.5919420059719077E-2</v>
      </c>
      <c r="T65" s="92">
        <f>S65*'2'!K74*$L$15</f>
        <v>52.999714777776177</v>
      </c>
      <c r="U65" s="895">
        <f>('2'!Q74/$L$15)/'2'!K74</f>
        <v>0.31436690646460463</v>
      </c>
      <c r="V65" s="35">
        <f t="shared" si="7"/>
        <v>3.9679672557489845</v>
      </c>
      <c r="W65" s="34">
        <f>1/(PI()*L$12*'3'!AU45)</f>
        <v>5.5934161430793383E-2</v>
      </c>
      <c r="X65" s="34">
        <f t="shared" si="10"/>
        <v>5.5277803065116159E-3</v>
      </c>
      <c r="Y65" s="34">
        <f t="shared" si="11"/>
        <v>1.5905233564283659E-2</v>
      </c>
      <c r="Z65" s="92">
        <f>Y65*'2'!K74*$L$15</f>
        <v>52.952484400730228</v>
      </c>
      <c r="AA65" s="25"/>
    </row>
    <row r="66" spans="2:27" ht="13.8" thickBot="1">
      <c r="B66" s="2" t="str">
        <f>'2'!C75</f>
        <v>Land and Taxi In</v>
      </c>
      <c r="C66" s="189">
        <f>((-2.949115E-35*('2'!D75^6)) + (1.361403E-29*('2'!D75^5)) - (2.309923E-24*('2'!D75^4)) + (1.762239E-19*('2'!D75^3)) - (5.221998E-15*('2'!D75^2)) - (0.00000000001696421*'2'!D75) + 0.00001208327)/32.174</f>
        <v>3.7556007956735249E-7</v>
      </c>
      <c r="D66" s="91">
        <f>C66/'2'!H75</f>
        <v>1.5757767780136161E-4</v>
      </c>
      <c r="E66" s="77">
        <f>'2'!E75*COS(L$9*PI()/180)</f>
        <v>0.1</v>
      </c>
      <c r="F66" s="50">
        <f>'2'!I75*COS(PI()*L$9/180)</f>
        <v>111.79905800000002</v>
      </c>
      <c r="G66" s="50">
        <f>0.5*'2'!H75*(F66^2)</f>
        <v>14.894674582372549</v>
      </c>
      <c r="H66" s="91">
        <f t="shared" si="0"/>
        <v>3111760.8989367606</v>
      </c>
      <c r="I66" s="91">
        <f t="shared" si="1"/>
        <v>3.6433003603942487E-3</v>
      </c>
      <c r="J66" s="36">
        <f>(1+(0.6/D$19)*L$10+100*L$10^4)*(1.34*('2'!E75^0.18)*(COS(E$19*PI()/180))^0.28)</f>
        <v>1.3363876368332184</v>
      </c>
      <c r="K66" s="193">
        <f t="shared" si="5"/>
        <v>1.0157418984179023E-2</v>
      </c>
      <c r="L66" s="34">
        <f t="shared" si="2"/>
        <v>0.99498743710661997</v>
      </c>
      <c r="M66" s="67">
        <f t="shared" si="3"/>
        <v>7.8886353169091122E-2</v>
      </c>
      <c r="N66" s="34">
        <f t="shared" si="4"/>
        <v>0</v>
      </c>
      <c r="O66" s="1187">
        <f>('2'!P75/$L$15)/'2'!K75</f>
        <v>0.6191195788970083</v>
      </c>
      <c r="P66" s="967">
        <f>(O66-N66)/M66</f>
        <v>7.8482469277029381</v>
      </c>
      <c r="Q66" s="1188">
        <f>1/(PI()*L$12*'3'!AU46)</f>
        <v>5.5934161430793383E-2</v>
      </c>
      <c r="R66" s="1188">
        <f>Q66*(O66^2)</f>
        <v>2.1440070446910372E-2</v>
      </c>
      <c r="S66" s="1188">
        <f>R66+K66</f>
        <v>3.1597489431089393E-2</v>
      </c>
      <c r="T66" s="1189">
        <f>S66*'2'!K75*$L$15</f>
        <v>53.414743885246075</v>
      </c>
      <c r="U66" s="1187">
        <f>('2'!Q75/$L$15)/'2'!K75</f>
        <v>0.60364158942458312</v>
      </c>
      <c r="V66" s="967">
        <f>(U66-N66)/M66</f>
        <v>7.6520407545103648</v>
      </c>
      <c r="W66" s="1188">
        <f>1/(PI()*L$12*'3'!AU46)</f>
        <v>5.5934161430793383E-2</v>
      </c>
      <c r="X66" s="1188">
        <f>W66*(U66^2)</f>
        <v>2.0381466968594174E-2</v>
      </c>
      <c r="Y66" s="1188">
        <f>X66+K66</f>
        <v>3.0538885952773195E-2</v>
      </c>
      <c r="Z66" s="1189">
        <f>Y66*'2'!K75*$L$15</f>
        <v>51.625201909336603</v>
      </c>
      <c r="AA66" s="25"/>
    </row>
    <row r="67" spans="2:27">
      <c r="C67" s="25"/>
      <c r="D67" s="25"/>
      <c r="E67" s="25"/>
      <c r="F67" s="25"/>
      <c r="G67" s="25"/>
      <c r="H67" s="25"/>
      <c r="I67" s="25"/>
      <c r="J67" s="25"/>
      <c r="K67" s="25"/>
      <c r="L67" s="25"/>
      <c r="M67" s="25"/>
      <c r="N67" s="25"/>
      <c r="O67" s="25"/>
      <c r="P67" s="25"/>
      <c r="Q67" s="25"/>
      <c r="R67" s="25"/>
      <c r="S67" s="25"/>
      <c r="T67" s="25"/>
      <c r="U67" s="6"/>
      <c r="V67" s="80"/>
      <c r="W67" s="6"/>
      <c r="X67" s="6"/>
      <c r="Y67" s="75"/>
      <c r="Z67" s="81"/>
      <c r="AA67" s="6"/>
    </row>
    <row r="68" spans="2:27">
      <c r="C68" s="25"/>
      <c r="D68" s="25"/>
      <c r="E68" s="25"/>
      <c r="F68" s="25"/>
      <c r="G68" s="25"/>
      <c r="H68" s="25"/>
      <c r="I68" s="25"/>
      <c r="J68" s="25"/>
      <c r="K68" s="25"/>
      <c r="L68" s="57" t="s">
        <v>2547</v>
      </c>
      <c r="M68" s="67">
        <f>AVERAGE(M36:M65)</f>
        <v>7.9249820393483147E-2</v>
      </c>
      <c r="N68" s="67">
        <f t="shared" ref="N68:Z68" si="12">AVERAGE(N36:N65)</f>
        <v>0</v>
      </c>
      <c r="O68" s="67">
        <f t="shared" si="12"/>
        <v>0.351841378117353</v>
      </c>
      <c r="P68" s="67">
        <f t="shared" si="12"/>
        <v>4.4396744915927631</v>
      </c>
      <c r="Q68" s="67">
        <f t="shared" si="12"/>
        <v>5.5934161430793342E-2</v>
      </c>
      <c r="R68" s="67">
        <f t="shared" si="12"/>
        <v>6.9531708441945153E-3</v>
      </c>
      <c r="S68" s="67">
        <f t="shared" si="12"/>
        <v>1.743556144637266E-2</v>
      </c>
      <c r="T68" s="65">
        <f t="shared" si="12"/>
        <v>55.551848753473429</v>
      </c>
      <c r="U68" s="67">
        <f t="shared" si="12"/>
        <v>0.35005246107746041</v>
      </c>
      <c r="V68" s="67">
        <f t="shared" si="12"/>
        <v>4.4171045227607992</v>
      </c>
      <c r="W68" s="67">
        <f t="shared" si="12"/>
        <v>5.5934161430793342E-2</v>
      </c>
      <c r="X68" s="67">
        <f t="shared" si="12"/>
        <v>6.881924409228273E-3</v>
      </c>
      <c r="Y68" s="67">
        <f t="shared" si="12"/>
        <v>1.7364315011406412E-2</v>
      </c>
      <c r="Z68" s="65">
        <f t="shared" si="12"/>
        <v>55.325736756336077</v>
      </c>
      <c r="AA68" s="6"/>
    </row>
    <row r="69" spans="2:27">
      <c r="J69" s="25"/>
      <c r="K69" s="25"/>
      <c r="L69" s="57" t="s">
        <v>2545</v>
      </c>
      <c r="M69" s="67">
        <f>MAX(M36:M65)</f>
        <v>7.9311218823565927E-2</v>
      </c>
      <c r="N69" s="67">
        <f t="shared" ref="N69:Z69" si="13">MAX(N36:N65)</f>
        <v>0</v>
      </c>
      <c r="O69" s="67">
        <f t="shared" si="13"/>
        <v>0.38350609503053423</v>
      </c>
      <c r="P69" s="67">
        <f t="shared" si="13"/>
        <v>4.8454967313398818</v>
      </c>
      <c r="Q69" s="67">
        <f t="shared" si="13"/>
        <v>5.5934161430793383E-2</v>
      </c>
      <c r="R69" s="67">
        <f t="shared" si="13"/>
        <v>8.2266244615314642E-3</v>
      </c>
      <c r="S69" s="67">
        <f t="shared" si="13"/>
        <v>1.8599450922198058E-2</v>
      </c>
      <c r="T69" s="65">
        <f t="shared" si="13"/>
        <v>60.022193792366309</v>
      </c>
      <c r="U69" s="67">
        <f t="shared" si="13"/>
        <v>0.38212368319151241</v>
      </c>
      <c r="V69" s="67">
        <f t="shared" si="13"/>
        <v>4.8280303282392669</v>
      </c>
      <c r="W69" s="67">
        <f t="shared" si="13"/>
        <v>5.5934161430793383E-2</v>
      </c>
      <c r="X69" s="67">
        <f t="shared" si="13"/>
        <v>8.1674228686003623E-3</v>
      </c>
      <c r="Y69" s="67">
        <f t="shared" si="13"/>
        <v>1.8540249329266956E-2</v>
      </c>
      <c r="Z69" s="65">
        <f t="shared" si="13"/>
        <v>59.703255276380773</v>
      </c>
    </row>
    <row r="70" spans="2:27">
      <c r="J70" s="25"/>
      <c r="K70" s="25"/>
      <c r="L70" s="57" t="s">
        <v>2546</v>
      </c>
      <c r="M70" s="67">
        <f>MIN(M36:M65)</f>
        <v>7.9146910274457402E-2</v>
      </c>
      <c r="N70" s="67">
        <f t="shared" ref="N70:Z70" si="14">MIN(N36:N65)</f>
        <v>0</v>
      </c>
      <c r="O70" s="67">
        <f t="shared" si="14"/>
        <v>0.3017877321195096</v>
      </c>
      <c r="P70" s="67">
        <f t="shared" si="14"/>
        <v>3.8051077337603432</v>
      </c>
      <c r="Q70" s="67">
        <f t="shared" si="14"/>
        <v>5.5934161430793383E-2</v>
      </c>
      <c r="R70" s="67">
        <f t="shared" si="14"/>
        <v>5.0942504717561921E-3</v>
      </c>
      <c r="S70" s="67">
        <f t="shared" si="14"/>
        <v>1.5476156491024344E-2</v>
      </c>
      <c r="T70" s="65">
        <f t="shared" si="14"/>
        <v>52.976435081874214</v>
      </c>
      <c r="U70" s="67">
        <f t="shared" si="14"/>
        <v>0.30166628836412951</v>
      </c>
      <c r="V70" s="67">
        <f t="shared" si="14"/>
        <v>3.8035765032839808</v>
      </c>
      <c r="W70" s="67">
        <f t="shared" si="14"/>
        <v>5.5934161430793383E-2</v>
      </c>
      <c r="X70" s="67">
        <f t="shared" si="14"/>
        <v>5.0901512963262832E-3</v>
      </c>
      <c r="Y70" s="67">
        <f t="shared" si="14"/>
        <v>1.5472057315594437E-2</v>
      </c>
      <c r="Z70" s="65">
        <f t="shared" si="14"/>
        <v>52.673249440155729</v>
      </c>
    </row>
    <row r="71" spans="2:27">
      <c r="J71" s="25"/>
      <c r="K71" s="25"/>
      <c r="L71" s="25"/>
      <c r="M71" s="25"/>
      <c r="N71" s="25"/>
      <c r="O71" s="25"/>
      <c r="P71" s="25"/>
      <c r="Q71" s="25"/>
      <c r="R71" s="25"/>
      <c r="S71" s="25"/>
      <c r="T71" s="66"/>
      <c r="U71" s="6"/>
      <c r="V71" s="6"/>
      <c r="W71" s="66"/>
      <c r="X71" s="6"/>
      <c r="Y71" s="6"/>
      <c r="Z71" s="6"/>
    </row>
    <row r="72" spans="2:27">
      <c r="N72" s="25"/>
      <c r="O72" s="25"/>
      <c r="P72" s="25"/>
      <c r="Q72" s="25"/>
      <c r="R72" s="25"/>
      <c r="S72" s="25"/>
      <c r="T72" s="6"/>
      <c r="U72" s="6"/>
      <c r="V72" s="6"/>
      <c r="W72" s="6"/>
      <c r="X72" s="6"/>
      <c r="Y72" s="6"/>
      <c r="Z72" s="6"/>
    </row>
    <row r="73" spans="2:27">
      <c r="N73" s="25"/>
      <c r="O73" s="25"/>
      <c r="P73" s="25"/>
      <c r="Q73" s="25"/>
      <c r="R73" s="25"/>
      <c r="S73" s="25"/>
      <c r="T73" s="75"/>
      <c r="U73" s="75"/>
      <c r="V73" s="6"/>
      <c r="W73" s="6"/>
      <c r="X73" s="77"/>
      <c r="Y73" s="6"/>
      <c r="Z73" s="6"/>
    </row>
    <row r="74" spans="2:27">
      <c r="N74" s="25"/>
      <c r="O74" s="25"/>
      <c r="P74" s="25"/>
      <c r="Q74" s="25"/>
      <c r="R74" s="25"/>
      <c r="S74" s="25"/>
      <c r="T74" s="75"/>
      <c r="U74" s="75"/>
      <c r="V74" s="6"/>
      <c r="W74" s="6"/>
      <c r="X74" s="77"/>
      <c r="Y74" s="6"/>
      <c r="Z74" s="6"/>
    </row>
    <row r="75" spans="2:27">
      <c r="N75" s="25"/>
      <c r="O75" s="25"/>
      <c r="P75" s="25"/>
      <c r="Q75" s="25"/>
      <c r="R75" s="25"/>
      <c r="S75" s="25"/>
      <c r="T75" s="75"/>
      <c r="U75" s="75"/>
      <c r="V75" s="6"/>
      <c r="W75" s="6"/>
      <c r="X75" s="6"/>
      <c r="Y75" s="6"/>
      <c r="Z75" s="6"/>
    </row>
    <row r="76" spans="2:27">
      <c r="N76" s="25"/>
      <c r="O76" s="25"/>
      <c r="P76" s="25"/>
      <c r="Q76" s="25"/>
      <c r="R76" s="25"/>
      <c r="S76" s="25"/>
      <c r="T76" s="75"/>
      <c r="U76" s="75"/>
      <c r="V76" s="6"/>
      <c r="W76" s="6"/>
      <c r="X76" s="6"/>
      <c r="Y76" s="6"/>
      <c r="Z76" s="6"/>
    </row>
    <row r="77" spans="2:27">
      <c r="J77" s="25"/>
      <c r="K77" s="25"/>
      <c r="L77" s="25"/>
      <c r="M77" s="25"/>
      <c r="N77" s="25"/>
      <c r="O77" s="25"/>
      <c r="P77" s="25"/>
      <c r="Q77" s="25"/>
      <c r="R77" s="25"/>
      <c r="S77" s="25"/>
      <c r="T77" s="75"/>
      <c r="U77" s="75"/>
      <c r="V77" s="6"/>
      <c r="W77" s="6"/>
      <c r="X77" s="6"/>
      <c r="Y77" s="6"/>
      <c r="Z77" s="6"/>
    </row>
    <row r="78" spans="2:27">
      <c r="J78" s="25"/>
      <c r="K78" s="25"/>
      <c r="L78" s="25"/>
      <c r="M78" s="25"/>
      <c r="N78" s="25"/>
      <c r="O78" s="25"/>
      <c r="P78" s="25"/>
      <c r="Q78" s="25"/>
      <c r="R78" s="25"/>
      <c r="S78" s="25"/>
      <c r="T78" s="6"/>
      <c r="U78" s="6"/>
      <c r="V78" s="6"/>
      <c r="W78" s="6"/>
      <c r="X78" s="6"/>
      <c r="Y78" s="6"/>
      <c r="Z78" s="6"/>
    </row>
    <row r="79" spans="2:27">
      <c r="J79" s="25"/>
      <c r="K79" s="25"/>
      <c r="L79" s="25"/>
      <c r="M79" s="25"/>
      <c r="N79" s="25"/>
      <c r="O79" s="25"/>
      <c r="P79" s="25"/>
      <c r="Q79" s="25"/>
      <c r="R79" s="25"/>
      <c r="S79" s="25"/>
      <c r="T79" s="66"/>
      <c r="U79" s="6"/>
      <c r="V79" s="6"/>
      <c r="W79" s="6"/>
      <c r="X79" s="6"/>
      <c r="Y79" s="6"/>
      <c r="Z79" s="6"/>
    </row>
    <row r="80" spans="2:27">
      <c r="J80" s="25"/>
      <c r="K80" s="25"/>
      <c r="L80" s="25"/>
      <c r="M80" s="25"/>
      <c r="N80" s="25"/>
      <c r="O80" s="25"/>
      <c r="P80" s="25"/>
      <c r="Q80" s="25"/>
      <c r="R80" s="25"/>
      <c r="S80" s="25"/>
      <c r="T80" s="76"/>
      <c r="U80" s="6"/>
      <c r="V80" s="76"/>
      <c r="W80" s="6"/>
      <c r="X80" s="6"/>
      <c r="Y80" s="6"/>
      <c r="Z80" s="6"/>
    </row>
    <row r="81" spans="2:26">
      <c r="J81" s="25"/>
      <c r="K81" s="25"/>
      <c r="L81" s="25"/>
      <c r="M81" s="25"/>
      <c r="N81" s="25"/>
      <c r="O81" s="25"/>
      <c r="P81" s="25"/>
      <c r="Q81" s="25"/>
      <c r="R81" s="25"/>
      <c r="S81" s="25"/>
      <c r="T81" s="77"/>
      <c r="U81" s="77"/>
      <c r="V81" s="77"/>
      <c r="W81" s="77"/>
      <c r="X81" s="6"/>
      <c r="Y81" s="6"/>
      <c r="Z81" s="6"/>
    </row>
    <row r="82" spans="2:26" ht="13.8" thickBot="1">
      <c r="J82" s="25"/>
      <c r="K82" s="25"/>
      <c r="L82" s="25"/>
      <c r="M82" s="25"/>
      <c r="N82" s="25"/>
      <c r="O82" s="25"/>
      <c r="P82" s="25"/>
      <c r="Q82" s="25"/>
      <c r="R82" s="25"/>
      <c r="S82" s="25"/>
      <c r="T82" s="77"/>
      <c r="U82" s="77"/>
      <c r="V82" s="77"/>
      <c r="W82" s="77"/>
      <c r="X82" s="6"/>
      <c r="Y82" s="6"/>
      <c r="Z82" s="6"/>
    </row>
    <row r="83" spans="2:26">
      <c r="B83" s="886" t="s">
        <v>194</v>
      </c>
      <c r="C83" s="22"/>
      <c r="D83" s="22"/>
      <c r="E83" s="22"/>
      <c r="F83" s="22"/>
      <c r="G83" s="22"/>
      <c r="H83" s="22"/>
      <c r="I83" s="23"/>
      <c r="J83" s="25"/>
      <c r="K83" s="25"/>
      <c r="L83" s="25"/>
      <c r="M83" s="25"/>
      <c r="N83" s="25"/>
      <c r="O83" s="25"/>
      <c r="P83" s="25"/>
      <c r="Q83" s="25"/>
      <c r="R83" s="25"/>
      <c r="S83" s="25"/>
      <c r="T83" s="43"/>
      <c r="U83" s="43"/>
      <c r="V83" s="43"/>
      <c r="W83" s="43"/>
      <c r="X83" s="43"/>
      <c r="Y83" s="43"/>
      <c r="Z83" s="43"/>
    </row>
    <row r="84" spans="2:26">
      <c r="B84" s="24"/>
      <c r="C84" s="25"/>
      <c r="D84" s="25"/>
      <c r="E84" s="25"/>
      <c r="F84" s="25"/>
      <c r="G84" s="25"/>
      <c r="H84" s="25"/>
      <c r="I84" s="26"/>
      <c r="J84" s="25"/>
      <c r="K84" s="25"/>
      <c r="L84" s="25"/>
      <c r="M84" s="25"/>
      <c r="N84" s="25"/>
      <c r="O84" s="25"/>
      <c r="P84" s="25"/>
      <c r="Q84" s="25"/>
      <c r="R84" s="25"/>
      <c r="S84" s="25"/>
      <c r="T84" s="25"/>
      <c r="U84" s="25"/>
      <c r="V84" s="25"/>
      <c r="W84" s="25"/>
      <c r="X84" s="25"/>
      <c r="Y84" s="25"/>
      <c r="Z84" s="25"/>
    </row>
    <row r="85" spans="2:26">
      <c r="B85" s="84" t="s">
        <v>195</v>
      </c>
      <c r="C85" s="25"/>
      <c r="D85" s="25"/>
      <c r="E85" s="85" t="s">
        <v>560</v>
      </c>
      <c r="F85" s="25"/>
      <c r="G85" s="25"/>
      <c r="H85" s="25"/>
      <c r="I85" s="26"/>
      <c r="J85" s="25"/>
      <c r="K85" s="25"/>
      <c r="L85" s="25"/>
      <c r="M85" s="25"/>
      <c r="N85" s="25"/>
      <c r="O85" s="25"/>
      <c r="P85" s="25"/>
      <c r="Q85" s="25"/>
      <c r="R85" s="25"/>
      <c r="S85" s="25"/>
      <c r="T85" s="25"/>
      <c r="U85" s="25"/>
      <c r="V85" s="25"/>
      <c r="W85" s="25"/>
      <c r="X85" s="25"/>
      <c r="Y85" s="25"/>
      <c r="Z85" s="25"/>
    </row>
    <row r="86" spans="2:26">
      <c r="B86" s="887" t="s">
        <v>196</v>
      </c>
      <c r="C86" s="182" t="s">
        <v>197</v>
      </c>
      <c r="D86" s="25"/>
      <c r="E86" s="25" t="s">
        <v>196</v>
      </c>
      <c r="F86" s="25" t="s">
        <v>197</v>
      </c>
      <c r="G86" s="25"/>
      <c r="H86" s="25"/>
      <c r="I86" s="26"/>
      <c r="J86" s="25"/>
      <c r="K86" s="25"/>
      <c r="L86" s="25"/>
      <c r="M86" s="25"/>
      <c r="N86" s="25"/>
      <c r="O86" s="25"/>
      <c r="P86" s="25"/>
      <c r="Q86" s="25"/>
      <c r="R86" s="25"/>
      <c r="S86" s="25"/>
      <c r="T86" s="25"/>
      <c r="U86" s="25"/>
      <c r="V86" s="25"/>
      <c r="W86" s="25"/>
      <c r="X86" s="25"/>
      <c r="Y86" s="25"/>
      <c r="Z86" s="25"/>
    </row>
    <row r="87" spans="2:26">
      <c r="B87" s="888">
        <v>0</v>
      </c>
      <c r="C87" s="194">
        <v>0</v>
      </c>
      <c r="D87" s="25"/>
      <c r="E87" s="25">
        <f>F87*TAN(E16*(PI()/180))</f>
        <v>0</v>
      </c>
      <c r="F87" s="88">
        <f>(L17/6)*(1+(2*L8))/(1+L8)</f>
        <v>6.4692627650146219</v>
      </c>
      <c r="G87" s="25"/>
      <c r="H87" s="25"/>
      <c r="I87" s="26"/>
      <c r="J87" s="25"/>
      <c r="K87" s="25"/>
      <c r="L87" s="25"/>
      <c r="M87" s="25"/>
      <c r="N87" s="25"/>
      <c r="O87" s="25"/>
      <c r="P87" s="25"/>
      <c r="Q87" s="25"/>
      <c r="R87" s="25"/>
      <c r="S87" s="25"/>
      <c r="T87" s="25"/>
      <c r="U87" s="25"/>
      <c r="V87" s="25"/>
      <c r="W87" s="25"/>
      <c r="X87" s="25"/>
      <c r="Y87" s="25"/>
      <c r="Z87" s="25"/>
    </row>
    <row r="88" spans="2:26">
      <c r="B88" s="888">
        <f>L18</f>
        <v>4.3859408576370313</v>
      </c>
      <c r="C88" s="194">
        <v>0</v>
      </c>
      <c r="D88" s="25"/>
      <c r="E88" s="25">
        <f>L18+(F88*TAN(E20*(PI()/180)))</f>
        <v>4.3859408576370313</v>
      </c>
      <c r="F88" s="88">
        <f>F87</f>
        <v>6.4692627650146219</v>
      </c>
      <c r="G88" s="25"/>
      <c r="H88" s="25"/>
      <c r="I88" s="26"/>
      <c r="J88" s="25"/>
      <c r="K88" s="25"/>
      <c r="L88" s="25"/>
      <c r="M88" s="25"/>
      <c r="N88" s="25"/>
      <c r="O88" s="25"/>
      <c r="P88" s="25"/>
      <c r="Q88" s="25"/>
      <c r="R88" s="25"/>
      <c r="S88" s="25"/>
      <c r="T88" s="25"/>
      <c r="U88" s="25"/>
      <c r="V88" s="25"/>
      <c r="W88" s="25"/>
      <c r="X88" s="25"/>
      <c r="Y88" s="25"/>
      <c r="Z88" s="25"/>
    </row>
    <row r="89" spans="2:26">
      <c r="B89" s="888">
        <f>L18+(L17/2)*TAN(PI()*E20/180)</f>
        <v>4.3859408576370313</v>
      </c>
      <c r="C89" s="194">
        <f>L17/2</f>
        <v>12.938525530029244</v>
      </c>
      <c r="D89" s="25"/>
      <c r="E89" s="25"/>
      <c r="F89" s="25"/>
      <c r="G89" s="25"/>
      <c r="H89" s="25"/>
      <c r="I89" s="26"/>
      <c r="J89" s="25"/>
      <c r="K89" s="25"/>
      <c r="L89" s="25"/>
      <c r="M89" s="25"/>
      <c r="N89" s="25"/>
      <c r="O89" s="25"/>
      <c r="P89" s="25"/>
      <c r="Q89" s="25"/>
      <c r="R89" s="25"/>
      <c r="S89" s="25"/>
      <c r="T89" s="25"/>
      <c r="U89" s="25"/>
      <c r="V89" s="25"/>
      <c r="W89" s="25"/>
      <c r="X89" s="25"/>
      <c r="Y89" s="25"/>
      <c r="Z89" s="25"/>
    </row>
    <row r="90" spans="2:26">
      <c r="B90" s="888">
        <f>L17/2*TAN(PI()*E16/180)</f>
        <v>0</v>
      </c>
      <c r="C90" s="194">
        <f>L17/2</f>
        <v>12.938525530029244</v>
      </c>
      <c r="D90" s="25"/>
      <c r="E90" s="85" t="s">
        <v>561</v>
      </c>
      <c r="F90" s="25"/>
      <c r="G90" s="25"/>
      <c r="H90" s="25"/>
      <c r="I90" s="26"/>
      <c r="J90" s="25"/>
      <c r="K90" s="25"/>
      <c r="L90" s="25"/>
      <c r="M90" s="25"/>
      <c r="N90" s="25"/>
      <c r="O90" s="25"/>
      <c r="P90" s="25"/>
      <c r="Q90" s="25"/>
      <c r="R90" s="25"/>
      <c r="S90" s="25"/>
      <c r="T90" s="25"/>
      <c r="U90" s="25"/>
      <c r="V90" s="25"/>
      <c r="W90" s="25"/>
      <c r="X90" s="25"/>
      <c r="Y90" s="25"/>
      <c r="Z90" s="25"/>
    </row>
    <row r="91" spans="2:26">
      <c r="B91" s="888">
        <v>0</v>
      </c>
      <c r="C91" s="194">
        <v>0</v>
      </c>
      <c r="D91" s="25"/>
      <c r="E91" s="25" t="s">
        <v>196</v>
      </c>
      <c r="F91" s="25" t="s">
        <v>197</v>
      </c>
      <c r="G91" s="25"/>
      <c r="H91" s="25"/>
      <c r="I91" s="26"/>
      <c r="J91" s="25"/>
      <c r="K91" s="25"/>
      <c r="L91" s="25"/>
      <c r="M91" s="25"/>
      <c r="N91" s="25"/>
      <c r="O91" s="25"/>
      <c r="P91" s="25"/>
      <c r="Q91" s="25"/>
      <c r="R91" s="25"/>
      <c r="S91" s="25"/>
      <c r="T91" s="25"/>
      <c r="U91" s="25"/>
      <c r="V91" s="25"/>
      <c r="W91" s="25"/>
      <c r="X91" s="25"/>
      <c r="Y91" s="25"/>
      <c r="Z91" s="25"/>
    </row>
    <row r="92" spans="2:26">
      <c r="B92" s="257">
        <f>B87</f>
        <v>0</v>
      </c>
      <c r="C92" s="35">
        <f>C87</f>
        <v>0</v>
      </c>
      <c r="D92" s="25"/>
      <c r="E92" s="25">
        <f>E87</f>
        <v>0</v>
      </c>
      <c r="F92" s="88">
        <f>-F87</f>
        <v>-6.4692627650146219</v>
      </c>
      <c r="G92" s="25"/>
      <c r="H92" s="25"/>
      <c r="I92" s="26"/>
      <c r="J92" s="25"/>
      <c r="K92" s="25"/>
      <c r="L92" s="25"/>
      <c r="M92" s="25"/>
      <c r="N92" s="25"/>
      <c r="O92" s="25"/>
      <c r="P92" s="25"/>
      <c r="Q92" s="25"/>
      <c r="R92" s="25"/>
      <c r="S92" s="25"/>
      <c r="T92" s="25"/>
      <c r="U92" s="25"/>
      <c r="V92" s="25"/>
      <c r="W92" s="25"/>
      <c r="X92" s="25"/>
      <c r="Y92" s="25"/>
      <c r="Z92" s="25"/>
    </row>
    <row r="93" spans="2:26">
      <c r="B93" s="257">
        <f>B88</f>
        <v>4.3859408576370313</v>
      </c>
      <c r="C93" s="35">
        <f>C88</f>
        <v>0</v>
      </c>
      <c r="D93" s="25"/>
      <c r="E93" s="25">
        <f>E88</f>
        <v>4.3859408576370313</v>
      </c>
      <c r="F93" s="88">
        <f>F92</f>
        <v>-6.4692627650146219</v>
      </c>
      <c r="G93" s="25"/>
      <c r="H93" s="25"/>
      <c r="I93" s="26"/>
      <c r="J93" s="25"/>
      <c r="K93" s="25"/>
      <c r="L93" s="25"/>
      <c r="M93" s="25"/>
      <c r="N93" s="25"/>
      <c r="O93" s="25"/>
      <c r="P93" s="25"/>
      <c r="Q93" s="25"/>
      <c r="R93" s="25"/>
      <c r="S93" s="25"/>
      <c r="T93" s="25"/>
      <c r="U93" s="25"/>
      <c r="V93" s="25"/>
      <c r="W93" s="25"/>
      <c r="X93" s="25"/>
      <c r="Y93" s="25"/>
      <c r="Z93" s="25"/>
    </row>
    <row r="94" spans="2:26">
      <c r="B94" s="257">
        <f>B89</f>
        <v>4.3859408576370313</v>
      </c>
      <c r="C94" s="35">
        <f>-C89</f>
        <v>-12.938525530029244</v>
      </c>
      <c r="D94" s="25"/>
      <c r="E94" s="25"/>
      <c r="F94" s="25"/>
      <c r="G94" s="25"/>
      <c r="H94" s="25"/>
      <c r="I94" s="26"/>
      <c r="J94" s="25"/>
      <c r="K94" s="25"/>
      <c r="L94" s="25"/>
      <c r="M94" s="25"/>
      <c r="N94" s="25"/>
      <c r="O94" s="25"/>
      <c r="P94" s="25"/>
      <c r="Q94" s="25"/>
      <c r="R94" s="25"/>
      <c r="S94" s="25"/>
      <c r="T94" s="25"/>
      <c r="U94" s="25"/>
      <c r="V94" s="25"/>
      <c r="W94" s="25"/>
      <c r="X94" s="25"/>
      <c r="Y94" s="25"/>
      <c r="Z94" s="25"/>
    </row>
    <row r="95" spans="2:26">
      <c r="B95" s="257">
        <f>B90</f>
        <v>0</v>
      </c>
      <c r="C95" s="35">
        <f>-C90</f>
        <v>-12.938525530029244</v>
      </c>
      <c r="D95" s="25"/>
      <c r="E95" s="25"/>
      <c r="F95" s="25"/>
      <c r="G95" s="25"/>
      <c r="H95" s="25"/>
      <c r="I95" s="26"/>
    </row>
    <row r="96" spans="2:26">
      <c r="B96" s="257">
        <f>B91</f>
        <v>0</v>
      </c>
      <c r="C96" s="35">
        <f>C91</f>
        <v>0</v>
      </c>
      <c r="D96" s="25"/>
      <c r="E96" s="25"/>
      <c r="F96" s="25"/>
      <c r="G96" s="25"/>
      <c r="H96" s="25"/>
      <c r="I96" s="26"/>
    </row>
    <row r="97" spans="2:9">
      <c r="B97" s="257"/>
      <c r="C97" s="25"/>
      <c r="D97" s="25"/>
      <c r="E97" s="25"/>
      <c r="F97" s="25"/>
      <c r="G97" s="25"/>
      <c r="H97" s="25"/>
      <c r="I97" s="26"/>
    </row>
    <row r="98" spans="2:9">
      <c r="B98" s="24"/>
      <c r="C98" s="25"/>
      <c r="D98" s="25"/>
      <c r="E98" s="25"/>
      <c r="F98" s="25"/>
      <c r="G98" s="25"/>
      <c r="H98" s="25"/>
      <c r="I98" s="26"/>
    </row>
    <row r="99" spans="2:9">
      <c r="B99" s="24"/>
      <c r="C99" s="25"/>
      <c r="D99" s="25"/>
      <c r="E99" s="25"/>
      <c r="F99" s="25"/>
      <c r="G99" s="25"/>
      <c r="H99" s="25"/>
      <c r="I99" s="26"/>
    </row>
    <row r="100" spans="2:9">
      <c r="B100" s="24"/>
      <c r="C100" s="25"/>
      <c r="D100" s="25"/>
      <c r="E100" s="25"/>
      <c r="F100" s="25"/>
      <c r="G100" s="25"/>
      <c r="H100" s="25"/>
      <c r="I100" s="26"/>
    </row>
    <row r="101" spans="2:9">
      <c r="B101" s="84" t="s">
        <v>198</v>
      </c>
      <c r="C101" s="25"/>
      <c r="D101" s="25"/>
      <c r="E101" s="27" t="s">
        <v>154</v>
      </c>
      <c r="F101" s="27" t="s">
        <v>258</v>
      </c>
      <c r="G101" s="27" t="s">
        <v>157</v>
      </c>
      <c r="H101" s="27" t="s">
        <v>161</v>
      </c>
      <c r="I101" s="28" t="s">
        <v>162</v>
      </c>
    </row>
    <row r="102" spans="2:9">
      <c r="B102" s="889" t="s">
        <v>199</v>
      </c>
      <c r="C102" s="27" t="s">
        <v>200</v>
      </c>
      <c r="D102" s="270" t="s">
        <v>199</v>
      </c>
      <c r="E102" s="27" t="s">
        <v>201</v>
      </c>
      <c r="F102" s="27" t="s">
        <v>201</v>
      </c>
      <c r="G102" s="27" t="s">
        <v>201</v>
      </c>
      <c r="H102" s="27" t="s">
        <v>201</v>
      </c>
      <c r="I102" s="28" t="s">
        <v>201</v>
      </c>
    </row>
    <row r="103" spans="2:9">
      <c r="B103" s="890">
        <f>E$9</f>
        <v>0</v>
      </c>
      <c r="C103" s="885">
        <v>0</v>
      </c>
      <c r="D103" s="885">
        <f>E$9</f>
        <v>0</v>
      </c>
      <c r="E103" s="885">
        <v>0</v>
      </c>
      <c r="F103" s="885">
        <v>0</v>
      </c>
      <c r="G103" s="885">
        <v>0</v>
      </c>
      <c r="H103" s="885">
        <v>0</v>
      </c>
      <c r="I103" s="891">
        <v>0</v>
      </c>
    </row>
    <row r="104" spans="2:9" ht="13.8" thickBot="1">
      <c r="B104" s="892">
        <f>E$6/E$7 +E$9</f>
        <v>13.999999999999998</v>
      </c>
      <c r="C104" s="893">
        <f>E$6</f>
        <v>1.4</v>
      </c>
      <c r="D104" s="893">
        <f>B104</f>
        <v>13.999999999999998</v>
      </c>
      <c r="E104" s="893">
        <f>$M37*($B104-$E$9)</f>
        <v>1.1103570635299229</v>
      </c>
      <c r="F104" s="893">
        <f>$M42*($B104-$E$9)</f>
        <v>1.1091665850134935</v>
      </c>
      <c r="G104" s="893">
        <f>$M50*($B104-$E$9)</f>
        <v>1.1080567438424034</v>
      </c>
      <c r="H104" s="893">
        <f>$M56*($B104-$E$9)</f>
        <v>1.1103570635299229</v>
      </c>
      <c r="I104" s="894">
        <f>$M61*($B104-$E$9)</f>
        <v>1.1091665850134935</v>
      </c>
    </row>
  </sheetData>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AP139"/>
  <sheetViews>
    <sheetView topLeftCell="L7" zoomScale="68" zoomScaleNormal="80" workbookViewId="0">
      <selection activeCell="U6" sqref="U6"/>
    </sheetView>
  </sheetViews>
  <sheetFormatPr defaultColWidth="8.77734375" defaultRowHeight="13.2"/>
  <cols>
    <col min="2" max="2" width="60" customWidth="1"/>
    <col min="3" max="4" width="12.44140625" bestFit="1" customWidth="1"/>
    <col min="5" max="5" width="11.44140625" bestFit="1" customWidth="1"/>
    <col min="7" max="7" width="18.6640625" customWidth="1"/>
    <col min="8" max="8" width="9.109375" customWidth="1"/>
    <col min="9" max="9" width="31.6640625" customWidth="1"/>
    <col min="10" max="10" width="10.44140625" bestFit="1" customWidth="1"/>
    <col min="11" max="11" width="12.6640625" bestFit="1" customWidth="1"/>
    <col min="12" max="12" width="8.44140625" bestFit="1" customWidth="1"/>
    <col min="13" max="13" width="6.6640625" bestFit="1" customWidth="1"/>
    <col min="17" max="17" width="32.44140625" customWidth="1"/>
    <col min="18" max="18" width="10.33203125" bestFit="1" customWidth="1"/>
    <col min="19" max="20" width="9.33203125" bestFit="1" customWidth="1"/>
  </cols>
  <sheetData>
    <row r="1" spans="2:42" ht="13.8" thickBot="1"/>
    <row r="2" spans="2:42" ht="17.399999999999999">
      <c r="B2" s="64" t="s">
        <v>971</v>
      </c>
      <c r="C2" s="22"/>
      <c r="D2" s="22"/>
      <c r="E2" s="22"/>
      <c r="F2" s="22"/>
      <c r="G2" s="22"/>
      <c r="H2" s="22"/>
      <c r="I2" s="22"/>
      <c r="J2" s="22"/>
      <c r="K2" s="22"/>
      <c r="L2" s="22"/>
      <c r="M2" s="22"/>
      <c r="N2" s="22"/>
      <c r="O2" s="23"/>
      <c r="Q2" s="64" t="s">
        <v>967</v>
      </c>
      <c r="R2" s="22"/>
      <c r="S2" s="22"/>
      <c r="T2" s="22"/>
      <c r="U2" s="22"/>
      <c r="V2" s="22"/>
      <c r="W2" s="22"/>
      <c r="X2" s="22"/>
      <c r="Y2" s="22"/>
      <c r="Z2" s="22"/>
      <c r="AA2" s="22"/>
      <c r="AB2" s="22"/>
      <c r="AC2" s="22"/>
      <c r="AD2" s="22"/>
      <c r="AE2" s="22"/>
      <c r="AF2" s="22"/>
      <c r="AG2" s="22"/>
      <c r="AH2" s="22"/>
      <c r="AI2" s="22"/>
      <c r="AJ2" s="22"/>
      <c r="AK2" s="22"/>
      <c r="AL2" s="22"/>
      <c r="AM2" s="22"/>
      <c r="AN2" s="22"/>
      <c r="AO2" s="22"/>
      <c r="AP2" s="23"/>
    </row>
    <row r="3" spans="2:42" ht="14.4" thickBot="1">
      <c r="B3" s="280"/>
      <c r="C3" s="25"/>
      <c r="D3" s="25"/>
      <c r="E3" s="25"/>
      <c r="F3" s="25"/>
      <c r="G3" s="25"/>
      <c r="H3" s="25"/>
      <c r="I3" s="25"/>
      <c r="J3" s="25"/>
      <c r="K3" s="25"/>
      <c r="L3" s="25"/>
      <c r="M3" s="25"/>
      <c r="N3" s="25"/>
      <c r="O3" s="26"/>
      <c r="Q3" s="24"/>
      <c r="R3" s="25"/>
      <c r="S3" s="25"/>
      <c r="T3" s="25"/>
      <c r="U3" s="25"/>
      <c r="V3" s="25"/>
      <c r="W3" s="25"/>
      <c r="X3" s="25"/>
      <c r="Y3" s="25"/>
      <c r="Z3" s="25"/>
      <c r="AA3" s="25"/>
      <c r="AB3" s="25"/>
      <c r="AC3" s="25"/>
      <c r="AD3" s="27" t="s">
        <v>34</v>
      </c>
      <c r="AE3" s="27" t="s">
        <v>34</v>
      </c>
      <c r="AF3" s="25"/>
      <c r="AG3" s="25"/>
      <c r="AH3" s="27" t="s">
        <v>34</v>
      </c>
      <c r="AI3" s="27" t="s">
        <v>34</v>
      </c>
      <c r="AJ3" s="25"/>
      <c r="AK3" s="25"/>
      <c r="AL3" s="25"/>
      <c r="AM3" s="25"/>
      <c r="AN3" s="25"/>
      <c r="AO3" s="25"/>
      <c r="AP3" s="26"/>
    </row>
    <row r="4" spans="2:42" ht="17.399999999999999">
      <c r="B4" s="907" t="s">
        <v>339</v>
      </c>
      <c r="C4" s="908"/>
      <c r="D4" s="909"/>
      <c r="E4" s="910"/>
      <c r="F4" s="66"/>
      <c r="G4" s="43"/>
      <c r="H4" s="43"/>
      <c r="I4" s="43"/>
      <c r="J4" s="43"/>
      <c r="K4" s="43"/>
      <c r="L4" s="43"/>
      <c r="M4" s="43"/>
      <c r="N4" s="25"/>
      <c r="O4" s="26"/>
      <c r="Q4" s="126" t="s">
        <v>265</v>
      </c>
      <c r="R4" s="127" t="s">
        <v>89</v>
      </c>
      <c r="S4" s="127" t="s">
        <v>90</v>
      </c>
      <c r="T4" s="128" t="s">
        <v>91</v>
      </c>
      <c r="U4" s="100"/>
      <c r="V4" s="25"/>
      <c r="W4" s="27" t="s">
        <v>34</v>
      </c>
      <c r="X4" s="27" t="s">
        <v>34</v>
      </c>
      <c r="Y4" s="25"/>
      <c r="Z4" s="25"/>
      <c r="AA4" s="25"/>
      <c r="AB4" s="25"/>
      <c r="AC4" s="25"/>
      <c r="AD4" s="27" t="s">
        <v>324</v>
      </c>
      <c r="AE4" s="27" t="s">
        <v>324</v>
      </c>
      <c r="AF4" s="25"/>
      <c r="AG4" s="25"/>
      <c r="AH4" s="27" t="s">
        <v>329</v>
      </c>
      <c r="AI4" s="27" t="s">
        <v>329</v>
      </c>
      <c r="AJ4" s="25"/>
      <c r="AK4" s="25"/>
      <c r="AL4" s="25"/>
      <c r="AM4" s="25"/>
      <c r="AN4" s="25"/>
      <c r="AO4" s="25"/>
      <c r="AP4" s="26"/>
    </row>
    <row r="5" spans="2:42" ht="13.8">
      <c r="B5" s="903" t="str">
        <f>'2'!B4</f>
        <v>Merlin S-1X</v>
      </c>
      <c r="C5" s="142" t="s">
        <v>34</v>
      </c>
      <c r="D5" s="294"/>
      <c r="E5" s="911"/>
      <c r="F5" s="43"/>
      <c r="G5" s="43"/>
      <c r="H5" s="43"/>
      <c r="I5" s="43"/>
      <c r="J5" s="43"/>
      <c r="K5" s="43"/>
      <c r="L5" s="43"/>
      <c r="M5" s="43"/>
      <c r="N5" s="25"/>
      <c r="O5" s="26"/>
      <c r="Q5" s="129" t="s">
        <v>719</v>
      </c>
      <c r="R5" s="104" t="s">
        <v>87</v>
      </c>
      <c r="S5" s="104" t="s">
        <v>87</v>
      </c>
      <c r="T5" s="1339">
        <v>1</v>
      </c>
      <c r="U5" s="100"/>
      <c r="V5" s="27" t="s">
        <v>37</v>
      </c>
      <c r="W5" s="27" t="s">
        <v>313</v>
      </c>
      <c r="X5" s="27" t="s">
        <v>313</v>
      </c>
      <c r="Y5" s="25"/>
      <c r="Z5" s="25"/>
      <c r="AA5" s="25"/>
      <c r="AB5" s="27" t="s">
        <v>34</v>
      </c>
      <c r="AC5" s="25"/>
      <c r="AD5" s="27" t="s">
        <v>79</v>
      </c>
      <c r="AE5" s="27" t="s">
        <v>79</v>
      </c>
      <c r="AF5" s="25"/>
      <c r="AG5" s="25"/>
      <c r="AH5" s="27" t="s">
        <v>79</v>
      </c>
      <c r="AI5" s="27" t="s">
        <v>79</v>
      </c>
      <c r="AJ5" s="27" t="s">
        <v>34</v>
      </c>
      <c r="AK5" s="25"/>
      <c r="AL5" s="27" t="s">
        <v>322</v>
      </c>
      <c r="AM5" s="25"/>
      <c r="AN5" s="25"/>
      <c r="AO5" s="25"/>
      <c r="AP5" s="93"/>
    </row>
    <row r="6" spans="2:42" ht="15.6">
      <c r="B6" s="143"/>
      <c r="C6" s="300" t="s">
        <v>311</v>
      </c>
      <c r="D6" s="300" t="s">
        <v>323</v>
      </c>
      <c r="E6" s="912" t="s">
        <v>34</v>
      </c>
      <c r="F6" s="43"/>
      <c r="G6" s="43"/>
      <c r="H6" s="43"/>
      <c r="I6" s="43"/>
      <c r="J6" s="43"/>
      <c r="K6" s="43"/>
      <c r="L6" s="43"/>
      <c r="M6" s="6"/>
      <c r="N6" s="25"/>
      <c r="O6" s="26"/>
      <c r="Q6" s="130" t="s">
        <v>266</v>
      </c>
      <c r="R6" s="122" t="s">
        <v>267</v>
      </c>
      <c r="S6" s="104" t="s">
        <v>188</v>
      </c>
      <c r="T6" s="1340">
        <v>3.25</v>
      </c>
      <c r="U6" s="100"/>
      <c r="V6" s="100" t="s">
        <v>311</v>
      </c>
      <c r="W6" s="100" t="s">
        <v>314</v>
      </c>
      <c r="X6" s="100" t="s">
        <v>314</v>
      </c>
      <c r="Y6" s="27" t="s">
        <v>34</v>
      </c>
      <c r="Z6" s="27" t="s">
        <v>34</v>
      </c>
      <c r="AA6" s="27" t="s">
        <v>34</v>
      </c>
      <c r="AB6" s="94" t="s">
        <v>311</v>
      </c>
      <c r="AC6" s="25"/>
      <c r="AD6" s="94" t="s">
        <v>326</v>
      </c>
      <c r="AE6" s="94" t="s">
        <v>326</v>
      </c>
      <c r="AF6" s="94" t="s">
        <v>34</v>
      </c>
      <c r="AG6" s="97" t="s">
        <v>34</v>
      </c>
      <c r="AH6" s="94" t="s">
        <v>326</v>
      </c>
      <c r="AI6" s="94" t="s">
        <v>326</v>
      </c>
      <c r="AJ6" s="97" t="s">
        <v>317</v>
      </c>
      <c r="AK6" s="97" t="s">
        <v>34</v>
      </c>
      <c r="AL6" s="97" t="s">
        <v>320</v>
      </c>
      <c r="AM6" s="25"/>
      <c r="AN6" s="25"/>
      <c r="AO6" s="25"/>
      <c r="AP6" s="26"/>
    </row>
    <row r="7" spans="2:42" ht="15.6">
      <c r="B7" s="143"/>
      <c r="C7" s="301" t="s">
        <v>316</v>
      </c>
      <c r="D7" s="301" t="s">
        <v>288</v>
      </c>
      <c r="E7" s="913" t="s">
        <v>318</v>
      </c>
      <c r="F7" s="39"/>
      <c r="G7" s="39"/>
      <c r="H7" s="39"/>
      <c r="I7" s="39"/>
      <c r="J7" s="39"/>
      <c r="K7" s="39"/>
      <c r="L7" s="39"/>
      <c r="M7" s="39"/>
      <c r="N7" s="25"/>
      <c r="O7" s="26"/>
      <c r="Q7" s="130" t="s">
        <v>268</v>
      </c>
      <c r="R7" s="122" t="s">
        <v>269</v>
      </c>
      <c r="S7" s="122" t="s">
        <v>87</v>
      </c>
      <c r="T7" s="1340">
        <v>6.5</v>
      </c>
      <c r="U7" s="100"/>
      <c r="V7" s="97" t="s">
        <v>312</v>
      </c>
      <c r="W7" s="94" t="s">
        <v>263</v>
      </c>
      <c r="X7" s="94" t="s">
        <v>264</v>
      </c>
      <c r="Y7" s="27" t="s">
        <v>315</v>
      </c>
      <c r="Z7" s="25"/>
      <c r="AA7" s="25"/>
      <c r="AB7" s="94" t="s">
        <v>316</v>
      </c>
      <c r="AC7" s="94" t="s">
        <v>34</v>
      </c>
      <c r="AD7" s="94" t="s">
        <v>325</v>
      </c>
      <c r="AE7" s="94" t="s">
        <v>325</v>
      </c>
      <c r="AF7" s="94" t="s">
        <v>263</v>
      </c>
      <c r="AG7" s="97" t="s">
        <v>264</v>
      </c>
      <c r="AH7" s="94" t="s">
        <v>325</v>
      </c>
      <c r="AI7" s="94" t="s">
        <v>325</v>
      </c>
      <c r="AJ7" s="97" t="s">
        <v>318</v>
      </c>
      <c r="AK7" s="97" t="s">
        <v>319</v>
      </c>
      <c r="AL7" s="97" t="s">
        <v>321</v>
      </c>
      <c r="AM7" s="97" t="s">
        <v>323</v>
      </c>
      <c r="AN7" s="25"/>
      <c r="AO7" s="25"/>
      <c r="AP7" s="26"/>
    </row>
    <row r="8" spans="2:42" ht="14.4">
      <c r="B8" s="143" t="s">
        <v>340</v>
      </c>
      <c r="C8" s="170">
        <f>F39</f>
        <v>5</v>
      </c>
      <c r="D8" s="295">
        <f>SUM(F47:F52)</f>
        <v>75.3125</v>
      </c>
      <c r="E8" s="914" t="s">
        <v>196</v>
      </c>
      <c r="F8" s="77"/>
      <c r="G8" s="77"/>
      <c r="H8" s="77"/>
      <c r="I8" s="163"/>
      <c r="J8" s="279"/>
      <c r="K8" s="163"/>
      <c r="L8" s="163"/>
      <c r="M8" s="6"/>
      <c r="N8" s="25"/>
      <c r="O8" s="26"/>
      <c r="Q8" s="129" t="s">
        <v>270</v>
      </c>
      <c r="R8" s="122" t="s">
        <v>271</v>
      </c>
      <c r="S8" s="122" t="s">
        <v>87</v>
      </c>
      <c r="T8" s="1341">
        <f>1/T7</f>
        <v>0.15384615384615385</v>
      </c>
      <c r="U8" s="100"/>
      <c r="V8" s="121" t="s">
        <v>297</v>
      </c>
      <c r="W8" s="98" t="s">
        <v>52</v>
      </c>
      <c r="X8" s="98" t="s">
        <v>293</v>
      </c>
      <c r="Y8" s="98" t="s">
        <v>292</v>
      </c>
      <c r="Z8" s="98" t="s">
        <v>291</v>
      </c>
      <c r="AA8" s="98" t="s">
        <v>290</v>
      </c>
      <c r="AB8" s="98" t="s">
        <v>196</v>
      </c>
      <c r="AC8" s="233" t="s">
        <v>758</v>
      </c>
      <c r="AD8" s="98" t="s">
        <v>327</v>
      </c>
      <c r="AE8" s="98" t="s">
        <v>328</v>
      </c>
      <c r="AF8" s="98" t="s">
        <v>52</v>
      </c>
      <c r="AG8" s="98" t="s">
        <v>293</v>
      </c>
      <c r="AH8" s="98" t="s">
        <v>330</v>
      </c>
      <c r="AI8" s="98" t="s">
        <v>331</v>
      </c>
      <c r="AJ8" s="98" t="s">
        <v>78</v>
      </c>
      <c r="AK8" s="98" t="s">
        <v>289</v>
      </c>
      <c r="AL8" s="98" t="s">
        <v>244</v>
      </c>
      <c r="AM8" s="98" t="s">
        <v>288</v>
      </c>
      <c r="AN8" s="25"/>
      <c r="AO8" s="25"/>
      <c r="AP8" s="26"/>
    </row>
    <row r="9" spans="2:42" ht="14.4">
      <c r="B9" s="143" t="s">
        <v>341</v>
      </c>
      <c r="C9" s="170">
        <f>D60</f>
        <v>8.3333333333333339</v>
      </c>
      <c r="D9" s="295">
        <f>D62</f>
        <v>14.118016129263147</v>
      </c>
      <c r="E9" s="914" t="s">
        <v>196</v>
      </c>
      <c r="F9" s="77"/>
      <c r="G9" s="77"/>
      <c r="H9" s="77"/>
      <c r="I9" s="163"/>
      <c r="J9" s="279"/>
      <c r="K9" s="163"/>
      <c r="L9" s="163"/>
      <c r="M9" s="163"/>
      <c r="N9" s="25"/>
      <c r="O9" s="26"/>
      <c r="Q9" s="132" t="s">
        <v>272</v>
      </c>
      <c r="R9" s="123" t="s">
        <v>273</v>
      </c>
      <c r="S9" s="122" t="s">
        <v>87</v>
      </c>
      <c r="T9" s="1362">
        <v>0.2</v>
      </c>
      <c r="U9" s="100"/>
      <c r="V9" s="1363">
        <v>0</v>
      </c>
      <c r="W9" s="1364">
        <v>0</v>
      </c>
      <c r="X9" s="1364">
        <v>0</v>
      </c>
      <c r="Y9" s="120">
        <f t="shared" ref="Y9:Y19" si="0">IF(V9&lt;=T$9,((V9*T$15)/T$17),IF(V9&gt;=T$10,(((1-V9)*T$15)/T$18),""))</f>
        <v>0</v>
      </c>
      <c r="Z9" s="102">
        <f t="shared" ref="Z9:Z19" si="1">AB9-T$15/2</f>
        <v>-10.5625</v>
      </c>
      <c r="AA9" s="102">
        <f t="shared" ref="AA9:AA14" si="2">AB9-T$15/4</f>
        <v>-5.28125</v>
      </c>
      <c r="AB9" s="99">
        <f t="shared" ref="AB9:AB19" si="3">V9*T$15</f>
        <v>0</v>
      </c>
      <c r="AC9" s="262">
        <f>AB9</f>
        <v>0</v>
      </c>
      <c r="AD9" s="120">
        <f t="shared" ref="AD9:AD19" si="4">IF(T$5=1,(W9/2),
  IF(T$5=2,IF(Y9&lt;&gt;"",Y9*(T$6/2),(T$6/2)),
  IF(T$5=3,IF(Y9&lt;&gt;"",(Y9^T$11)*(T$6/2),(T$6/2)),
  IF(T$5=4,(0.5*T$6*SQRT((1/PI())*( (2*AA9/(T$15/2))*SQRT(1-(2*AA9/(T$15/2))^2) + ACOS(-2*AA9/(T$15/2))))),
  IF(T$5=5,(0.5*T$6*((((1-(2*Z9/T$15)^2))^(3/2))^(1/2))),
  "ERROR:  FLAG is integer, 1&lt;=FLAG&lt;=5")))))</f>
        <v>0</v>
      </c>
      <c r="AE9" s="35">
        <f t="shared" ref="AE9:AE19" si="5">-AD9</f>
        <v>0</v>
      </c>
      <c r="AF9" s="101">
        <f t="shared" ref="AF9:AF19" si="6">IF(T$5=1,W9,2*AD9)</f>
        <v>0</v>
      </c>
      <c r="AG9" s="101">
        <f t="shared" ref="AG9:AG19" si="7">IF(T$5=1,X9,2*AD9)</f>
        <v>0</v>
      </c>
      <c r="AH9" s="35">
        <f t="shared" ref="AH9:AH19" si="8">AG9/2</f>
        <v>0</v>
      </c>
      <c r="AI9" s="35">
        <f t="shared" ref="AI9:AI19" si="9">-AH9</f>
        <v>0</v>
      </c>
      <c r="AJ9" s="101">
        <f t="shared" ref="AJ9:AJ19" si="10">IF(T$5=1,((AF9+AG9)/2),2*AD9)</f>
        <v>0</v>
      </c>
      <c r="AK9" s="65">
        <f t="shared" ref="AK9:AK19" si="11">PI()*(AF9+AG9)/2</f>
        <v>0</v>
      </c>
      <c r="AL9" s="99"/>
      <c r="AM9" s="25"/>
      <c r="AN9" s="25"/>
      <c r="AO9" s="25"/>
      <c r="AP9" s="26"/>
    </row>
    <row r="10" spans="2:42" ht="14.4">
      <c r="B10" s="143" t="s">
        <v>342</v>
      </c>
      <c r="C10" s="171">
        <f>D91</f>
        <v>1.6616442350802458</v>
      </c>
      <c r="D10" s="295">
        <f>D89</f>
        <v>5.3807199131432988</v>
      </c>
      <c r="E10" s="914" t="s">
        <v>196</v>
      </c>
      <c r="F10" s="77"/>
      <c r="G10" s="77"/>
      <c r="H10" s="77"/>
      <c r="I10" s="163"/>
      <c r="J10" s="279"/>
      <c r="K10" s="163"/>
      <c r="L10" s="163"/>
      <c r="M10" s="163"/>
      <c r="N10" s="25"/>
      <c r="O10" s="26"/>
      <c r="Q10" s="132" t="s">
        <v>274</v>
      </c>
      <c r="R10" s="123" t="s">
        <v>275</v>
      </c>
      <c r="S10" s="122" t="s">
        <v>87</v>
      </c>
      <c r="T10" s="1362">
        <v>0.7</v>
      </c>
      <c r="U10" s="100"/>
      <c r="V10" s="1363">
        <v>0.1</v>
      </c>
      <c r="W10" s="1364">
        <v>2.5</v>
      </c>
      <c r="X10" s="1364">
        <v>2.5</v>
      </c>
      <c r="Y10" s="120">
        <f t="shared" si="0"/>
        <v>0.5</v>
      </c>
      <c r="Z10" s="102">
        <f t="shared" si="1"/>
        <v>-8.4499999999999993</v>
      </c>
      <c r="AA10" s="102">
        <f t="shared" si="2"/>
        <v>-3.1687499999999997</v>
      </c>
      <c r="AB10" s="99">
        <f t="shared" si="3"/>
        <v>2.1125000000000003</v>
      </c>
      <c r="AC10" s="262">
        <f t="shared" ref="AC10:AC19" si="12">IF(AF10=AF9,0,AB10-AB9)</f>
        <v>2.1125000000000003</v>
      </c>
      <c r="AD10" s="120">
        <f t="shared" si="4"/>
        <v>1.25</v>
      </c>
      <c r="AE10" s="35">
        <f t="shared" si="5"/>
        <v>-1.25</v>
      </c>
      <c r="AF10" s="101">
        <f t="shared" si="6"/>
        <v>2.5</v>
      </c>
      <c r="AG10" s="101">
        <f t="shared" si="7"/>
        <v>2.5</v>
      </c>
      <c r="AH10" s="35">
        <f t="shared" si="8"/>
        <v>1.25</v>
      </c>
      <c r="AI10" s="35">
        <f t="shared" si="9"/>
        <v>-1.25</v>
      </c>
      <c r="AJ10" s="101">
        <f t="shared" si="10"/>
        <v>2.5</v>
      </c>
      <c r="AK10" s="65">
        <f t="shared" si="11"/>
        <v>7.8539816339744828</v>
      </c>
      <c r="AL10" s="99">
        <f t="shared" ref="AL10:AL19" si="13">(AK10*(AB10-AB9))</f>
        <v>16.591536201771095</v>
      </c>
      <c r="AM10" s="50">
        <f t="shared" ref="AM10:AM19" si="14">(PI()*(AB10-AB9)/3)*(((((AF10+AG10)/2)/2)^2)+((((AF10+AG10)/2)*((AF9+AG9)/2))/4)+((((AF9+AG9)/2)/2)^2))</f>
        <v>3.4565700420356458</v>
      </c>
      <c r="AN10" s="25"/>
      <c r="AO10" s="25"/>
      <c r="AP10" s="26"/>
    </row>
    <row r="11" spans="2:42" ht="13.8">
      <c r="B11" s="143" t="s">
        <v>343</v>
      </c>
      <c r="C11" s="170">
        <f>D97*(1+D99)</f>
        <v>2.8168078493830824</v>
      </c>
      <c r="D11" s="295">
        <f>SUM(D100:D100)</f>
        <v>27.402680241513259</v>
      </c>
      <c r="E11" s="914" t="s">
        <v>196</v>
      </c>
      <c r="F11" s="77"/>
      <c r="G11" s="77"/>
      <c r="H11" s="77"/>
      <c r="I11" s="163"/>
      <c r="J11" s="163"/>
      <c r="K11" s="163"/>
      <c r="L11" s="163"/>
      <c r="M11" s="163"/>
      <c r="N11" s="25"/>
      <c r="O11" s="26"/>
      <c r="Q11" s="132" t="s">
        <v>276</v>
      </c>
      <c r="R11" s="122" t="s">
        <v>214</v>
      </c>
      <c r="S11" s="122" t="s">
        <v>87</v>
      </c>
      <c r="T11" s="1362">
        <v>0.5</v>
      </c>
      <c r="U11" s="100"/>
      <c r="V11" s="1363">
        <v>0.2</v>
      </c>
      <c r="W11" s="1364">
        <v>3</v>
      </c>
      <c r="X11" s="1364">
        <v>3.5</v>
      </c>
      <c r="Y11" s="120">
        <f t="shared" si="0"/>
        <v>1</v>
      </c>
      <c r="Z11" s="102">
        <f t="shared" si="1"/>
        <v>-6.3374999999999995</v>
      </c>
      <c r="AA11" s="102">
        <f t="shared" si="2"/>
        <v>-1.0562499999999995</v>
      </c>
      <c r="AB11" s="99">
        <f t="shared" si="3"/>
        <v>4.2250000000000005</v>
      </c>
      <c r="AC11" s="262">
        <f t="shared" si="12"/>
        <v>2.1125000000000003</v>
      </c>
      <c r="AD11" s="120">
        <f t="shared" si="4"/>
        <v>1.5</v>
      </c>
      <c r="AE11" s="35">
        <f t="shared" si="5"/>
        <v>-1.5</v>
      </c>
      <c r="AF11" s="101">
        <f t="shared" si="6"/>
        <v>3</v>
      </c>
      <c r="AG11" s="101">
        <f t="shared" si="7"/>
        <v>3.5</v>
      </c>
      <c r="AH11" s="35">
        <f t="shared" si="8"/>
        <v>1.75</v>
      </c>
      <c r="AI11" s="35">
        <f t="shared" si="9"/>
        <v>-1.75</v>
      </c>
      <c r="AJ11" s="101">
        <f t="shared" si="10"/>
        <v>3.25</v>
      </c>
      <c r="AK11" s="65">
        <f t="shared" si="11"/>
        <v>10.210176124166829</v>
      </c>
      <c r="AL11" s="99">
        <f t="shared" si="13"/>
        <v>21.568997062302429</v>
      </c>
      <c r="AM11" s="50">
        <f t="shared" si="14"/>
        <v>13.791714467722226</v>
      </c>
      <c r="AN11" s="25"/>
      <c r="AO11" s="25"/>
      <c r="AP11" s="26"/>
    </row>
    <row r="12" spans="2:42" ht="14.4">
      <c r="B12" s="143" t="s">
        <v>344</v>
      </c>
      <c r="C12" s="170">
        <f>D104</f>
        <v>4.3859408576370313</v>
      </c>
      <c r="D12" s="295">
        <f>D107</f>
        <v>12.969435421984056</v>
      </c>
      <c r="E12" s="914" t="s">
        <v>196</v>
      </c>
      <c r="F12" s="77"/>
      <c r="G12" s="77"/>
      <c r="H12" s="77"/>
      <c r="I12" s="163"/>
      <c r="J12" s="163"/>
      <c r="K12" s="163"/>
      <c r="L12" s="163"/>
      <c r="M12" s="163"/>
      <c r="N12" s="25"/>
      <c r="O12" s="26"/>
      <c r="Q12" s="129" t="s">
        <v>202</v>
      </c>
      <c r="R12" s="124" t="s">
        <v>287</v>
      </c>
      <c r="S12" s="125" t="s">
        <v>87</v>
      </c>
      <c r="T12" s="1342">
        <v>1</v>
      </c>
      <c r="U12" s="100"/>
      <c r="V12" s="1363">
        <v>0.3</v>
      </c>
      <c r="W12" s="1364">
        <v>2.9</v>
      </c>
      <c r="X12" s="1364">
        <v>3.25</v>
      </c>
      <c r="Y12" s="120" t="str">
        <f t="shared" si="0"/>
        <v/>
      </c>
      <c r="Z12" s="102">
        <f t="shared" si="1"/>
        <v>-4.2250000000000005</v>
      </c>
      <c r="AA12" s="102">
        <f t="shared" si="2"/>
        <v>1.0562499999999995</v>
      </c>
      <c r="AB12" s="99">
        <f t="shared" si="3"/>
        <v>6.3374999999999995</v>
      </c>
      <c r="AC12" s="262">
        <f t="shared" si="12"/>
        <v>2.1124999999999989</v>
      </c>
      <c r="AD12" s="120">
        <f t="shared" si="4"/>
        <v>1.45</v>
      </c>
      <c r="AE12" s="35">
        <f t="shared" si="5"/>
        <v>-1.45</v>
      </c>
      <c r="AF12" s="101">
        <f t="shared" si="6"/>
        <v>2.9</v>
      </c>
      <c r="AG12" s="101">
        <f t="shared" si="7"/>
        <v>3.25</v>
      </c>
      <c r="AH12" s="35">
        <f t="shared" si="8"/>
        <v>1.625</v>
      </c>
      <c r="AI12" s="35">
        <f t="shared" si="9"/>
        <v>-1.625</v>
      </c>
      <c r="AJ12" s="101">
        <f t="shared" si="10"/>
        <v>3.0750000000000002</v>
      </c>
      <c r="AK12" s="65">
        <f t="shared" si="11"/>
        <v>9.6603974097886152</v>
      </c>
      <c r="AL12" s="99">
        <f t="shared" si="13"/>
        <v>20.407589528178438</v>
      </c>
      <c r="AM12" s="50">
        <f t="shared" si="14"/>
        <v>16.598103684850955</v>
      </c>
      <c r="AN12" s="25"/>
      <c r="AO12" s="25"/>
      <c r="AP12" s="26"/>
    </row>
    <row r="13" spans="2:42" ht="15.6">
      <c r="B13" s="143" t="s">
        <v>345</v>
      </c>
      <c r="C13" s="170">
        <f>D133</f>
        <v>1.3758824403707159</v>
      </c>
      <c r="D13" s="295">
        <f>D129</f>
        <v>0.70583760337383195</v>
      </c>
      <c r="E13" s="914" t="s">
        <v>196</v>
      </c>
      <c r="F13" s="77"/>
      <c r="G13" s="77"/>
      <c r="H13" s="77"/>
      <c r="I13" s="163"/>
      <c r="J13" s="163"/>
      <c r="K13" s="163"/>
      <c r="L13" s="163"/>
      <c r="M13" s="163"/>
      <c r="N13" s="25"/>
      <c r="O13" s="26"/>
      <c r="Q13" s="129" t="s">
        <v>299</v>
      </c>
      <c r="R13" s="104" t="s">
        <v>191</v>
      </c>
      <c r="S13" s="122" t="s">
        <v>300</v>
      </c>
      <c r="T13" s="1365">
        <v>0.17</v>
      </c>
      <c r="U13" s="100"/>
      <c r="V13" s="1363">
        <v>0.4</v>
      </c>
      <c r="W13" s="1364">
        <v>2.5</v>
      </c>
      <c r="X13" s="1364">
        <v>3</v>
      </c>
      <c r="Y13" s="120" t="str">
        <f t="shared" si="0"/>
        <v/>
      </c>
      <c r="Z13" s="102">
        <f>AB13-T$15/2</f>
        <v>-2.1124999999999989</v>
      </c>
      <c r="AA13" s="102">
        <f t="shared" si="2"/>
        <v>3.1687500000000011</v>
      </c>
      <c r="AB13" s="99">
        <f t="shared" si="3"/>
        <v>8.4500000000000011</v>
      </c>
      <c r="AC13" s="262">
        <f>IF(AF13=AF12,0,AB13-AB12)</f>
        <v>2.1125000000000016</v>
      </c>
      <c r="AD13" s="120">
        <f t="shared" si="4"/>
        <v>1.25</v>
      </c>
      <c r="AE13" s="35">
        <f t="shared" si="5"/>
        <v>-1.25</v>
      </c>
      <c r="AF13" s="101">
        <f t="shared" si="6"/>
        <v>2.5</v>
      </c>
      <c r="AG13" s="101">
        <f t="shared" si="7"/>
        <v>3</v>
      </c>
      <c r="AH13" s="35">
        <f t="shared" si="8"/>
        <v>1.5</v>
      </c>
      <c r="AI13" s="35">
        <f t="shared" si="9"/>
        <v>-1.5</v>
      </c>
      <c r="AJ13" s="101">
        <f t="shared" si="10"/>
        <v>2.75</v>
      </c>
      <c r="AK13" s="65">
        <f t="shared" si="11"/>
        <v>8.6393797973719302</v>
      </c>
      <c r="AL13" s="99">
        <f t="shared" si="13"/>
        <v>18.250689821948217</v>
      </c>
      <c r="AM13" s="50">
        <f t="shared" si="14"/>
        <v>14.088633834333095</v>
      </c>
      <c r="AN13" s="25"/>
      <c r="AO13" s="25"/>
      <c r="AP13" s="26"/>
    </row>
    <row r="14" spans="2:42" ht="13.8">
      <c r="B14" s="143" t="s">
        <v>346</v>
      </c>
      <c r="C14" s="170">
        <f>D134</f>
        <v>2.29313740061786</v>
      </c>
      <c r="D14" s="295">
        <f>D130</f>
        <v>0</v>
      </c>
      <c r="E14" s="914" t="s">
        <v>196</v>
      </c>
      <c r="F14" s="77"/>
      <c r="G14" s="77"/>
      <c r="H14" s="77"/>
      <c r="I14" s="163"/>
      <c r="J14" s="163"/>
      <c r="K14" s="163"/>
      <c r="L14" s="163"/>
      <c r="M14" s="163"/>
      <c r="N14" s="25"/>
      <c r="O14" s="26"/>
      <c r="Q14" s="129" t="s">
        <v>755</v>
      </c>
      <c r="R14" s="104" t="s">
        <v>756</v>
      </c>
      <c r="S14" s="122" t="s">
        <v>87</v>
      </c>
      <c r="T14" s="1339">
        <v>2</v>
      </c>
      <c r="U14" s="100"/>
      <c r="V14" s="1363">
        <v>0.5</v>
      </c>
      <c r="W14" s="1364">
        <v>2.25</v>
      </c>
      <c r="X14" s="1364">
        <v>2.5</v>
      </c>
      <c r="Y14" s="120" t="str">
        <f t="shared" si="0"/>
        <v/>
      </c>
      <c r="Z14" s="102">
        <f t="shared" si="1"/>
        <v>0</v>
      </c>
      <c r="AA14" s="102">
        <f t="shared" si="2"/>
        <v>5.28125</v>
      </c>
      <c r="AB14" s="99">
        <f t="shared" si="3"/>
        <v>10.5625</v>
      </c>
      <c r="AC14" s="262">
        <f t="shared" si="12"/>
        <v>2.1124999999999989</v>
      </c>
      <c r="AD14" s="120">
        <f t="shared" si="4"/>
        <v>1.125</v>
      </c>
      <c r="AE14" s="35">
        <f t="shared" si="5"/>
        <v>-1.125</v>
      </c>
      <c r="AF14" s="101">
        <f t="shared" si="6"/>
        <v>2.25</v>
      </c>
      <c r="AG14" s="101">
        <f t="shared" si="7"/>
        <v>2.5</v>
      </c>
      <c r="AH14" s="35">
        <f t="shared" si="8"/>
        <v>1.25</v>
      </c>
      <c r="AI14" s="35">
        <f t="shared" si="9"/>
        <v>-1.25</v>
      </c>
      <c r="AJ14" s="101">
        <f t="shared" si="10"/>
        <v>2.375</v>
      </c>
      <c r="AK14" s="65">
        <f t="shared" si="11"/>
        <v>7.4612825522757582</v>
      </c>
      <c r="AL14" s="99">
        <f t="shared" si="13"/>
        <v>15.761959391682531</v>
      </c>
      <c r="AM14" s="50">
        <f t="shared" si="14"/>
        <v>10.914119907727542</v>
      </c>
      <c r="AN14" s="25"/>
      <c r="AO14" s="25"/>
      <c r="AP14" s="26"/>
    </row>
    <row r="15" spans="2:42" ht="13.8">
      <c r="B15" s="143" t="s">
        <v>347</v>
      </c>
      <c r="C15" s="146"/>
      <c r="D15" s="295">
        <f>D137</f>
        <v>0</v>
      </c>
      <c r="E15" s="914" t="s">
        <v>196</v>
      </c>
      <c r="F15" s="77"/>
      <c r="G15" s="77"/>
      <c r="H15" s="77"/>
      <c r="I15" s="163"/>
      <c r="J15" s="163"/>
      <c r="K15" s="163"/>
      <c r="L15" s="163"/>
      <c r="M15" s="163"/>
      <c r="N15" s="25"/>
      <c r="O15" s="26"/>
      <c r="Q15" s="129" t="s">
        <v>277</v>
      </c>
      <c r="R15" s="122" t="s">
        <v>337</v>
      </c>
      <c r="S15" s="122" t="s">
        <v>188</v>
      </c>
      <c r="T15" s="133">
        <f>T6*T7</f>
        <v>21.125</v>
      </c>
      <c r="U15" s="100"/>
      <c r="V15" s="1363">
        <v>0.6</v>
      </c>
      <c r="W15" s="1364">
        <v>2</v>
      </c>
      <c r="X15" s="1364">
        <v>2</v>
      </c>
      <c r="Y15" s="120" t="str">
        <f t="shared" si="0"/>
        <v/>
      </c>
      <c r="Z15" s="102">
        <f t="shared" si="1"/>
        <v>2.1124999999999989</v>
      </c>
      <c r="AA15" s="102">
        <f>AA13</f>
        <v>3.1687500000000011</v>
      </c>
      <c r="AB15" s="99">
        <f t="shared" si="3"/>
        <v>12.674999999999999</v>
      </c>
      <c r="AC15" s="262">
        <f t="shared" si="12"/>
        <v>2.1124999999999989</v>
      </c>
      <c r="AD15" s="120">
        <f t="shared" si="4"/>
        <v>1</v>
      </c>
      <c r="AE15" s="35">
        <f t="shared" si="5"/>
        <v>-1</v>
      </c>
      <c r="AF15" s="101">
        <f t="shared" si="6"/>
        <v>2</v>
      </c>
      <c r="AG15" s="101">
        <f t="shared" si="7"/>
        <v>2</v>
      </c>
      <c r="AH15" s="35">
        <f t="shared" si="8"/>
        <v>1</v>
      </c>
      <c r="AI15" s="35">
        <f t="shared" si="9"/>
        <v>-1</v>
      </c>
      <c r="AJ15" s="101">
        <f t="shared" si="10"/>
        <v>2</v>
      </c>
      <c r="AK15" s="65">
        <f t="shared" si="11"/>
        <v>6.2831853071795862</v>
      </c>
      <c r="AL15" s="99">
        <f t="shared" si="13"/>
        <v>13.273228961416869</v>
      </c>
      <c r="AM15" s="50">
        <f t="shared" si="14"/>
        <v>7.9587525217870674</v>
      </c>
      <c r="AN15" s="25"/>
      <c r="AO15" s="25"/>
      <c r="AP15" s="26"/>
    </row>
    <row r="16" spans="2:42" ht="13.8">
      <c r="B16" s="143"/>
      <c r="C16" s="146"/>
      <c r="D16" s="295"/>
      <c r="E16" s="911"/>
      <c r="F16" s="77"/>
      <c r="G16" s="77"/>
      <c r="H16" s="77"/>
      <c r="I16" s="163"/>
      <c r="J16" s="163"/>
      <c r="K16" s="163"/>
      <c r="L16" s="163"/>
      <c r="M16" s="163"/>
      <c r="N16" s="25"/>
      <c r="O16" s="26"/>
      <c r="Q16" s="129" t="s">
        <v>278</v>
      </c>
      <c r="R16" s="122" t="s">
        <v>279</v>
      </c>
      <c r="S16" s="122" t="s">
        <v>221</v>
      </c>
      <c r="T16" s="133">
        <f>PI()*(T6^2)/4</f>
        <v>8.2957681008855477</v>
      </c>
      <c r="U16" s="100"/>
      <c r="V16" s="1363">
        <v>0.7</v>
      </c>
      <c r="W16" s="1364">
        <v>1.75</v>
      </c>
      <c r="X16" s="1364">
        <v>1.5</v>
      </c>
      <c r="Y16" s="120">
        <f t="shared" si="0"/>
        <v>1</v>
      </c>
      <c r="Z16" s="102">
        <f t="shared" si="1"/>
        <v>4.2249999999999996</v>
      </c>
      <c r="AA16" s="102">
        <f>AA12</f>
        <v>1.0562499999999995</v>
      </c>
      <c r="AB16" s="99">
        <f t="shared" si="3"/>
        <v>14.7875</v>
      </c>
      <c r="AC16" s="262">
        <f t="shared" si="12"/>
        <v>2.1125000000000007</v>
      </c>
      <c r="AD16" s="120">
        <f t="shared" si="4"/>
        <v>0.875</v>
      </c>
      <c r="AE16" s="35">
        <f t="shared" si="5"/>
        <v>-0.875</v>
      </c>
      <c r="AF16" s="101">
        <f t="shared" si="6"/>
        <v>1.75</v>
      </c>
      <c r="AG16" s="101">
        <f t="shared" si="7"/>
        <v>1.5</v>
      </c>
      <c r="AH16" s="35">
        <f t="shared" si="8"/>
        <v>0.75</v>
      </c>
      <c r="AI16" s="35">
        <f t="shared" si="9"/>
        <v>-0.75</v>
      </c>
      <c r="AJ16" s="101">
        <f t="shared" si="10"/>
        <v>1.625</v>
      </c>
      <c r="AK16" s="65">
        <f t="shared" si="11"/>
        <v>5.1050880620834143</v>
      </c>
      <c r="AL16" s="99">
        <f t="shared" si="13"/>
        <v>10.784498531151216</v>
      </c>
      <c r="AM16" s="50">
        <f t="shared" si="14"/>
        <v>5.4700220915214093</v>
      </c>
      <c r="AN16" s="25"/>
      <c r="AO16" s="25"/>
      <c r="AP16" s="26"/>
    </row>
    <row r="17" spans="2:42" ht="13.8">
      <c r="B17" s="299" t="s">
        <v>970</v>
      </c>
      <c r="C17" s="302" t="s">
        <v>569</v>
      </c>
      <c r="D17" s="295">
        <f>SUM(D8:D15)</f>
        <v>135.88918930927758</v>
      </c>
      <c r="E17" s="915">
        <f>F44</f>
        <v>3.2105263157894735</v>
      </c>
      <c r="F17" s="77"/>
      <c r="G17" s="77"/>
      <c r="H17" s="77"/>
      <c r="I17" s="163"/>
      <c r="J17" s="163"/>
      <c r="K17" s="163"/>
      <c r="L17" s="163"/>
      <c r="M17" s="163"/>
      <c r="N17" s="25"/>
      <c r="O17" s="26"/>
      <c r="Q17" s="129" t="s">
        <v>280</v>
      </c>
      <c r="R17" s="123" t="s">
        <v>281</v>
      </c>
      <c r="S17" s="122" t="s">
        <v>188</v>
      </c>
      <c r="T17" s="134">
        <f>T9*T15</f>
        <v>4.2250000000000005</v>
      </c>
      <c r="U17" s="100"/>
      <c r="V17" s="1363">
        <v>0.8</v>
      </c>
      <c r="W17" s="1364">
        <v>1.5</v>
      </c>
      <c r="X17" s="1364">
        <v>1</v>
      </c>
      <c r="Y17" s="120">
        <f t="shared" si="0"/>
        <v>0.6666666666666663</v>
      </c>
      <c r="Z17" s="102">
        <f t="shared" si="1"/>
        <v>6.3375000000000021</v>
      </c>
      <c r="AA17" s="102">
        <f>AA11</f>
        <v>-1.0562499999999995</v>
      </c>
      <c r="AB17" s="99">
        <f t="shared" si="3"/>
        <v>16.900000000000002</v>
      </c>
      <c r="AC17" s="262">
        <f t="shared" si="12"/>
        <v>2.1125000000000025</v>
      </c>
      <c r="AD17" s="120">
        <f t="shared" si="4"/>
        <v>0.75</v>
      </c>
      <c r="AE17" s="35">
        <f t="shared" si="5"/>
        <v>-0.75</v>
      </c>
      <c r="AF17" s="101">
        <f t="shared" si="6"/>
        <v>1.5</v>
      </c>
      <c r="AG17" s="101">
        <f t="shared" si="7"/>
        <v>1</v>
      </c>
      <c r="AH17" s="35">
        <f t="shared" si="8"/>
        <v>0.5</v>
      </c>
      <c r="AI17" s="35">
        <f t="shared" si="9"/>
        <v>-0.5</v>
      </c>
      <c r="AJ17" s="101">
        <f t="shared" si="10"/>
        <v>1.25</v>
      </c>
      <c r="AK17" s="65">
        <f t="shared" si="11"/>
        <v>3.9269908169872414</v>
      </c>
      <c r="AL17" s="99">
        <f t="shared" si="13"/>
        <v>8.2957681008855566</v>
      </c>
      <c r="AM17" s="50">
        <f t="shared" si="14"/>
        <v>3.4479286169305601</v>
      </c>
      <c r="AN17" s="25"/>
      <c r="AO17" s="25"/>
      <c r="AP17" s="26"/>
    </row>
    <row r="18" spans="2:42" ht="13.8">
      <c r="B18" s="299" t="s">
        <v>969</v>
      </c>
      <c r="C18" s="302" t="s">
        <v>569</v>
      </c>
      <c r="D18" s="295">
        <f>T22</f>
        <v>78.56023260137772</v>
      </c>
      <c r="E18" s="915">
        <f>T6</f>
        <v>3.25</v>
      </c>
      <c r="F18" s="77"/>
      <c r="G18" s="77"/>
      <c r="H18" s="77"/>
      <c r="I18" s="163"/>
      <c r="J18" s="163"/>
      <c r="K18" s="163"/>
      <c r="L18" s="163"/>
      <c r="M18" s="163"/>
      <c r="N18" s="25"/>
      <c r="O18" s="26"/>
      <c r="Q18" s="129" t="s">
        <v>282</v>
      </c>
      <c r="R18" s="123" t="s">
        <v>283</v>
      </c>
      <c r="S18" s="122" t="s">
        <v>188</v>
      </c>
      <c r="T18" s="134">
        <f>(1-T10)*T15</f>
        <v>6.3375000000000012</v>
      </c>
      <c r="U18" s="100"/>
      <c r="V18" s="1363">
        <v>0.9</v>
      </c>
      <c r="W18" s="1364">
        <v>1.25</v>
      </c>
      <c r="X18" s="1364">
        <v>0.5</v>
      </c>
      <c r="Y18" s="120">
        <f t="shared" si="0"/>
        <v>0.33333333333333315</v>
      </c>
      <c r="Z18" s="102">
        <f t="shared" si="1"/>
        <v>8.4499999999999993</v>
      </c>
      <c r="AA18" s="102">
        <f>AA10</f>
        <v>-3.1687499999999997</v>
      </c>
      <c r="AB18" s="99">
        <f t="shared" si="3"/>
        <v>19.012499999999999</v>
      </c>
      <c r="AC18" s="262">
        <f t="shared" si="12"/>
        <v>2.1124999999999972</v>
      </c>
      <c r="AD18" s="120">
        <f t="shared" si="4"/>
        <v>0.625</v>
      </c>
      <c r="AE18" s="35">
        <f t="shared" si="5"/>
        <v>-0.625</v>
      </c>
      <c r="AF18" s="101">
        <f t="shared" si="6"/>
        <v>1.25</v>
      </c>
      <c r="AG18" s="101">
        <f t="shared" si="7"/>
        <v>0.5</v>
      </c>
      <c r="AH18" s="35">
        <f t="shared" si="8"/>
        <v>0.25</v>
      </c>
      <c r="AI18" s="35">
        <f t="shared" si="9"/>
        <v>-0.25</v>
      </c>
      <c r="AJ18" s="101">
        <f t="shared" si="10"/>
        <v>0.875</v>
      </c>
      <c r="AK18" s="65">
        <f t="shared" si="11"/>
        <v>2.748893571891069</v>
      </c>
      <c r="AL18" s="99">
        <f t="shared" si="13"/>
        <v>5.8070376706198754</v>
      </c>
      <c r="AM18" s="50">
        <f t="shared" si="14"/>
        <v>1.8924720980145129</v>
      </c>
      <c r="AN18" s="25"/>
      <c r="AO18" s="25"/>
      <c r="AP18" s="26"/>
    </row>
    <row r="19" spans="2:42" ht="14.4" thickBot="1">
      <c r="B19" s="916" t="s">
        <v>1005</v>
      </c>
      <c r="C19" s="917" t="s">
        <v>569</v>
      </c>
      <c r="D19" s="918">
        <f>D18/D17</f>
        <v>0.57811981218445729</v>
      </c>
      <c r="E19" s="919">
        <f>E18/E17</f>
        <v>1.0122950819672132</v>
      </c>
      <c r="F19" s="77"/>
      <c r="G19" s="77"/>
      <c r="H19" s="77"/>
      <c r="I19" s="163"/>
      <c r="J19" s="163"/>
      <c r="K19" s="163"/>
      <c r="L19" s="163"/>
      <c r="M19" s="163"/>
      <c r="N19" s="25"/>
      <c r="O19" s="26"/>
      <c r="Q19" s="129" t="s">
        <v>284</v>
      </c>
      <c r="R19" s="122" t="s">
        <v>285</v>
      </c>
      <c r="S19" s="125" t="s">
        <v>188</v>
      </c>
      <c r="T19" s="133">
        <f>T15*(T9+(1-T10))</f>
        <v>10.5625</v>
      </c>
      <c r="U19" s="94"/>
      <c r="V19" s="1363">
        <v>1</v>
      </c>
      <c r="W19" s="1364">
        <v>1</v>
      </c>
      <c r="X19" s="1364">
        <v>0.25</v>
      </c>
      <c r="Y19" s="120">
        <f t="shared" si="0"/>
        <v>0</v>
      </c>
      <c r="Z19" s="102">
        <f t="shared" si="1"/>
        <v>10.5625</v>
      </c>
      <c r="AA19" s="102">
        <f>AA9</f>
        <v>-5.28125</v>
      </c>
      <c r="AB19" s="99">
        <f t="shared" si="3"/>
        <v>21.125</v>
      </c>
      <c r="AC19" s="262">
        <f t="shared" si="12"/>
        <v>2.1125000000000007</v>
      </c>
      <c r="AD19" s="120">
        <f t="shared" si="4"/>
        <v>0.5</v>
      </c>
      <c r="AE19" s="35">
        <f t="shared" si="5"/>
        <v>-0.5</v>
      </c>
      <c r="AF19" s="101">
        <f t="shared" si="6"/>
        <v>1</v>
      </c>
      <c r="AG19" s="101">
        <f t="shared" si="7"/>
        <v>0.25</v>
      </c>
      <c r="AH19" s="35">
        <f t="shared" si="8"/>
        <v>0.125</v>
      </c>
      <c r="AI19" s="35">
        <f t="shared" si="9"/>
        <v>-0.125</v>
      </c>
      <c r="AJ19" s="101">
        <f t="shared" si="10"/>
        <v>0.625</v>
      </c>
      <c r="AK19" s="65">
        <f t="shared" si="11"/>
        <v>1.9634954084936207</v>
      </c>
      <c r="AL19" s="99">
        <f t="shared" si="13"/>
        <v>4.1478840504427748</v>
      </c>
      <c r="AM19" s="50">
        <f t="shared" si="14"/>
        <v>0.94191533645471337</v>
      </c>
      <c r="AN19" s="25"/>
      <c r="AO19" s="25"/>
      <c r="AP19" s="26"/>
    </row>
    <row r="20" spans="2:42" ht="14.4">
      <c r="B20" s="281"/>
      <c r="C20" s="144"/>
      <c r="D20" s="140"/>
      <c r="E20" s="140"/>
      <c r="F20" s="77"/>
      <c r="G20" s="77"/>
      <c r="H20" s="77"/>
      <c r="I20" s="163"/>
      <c r="J20" s="163"/>
      <c r="K20" s="163"/>
      <c r="L20" s="163"/>
      <c r="M20" s="163"/>
      <c r="N20" s="25"/>
      <c r="O20" s="26"/>
      <c r="Q20" s="129" t="s">
        <v>286</v>
      </c>
      <c r="R20" s="124" t="s">
        <v>193</v>
      </c>
      <c r="S20" s="125" t="s">
        <v>87</v>
      </c>
      <c r="T20" s="131">
        <f>1+(60/T7^3) + T7/400</f>
        <v>1.2347297451069641</v>
      </c>
      <c r="U20" s="94"/>
      <c r="V20" s="94"/>
      <c r="W20" s="94"/>
      <c r="X20" s="94"/>
      <c r="Y20" s="94"/>
      <c r="Z20" s="94"/>
      <c r="AA20" s="94"/>
      <c r="AB20" s="94"/>
      <c r="AC20" s="231"/>
      <c r="AD20" s="94"/>
      <c r="AE20" s="94"/>
      <c r="AF20" s="97"/>
      <c r="AG20" s="97"/>
      <c r="AH20" s="97"/>
      <c r="AI20" s="97"/>
      <c r="AJ20" s="25"/>
      <c r="AK20" s="25"/>
      <c r="AL20" s="25"/>
      <c r="AM20" s="25"/>
      <c r="AN20" s="25"/>
      <c r="AO20" s="25"/>
      <c r="AP20" s="26"/>
    </row>
    <row r="21" spans="2:42" ht="17.399999999999999">
      <c r="B21" s="281"/>
      <c r="C21" s="144"/>
      <c r="D21" s="140"/>
      <c r="E21" s="140"/>
      <c r="F21" s="140"/>
      <c r="G21" s="145"/>
      <c r="H21" s="140"/>
      <c r="I21" s="140"/>
      <c r="J21" s="140"/>
      <c r="K21" s="140"/>
      <c r="L21" s="25"/>
      <c r="M21" s="25"/>
      <c r="N21" s="25"/>
      <c r="O21" s="26"/>
      <c r="Q21" s="135" t="s">
        <v>334</v>
      </c>
      <c r="R21" s="122" t="s">
        <v>244</v>
      </c>
      <c r="S21" s="122" t="s">
        <v>221</v>
      </c>
      <c r="T21" s="138">
        <f>SUM(AL10:AL19)</f>
        <v>134.88918932039897</v>
      </c>
      <c r="U21" s="94"/>
      <c r="V21" s="94"/>
      <c r="W21" s="101">
        <f>MAX(W9:W19)</f>
        <v>3</v>
      </c>
      <c r="X21" s="101">
        <f>MAX(X9:X19)</f>
        <v>3.5</v>
      </c>
      <c r="Y21" s="94"/>
      <c r="Z21" s="94"/>
      <c r="AA21" s="94"/>
      <c r="AB21" s="94"/>
      <c r="AC21" s="251"/>
      <c r="AD21" s="285" t="s">
        <v>338</v>
      </c>
      <c r="AE21" s="94"/>
      <c r="AF21" s="97"/>
      <c r="AG21" s="97"/>
      <c r="AH21" s="97"/>
      <c r="AI21" s="97"/>
      <c r="AJ21" s="25"/>
      <c r="AK21" s="25"/>
      <c r="AL21" s="25"/>
      <c r="AM21" s="25"/>
      <c r="AN21" s="25"/>
      <c r="AO21" s="25"/>
      <c r="AP21" s="26"/>
    </row>
    <row r="22" spans="2:42" ht="23.4" thickBot="1">
      <c r="B22" s="154"/>
      <c r="C22" s="140"/>
      <c r="D22" s="140" t="s">
        <v>348</v>
      </c>
      <c r="E22" s="140"/>
      <c r="F22" s="140"/>
      <c r="G22" s="145"/>
      <c r="H22" s="140"/>
      <c r="I22" s="140"/>
      <c r="J22" s="140"/>
      <c r="K22" s="140"/>
      <c r="L22" s="140"/>
      <c r="M22" s="140"/>
      <c r="N22" s="25"/>
      <c r="O22" s="26"/>
      <c r="Q22" s="136" t="s">
        <v>335</v>
      </c>
      <c r="R22" s="137" t="s">
        <v>49</v>
      </c>
      <c r="S22" s="137" t="s">
        <v>336</v>
      </c>
      <c r="T22" s="139">
        <f>SUM(AM10:AM19)</f>
        <v>78.56023260137772</v>
      </c>
      <c r="U22" s="94"/>
      <c r="V22" s="94"/>
      <c r="W22" s="94"/>
      <c r="X22" s="94"/>
      <c r="Y22" s="94"/>
      <c r="Z22" s="94"/>
      <c r="AA22" s="94"/>
      <c r="AB22" s="94"/>
      <c r="AC22" s="122"/>
      <c r="AD22" s="284" t="str">
        <f>IF(T5=1,"Free Form",IF(T5=2,"Cone-cyliner",IF(T5=3,"Power series-cylinder",IF(T5=4,"Von Karman Ogive",IF(T5=5,"Sears-Haack")))))</f>
        <v>Free Form</v>
      </c>
      <c r="AE22" s="122"/>
      <c r="AF22" s="97"/>
      <c r="AG22" s="97"/>
      <c r="AH22" s="1351" t="s">
        <v>2765</v>
      </c>
      <c r="AI22" s="97"/>
      <c r="AJ22" s="25"/>
      <c r="AK22" s="25"/>
      <c r="AL22" s="25"/>
      <c r="AM22" s="25"/>
      <c r="AN22" s="25"/>
      <c r="AO22" s="25"/>
      <c r="AP22" s="26"/>
    </row>
    <row r="23" spans="2:42" ht="14.4">
      <c r="B23" s="282" t="s">
        <v>349</v>
      </c>
      <c r="C23" s="147" t="s">
        <v>90</v>
      </c>
      <c r="D23" s="148" t="s">
        <v>350</v>
      </c>
      <c r="E23" s="147" t="s">
        <v>351</v>
      </c>
      <c r="F23" s="147" t="s">
        <v>146</v>
      </c>
      <c r="G23" s="149" t="s">
        <v>352</v>
      </c>
      <c r="I23" s="920" t="s">
        <v>353</v>
      </c>
      <c r="J23" s="22"/>
      <c r="K23" s="921"/>
      <c r="L23" s="922" t="s">
        <v>354</v>
      </c>
      <c r="M23" s="923" t="s">
        <v>355</v>
      </c>
      <c r="N23" s="25"/>
      <c r="O23" s="26"/>
      <c r="Q23" s="286"/>
      <c r="R23" s="94"/>
      <c r="S23" s="94"/>
      <c r="T23" s="100"/>
      <c r="U23" s="94"/>
      <c r="V23" s="94"/>
      <c r="W23" s="94"/>
      <c r="X23" s="94"/>
      <c r="Y23" s="94"/>
      <c r="Z23" s="94"/>
      <c r="AA23" s="94"/>
      <c r="AB23" s="94"/>
      <c r="AC23" s="94"/>
      <c r="AD23" s="94"/>
      <c r="AE23" s="94"/>
      <c r="AF23" s="97"/>
      <c r="AG23" s="97"/>
      <c r="AH23" s="97"/>
      <c r="AI23" s="97"/>
      <c r="AJ23" s="25"/>
      <c r="AK23" s="25"/>
      <c r="AL23" s="25"/>
      <c r="AM23" s="25"/>
      <c r="AN23" s="25"/>
      <c r="AO23" s="25"/>
      <c r="AP23" s="26"/>
    </row>
    <row r="24" spans="2:42" ht="14.4">
      <c r="B24" s="154" t="s">
        <v>968</v>
      </c>
      <c r="C24" s="150" t="s">
        <v>87</v>
      </c>
      <c r="D24" s="1366">
        <v>0</v>
      </c>
      <c r="E24" s="1366">
        <v>1</v>
      </c>
      <c r="F24" s="160"/>
      <c r="G24" s="152"/>
      <c r="I24" s="924" t="s">
        <v>356</v>
      </c>
      <c r="J24" s="25"/>
      <c r="K24" s="147" t="s">
        <v>90</v>
      </c>
      <c r="L24" s="153" t="s">
        <v>357</v>
      </c>
      <c r="M24" s="925" t="s">
        <v>357</v>
      </c>
      <c r="N24" s="25"/>
      <c r="O24" s="26"/>
      <c r="Q24" s="287"/>
      <c r="R24" s="94"/>
      <c r="S24" s="94"/>
      <c r="T24" s="100"/>
      <c r="U24" s="94"/>
      <c r="V24" s="94"/>
      <c r="W24" s="94"/>
      <c r="X24" s="94"/>
      <c r="Y24" s="94"/>
      <c r="Z24" s="94"/>
      <c r="AA24" s="94"/>
      <c r="AB24" s="94"/>
      <c r="AC24" s="94"/>
      <c r="AD24" s="94"/>
      <c r="AE24" s="94"/>
      <c r="AF24" s="97"/>
      <c r="AG24" s="97"/>
      <c r="AH24" s="97"/>
      <c r="AI24" s="97"/>
      <c r="AJ24" s="25"/>
      <c r="AK24" s="25"/>
      <c r="AL24" s="25"/>
      <c r="AM24" s="25"/>
      <c r="AN24" s="25"/>
      <c r="AO24" s="25"/>
      <c r="AP24" s="26"/>
    </row>
    <row r="25" spans="2:42" ht="14.4">
      <c r="B25" s="154" t="s">
        <v>358</v>
      </c>
      <c r="C25" s="150" t="s">
        <v>359</v>
      </c>
      <c r="D25" s="1366">
        <v>0</v>
      </c>
      <c r="E25" s="1366">
        <v>29</v>
      </c>
      <c r="F25" s="140"/>
      <c r="G25" s="152" t="s">
        <v>262</v>
      </c>
      <c r="I25" s="154" t="s">
        <v>358</v>
      </c>
      <c r="J25" s="25"/>
      <c r="K25" s="150" t="s">
        <v>359</v>
      </c>
      <c r="L25" s="348" t="s">
        <v>360</v>
      </c>
      <c r="M25" s="926" t="s">
        <v>361</v>
      </c>
      <c r="N25" s="25"/>
      <c r="O25" s="26"/>
      <c r="Q25" s="249"/>
      <c r="R25" s="261"/>
      <c r="S25" s="94"/>
      <c r="T25" s="99"/>
      <c r="U25" s="94"/>
      <c r="V25" s="94"/>
      <c r="W25" s="94"/>
      <c r="X25" s="94"/>
      <c r="Y25" s="94"/>
      <c r="Z25" s="94"/>
      <c r="AA25" s="94"/>
      <c r="AB25" s="94"/>
      <c r="AC25" s="94"/>
      <c r="AD25" s="94"/>
      <c r="AE25" s="94"/>
      <c r="AF25" s="97"/>
      <c r="AG25" s="97"/>
      <c r="AH25" s="97"/>
      <c r="AI25" s="97"/>
      <c r="AJ25" s="25"/>
      <c r="AK25" s="25"/>
      <c r="AL25" s="25"/>
      <c r="AM25" s="25"/>
      <c r="AN25" s="25"/>
      <c r="AO25" s="25"/>
      <c r="AP25" s="26"/>
    </row>
    <row r="26" spans="2:42" ht="14.4">
      <c r="B26" s="154" t="s">
        <v>362</v>
      </c>
      <c r="C26" s="150" t="s">
        <v>359</v>
      </c>
      <c r="D26" s="1366">
        <v>0</v>
      </c>
      <c r="E26" s="1366">
        <v>30</v>
      </c>
      <c r="F26" s="140"/>
      <c r="G26" s="152" t="s">
        <v>262</v>
      </c>
      <c r="I26" s="154" t="s">
        <v>362</v>
      </c>
      <c r="J26" s="25"/>
      <c r="K26" s="150" t="s">
        <v>359</v>
      </c>
      <c r="L26" s="348" t="s">
        <v>363</v>
      </c>
      <c r="M26" s="926" t="s">
        <v>364</v>
      </c>
      <c r="N26" s="25"/>
      <c r="O26" s="26"/>
      <c r="Q26" s="24"/>
      <c r="R26" s="25"/>
      <c r="S26" s="25"/>
      <c r="T26" s="25"/>
      <c r="U26" s="94"/>
      <c r="V26" s="94"/>
      <c r="W26" s="94"/>
      <c r="X26" s="94"/>
      <c r="Y26" s="94"/>
      <c r="Z26" s="94"/>
      <c r="AA26" s="94"/>
      <c r="AB26" s="94"/>
      <c r="AC26" s="94"/>
      <c r="AD26" s="94"/>
      <c r="AE26" s="94"/>
      <c r="AF26" s="97"/>
      <c r="AG26" s="97"/>
      <c r="AH26" s="97"/>
      <c r="AI26" s="97"/>
      <c r="AJ26" s="25"/>
      <c r="AK26" s="25"/>
      <c r="AL26" s="25"/>
      <c r="AM26" s="25"/>
      <c r="AN26" s="25"/>
      <c r="AO26" s="25"/>
      <c r="AP26" s="26"/>
    </row>
    <row r="27" spans="2:42" ht="14.4">
      <c r="B27" s="154" t="s">
        <v>365</v>
      </c>
      <c r="C27" s="150" t="s">
        <v>359</v>
      </c>
      <c r="D27" s="1366">
        <v>0</v>
      </c>
      <c r="E27" s="1366">
        <v>45</v>
      </c>
      <c r="F27" s="140"/>
      <c r="G27" s="152" t="s">
        <v>262</v>
      </c>
      <c r="I27" s="154" t="s">
        <v>365</v>
      </c>
      <c r="J27" s="25"/>
      <c r="K27" s="150" t="s">
        <v>359</v>
      </c>
      <c r="L27" s="348" t="s">
        <v>366</v>
      </c>
      <c r="M27" s="926" t="s">
        <v>87</v>
      </c>
      <c r="N27" s="25"/>
      <c r="O27" s="26"/>
      <c r="Q27" s="286"/>
      <c r="R27" s="94"/>
      <c r="S27" s="94"/>
      <c r="T27" s="100"/>
      <c r="U27" s="94"/>
      <c r="V27" s="94"/>
      <c r="W27" s="94"/>
      <c r="X27" s="94"/>
      <c r="Y27" s="94"/>
      <c r="Z27" s="94"/>
      <c r="AA27" s="94"/>
      <c r="AB27" s="94"/>
      <c r="AC27" s="94"/>
      <c r="AD27" s="94"/>
      <c r="AE27" s="94"/>
      <c r="AF27" s="97"/>
      <c r="AG27" s="97"/>
      <c r="AH27" s="97"/>
      <c r="AI27" s="97"/>
      <c r="AJ27" s="25"/>
      <c r="AK27" s="25"/>
      <c r="AL27" s="25"/>
      <c r="AM27" s="25"/>
      <c r="AN27" s="25"/>
      <c r="AO27" s="25"/>
      <c r="AP27" s="26"/>
    </row>
    <row r="28" spans="2:42" ht="14.4">
      <c r="B28" s="154" t="s">
        <v>367</v>
      </c>
      <c r="C28" s="150" t="s">
        <v>87</v>
      </c>
      <c r="D28" s="1366">
        <v>0</v>
      </c>
      <c r="E28" s="1366">
        <v>0</v>
      </c>
      <c r="F28" s="160"/>
      <c r="G28" s="152" t="s">
        <v>262</v>
      </c>
      <c r="I28" s="154" t="s">
        <v>367</v>
      </c>
      <c r="J28" s="25"/>
      <c r="K28" s="150" t="s">
        <v>359</v>
      </c>
      <c r="L28" s="348" t="s">
        <v>87</v>
      </c>
      <c r="M28" s="926" t="s">
        <v>87</v>
      </c>
      <c r="N28" s="25"/>
      <c r="O28" s="26"/>
      <c r="Q28" s="286"/>
      <c r="R28" s="94"/>
      <c r="S28" s="94"/>
      <c r="T28" s="100"/>
      <c r="U28" s="94"/>
      <c r="V28" s="94"/>
      <c r="W28" s="94"/>
      <c r="X28" s="94"/>
      <c r="Y28" s="94"/>
      <c r="Z28" s="94"/>
      <c r="AA28" s="94"/>
      <c r="AB28" s="94"/>
      <c r="AC28" s="94"/>
      <c r="AD28" s="94"/>
      <c r="AE28" s="94"/>
      <c r="AF28" s="97"/>
      <c r="AG28" s="97"/>
      <c r="AH28" s="97"/>
      <c r="AI28" s="97"/>
      <c r="AJ28" s="25"/>
      <c r="AK28" s="25"/>
      <c r="AL28" s="25"/>
      <c r="AM28" s="25"/>
      <c r="AN28" s="25"/>
      <c r="AO28" s="25"/>
      <c r="AP28" s="26"/>
    </row>
    <row r="29" spans="2:42" ht="14.4">
      <c r="B29" s="154" t="s">
        <v>368</v>
      </c>
      <c r="C29" s="150" t="s">
        <v>359</v>
      </c>
      <c r="D29" s="1366">
        <v>0</v>
      </c>
      <c r="E29" s="1366">
        <v>0</v>
      </c>
      <c r="F29" s="160"/>
      <c r="G29" s="152" t="s">
        <v>262</v>
      </c>
      <c r="I29" s="154" t="s">
        <v>368</v>
      </c>
      <c r="J29" s="25"/>
      <c r="K29" s="150" t="s">
        <v>359</v>
      </c>
      <c r="L29" s="348" t="s">
        <v>369</v>
      </c>
      <c r="M29" s="926" t="s">
        <v>370</v>
      </c>
      <c r="N29" s="25"/>
      <c r="O29" s="26"/>
      <c r="Q29" s="286"/>
      <c r="R29" s="94"/>
      <c r="S29" s="94"/>
      <c r="T29" s="100"/>
      <c r="U29" s="94"/>
      <c r="V29" s="94"/>
      <c r="W29" s="94"/>
      <c r="X29" s="94"/>
      <c r="Y29" s="94"/>
      <c r="Z29" s="94"/>
      <c r="AA29" s="94"/>
      <c r="AB29" s="94"/>
      <c r="AC29" s="94"/>
      <c r="AD29" s="94"/>
      <c r="AE29" s="94"/>
      <c r="AF29" s="97"/>
      <c r="AG29" s="97"/>
      <c r="AH29" s="97"/>
      <c r="AI29" s="97"/>
      <c r="AJ29" s="25"/>
      <c r="AK29" s="25"/>
      <c r="AL29" s="25"/>
      <c r="AM29" s="25"/>
      <c r="AN29" s="25"/>
      <c r="AO29" s="25"/>
      <c r="AP29" s="26"/>
    </row>
    <row r="30" spans="2:42" ht="14.4">
      <c r="B30" s="154" t="s">
        <v>371</v>
      </c>
      <c r="C30" s="150" t="s">
        <v>359</v>
      </c>
      <c r="D30" s="1366">
        <v>0</v>
      </c>
      <c r="E30" s="1366">
        <v>0</v>
      </c>
      <c r="F30" s="160">
        <f>MAX(D30:E30)</f>
        <v>0</v>
      </c>
      <c r="G30" s="152" t="s">
        <v>262</v>
      </c>
      <c r="I30" s="154" t="s">
        <v>371</v>
      </c>
      <c r="J30" s="25"/>
      <c r="K30" s="150" t="s">
        <v>359</v>
      </c>
      <c r="L30" s="348" t="s">
        <v>372</v>
      </c>
      <c r="M30" s="926" t="s">
        <v>373</v>
      </c>
      <c r="N30" s="25"/>
      <c r="O30" s="26"/>
      <c r="Q30" s="286"/>
      <c r="R30" s="94"/>
      <c r="S30" s="94"/>
      <c r="T30" s="100"/>
      <c r="U30" s="94"/>
      <c r="V30" s="94"/>
      <c r="W30" s="94"/>
      <c r="X30" s="94"/>
      <c r="Y30" s="94"/>
      <c r="Z30" s="94"/>
      <c r="AA30" s="94"/>
      <c r="AB30" s="94"/>
      <c r="AC30" s="94"/>
      <c r="AD30" s="94"/>
      <c r="AE30" s="94"/>
      <c r="AF30" s="97"/>
      <c r="AG30" s="97"/>
      <c r="AH30" s="97"/>
      <c r="AI30" s="97"/>
      <c r="AJ30" s="25"/>
      <c r="AK30" s="25"/>
      <c r="AL30" s="25"/>
      <c r="AM30" s="25"/>
      <c r="AN30" s="25"/>
      <c r="AO30" s="25"/>
      <c r="AP30" s="26"/>
    </row>
    <row r="31" spans="2:42" ht="14.4">
      <c r="B31" s="154" t="s">
        <v>374</v>
      </c>
      <c r="C31" s="150" t="s">
        <v>375</v>
      </c>
      <c r="D31" s="1366">
        <v>0</v>
      </c>
      <c r="E31" s="1366">
        <v>2</v>
      </c>
      <c r="F31" s="160">
        <f>D31+E31</f>
        <v>2</v>
      </c>
      <c r="G31" s="152" t="s">
        <v>262</v>
      </c>
      <c r="I31" s="154" t="s">
        <v>374</v>
      </c>
      <c r="J31" s="25"/>
      <c r="K31" s="150" t="s">
        <v>375</v>
      </c>
      <c r="L31" s="349" t="s">
        <v>376</v>
      </c>
      <c r="M31" s="926" t="s">
        <v>377</v>
      </c>
      <c r="N31" s="25"/>
      <c r="O31" s="26"/>
      <c r="Q31" s="286"/>
      <c r="R31" s="94"/>
      <c r="S31" s="94"/>
      <c r="T31" s="100"/>
      <c r="U31" s="94"/>
      <c r="V31" s="94"/>
      <c r="W31" s="94"/>
      <c r="X31" s="94"/>
      <c r="Y31" s="94"/>
      <c r="Z31" s="94"/>
      <c r="AA31" s="94"/>
      <c r="AB31" s="94"/>
      <c r="AC31" s="94"/>
      <c r="AD31" s="94"/>
      <c r="AE31" s="94"/>
      <c r="AF31" s="97"/>
      <c r="AG31" s="97"/>
      <c r="AH31" s="97"/>
      <c r="AI31" s="97"/>
      <c r="AJ31" s="25"/>
      <c r="AK31" s="25"/>
      <c r="AL31" s="25"/>
      <c r="AM31" s="25"/>
      <c r="AN31" s="25"/>
      <c r="AO31" s="25"/>
      <c r="AP31" s="26"/>
    </row>
    <row r="32" spans="2:42" ht="14.4">
      <c r="B32" s="154" t="s">
        <v>378</v>
      </c>
      <c r="C32" s="150" t="s">
        <v>379</v>
      </c>
      <c r="D32" s="1366">
        <v>0</v>
      </c>
      <c r="E32" s="1366">
        <v>0</v>
      </c>
      <c r="F32" s="160"/>
      <c r="G32" s="152" t="s">
        <v>262</v>
      </c>
      <c r="I32" s="154" t="s">
        <v>378</v>
      </c>
      <c r="J32" s="25"/>
      <c r="K32" s="150" t="s">
        <v>379</v>
      </c>
      <c r="L32" s="348" t="s">
        <v>380</v>
      </c>
      <c r="M32" s="926" t="s">
        <v>381</v>
      </c>
      <c r="N32" s="25"/>
      <c r="O32" s="26"/>
      <c r="Q32" s="24"/>
      <c r="R32" s="25"/>
      <c r="S32" s="25"/>
      <c r="T32" s="25"/>
      <c r="U32" s="99"/>
      <c r="V32" s="94"/>
      <c r="W32" s="94"/>
      <c r="X32" s="94"/>
      <c r="Y32" s="94"/>
      <c r="Z32" s="94"/>
      <c r="AA32" s="94"/>
      <c r="AB32" s="94"/>
      <c r="AC32" s="94"/>
      <c r="AD32" s="94"/>
      <c r="AE32" s="94"/>
      <c r="AF32" s="97"/>
      <c r="AG32" s="97"/>
      <c r="AH32" s="97"/>
      <c r="AI32" s="97"/>
      <c r="AJ32" s="25"/>
      <c r="AK32" s="25"/>
      <c r="AL32" s="25"/>
      <c r="AM32" s="25"/>
      <c r="AN32" s="25"/>
      <c r="AO32" s="25"/>
      <c r="AP32" s="26"/>
    </row>
    <row r="33" spans="2:42" ht="13.8">
      <c r="B33" s="154" t="s">
        <v>382</v>
      </c>
      <c r="C33" s="150" t="s">
        <v>383</v>
      </c>
      <c r="D33" s="1366">
        <v>0</v>
      </c>
      <c r="E33" s="1366">
        <v>0</v>
      </c>
      <c r="F33" s="160"/>
      <c r="G33" s="152" t="s">
        <v>262</v>
      </c>
      <c r="I33" s="154" t="s">
        <v>382</v>
      </c>
      <c r="J33" s="25"/>
      <c r="K33" s="150" t="s">
        <v>383</v>
      </c>
      <c r="L33" s="348" t="s">
        <v>384</v>
      </c>
      <c r="M33" s="926" t="s">
        <v>385</v>
      </c>
      <c r="N33" s="25"/>
      <c r="O33" s="26"/>
      <c r="Q33" s="24"/>
      <c r="R33" s="25"/>
      <c r="S33" s="25"/>
      <c r="T33" s="25"/>
      <c r="U33" s="99"/>
      <c r="V33" s="94"/>
      <c r="W33" s="94"/>
      <c r="X33" s="94"/>
      <c r="Y33" s="94"/>
      <c r="Z33" s="94"/>
      <c r="AA33" s="94"/>
      <c r="AB33" s="94"/>
      <c r="AC33" s="288"/>
      <c r="AD33" s="288"/>
      <c r="AE33" s="288"/>
      <c r="AF33" s="288"/>
      <c r="AG33" s="288"/>
      <c r="AH33" s="288"/>
      <c r="AI33" s="288"/>
      <c r="AJ33" s="288"/>
      <c r="AK33" s="288"/>
      <c r="AL33" s="288"/>
      <c r="AM33" s="25"/>
      <c r="AN33" s="25"/>
      <c r="AO33" s="25"/>
      <c r="AP33" s="26"/>
    </row>
    <row r="34" spans="2:42" ht="14.4">
      <c r="B34" s="154" t="s">
        <v>386</v>
      </c>
      <c r="C34" s="150" t="s">
        <v>383</v>
      </c>
      <c r="D34" s="1366">
        <v>0</v>
      </c>
      <c r="E34" s="1366">
        <v>15</v>
      </c>
      <c r="F34" s="160"/>
      <c r="G34" s="152" t="s">
        <v>262</v>
      </c>
      <c r="I34" s="154" t="s">
        <v>386</v>
      </c>
      <c r="J34" s="25"/>
      <c r="K34" s="150" t="s">
        <v>383</v>
      </c>
      <c r="L34" s="348" t="s">
        <v>387</v>
      </c>
      <c r="M34" s="927" t="s">
        <v>387</v>
      </c>
      <c r="N34" s="25"/>
      <c r="O34" s="26"/>
      <c r="Q34" s="24"/>
      <c r="R34" s="25"/>
      <c r="S34" s="25"/>
      <c r="T34" s="25"/>
      <c r="U34" s="94"/>
      <c r="V34" s="94"/>
      <c r="W34" s="94"/>
      <c r="X34" s="94"/>
      <c r="Y34" s="94"/>
      <c r="Z34" s="94"/>
      <c r="AA34" s="94"/>
      <c r="AB34" s="94"/>
      <c r="AC34" s="94"/>
      <c r="AD34" s="94"/>
      <c r="AE34" s="94"/>
      <c r="AF34" s="97"/>
      <c r="AG34" s="97"/>
      <c r="AH34" s="97"/>
      <c r="AI34" s="97"/>
      <c r="AJ34" s="25"/>
      <c r="AK34" s="25"/>
      <c r="AL34" s="25"/>
      <c r="AM34" s="25"/>
      <c r="AN34" s="25"/>
      <c r="AO34" s="27" t="s">
        <v>37</v>
      </c>
      <c r="AP34" s="26"/>
    </row>
    <row r="35" spans="2:42" ht="15" thickBot="1">
      <c r="B35" s="154" t="s">
        <v>388</v>
      </c>
      <c r="C35" s="150" t="s">
        <v>383</v>
      </c>
      <c r="D35" s="1366">
        <v>0</v>
      </c>
      <c r="E35" s="1366">
        <v>0</v>
      </c>
      <c r="F35" s="160"/>
      <c r="G35" s="152" t="s">
        <v>262</v>
      </c>
      <c r="I35" s="928" t="s">
        <v>388</v>
      </c>
      <c r="J35" s="62"/>
      <c r="K35" s="929" t="s">
        <v>383</v>
      </c>
      <c r="L35" s="930">
        <v>3</v>
      </c>
      <c r="M35" s="931">
        <v>3</v>
      </c>
      <c r="N35" s="25"/>
      <c r="O35" s="26"/>
      <c r="Q35" s="249"/>
      <c r="R35" s="94"/>
      <c r="S35" s="94"/>
      <c r="T35" s="94"/>
      <c r="U35" s="94"/>
      <c r="V35" s="94"/>
      <c r="W35" s="94"/>
      <c r="X35" s="94"/>
      <c r="Y35" s="94"/>
      <c r="Z35" s="94"/>
      <c r="AA35" s="94"/>
      <c r="AB35" s="94"/>
      <c r="AC35" s="94"/>
      <c r="AD35" s="94"/>
      <c r="AE35" s="94"/>
      <c r="AF35" s="97"/>
      <c r="AG35" s="97"/>
      <c r="AH35" s="97"/>
      <c r="AI35" s="97"/>
      <c r="AJ35" s="25"/>
      <c r="AK35" s="25"/>
      <c r="AL35" s="25"/>
      <c r="AM35" s="25"/>
      <c r="AN35" s="25"/>
      <c r="AO35" s="27" t="s">
        <v>314</v>
      </c>
      <c r="AP35" s="26"/>
    </row>
    <row r="36" spans="2:42" ht="14.4">
      <c r="B36" s="154"/>
      <c r="C36" s="150"/>
      <c r="D36" s="160"/>
      <c r="E36" s="160"/>
      <c r="F36" s="160"/>
      <c r="G36" s="152"/>
      <c r="H36" s="25"/>
      <c r="I36" s="25"/>
      <c r="J36" s="25"/>
      <c r="K36" s="25"/>
      <c r="L36" s="25"/>
      <c r="M36" s="140"/>
      <c r="N36" s="25"/>
      <c r="O36" s="26"/>
      <c r="Q36" s="249"/>
      <c r="R36" s="94"/>
      <c r="S36" s="94"/>
      <c r="T36" s="94"/>
      <c r="U36" s="94"/>
      <c r="V36" s="94"/>
      <c r="W36" s="94"/>
      <c r="X36" s="94"/>
      <c r="Y36" s="94"/>
      <c r="Z36" s="94"/>
      <c r="AA36" s="94"/>
      <c r="AB36" s="94"/>
      <c r="AC36" s="94"/>
      <c r="AD36" s="94"/>
      <c r="AE36" s="94"/>
      <c r="AF36" s="97"/>
      <c r="AG36" s="97"/>
      <c r="AH36" s="97"/>
      <c r="AI36" s="97"/>
      <c r="AJ36" s="25"/>
      <c r="AK36" s="25"/>
      <c r="AL36" s="101" t="s">
        <v>82</v>
      </c>
      <c r="AM36" s="25"/>
      <c r="AN36" s="25"/>
      <c r="AO36" s="6" t="s">
        <v>143</v>
      </c>
      <c r="AP36" s="26"/>
    </row>
    <row r="37" spans="2:42" ht="13.8">
      <c r="B37" s="154" t="s">
        <v>389</v>
      </c>
      <c r="C37" s="150" t="s">
        <v>87</v>
      </c>
      <c r="D37" s="160">
        <f>IF(D32=0,0,ROUNDUP(D31/D32,0))</f>
        <v>0</v>
      </c>
      <c r="E37" s="160">
        <f>IF(E32=0,0,ROUNDUP(E31/E32,0))</f>
        <v>0</v>
      </c>
      <c r="F37" s="160">
        <f>D37+E37</f>
        <v>0</v>
      </c>
      <c r="G37" s="152"/>
      <c r="H37" s="25"/>
      <c r="I37" s="25"/>
      <c r="J37" s="25"/>
      <c r="K37" s="25"/>
      <c r="L37" s="25"/>
      <c r="M37" s="140"/>
      <c r="N37" s="25"/>
      <c r="O37" s="26"/>
      <c r="Q37" s="289" t="s">
        <v>298</v>
      </c>
      <c r="R37" s="101">
        <f>V10</f>
        <v>0.1</v>
      </c>
      <c r="S37" s="101">
        <f>V11</f>
        <v>0.2</v>
      </c>
      <c r="T37" s="101">
        <f>V12</f>
        <v>0.3</v>
      </c>
      <c r="U37" s="101">
        <f>V13</f>
        <v>0.4</v>
      </c>
      <c r="V37" s="101">
        <f>V14</f>
        <v>0.5</v>
      </c>
      <c r="W37" s="101">
        <f>V15</f>
        <v>0.6</v>
      </c>
      <c r="X37" s="101">
        <f>V16</f>
        <v>0.7</v>
      </c>
      <c r="Y37" s="101">
        <f>V17</f>
        <v>0.8</v>
      </c>
      <c r="Z37" s="101">
        <f>V18</f>
        <v>0.9</v>
      </c>
      <c r="AA37" s="101">
        <f>V19</f>
        <v>1</v>
      </c>
      <c r="AB37" s="101">
        <f t="shared" ref="AB37:AK37" si="15">R37</f>
        <v>0.1</v>
      </c>
      <c r="AC37" s="101">
        <f t="shared" si="15"/>
        <v>0.2</v>
      </c>
      <c r="AD37" s="101">
        <f t="shared" si="15"/>
        <v>0.3</v>
      </c>
      <c r="AE37" s="101">
        <f t="shared" si="15"/>
        <v>0.4</v>
      </c>
      <c r="AF37" s="101">
        <f t="shared" si="15"/>
        <v>0.5</v>
      </c>
      <c r="AG37" s="101">
        <f t="shared" si="15"/>
        <v>0.6</v>
      </c>
      <c r="AH37" s="101">
        <f t="shared" si="15"/>
        <v>0.7</v>
      </c>
      <c r="AI37" s="101">
        <f t="shared" si="15"/>
        <v>0.8</v>
      </c>
      <c r="AJ37" s="101">
        <f t="shared" si="15"/>
        <v>0.9</v>
      </c>
      <c r="AK37" s="101">
        <f t="shared" si="15"/>
        <v>1</v>
      </c>
      <c r="AL37" s="27" t="s">
        <v>146</v>
      </c>
      <c r="AM37" s="27" t="s">
        <v>82</v>
      </c>
      <c r="AN37" s="25"/>
      <c r="AO37" s="78" t="s">
        <v>59</v>
      </c>
      <c r="AP37" s="26"/>
    </row>
    <row r="38" spans="2:42" ht="14.4">
      <c r="B38" s="154" t="s">
        <v>390</v>
      </c>
      <c r="C38" s="150" t="s">
        <v>87</v>
      </c>
      <c r="D38" s="160">
        <f>IF(D24=0,0,ROUNDUP(D31/D24,0))</f>
        <v>0</v>
      </c>
      <c r="E38" s="160">
        <f>IF(E24=0,0,ROUNDUP(E31/E24,0))</f>
        <v>2</v>
      </c>
      <c r="F38" s="160">
        <f>D38+E38</f>
        <v>2</v>
      </c>
      <c r="G38" s="152"/>
      <c r="H38" s="150"/>
      <c r="I38" s="140"/>
      <c r="J38" s="140"/>
      <c r="K38" s="140"/>
      <c r="L38" s="140"/>
      <c r="M38" s="140"/>
      <c r="N38" s="25"/>
      <c r="O38" s="26"/>
      <c r="Q38" s="249"/>
      <c r="R38" s="94"/>
      <c r="S38" s="94"/>
      <c r="T38" s="94"/>
      <c r="U38" s="94"/>
      <c r="V38" s="94"/>
      <c r="W38" s="94"/>
      <c r="X38" s="94"/>
      <c r="Y38" s="94"/>
      <c r="Z38" s="94"/>
      <c r="AA38" s="94"/>
      <c r="AB38" s="94"/>
      <c r="AC38" s="94"/>
      <c r="AD38" s="94"/>
      <c r="AE38" s="94"/>
      <c r="AF38" s="97"/>
      <c r="AG38" s="97"/>
      <c r="AH38" s="97"/>
      <c r="AI38" s="97"/>
      <c r="AJ38" s="25"/>
      <c r="AK38" s="25"/>
      <c r="AL38" s="27" t="s">
        <v>143</v>
      </c>
      <c r="AM38" s="27" t="s">
        <v>757</v>
      </c>
      <c r="AN38" s="27" t="s">
        <v>146</v>
      </c>
      <c r="AO38" s="6" t="s">
        <v>142</v>
      </c>
      <c r="AP38" s="26"/>
    </row>
    <row r="39" spans="2:42" ht="15.6">
      <c r="B39" s="154" t="s">
        <v>391</v>
      </c>
      <c r="C39" s="150" t="s">
        <v>188</v>
      </c>
      <c r="D39" s="160">
        <f>D38*D26/12</f>
        <v>0</v>
      </c>
      <c r="E39" s="160">
        <f>E38*E26/12</f>
        <v>5</v>
      </c>
      <c r="F39" s="160">
        <f>D39+E39</f>
        <v>5</v>
      </c>
      <c r="G39" s="152"/>
      <c r="H39" s="150"/>
      <c r="I39" s="140"/>
      <c r="J39" s="140"/>
      <c r="K39" s="140"/>
      <c r="L39" s="140"/>
      <c r="M39" s="140"/>
      <c r="N39" s="25"/>
      <c r="O39" s="26"/>
      <c r="Q39" s="290"/>
      <c r="R39" s="98" t="s">
        <v>332</v>
      </c>
      <c r="S39" s="98" t="s">
        <v>332</v>
      </c>
      <c r="T39" s="98" t="s">
        <v>332</v>
      </c>
      <c r="U39" s="98" t="s">
        <v>332</v>
      </c>
      <c r="V39" s="98" t="s">
        <v>332</v>
      </c>
      <c r="W39" s="98" t="s">
        <v>332</v>
      </c>
      <c r="X39" s="98" t="s">
        <v>332</v>
      </c>
      <c r="Y39" s="98" t="s">
        <v>332</v>
      </c>
      <c r="Z39" s="98" t="s">
        <v>332</v>
      </c>
      <c r="AA39" s="98" t="s">
        <v>332</v>
      </c>
      <c r="AB39" s="98" t="s">
        <v>301</v>
      </c>
      <c r="AC39" s="98" t="s">
        <v>302</v>
      </c>
      <c r="AD39" s="98" t="s">
        <v>303</v>
      </c>
      <c r="AE39" s="98" t="s">
        <v>304</v>
      </c>
      <c r="AF39" s="98" t="s">
        <v>305</v>
      </c>
      <c r="AG39" s="98" t="s">
        <v>306</v>
      </c>
      <c r="AH39" s="98" t="s">
        <v>307</v>
      </c>
      <c r="AI39" s="98" t="s">
        <v>308</v>
      </c>
      <c r="AJ39" s="98" t="s">
        <v>309</v>
      </c>
      <c r="AK39" s="98" t="s">
        <v>310</v>
      </c>
      <c r="AL39" s="31" t="s">
        <v>59</v>
      </c>
      <c r="AM39" s="31" t="s">
        <v>59</v>
      </c>
      <c r="AN39" s="31" t="s">
        <v>59</v>
      </c>
      <c r="AO39" s="39" t="s">
        <v>581</v>
      </c>
      <c r="AP39" s="26"/>
    </row>
    <row r="40" spans="2:42" ht="13.8">
      <c r="B40" s="154" t="s">
        <v>392</v>
      </c>
      <c r="C40" s="150" t="s">
        <v>188</v>
      </c>
      <c r="D40" s="160">
        <f>(((D24*D25)+D29)/0.95)/12</f>
        <v>0</v>
      </c>
      <c r="E40" s="160">
        <f>(((E24*E25)+E29)/0.95)/12</f>
        <v>2.5438596491228069</v>
      </c>
      <c r="F40" s="160">
        <f>D40+E40</f>
        <v>2.5438596491228069</v>
      </c>
      <c r="G40" s="152"/>
      <c r="H40" s="151"/>
      <c r="I40" s="140"/>
      <c r="J40" s="140"/>
      <c r="K40" s="140"/>
      <c r="L40" s="140"/>
      <c r="M40" s="140"/>
      <c r="N40" s="25"/>
      <c r="O40" s="26"/>
      <c r="Q40" s="291"/>
      <c r="R40" s="1253">
        <f>IF((IF('2'!$E44&lt;1,(38.21*((R$37*$T$15/(0.00001*$T$13))^1.053)),(44.62*((R$37*$T$15/(0.00001*$T$13))^1.053)*('2'!$E44^1.16))))&lt;(R$37*$T$15*'2'!$I44/'4'!$D35),(IF('2'!$E44&lt;1,(38.21*((R$37*$T$15/(0.00001*$T$13))^1.053)),(44.62*((R$37*$T$15/(0.00001*$T$13))^1.053)*('2'!$E44^1.16)))),(R$37*$T$15*'2'!$I44/'4'!$D35))</f>
        <v>1221853.9609538293</v>
      </c>
      <c r="S40" s="1253">
        <f>IF((IF('2'!$E44&lt;1,(38.21*((S$37*$T$15/(0.00001*$T$13))^1.053)),(44.62*((S$37*$T$15/(0.00001*$T$13))^1.053)*('2'!$E44^1.16))))&lt;(S$37*$T$15*'2'!$I44/'4'!$D35),(IF('2'!$E44&lt;1,(38.21*((S$37*$T$15/(0.00001*$T$13))^1.053)),(44.62*((S$37*$T$15/(0.00001*$T$13))^1.053)*('2'!$E44^1.16)))),(S$37*$T$15*'2'!$I44/'4'!$D35))</f>
        <v>2443707.9219076587</v>
      </c>
      <c r="T40" s="1253">
        <f>IF((IF('2'!$E44&lt;1,(38.21*((T$37*$T$15/(0.00001*$T$13))^1.053)),(44.62*((T$37*$T$15/(0.00001*$T$13))^1.053)*('2'!$E44^1.16))))&lt;(T$37*$T$15*'2'!$I44/'4'!$D35),(IF('2'!$E44&lt;1,(38.21*((T$37*$T$15/(0.00001*$T$13))^1.053)),(44.62*((T$37*$T$15/(0.00001*$T$13))^1.053)*('2'!$E44^1.16)))),(T$37*$T$15*'2'!$I44/'4'!$D35))</f>
        <v>3665561.8828614876</v>
      </c>
      <c r="U40" s="1253">
        <f>IF((IF('2'!$E44&lt;1,(38.21*((U$37*$T$15/(0.00001*$T$13))^1.053)),(44.62*((U$37*$T$15/(0.00001*$T$13))^1.053)*('2'!$E44^1.16))))&lt;(U$37*$T$15*'2'!$I44/'4'!$D35),(IF('2'!$E44&lt;1,(38.21*((U$37*$T$15/(0.00001*$T$13))^1.053)),(44.62*((U$37*$T$15/(0.00001*$T$13))^1.053)*('2'!$E44^1.16)))),(U$37*$T$15*'2'!$I44/'4'!$D35))</f>
        <v>4887415.8438153174</v>
      </c>
      <c r="V40" s="1253">
        <f>IF((IF('2'!$E44&lt;1,(38.21*((V$37*$T$15/(0.00001*$T$13))^1.053)),(44.62*((V$37*$T$15/(0.00001*$T$13))^1.053)*('2'!$E44^1.16))))&lt;(V$37*$T$15*'2'!$I44/'4'!$D35),(IF('2'!$E44&lt;1,(38.21*((V$37*$T$15/(0.00001*$T$13))^1.053)),(44.62*((V$37*$T$15/(0.00001*$T$13))^1.053)*('2'!$E44^1.16)))),(V$37*$T$15*'2'!$I44/'4'!$D35))</f>
        <v>6109269.8047691472</v>
      </c>
      <c r="W40" s="1253">
        <f>IF((IF('2'!$E44&lt;1,(38.21*((W$37*$T$15/(0.00001*$T$13))^1.053)),(44.62*((W$37*$T$15/(0.00001*$T$13))^1.053)*('2'!$E44^1.16))))&lt;(W$37*$T$15*'2'!$I44/'4'!$D35),(IF('2'!$E44&lt;1,(38.21*((W$37*$T$15/(0.00001*$T$13))^1.053)),(44.62*((W$37*$T$15/(0.00001*$T$13))^1.053)*('2'!$E44^1.16)))),(W$37*$T$15*'2'!$I44/'4'!$D35))</f>
        <v>7331123.7657229751</v>
      </c>
      <c r="X40" s="1253">
        <f>IF((IF('2'!$E44&lt;1,(38.21*((X$37*$T$15/(0.00001*$T$13))^1.053)),(44.62*((X$37*$T$15/(0.00001*$T$13))^1.053)*('2'!$E44^1.16))))&lt;(X$37*$T$15*'2'!$I44/'4'!$D35),(IF('2'!$E44&lt;1,(38.21*((X$37*$T$15/(0.00001*$T$13))^1.053)),(44.62*((X$37*$T$15/(0.00001*$T$13))^1.053)*('2'!$E44^1.16)))),(X$37*$T$15*'2'!$I44/'4'!$D35))</f>
        <v>8552977.7266768049</v>
      </c>
      <c r="Y40" s="1253">
        <f>IF((IF('2'!$E44&lt;1,(38.21*((Y$37*$T$15/(0.00001*$T$13))^1.053)),(44.62*((Y$37*$T$15/(0.00001*$T$13))^1.053)*('2'!$E44^1.16))))&lt;(Y$37*$T$15*'2'!$I44/'4'!$D35),(IF('2'!$E44&lt;1,(38.21*((Y$37*$T$15/(0.00001*$T$13))^1.053)),(44.62*((Y$37*$T$15/(0.00001*$T$13))^1.053)*('2'!$E44^1.16)))),(Y$37*$T$15*'2'!$I44/'4'!$D35))</f>
        <v>9774831.6876306348</v>
      </c>
      <c r="Z40" s="1253">
        <f>IF((IF('2'!$E44&lt;1,(38.21*((Z$37*$T$15/(0.00001*$T$13))^1.053)),(44.62*((Z$37*$T$15/(0.00001*$T$13))^1.053)*('2'!$E44^1.16))))&lt;(Z$37*$T$15*'2'!$I44/'4'!$D35),(IF('2'!$E44&lt;1,(38.21*((Z$37*$T$15/(0.00001*$T$13))^1.053)),(44.62*((Z$37*$T$15/(0.00001*$T$13))^1.053)*('2'!$E44^1.16)))),(Z$37*$T$15*'2'!$I44/'4'!$D35))</f>
        <v>10996685.648584465</v>
      </c>
      <c r="AA40" s="1253">
        <f>IF((IF('2'!$E44&lt;1,(38.21*((AA$37*$T$15/(0.00001*$T$13))^1.053)),(44.62*((AA$37*$T$15/(0.00001*$T$13))^1.053)*('2'!$E44^1.16))))&lt;(AA$37*$T$15*'2'!$I44/'4'!$D35),(IF('2'!$E44&lt;1,(38.21*((AA$37*$T$15/(0.00001*$T$13))^1.053)),(44.62*((AA$37*$T$15/(0.00001*$T$13))^1.053)*('2'!$E44^1.16)))),(AA$37*$T$15*'2'!$I44/'4'!$D35))</f>
        <v>12218539.609538294</v>
      </c>
      <c r="AB40" s="100">
        <f>IF(R$37&lt;$T$9,(1.16*(1.328/SQRT(R40))*'2'!$K44*$T$12*$T$20*$AL$10),IF(R40&lt;1000000,((1.328/SQRT(R40))*'2'!$K44*$T$12*$T$20*$AL$10),(0.455/((LOG(R40)^2.58)*(1+0.144*'2'!$E44^2)^0.65)))*'2'!$K44*$T$12*$T$20*$AL$10)</f>
        <v>0.282614352070926</v>
      </c>
      <c r="AC40" s="100">
        <f>IF(S$37&lt;$T$9,(1.16*(1.328/SQRT(S40))*'2'!$K44*$T$12*$T$20*$AL$11),IF(S40&lt;1000000,((1.328/SQRT(S40))*'2'!$K44*$T$12*$T$20*$AL$11),(0.455/((LOG(S40)^2.58)*(1+0.144*'2'!$E44^2)^0.65)))*'2'!$K44*$T$12*$T$20*$AL$11)</f>
        <v>1.0020338918224534</v>
      </c>
      <c r="AD40" s="100">
        <f>IF(T$37&lt;$T$9,(1.16*(1.328/SQRT(T40))*'2'!$K44*$T$12*$T$20*$AL$12),IF(T40&lt;1000000,((1.328/SQRT(T40))*'2'!$K44*$T$12*$T$20*$AL$12),(0.455/((LOG(T40)^2.58)*(1+0.144*'2'!$E44^2)^0.65)))*'2'!$K44*$T$12*$T$20*$AL$12)</f>
        <v>0.88384349248272187</v>
      </c>
      <c r="AE40" s="100">
        <f>IF(U$37&lt;$T$9,(1.16*(1.328/SQRT(U40))*'2'!$K44*$T$12*$T$20*$AL$13),IF(U40&lt;1000000,((1.328/SQRT(U40))*'2'!$K44*$T$12*$T$20*$AL$13),(0.455/((LOG(U40)^2.58)*(1+0.144*'2'!$E44^2)^0.65)))*'2'!$K44*$T$12*$T$20*$AL$13)</f>
        <v>0.75289893712041633</v>
      </c>
      <c r="AF40" s="100">
        <f>IF(V$37&lt;$T$9,(1.16*(1.328/SQRT(V40))*'2'!$K44*$T$12*$T$20*$AL$14),IF(V40&lt;1000000,((1.328/SQRT(V40))*'2'!$K44*$T$12*$T$20*$AL$14),(0.455/((LOG(V40)^2.58)*(1+0.144*'2'!$E44^2)^0.65)))*'2'!$K44*$T$12*$T$20*$AL$14)</f>
        <v>0.62654286858939046</v>
      </c>
      <c r="AG40" s="100">
        <f>IF(W$37&lt;$T$9,(1.16*(1.328/SQRT(W40))*'2'!$K44*$T$12*$T$20*$AL$15),IF(W40&lt;1000000,((1.328/SQRT(W40))*'2'!$K44*$T$12*$T$20*$AL$15),(0.455/((LOG(W40)^2.58)*(1+0.144*'2'!$E44^2)^0.65)))*'2'!$K44*$T$12*$T$20*$AL$15)</f>
        <v>0.5120574863905436</v>
      </c>
      <c r="AH40" s="100">
        <f>IF(X$37&lt;$T$9,(1.16*(1.328/SQRT(X40))*'2'!$K44*$T$12*$T$20*$AL$16),IF(X40&lt;1000000,((1.328/SQRT(X40))*'2'!$K44*$T$12*$T$20*$AL$16),(0.455/((LOG(X40)^2.58)*(1+0.144*'2'!$E44^2)^0.65)))*'2'!$K44*$T$12*$T$20*$AL$16)</f>
        <v>0.40575930426605961</v>
      </c>
      <c r="AI40" s="100">
        <f>IF(Y$37&lt;$T$9,(1.16*(1.328/SQRT(Y40))*'2'!$K44*$T$12*$T$20*$AL$17),IF(Y40&lt;1000000,((1.328/SQRT(Y40))*'2'!$K44*$T$12*$T$20*$AL$17),(0.455/((LOG(Y40)^2.58)*(1+0.144*'2'!$E44^2)^0.65)))*'2'!$K44*$T$12*$T$20*$AL$17)</f>
        <v>0.30548545641866692</v>
      </c>
      <c r="AJ40" s="100">
        <f>IF(Z$37&lt;$T$9,(1.16*(1.328/SQRT(Z40))*'2'!$K44*$T$12*$T$20*$AL$18),IF(Z40&lt;1000000,((1.328/SQRT(Z40))*'2'!$K44*$T$12*$T$20*$AL$18),(0.455/((LOG(Z40)^2.58)*(1+0.144*'2'!$E44^2)^0.65)))*'2'!$K44*$T$12*$T$20*$AL$18)</f>
        <v>0.20985481576322881</v>
      </c>
      <c r="AK40" s="100">
        <f>IF(AA$37&lt;$T$9,(1.16*(1.328/SQRT(AA40))*'2'!$K44*$T$12*$T$20*$AL$19),IF(AA40&lt;1000000,((1.328/SQRT(AA40))*'2'!$K44*$T$12*$T$20*$AL$19),(0.455/((LOG(AA40)^2.58)*(1+0.144*'2'!$E44^2)^0.65)))*'2'!$K44*$T$12*$T$20*$AL$19)</f>
        <v>0.14741207086991423</v>
      </c>
      <c r="AL40" s="52">
        <f>SUM(AB40:AK40)</f>
        <v>5.1285026757943211</v>
      </c>
      <c r="AM40" s="100">
        <f>IF('2'!E44&lt;1,0,(IF(T$5&lt;4,(((9/2)*T$16*PI()/((SUM(AC$9:AC$19))^2)))*T$16*'2'!K44*T$14*(1-((0.386*(('2'!E44-1.2)^0.57))*(1-(PI()*(('4'!E$16^0.77)/100))))),(IF(T$5=4,((4*T$16/(PI()*((T$15/2)^2)))*T$16*'2'!K44),(((9*PI()/2)*T$16/(((T$15)^2)))*T$16*'2'!K44))))))</f>
        <v>0</v>
      </c>
      <c r="AN40" s="52">
        <f>AL40+AM40</f>
        <v>5.1285026757943211</v>
      </c>
      <c r="AO40" s="193">
        <f>AN40/('2'!K44*'4'!$L$15)</f>
        <v>4.5648209019858582E-3</v>
      </c>
      <c r="AP40" s="26"/>
    </row>
    <row r="41" spans="2:42" ht="13.8">
      <c r="B41" s="154" t="s">
        <v>393</v>
      </c>
      <c r="C41" s="150" t="s">
        <v>359</v>
      </c>
      <c r="D41" s="160"/>
      <c r="E41" s="160"/>
      <c r="F41" s="165">
        <v>4</v>
      </c>
      <c r="G41" s="164" t="s">
        <v>394</v>
      </c>
      <c r="H41" s="151"/>
      <c r="I41" s="140"/>
      <c r="J41" s="140"/>
      <c r="K41" s="140"/>
      <c r="L41" s="140"/>
      <c r="M41" s="140"/>
      <c r="N41" s="25"/>
      <c r="O41" s="26"/>
      <c r="Q41" s="291"/>
      <c r="R41" s="1253">
        <f>IF((IF('2'!$E45&lt;1,(38.21*((R$37*$T$15/(0.00001*$T$13))^1.053)),(44.62*((R$37*$T$15/(0.00001*$T$13))^1.053)*('2'!$E45^1.16))))&lt;(R$37*$T$15*'2'!$I45/'4'!$D36),(IF('2'!$E45&lt;1,(38.21*((R$37*$T$15/(0.00001*$T$13))^1.053)),(44.62*((R$37*$T$15/(0.00001*$T$13))^1.053)*('2'!$E45^1.16)))),(R$37*$T$15*'2'!$I45/'4'!$D36))</f>
        <v>1936773.8085869609</v>
      </c>
      <c r="S41" s="1253">
        <f>IF((IF('2'!$E45&lt;1,(38.21*((S$37*$T$15/(0.00001*$T$13))^1.053)),(44.62*((S$37*$T$15/(0.00001*$T$13))^1.053)*('2'!$E45^1.16))))&lt;(S$37*$T$15*'2'!$I45/'4'!$D36),(IF('2'!$E45&lt;1,(38.21*((S$37*$T$15/(0.00001*$T$13))^1.053)),(44.62*((S$37*$T$15/(0.00001*$T$13))^1.053)*('2'!$E45^1.16)))),(S$37*$T$15*'2'!$I45/'4'!$D36))</f>
        <v>3873547.6171739218</v>
      </c>
      <c r="T41" s="1253">
        <f>IF((IF('2'!$E45&lt;1,(38.21*((T$37*$T$15/(0.00001*$T$13))^1.053)),(44.62*((T$37*$T$15/(0.00001*$T$13))^1.053)*('2'!$E45^1.16))))&lt;(T$37*$T$15*'2'!$I45/'4'!$D36),(IF('2'!$E45&lt;1,(38.21*((T$37*$T$15/(0.00001*$T$13))^1.053)),(44.62*((T$37*$T$15/(0.00001*$T$13))^1.053)*('2'!$E45^1.16)))),(T$37*$T$15*'2'!$I45/'4'!$D36))</f>
        <v>5810321.4257608801</v>
      </c>
      <c r="U41" s="1253">
        <f>IF((IF('2'!$E45&lt;1,(38.21*((U$37*$T$15/(0.00001*$T$13))^1.053)),(44.62*((U$37*$T$15/(0.00001*$T$13))^1.053)*('2'!$E45^1.16))))&lt;(U$37*$T$15*'2'!$I45/'4'!$D36),(IF('2'!$E45&lt;1,(38.21*((U$37*$T$15/(0.00001*$T$13))^1.053)),(44.62*((U$37*$T$15/(0.00001*$T$13))^1.053)*('2'!$E45^1.16)))),(U$37*$T$15*'2'!$I45/'4'!$D36))</f>
        <v>7747095.2343478436</v>
      </c>
      <c r="V41" s="1253">
        <f>IF((IF('2'!$E45&lt;1,(38.21*((V$37*$T$15/(0.00001*$T$13))^1.053)),(44.62*((V$37*$T$15/(0.00001*$T$13))^1.053)*('2'!$E45^1.16))))&lt;(V$37*$T$15*'2'!$I45/'4'!$D36),(IF('2'!$E45&lt;1,(38.21*((V$37*$T$15/(0.00001*$T$13))^1.053)),(44.62*((V$37*$T$15/(0.00001*$T$13))^1.053)*('2'!$E45^1.16)))),(V$37*$T$15*'2'!$I45/'4'!$D36))</f>
        <v>9683869.0429348033</v>
      </c>
      <c r="W41" s="1253">
        <f>IF((IF('2'!$E45&lt;1,(38.21*((W$37*$T$15/(0.00001*$T$13))^1.053)),(44.62*((W$37*$T$15/(0.00001*$T$13))^1.053)*('2'!$E45^1.16))))&lt;(W$37*$T$15*'2'!$I45/'4'!$D36),(IF('2'!$E45&lt;1,(38.21*((W$37*$T$15/(0.00001*$T$13))^1.053)),(44.62*((W$37*$T$15/(0.00001*$T$13))^1.053)*('2'!$E45^1.16)))),(W$37*$T$15*'2'!$I45/'4'!$D36))</f>
        <v>11620642.85152176</v>
      </c>
      <c r="X41" s="1253">
        <f>IF((IF('2'!$E45&lt;1,(38.21*((X$37*$T$15/(0.00001*$T$13))^1.053)),(44.62*((X$37*$T$15/(0.00001*$T$13))^1.053)*('2'!$E45^1.16))))&lt;(X$37*$T$15*'2'!$I45/'4'!$D36),(IF('2'!$E45&lt;1,(38.21*((X$37*$T$15/(0.00001*$T$13))^1.053)),(44.62*((X$37*$T$15/(0.00001*$T$13))^1.053)*('2'!$E45^1.16)))),(X$37*$T$15*'2'!$I45/'4'!$D36))</f>
        <v>13557416.660108723</v>
      </c>
      <c r="Y41" s="1253">
        <f>IF((IF('2'!$E45&lt;1,(38.21*((Y$37*$T$15/(0.00001*$T$13))^1.053)),(44.62*((Y$37*$T$15/(0.00001*$T$13))^1.053)*('2'!$E45^1.16))))&lt;(Y$37*$T$15*'2'!$I45/'4'!$D36),(IF('2'!$E45&lt;1,(38.21*((Y$37*$T$15/(0.00001*$T$13))^1.053)),(44.62*((Y$37*$T$15/(0.00001*$T$13))^1.053)*('2'!$E45^1.16)))),(Y$37*$T$15*'2'!$I45/'4'!$D36))</f>
        <v>15494190.468695687</v>
      </c>
      <c r="Z41" s="1253">
        <f>IF((IF('2'!$E45&lt;1,(38.21*((Z$37*$T$15/(0.00001*$T$13))^1.053)),(44.62*((Z$37*$T$15/(0.00001*$T$13))^1.053)*('2'!$E45^1.16))))&lt;(Z$37*$T$15*'2'!$I45/'4'!$D36),(IF('2'!$E45&lt;1,(38.21*((Z$37*$T$15/(0.00001*$T$13))^1.053)),(44.62*((Z$37*$T$15/(0.00001*$T$13))^1.053)*('2'!$E45^1.16)))),(Z$37*$T$15*'2'!$I45/'4'!$D36))</f>
        <v>17430964.277282644</v>
      </c>
      <c r="AA41" s="1253">
        <f>IF((IF('2'!$E45&lt;1,(38.21*((AA$37*$T$15/(0.00001*$T$13))^1.053)),(44.62*((AA$37*$T$15/(0.00001*$T$13))^1.053)*('2'!$E45^1.16))))&lt;(AA$37*$T$15*'2'!$I45/'4'!$D36),(IF('2'!$E45&lt;1,(38.21*((AA$37*$T$15/(0.00001*$T$13))^1.053)),(44.62*((AA$37*$T$15/(0.00001*$T$13))^1.053)*('2'!$E45^1.16)))),(AA$37*$T$15*'2'!$I45/'4'!$D36))</f>
        <v>19367738.085869607</v>
      </c>
      <c r="AB41" s="100">
        <f>IF(R$37&lt;$T$9,(1.16*(1.328/SQRT(R41))*'2'!$K45*$T$12*$T$20*$AL$10),IF(R41&lt;1000000,((1.328/SQRT(R41))*'2'!$K45*$T$12*$T$20*$AL$10),(0.455/((LOG(R41)^2.58)*(1+0.144*'2'!$E45^2)^0.65)))*'2'!$K45*$T$12*$T$20*$AL$10)</f>
        <v>0.66242305470522234</v>
      </c>
      <c r="AC41" s="100">
        <f>IF(S$37&lt;$T$9,(1.16*(1.328/SQRT(S41))*'2'!$K45*$T$12*$T$20*$AL$11),IF(S41&lt;1000000,((1.328/SQRT(S41))*'2'!$K45*$T$12*$T$20*$AL$11),(0.455/((LOG(S41)^2.58)*(1+0.144*'2'!$E45^2)^0.65)))*'2'!$K45*$T$12*$T$20*$AL$11)</f>
        <v>2.7260390016999958</v>
      </c>
      <c r="AD41" s="100">
        <f>IF(T$37&lt;$T$9,(1.16*(1.328/SQRT(T41))*'2'!$K45*$T$12*$T$20*$AL$12),IF(T41&lt;1000000,((1.328/SQRT(T41))*'2'!$K45*$T$12*$T$20*$AL$12),(0.455/((LOG(T41)^2.58)*(1+0.144*'2'!$E45^2)^0.65)))*'2'!$K45*$T$12*$T$20*$AL$12)</f>
        <v>2.4095623427864066</v>
      </c>
      <c r="AE41" s="100">
        <f>IF(U$37&lt;$T$9,(1.16*(1.328/SQRT(U41))*'2'!$K45*$T$12*$T$20*$AL$13),IF(U41&lt;1000000,((1.328/SQRT(U41))*'2'!$K45*$T$12*$T$20*$AL$13),(0.455/((LOG(U41)^2.58)*(1+0.144*'2'!$E45^2)^0.65)))*'2'!$K45*$T$12*$T$20*$AL$13)</f>
        <v>2.0555054627862654</v>
      </c>
      <c r="AF41" s="100">
        <f>IF(V$37&lt;$T$9,(1.16*(1.328/SQRT(V41))*'2'!$K45*$T$12*$T$20*$AL$14),IF(V41&lt;1000000,((1.328/SQRT(V41))*'2'!$K45*$T$12*$T$20*$AL$14),(0.455/((LOG(V41)^2.58)*(1+0.144*'2'!$E45^2)^0.65)))*'2'!$K45*$T$12*$T$20*$AL$14)</f>
        <v>1.7123696380418449</v>
      </c>
      <c r="AG41" s="100">
        <f>IF(W$37&lt;$T$9,(1.16*(1.328/SQRT(W41))*'2'!$K45*$T$12*$T$20*$AL$15),IF(W41&lt;1000000,((1.328/SQRT(W41))*'2'!$K45*$T$12*$T$20*$AL$15),(0.455/((LOG(W41)^2.58)*(1+0.144*'2'!$E45^2)^0.65)))*'2'!$K45*$T$12*$T$20*$AL$15)</f>
        <v>1.4006692517427024</v>
      </c>
      <c r="AH41" s="100">
        <f>IF(X$37&lt;$T$9,(1.16*(1.328/SQRT(X41))*'2'!$K45*$T$12*$T$20*$AL$16),IF(X41&lt;1000000,((1.328/SQRT(X41))*'2'!$K45*$T$12*$T$20*$AL$16),(0.455/((LOG(X41)^2.58)*(1+0.144*'2'!$E45^2)^0.65)))*'2'!$K45*$T$12*$T$20*$AL$16)</f>
        <v>1.1106873168266147</v>
      </c>
      <c r="AI41" s="100">
        <f>IF(Y$37&lt;$T$9,(1.16*(1.328/SQRT(Y41))*'2'!$K45*$T$12*$T$20*$AL$17),IF(Y41&lt;1000000,((1.328/SQRT(Y41))*'2'!$K45*$T$12*$T$20*$AL$17),(0.455/((LOG(Y41)^2.58)*(1+0.144*'2'!$E45^2)^0.65)))*'2'!$K45*$T$12*$T$20*$AL$17)</f>
        <v>0.83670939463231953</v>
      </c>
      <c r="AJ41" s="100">
        <f>IF(Z$37&lt;$T$9,(1.16*(1.328/SQRT(Z41))*'2'!$K45*$T$12*$T$20*$AL$18),IF(Z41&lt;1000000,((1.328/SQRT(Z41))*'2'!$K45*$T$12*$T$20*$AL$18),(0.455/((LOG(Z41)^2.58)*(1+0.144*'2'!$E45^2)^0.65)))*'2'!$K45*$T$12*$T$20*$AL$18)</f>
        <v>0.57508170901402567</v>
      </c>
      <c r="AK41" s="100">
        <f>IF(AA$37&lt;$T$9,(1.16*(1.328/SQRT(AA41))*'2'!$K45*$T$12*$T$20*$AL$19),IF(AA41&lt;1000000,((1.328/SQRT(AA41))*'2'!$K45*$T$12*$T$20*$AL$19),(0.455/((LOG(AA41)^2.58)*(1+0.144*'2'!$E45^2)^0.65)))*'2'!$K45*$T$12*$T$20*$AL$19)</f>
        <v>0.4041508982092456</v>
      </c>
      <c r="AL41" s="52">
        <f>SUM(AB41:AK41)</f>
        <v>13.893198070444642</v>
      </c>
      <c r="AM41" s="100">
        <f>IF('2'!E45&lt;1,0,(IF(T$5&lt;4,(((9/2)*T$16*PI()/((SUM(AC$9:AC$19))^2)))*T$16*'2'!K45*T$14*(1-((0.386*(('2'!E45-1.2)^0.57))*(1-(PI()*(('4'!E$16^0.77)/100))))),(IF(T$5=4,((4*T$16/(PI()*((T$15/2)^2)))*T$16*'2'!K45),(((9*PI()/2)*T$16/(((T$15)^2)))*T$16*'2'!K45))))))</f>
        <v>0</v>
      </c>
      <c r="AN41" s="52">
        <f>AL41+AM41</f>
        <v>13.893198070444642</v>
      </c>
      <c r="AO41" s="193">
        <f>AN41/('2'!K45*'4'!$L$15)</f>
        <v>4.1904856379095159E-3</v>
      </c>
      <c r="AP41" s="26"/>
    </row>
    <row r="42" spans="2:42" ht="13.8">
      <c r="B42" s="154" t="s">
        <v>534</v>
      </c>
      <c r="C42" s="140" t="s">
        <v>359</v>
      </c>
      <c r="D42" s="160"/>
      <c r="E42" s="160"/>
      <c r="F42" s="160">
        <f>12*T6-(2*F41)</f>
        <v>31</v>
      </c>
      <c r="G42" s="152"/>
      <c r="H42" s="151"/>
      <c r="I42" s="140"/>
      <c r="J42" s="140"/>
      <c r="K42" s="140"/>
      <c r="L42" s="140"/>
      <c r="M42" s="140"/>
      <c r="N42" s="25"/>
      <c r="O42" s="26"/>
      <c r="Q42" s="291"/>
      <c r="R42" s="1253">
        <f>IF((IF('2'!$E46&lt;1,(38.21*((R$37*$T$15/(0.00001*$T$13))^1.053)),(44.62*((R$37*$T$15/(0.00001*$T$13))^1.053)*('2'!$E46^1.16))))&lt;(R$37*$T$15*'2'!$I46/'4'!$D37),(IF('2'!$E46&lt;1,(38.21*((R$37*$T$15/(0.00001*$T$13))^1.053)),(44.62*((R$37*$T$15/(0.00001*$T$13))^1.053)*('2'!$E46^1.16)))),(R$37*$T$15*'2'!$I46/'4'!$D37))</f>
        <v>1936773.8085869609</v>
      </c>
      <c r="S42" s="1253">
        <f>IF((IF('2'!$E46&lt;1,(38.21*((S$37*$T$15/(0.00001*$T$13))^1.053)),(44.62*((S$37*$T$15/(0.00001*$T$13))^1.053)*('2'!$E46^1.16))))&lt;(S$37*$T$15*'2'!$I46/'4'!$D37),(IF('2'!$E46&lt;1,(38.21*((S$37*$T$15/(0.00001*$T$13))^1.053)),(44.62*((S$37*$T$15/(0.00001*$T$13))^1.053)*('2'!$E46^1.16)))),(S$37*$T$15*'2'!$I46/'4'!$D37))</f>
        <v>3873547.6171739218</v>
      </c>
      <c r="T42" s="1253">
        <f>IF((IF('2'!$E46&lt;1,(38.21*((T$37*$T$15/(0.00001*$T$13))^1.053)),(44.62*((T$37*$T$15/(0.00001*$T$13))^1.053)*('2'!$E46^1.16))))&lt;(T$37*$T$15*'2'!$I46/'4'!$D37),(IF('2'!$E46&lt;1,(38.21*((T$37*$T$15/(0.00001*$T$13))^1.053)),(44.62*((T$37*$T$15/(0.00001*$T$13))^1.053)*('2'!$E46^1.16)))),(T$37*$T$15*'2'!$I46/'4'!$D37))</f>
        <v>5810321.4257608801</v>
      </c>
      <c r="U42" s="1253">
        <f>IF((IF('2'!$E46&lt;1,(38.21*((U$37*$T$15/(0.00001*$T$13))^1.053)),(44.62*((U$37*$T$15/(0.00001*$T$13))^1.053)*('2'!$E46^1.16))))&lt;(U$37*$T$15*'2'!$I46/'4'!$D37),(IF('2'!$E46&lt;1,(38.21*((U$37*$T$15/(0.00001*$T$13))^1.053)),(44.62*((U$37*$T$15/(0.00001*$T$13))^1.053)*('2'!$E46^1.16)))),(U$37*$T$15*'2'!$I46/'4'!$D37))</f>
        <v>7747095.2343478436</v>
      </c>
      <c r="V42" s="1253">
        <f>IF((IF('2'!$E46&lt;1,(38.21*((V$37*$T$15/(0.00001*$T$13))^1.053)),(44.62*((V$37*$T$15/(0.00001*$T$13))^1.053)*('2'!$E46^1.16))))&lt;(V$37*$T$15*'2'!$I46/'4'!$D37),(IF('2'!$E46&lt;1,(38.21*((V$37*$T$15/(0.00001*$T$13))^1.053)),(44.62*((V$37*$T$15/(0.00001*$T$13))^1.053)*('2'!$E46^1.16)))),(V$37*$T$15*'2'!$I46/'4'!$D37))</f>
        <v>9683869.0429348033</v>
      </c>
      <c r="W42" s="1253">
        <f>IF((IF('2'!$E46&lt;1,(38.21*((W$37*$T$15/(0.00001*$T$13))^1.053)),(44.62*((W$37*$T$15/(0.00001*$T$13))^1.053)*('2'!$E46^1.16))))&lt;(W$37*$T$15*'2'!$I46/'4'!$D37),(IF('2'!$E46&lt;1,(38.21*((W$37*$T$15/(0.00001*$T$13))^1.053)),(44.62*((W$37*$T$15/(0.00001*$T$13))^1.053)*('2'!$E46^1.16)))),(W$37*$T$15*'2'!$I46/'4'!$D37))</f>
        <v>11620642.85152176</v>
      </c>
      <c r="X42" s="1253">
        <f>IF((IF('2'!$E46&lt;1,(38.21*((X$37*$T$15/(0.00001*$T$13))^1.053)),(44.62*((X$37*$T$15/(0.00001*$T$13))^1.053)*('2'!$E46^1.16))))&lt;(X$37*$T$15*'2'!$I46/'4'!$D37),(IF('2'!$E46&lt;1,(38.21*((X$37*$T$15/(0.00001*$T$13))^1.053)),(44.62*((X$37*$T$15/(0.00001*$T$13))^1.053)*('2'!$E46^1.16)))),(X$37*$T$15*'2'!$I46/'4'!$D37))</f>
        <v>13557416.660108723</v>
      </c>
      <c r="Y42" s="1253">
        <f>IF((IF('2'!$E46&lt;1,(38.21*((Y$37*$T$15/(0.00001*$T$13))^1.053)),(44.62*((Y$37*$T$15/(0.00001*$T$13))^1.053)*('2'!$E46^1.16))))&lt;(Y$37*$T$15*'2'!$I46/'4'!$D37),(IF('2'!$E46&lt;1,(38.21*((Y$37*$T$15/(0.00001*$T$13))^1.053)),(44.62*((Y$37*$T$15/(0.00001*$T$13))^1.053)*('2'!$E46^1.16)))),(Y$37*$T$15*'2'!$I46/'4'!$D37))</f>
        <v>15494190.468695687</v>
      </c>
      <c r="Z42" s="1253">
        <f>IF((IF('2'!$E46&lt;1,(38.21*((Z$37*$T$15/(0.00001*$T$13))^1.053)),(44.62*((Z$37*$T$15/(0.00001*$T$13))^1.053)*('2'!$E46^1.16))))&lt;(Z$37*$T$15*'2'!$I46/'4'!$D37),(IF('2'!$E46&lt;1,(38.21*((Z$37*$T$15/(0.00001*$T$13))^1.053)),(44.62*((Z$37*$T$15/(0.00001*$T$13))^1.053)*('2'!$E46^1.16)))),(Z$37*$T$15*'2'!$I46/'4'!$D37))</f>
        <v>17430964.277282644</v>
      </c>
      <c r="AA42" s="1253">
        <f>IF((IF('2'!$E46&lt;1,(38.21*((AA$37*$T$15/(0.00001*$T$13))^1.053)),(44.62*((AA$37*$T$15/(0.00001*$T$13))^1.053)*('2'!$E46^1.16))))&lt;(AA$37*$T$15*'2'!$I46/'4'!$D37),(IF('2'!$E46&lt;1,(38.21*((AA$37*$T$15/(0.00001*$T$13))^1.053)),(44.62*((AA$37*$T$15/(0.00001*$T$13))^1.053)*('2'!$E46^1.16)))),(AA$37*$T$15*'2'!$I46/'4'!$D37))</f>
        <v>19367738.085869607</v>
      </c>
      <c r="AB42" s="100">
        <f>IF(R$37&lt;$T$9,(1.16*(1.328/SQRT(R42))*'2'!$K46*$T$12*$T$20*$AL$10),IF(R42&lt;1000000,((1.328/SQRT(R42))*'2'!$K46*$T$12*$T$20*$AL$10),(0.455/((LOG(R42)^2.58)*(1+0.144*'2'!$E46^2)^0.65)))*'2'!$K46*$T$12*$T$20*$AL$10)</f>
        <v>0.66242305470522234</v>
      </c>
      <c r="AC42" s="100">
        <f>IF(S$37&lt;$T$9,(1.16*(1.328/SQRT(S42))*'2'!$K46*$T$12*$T$20*$AL$11),IF(S42&lt;1000000,((1.328/SQRT(S42))*'2'!$K46*$T$12*$T$20*$AL$11),(0.455/((LOG(S42)^2.58)*(1+0.144*'2'!$E46^2)^0.65)))*'2'!$K46*$T$12*$T$20*$AL$11)</f>
        <v>2.7260390016999958</v>
      </c>
      <c r="AD42" s="100">
        <f>IF(T$37&lt;$T$9,(1.16*(1.328/SQRT(T42))*'2'!$K46*$T$12*$T$20*$AL$12),IF(T42&lt;1000000,((1.328/SQRT(T42))*'2'!$K46*$T$12*$T$20*$AL$12),(0.455/((LOG(T42)^2.58)*(1+0.144*'2'!$E46^2)^0.65)))*'2'!$K46*$T$12*$T$20*$AL$12)</f>
        <v>2.4095623427864066</v>
      </c>
      <c r="AE42" s="100">
        <f>IF(U$37&lt;$T$9,(1.16*(1.328/SQRT(U42))*'2'!$K46*$T$12*$T$20*$AL$13),IF(U42&lt;1000000,((1.328/SQRT(U42))*'2'!$K46*$T$12*$T$20*$AL$13),(0.455/((LOG(U42)^2.58)*(1+0.144*'2'!$E46^2)^0.65)))*'2'!$K46*$T$12*$T$20*$AL$13)</f>
        <v>2.0555054627862654</v>
      </c>
      <c r="AF42" s="100">
        <f>IF(V$37&lt;$T$9,(1.16*(1.328/SQRT(V42))*'2'!$K46*$T$12*$T$20*$AL$14),IF(V42&lt;1000000,((1.328/SQRT(V42))*'2'!$K46*$T$12*$T$20*$AL$14),(0.455/((LOG(V42)^2.58)*(1+0.144*'2'!$E46^2)^0.65)))*'2'!$K46*$T$12*$T$20*$AL$14)</f>
        <v>1.7123696380418449</v>
      </c>
      <c r="AG42" s="100">
        <f>IF(W$37&lt;$T$9,(1.16*(1.328/SQRT(W42))*'2'!$K46*$T$12*$T$20*$AL$15),IF(W42&lt;1000000,((1.328/SQRT(W42))*'2'!$K46*$T$12*$T$20*$AL$15),(0.455/((LOG(W42)^2.58)*(1+0.144*'2'!$E46^2)^0.65)))*'2'!$K46*$T$12*$T$20*$AL$15)</f>
        <v>1.4006692517427024</v>
      </c>
      <c r="AH42" s="100">
        <f>IF(X$37&lt;$T$9,(1.16*(1.328/SQRT(X42))*'2'!$K46*$T$12*$T$20*$AL$16),IF(X42&lt;1000000,((1.328/SQRT(X42))*'2'!$K46*$T$12*$T$20*$AL$16),(0.455/((LOG(X42)^2.58)*(1+0.144*'2'!$E46^2)^0.65)))*'2'!$K46*$T$12*$T$20*$AL$16)</f>
        <v>1.1106873168266147</v>
      </c>
      <c r="AI42" s="100">
        <f>IF(Y$37&lt;$T$9,(1.16*(1.328/SQRT(Y42))*'2'!$K46*$T$12*$T$20*$AL$17),IF(Y42&lt;1000000,((1.328/SQRT(Y42))*'2'!$K46*$T$12*$T$20*$AL$17),(0.455/((LOG(Y42)^2.58)*(1+0.144*'2'!$E46^2)^0.65)))*'2'!$K46*$T$12*$T$20*$AL$17)</f>
        <v>0.83670939463231953</v>
      </c>
      <c r="AJ42" s="100">
        <f>IF(Z$37&lt;$T$9,(1.16*(1.328/SQRT(Z42))*'2'!$K46*$T$12*$T$20*$AL$18),IF(Z42&lt;1000000,((1.328/SQRT(Z42))*'2'!$K46*$T$12*$T$20*$AL$18),(0.455/((LOG(Z42)^2.58)*(1+0.144*'2'!$E46^2)^0.65)))*'2'!$K46*$T$12*$T$20*$AL$18)</f>
        <v>0.57508170901402567</v>
      </c>
      <c r="AK42" s="100">
        <f>IF(AA$37&lt;$T$9,(1.16*(1.328/SQRT(AA42))*'2'!$K46*$T$12*$T$20*$AL$19),IF(AA42&lt;1000000,((1.328/SQRT(AA42))*'2'!$K46*$T$12*$T$20*$AL$19),(0.455/((LOG(AA42)^2.58)*(1+0.144*'2'!$E46^2)^0.65)))*'2'!$K46*$T$12*$T$20*$AL$19)</f>
        <v>0.4041508982092456</v>
      </c>
      <c r="AL42" s="52">
        <f t="shared" ref="AL42:AL70" si="16">SUM(AB42:AK42)</f>
        <v>13.893198070444642</v>
      </c>
      <c r="AM42" s="100">
        <f>IF('2'!E46&lt;1,0,(IF(T$5&lt;4,(((9/2)*T$16*PI()/((SUM(AC$9:AC$19))^2)))*T$16*'2'!K46*T$14*(1-((0.386*(('2'!E46-1.2)^0.57))*(1-(PI()*(('4'!E$16^0.77)/100))))),(IF(T$5=4,((4*T$16/(PI()*((T$15/2)^2)))*T$16*'2'!K46),(((9*PI()/2)*T$16/(((T$15)^2)))*T$16*'2'!K46))))))</f>
        <v>0</v>
      </c>
      <c r="AN42" s="52">
        <f t="shared" ref="AN42:AN70" si="17">AL42+AM42</f>
        <v>13.893198070444642</v>
      </c>
      <c r="AO42" s="193">
        <f>AN42/('2'!K46*'4'!$L$15)</f>
        <v>4.1904856379095159E-3</v>
      </c>
      <c r="AP42" s="26"/>
    </row>
    <row r="43" spans="2:42" ht="14.4" thickBot="1">
      <c r="B43" s="154" t="s">
        <v>535</v>
      </c>
      <c r="C43" s="150" t="s">
        <v>359</v>
      </c>
      <c r="D43" s="160"/>
      <c r="E43" s="160"/>
      <c r="F43" s="160">
        <f>F42*SIN((2*ACOS((F30-(F42/2))/(F42/2)))/2)</f>
        <v>3.797960210216722E-15</v>
      </c>
      <c r="G43" s="152"/>
      <c r="H43" s="151"/>
      <c r="I43" s="140"/>
      <c r="J43" s="140"/>
      <c r="K43" s="140"/>
      <c r="L43" s="140"/>
      <c r="M43" s="140"/>
      <c r="N43" s="25"/>
      <c r="O43" s="26"/>
      <c r="Q43" s="291"/>
      <c r="R43" s="1253">
        <f>IF((IF('2'!$E47&lt;1,(38.21*((R$37*$T$15/(0.00001*$T$13))^1.053)),(44.62*((R$37*$T$15/(0.00001*$T$13))^1.053)*('2'!$E47^1.16))))&lt;(R$37*$T$15*'2'!$I47/'4'!$D38),(IF('2'!$E47&lt;1,(38.21*((R$37*$T$15/(0.00001*$T$13))^1.053)),(44.62*((R$37*$T$15/(0.00001*$T$13))^1.053)*('2'!$E47^1.16)))),(R$37*$T$15*'2'!$I47/'4'!$D38))</f>
        <v>1936773.8085869609</v>
      </c>
      <c r="S43" s="1253">
        <f>IF((IF('2'!$E47&lt;1,(38.21*((S$37*$T$15/(0.00001*$T$13))^1.053)),(44.62*((S$37*$T$15/(0.00001*$T$13))^1.053)*('2'!$E47^1.16))))&lt;(S$37*$T$15*'2'!$I47/'4'!$D38),(IF('2'!$E47&lt;1,(38.21*((S$37*$T$15/(0.00001*$T$13))^1.053)),(44.62*((S$37*$T$15/(0.00001*$T$13))^1.053)*('2'!$E47^1.16)))),(S$37*$T$15*'2'!$I47/'4'!$D38))</f>
        <v>3873547.6171739218</v>
      </c>
      <c r="T43" s="1253">
        <f>IF((IF('2'!$E47&lt;1,(38.21*((T$37*$T$15/(0.00001*$T$13))^1.053)),(44.62*((T$37*$T$15/(0.00001*$T$13))^1.053)*('2'!$E47^1.16))))&lt;(T$37*$T$15*'2'!$I47/'4'!$D38),(IF('2'!$E47&lt;1,(38.21*((T$37*$T$15/(0.00001*$T$13))^1.053)),(44.62*((T$37*$T$15/(0.00001*$T$13))^1.053)*('2'!$E47^1.16)))),(T$37*$T$15*'2'!$I47/'4'!$D38))</f>
        <v>5810321.4257608801</v>
      </c>
      <c r="U43" s="1253">
        <f>IF((IF('2'!$E47&lt;1,(38.21*((U$37*$T$15/(0.00001*$T$13))^1.053)),(44.62*((U$37*$T$15/(0.00001*$T$13))^1.053)*('2'!$E47^1.16))))&lt;(U$37*$T$15*'2'!$I47/'4'!$D38),(IF('2'!$E47&lt;1,(38.21*((U$37*$T$15/(0.00001*$T$13))^1.053)),(44.62*((U$37*$T$15/(0.00001*$T$13))^1.053)*('2'!$E47^1.16)))),(U$37*$T$15*'2'!$I47/'4'!$D38))</f>
        <v>7747095.2343478436</v>
      </c>
      <c r="V43" s="1253">
        <f>IF((IF('2'!$E47&lt;1,(38.21*((V$37*$T$15/(0.00001*$T$13))^1.053)),(44.62*((V$37*$T$15/(0.00001*$T$13))^1.053)*('2'!$E47^1.16))))&lt;(V$37*$T$15*'2'!$I47/'4'!$D38),(IF('2'!$E47&lt;1,(38.21*((V$37*$T$15/(0.00001*$T$13))^1.053)),(44.62*((V$37*$T$15/(0.00001*$T$13))^1.053)*('2'!$E47^1.16)))),(V$37*$T$15*'2'!$I47/'4'!$D38))</f>
        <v>9683869.0429348033</v>
      </c>
      <c r="W43" s="1253">
        <f>IF((IF('2'!$E47&lt;1,(38.21*((W$37*$T$15/(0.00001*$T$13))^1.053)),(44.62*((W$37*$T$15/(0.00001*$T$13))^1.053)*('2'!$E47^1.16))))&lt;(W$37*$T$15*'2'!$I47/'4'!$D38),(IF('2'!$E47&lt;1,(38.21*((W$37*$T$15/(0.00001*$T$13))^1.053)),(44.62*((W$37*$T$15/(0.00001*$T$13))^1.053)*('2'!$E47^1.16)))),(W$37*$T$15*'2'!$I47/'4'!$D38))</f>
        <v>11620642.85152176</v>
      </c>
      <c r="X43" s="1253">
        <f>IF((IF('2'!$E47&lt;1,(38.21*((X$37*$T$15/(0.00001*$T$13))^1.053)),(44.62*((X$37*$T$15/(0.00001*$T$13))^1.053)*('2'!$E47^1.16))))&lt;(X$37*$T$15*'2'!$I47/'4'!$D38),(IF('2'!$E47&lt;1,(38.21*((X$37*$T$15/(0.00001*$T$13))^1.053)),(44.62*((X$37*$T$15/(0.00001*$T$13))^1.053)*('2'!$E47^1.16)))),(X$37*$T$15*'2'!$I47/'4'!$D38))</f>
        <v>13557416.660108723</v>
      </c>
      <c r="Y43" s="1253">
        <f>IF((IF('2'!$E47&lt;1,(38.21*((Y$37*$T$15/(0.00001*$T$13))^1.053)),(44.62*((Y$37*$T$15/(0.00001*$T$13))^1.053)*('2'!$E47^1.16))))&lt;(Y$37*$T$15*'2'!$I47/'4'!$D38),(IF('2'!$E47&lt;1,(38.21*((Y$37*$T$15/(0.00001*$T$13))^1.053)),(44.62*((Y$37*$T$15/(0.00001*$T$13))^1.053)*('2'!$E47^1.16)))),(Y$37*$T$15*'2'!$I47/'4'!$D38))</f>
        <v>15494190.468695687</v>
      </c>
      <c r="Z43" s="1253">
        <f>IF((IF('2'!$E47&lt;1,(38.21*((Z$37*$T$15/(0.00001*$T$13))^1.053)),(44.62*((Z$37*$T$15/(0.00001*$T$13))^1.053)*('2'!$E47^1.16))))&lt;(Z$37*$T$15*'2'!$I47/'4'!$D38),(IF('2'!$E47&lt;1,(38.21*((Z$37*$T$15/(0.00001*$T$13))^1.053)),(44.62*((Z$37*$T$15/(0.00001*$T$13))^1.053)*('2'!$E47^1.16)))),(Z$37*$T$15*'2'!$I47/'4'!$D38))</f>
        <v>17430964.277282644</v>
      </c>
      <c r="AA43" s="1253">
        <f>IF((IF('2'!$E47&lt;1,(38.21*((AA$37*$T$15/(0.00001*$T$13))^1.053)),(44.62*((AA$37*$T$15/(0.00001*$T$13))^1.053)*('2'!$E47^1.16))))&lt;(AA$37*$T$15*'2'!$I47/'4'!$D38),(IF('2'!$E47&lt;1,(38.21*((AA$37*$T$15/(0.00001*$T$13))^1.053)),(44.62*((AA$37*$T$15/(0.00001*$T$13))^1.053)*('2'!$E47^1.16)))),(AA$37*$T$15*'2'!$I47/'4'!$D38))</f>
        <v>19367738.085869607</v>
      </c>
      <c r="AB43" s="100">
        <f>IF(R$37&lt;$T$9,(1.16*(1.328/SQRT(R43))*'2'!$K47*$T$12*$T$20*$AL$10),IF(R43&lt;1000000,((1.328/SQRT(R43))*'2'!$K47*$T$12*$T$20*$AL$10),(0.455/((LOG(R43)^2.58)*(1+0.144*'2'!$E47^2)^0.65)))*'2'!$K47*$T$12*$T$20*$AL$10)</f>
        <v>0.66242305470522234</v>
      </c>
      <c r="AC43" s="100">
        <f>IF(S$37&lt;$T$9,(1.16*(1.328/SQRT(S43))*'2'!$K47*$T$12*$T$20*$AL$11),IF(S43&lt;1000000,((1.328/SQRT(S43))*'2'!$K47*$T$12*$T$20*$AL$11),(0.455/((LOG(S43)^2.58)*(1+0.144*'2'!$E47^2)^0.65)))*'2'!$K47*$T$12*$T$20*$AL$11)</f>
        <v>2.7260390016999958</v>
      </c>
      <c r="AD43" s="100">
        <f>IF(T$37&lt;$T$9,(1.16*(1.328/SQRT(T43))*'2'!$K47*$T$12*$T$20*$AL$12),IF(T43&lt;1000000,((1.328/SQRT(T43))*'2'!$K47*$T$12*$T$20*$AL$12),(0.455/((LOG(T43)^2.58)*(1+0.144*'2'!$E47^2)^0.65)))*'2'!$K47*$T$12*$T$20*$AL$12)</f>
        <v>2.4095623427864066</v>
      </c>
      <c r="AE43" s="100">
        <f>IF(U$37&lt;$T$9,(1.16*(1.328/SQRT(U43))*'2'!$K47*$T$12*$T$20*$AL$13),IF(U43&lt;1000000,((1.328/SQRT(U43))*'2'!$K47*$T$12*$T$20*$AL$13),(0.455/((LOG(U43)^2.58)*(1+0.144*'2'!$E47^2)^0.65)))*'2'!$K47*$T$12*$T$20*$AL$13)</f>
        <v>2.0555054627862654</v>
      </c>
      <c r="AF43" s="100">
        <f>IF(V$37&lt;$T$9,(1.16*(1.328/SQRT(V43))*'2'!$K47*$T$12*$T$20*$AL$14),IF(V43&lt;1000000,((1.328/SQRT(V43))*'2'!$K47*$T$12*$T$20*$AL$14),(0.455/((LOG(V43)^2.58)*(1+0.144*'2'!$E47^2)^0.65)))*'2'!$K47*$T$12*$T$20*$AL$14)</f>
        <v>1.7123696380418449</v>
      </c>
      <c r="AG43" s="100">
        <f>IF(W$37&lt;$T$9,(1.16*(1.328/SQRT(W43))*'2'!$K47*$T$12*$T$20*$AL$15),IF(W43&lt;1000000,((1.328/SQRT(W43))*'2'!$K47*$T$12*$T$20*$AL$15),(0.455/((LOG(W43)^2.58)*(1+0.144*'2'!$E47^2)^0.65)))*'2'!$K47*$T$12*$T$20*$AL$15)</f>
        <v>1.4006692517427024</v>
      </c>
      <c r="AH43" s="100">
        <f>IF(X$37&lt;$T$9,(1.16*(1.328/SQRT(X43))*'2'!$K47*$T$12*$T$20*$AL$16),IF(X43&lt;1000000,((1.328/SQRT(X43))*'2'!$K47*$T$12*$T$20*$AL$16),(0.455/((LOG(X43)^2.58)*(1+0.144*'2'!$E47^2)^0.65)))*'2'!$K47*$T$12*$T$20*$AL$16)</f>
        <v>1.1106873168266147</v>
      </c>
      <c r="AI43" s="100">
        <f>IF(Y$37&lt;$T$9,(1.16*(1.328/SQRT(Y43))*'2'!$K47*$T$12*$T$20*$AL$17),IF(Y43&lt;1000000,((1.328/SQRT(Y43))*'2'!$K47*$T$12*$T$20*$AL$17),(0.455/((LOG(Y43)^2.58)*(1+0.144*'2'!$E47^2)^0.65)))*'2'!$K47*$T$12*$T$20*$AL$17)</f>
        <v>0.83670939463231953</v>
      </c>
      <c r="AJ43" s="100">
        <f>IF(Z$37&lt;$T$9,(1.16*(1.328/SQRT(Z43))*'2'!$K47*$T$12*$T$20*$AL$18),IF(Z43&lt;1000000,((1.328/SQRT(Z43))*'2'!$K47*$T$12*$T$20*$AL$18),(0.455/((LOG(Z43)^2.58)*(1+0.144*'2'!$E47^2)^0.65)))*'2'!$K47*$T$12*$T$20*$AL$18)</f>
        <v>0.57508170901402567</v>
      </c>
      <c r="AK43" s="100">
        <f>IF(AA$37&lt;$T$9,(1.16*(1.328/SQRT(AA43))*'2'!$K47*$T$12*$T$20*$AL$19),IF(AA43&lt;1000000,((1.328/SQRT(AA43))*'2'!$K47*$T$12*$T$20*$AL$19),(0.455/((LOG(AA43)^2.58)*(1+0.144*'2'!$E47^2)^0.65)))*'2'!$K47*$T$12*$T$20*$AL$19)</f>
        <v>0.4041508982092456</v>
      </c>
      <c r="AL43" s="52">
        <f t="shared" si="16"/>
        <v>13.893198070444642</v>
      </c>
      <c r="AM43" s="100">
        <f>IF('2'!E47&lt;1,0,(IF(T$5&lt;4,(((9/2)*T$16*PI()/((SUM(AC$9:AC$19))^2)))*T$16*'2'!K47*T$14*(1-((0.386*(('2'!E47-1.2)^0.57))*(1-(PI()*(('4'!E$16^0.77)/100))))),(IF(T$5=4,((4*T$16/(PI()*((T$15/2)^2)))*T$16*'2'!K47),(((9*PI()/2)*T$16/(((T$15)^2)))*T$16*'2'!K47))))))</f>
        <v>0</v>
      </c>
      <c r="AN43" s="52">
        <f t="shared" si="17"/>
        <v>13.893198070444642</v>
      </c>
      <c r="AO43" s="193">
        <f>AN43/('2'!K47*'4'!$L$15)</f>
        <v>4.1904856379095159E-3</v>
      </c>
      <c r="AP43" s="26"/>
    </row>
    <row r="44" spans="2:42" ht="16.2" thickBot="1">
      <c r="B44" s="154" t="s">
        <v>395</v>
      </c>
      <c r="C44" s="150" t="s">
        <v>188</v>
      </c>
      <c r="D44" s="160"/>
      <c r="E44" s="160"/>
      <c r="F44" s="298">
        <f>F40+((2*F41)/12)</f>
        <v>3.2105263157894735</v>
      </c>
      <c r="G44" s="164" t="s">
        <v>532</v>
      </c>
      <c r="H44" s="151"/>
      <c r="I44" s="140"/>
      <c r="J44" s="140"/>
      <c r="K44" s="140"/>
      <c r="L44" s="140"/>
      <c r="M44" s="140"/>
      <c r="N44" s="25"/>
      <c r="O44" s="26"/>
      <c r="Q44" s="291"/>
      <c r="R44" s="1253">
        <f>IF((IF('2'!$E48&lt;1,(38.21*((R$37*$T$15/(0.00001*$T$13))^1.053)),(44.62*((R$37*$T$15/(0.00001*$T$13))^1.053)*('2'!$E48^1.16))))&lt;(R$37*$T$15*'2'!$I48/'4'!$D39),(IF('2'!$E48&lt;1,(38.21*((R$37*$T$15/(0.00001*$T$13))^1.053)),(44.62*((R$37*$T$15/(0.00001*$T$13))^1.053)*('2'!$E48^1.16)))),(R$37*$T$15*'2'!$I48/'4'!$D39))</f>
        <v>1936773.8085869609</v>
      </c>
      <c r="S44" s="1253">
        <f>IF((IF('2'!$E48&lt;1,(38.21*((S$37*$T$15/(0.00001*$T$13))^1.053)),(44.62*((S$37*$T$15/(0.00001*$T$13))^1.053)*('2'!$E48^1.16))))&lt;(S$37*$T$15*'2'!$I48/'4'!$D39),(IF('2'!$E48&lt;1,(38.21*((S$37*$T$15/(0.00001*$T$13))^1.053)),(44.62*((S$37*$T$15/(0.00001*$T$13))^1.053)*('2'!$E48^1.16)))),(S$37*$T$15*'2'!$I48/'4'!$D39))</f>
        <v>3873547.6171739218</v>
      </c>
      <c r="T44" s="1253">
        <f>IF((IF('2'!$E48&lt;1,(38.21*((T$37*$T$15/(0.00001*$T$13))^1.053)),(44.62*((T$37*$T$15/(0.00001*$T$13))^1.053)*('2'!$E48^1.16))))&lt;(T$37*$T$15*'2'!$I48/'4'!$D39),(IF('2'!$E48&lt;1,(38.21*((T$37*$T$15/(0.00001*$T$13))^1.053)),(44.62*((T$37*$T$15/(0.00001*$T$13))^1.053)*('2'!$E48^1.16)))),(T$37*$T$15*'2'!$I48/'4'!$D39))</f>
        <v>5810321.4257608801</v>
      </c>
      <c r="U44" s="1253">
        <f>IF((IF('2'!$E48&lt;1,(38.21*((U$37*$T$15/(0.00001*$T$13))^1.053)),(44.62*((U$37*$T$15/(0.00001*$T$13))^1.053)*('2'!$E48^1.16))))&lt;(U$37*$T$15*'2'!$I48/'4'!$D39),(IF('2'!$E48&lt;1,(38.21*((U$37*$T$15/(0.00001*$T$13))^1.053)),(44.62*((U$37*$T$15/(0.00001*$T$13))^1.053)*('2'!$E48^1.16)))),(U$37*$T$15*'2'!$I48/'4'!$D39))</f>
        <v>7747095.2343478436</v>
      </c>
      <c r="V44" s="1253">
        <f>IF((IF('2'!$E48&lt;1,(38.21*((V$37*$T$15/(0.00001*$T$13))^1.053)),(44.62*((V$37*$T$15/(0.00001*$T$13))^1.053)*('2'!$E48^1.16))))&lt;(V$37*$T$15*'2'!$I48/'4'!$D39),(IF('2'!$E48&lt;1,(38.21*((V$37*$T$15/(0.00001*$T$13))^1.053)),(44.62*((V$37*$T$15/(0.00001*$T$13))^1.053)*('2'!$E48^1.16)))),(V$37*$T$15*'2'!$I48/'4'!$D39))</f>
        <v>9683869.0429348033</v>
      </c>
      <c r="W44" s="1253">
        <f>IF((IF('2'!$E48&lt;1,(38.21*((W$37*$T$15/(0.00001*$T$13))^1.053)),(44.62*((W$37*$T$15/(0.00001*$T$13))^1.053)*('2'!$E48^1.16))))&lt;(W$37*$T$15*'2'!$I48/'4'!$D39),(IF('2'!$E48&lt;1,(38.21*((W$37*$T$15/(0.00001*$T$13))^1.053)),(44.62*((W$37*$T$15/(0.00001*$T$13))^1.053)*('2'!$E48^1.16)))),(W$37*$T$15*'2'!$I48/'4'!$D39))</f>
        <v>11620642.85152176</v>
      </c>
      <c r="X44" s="1253">
        <f>IF((IF('2'!$E48&lt;1,(38.21*((X$37*$T$15/(0.00001*$T$13))^1.053)),(44.62*((X$37*$T$15/(0.00001*$T$13))^1.053)*('2'!$E48^1.16))))&lt;(X$37*$T$15*'2'!$I48/'4'!$D39),(IF('2'!$E48&lt;1,(38.21*((X$37*$T$15/(0.00001*$T$13))^1.053)),(44.62*((X$37*$T$15/(0.00001*$T$13))^1.053)*('2'!$E48^1.16)))),(X$37*$T$15*'2'!$I48/'4'!$D39))</f>
        <v>13557416.660108723</v>
      </c>
      <c r="Y44" s="1253">
        <f>IF((IF('2'!$E48&lt;1,(38.21*((Y$37*$T$15/(0.00001*$T$13))^1.053)),(44.62*((Y$37*$T$15/(0.00001*$T$13))^1.053)*('2'!$E48^1.16))))&lt;(Y$37*$T$15*'2'!$I48/'4'!$D39),(IF('2'!$E48&lt;1,(38.21*((Y$37*$T$15/(0.00001*$T$13))^1.053)),(44.62*((Y$37*$T$15/(0.00001*$T$13))^1.053)*('2'!$E48^1.16)))),(Y$37*$T$15*'2'!$I48/'4'!$D39))</f>
        <v>15494190.468695687</v>
      </c>
      <c r="Z44" s="1253">
        <f>IF((IF('2'!$E48&lt;1,(38.21*((Z$37*$T$15/(0.00001*$T$13))^1.053)),(44.62*((Z$37*$T$15/(0.00001*$T$13))^1.053)*('2'!$E48^1.16))))&lt;(Z$37*$T$15*'2'!$I48/'4'!$D39),(IF('2'!$E48&lt;1,(38.21*((Z$37*$T$15/(0.00001*$T$13))^1.053)),(44.62*((Z$37*$T$15/(0.00001*$T$13))^1.053)*('2'!$E48^1.16)))),(Z$37*$T$15*'2'!$I48/'4'!$D39))</f>
        <v>17430964.277282644</v>
      </c>
      <c r="AA44" s="1253">
        <f>IF((IF('2'!$E48&lt;1,(38.21*((AA$37*$T$15/(0.00001*$T$13))^1.053)),(44.62*((AA$37*$T$15/(0.00001*$T$13))^1.053)*('2'!$E48^1.16))))&lt;(AA$37*$T$15*'2'!$I48/'4'!$D39),(IF('2'!$E48&lt;1,(38.21*((AA$37*$T$15/(0.00001*$T$13))^1.053)),(44.62*((AA$37*$T$15/(0.00001*$T$13))^1.053)*('2'!$E48^1.16)))),(AA$37*$T$15*'2'!$I48/'4'!$D39))</f>
        <v>19367738.085869607</v>
      </c>
      <c r="AB44" s="100">
        <f>IF(R$37&lt;$T$9,(1.16*(1.328/SQRT(R44))*'2'!$K48*$T$12*$T$20*$AL$10),IF(R44&lt;1000000,((1.328/SQRT(R44))*'2'!$K48*$T$12*$T$20*$AL$10),(0.455/((LOG(R44)^2.58)*(1+0.144*'2'!$E48^2)^0.65)))*'2'!$K48*$T$12*$T$20*$AL$10)</f>
        <v>0.66242305470522234</v>
      </c>
      <c r="AC44" s="100">
        <f>IF(S$37&lt;$T$9,(1.16*(1.328/SQRT(S44))*'2'!$K48*$T$12*$T$20*$AL$11),IF(S44&lt;1000000,((1.328/SQRT(S44))*'2'!$K48*$T$12*$T$20*$AL$11),(0.455/((LOG(S44)^2.58)*(1+0.144*'2'!$E48^2)^0.65)))*'2'!$K48*$T$12*$T$20*$AL$11)</f>
        <v>2.7260390016999958</v>
      </c>
      <c r="AD44" s="100">
        <f>IF(T$37&lt;$T$9,(1.16*(1.328/SQRT(T44))*'2'!$K48*$T$12*$T$20*$AL$12),IF(T44&lt;1000000,((1.328/SQRT(T44))*'2'!$K48*$T$12*$T$20*$AL$12),(0.455/((LOG(T44)^2.58)*(1+0.144*'2'!$E48^2)^0.65)))*'2'!$K48*$T$12*$T$20*$AL$12)</f>
        <v>2.4095623427864066</v>
      </c>
      <c r="AE44" s="100">
        <f>IF(U$37&lt;$T$9,(1.16*(1.328/SQRT(U44))*'2'!$K48*$T$12*$T$20*$AL$13),IF(U44&lt;1000000,((1.328/SQRT(U44))*'2'!$K48*$T$12*$T$20*$AL$13),(0.455/((LOG(U44)^2.58)*(1+0.144*'2'!$E48^2)^0.65)))*'2'!$K48*$T$12*$T$20*$AL$13)</f>
        <v>2.0555054627862654</v>
      </c>
      <c r="AF44" s="100">
        <f>IF(V$37&lt;$T$9,(1.16*(1.328/SQRT(V44))*'2'!$K48*$T$12*$T$20*$AL$14),IF(V44&lt;1000000,((1.328/SQRT(V44))*'2'!$K48*$T$12*$T$20*$AL$14),(0.455/((LOG(V44)^2.58)*(1+0.144*'2'!$E48^2)^0.65)))*'2'!$K48*$T$12*$T$20*$AL$14)</f>
        <v>1.7123696380418449</v>
      </c>
      <c r="AG44" s="100">
        <f>IF(W$37&lt;$T$9,(1.16*(1.328/SQRT(W44))*'2'!$K48*$T$12*$T$20*$AL$15),IF(W44&lt;1000000,((1.328/SQRT(W44))*'2'!$K48*$T$12*$T$20*$AL$15),(0.455/((LOG(W44)^2.58)*(1+0.144*'2'!$E48^2)^0.65)))*'2'!$K48*$T$12*$T$20*$AL$15)</f>
        <v>1.4006692517427024</v>
      </c>
      <c r="AH44" s="100">
        <f>IF(X$37&lt;$T$9,(1.16*(1.328/SQRT(X44))*'2'!$K48*$T$12*$T$20*$AL$16),IF(X44&lt;1000000,((1.328/SQRT(X44))*'2'!$K48*$T$12*$T$20*$AL$16),(0.455/((LOG(X44)^2.58)*(1+0.144*'2'!$E48^2)^0.65)))*'2'!$K48*$T$12*$T$20*$AL$16)</f>
        <v>1.1106873168266147</v>
      </c>
      <c r="AI44" s="100">
        <f>IF(Y$37&lt;$T$9,(1.16*(1.328/SQRT(Y44))*'2'!$K48*$T$12*$T$20*$AL$17),IF(Y44&lt;1000000,((1.328/SQRT(Y44))*'2'!$K48*$T$12*$T$20*$AL$17),(0.455/((LOG(Y44)^2.58)*(1+0.144*'2'!$E48^2)^0.65)))*'2'!$K48*$T$12*$T$20*$AL$17)</f>
        <v>0.83670939463231953</v>
      </c>
      <c r="AJ44" s="100">
        <f>IF(Z$37&lt;$T$9,(1.16*(1.328/SQRT(Z44))*'2'!$K48*$T$12*$T$20*$AL$18),IF(Z44&lt;1000000,((1.328/SQRT(Z44))*'2'!$K48*$T$12*$T$20*$AL$18),(0.455/((LOG(Z44)^2.58)*(1+0.144*'2'!$E48^2)^0.65)))*'2'!$K48*$T$12*$T$20*$AL$18)</f>
        <v>0.57508170901402567</v>
      </c>
      <c r="AK44" s="100">
        <f>IF(AA$37&lt;$T$9,(1.16*(1.328/SQRT(AA44))*'2'!$K48*$T$12*$T$20*$AL$19),IF(AA44&lt;1000000,((1.328/SQRT(AA44))*'2'!$K48*$T$12*$T$20*$AL$19),(0.455/((LOG(AA44)^2.58)*(1+0.144*'2'!$E48^2)^0.65)))*'2'!$K48*$T$12*$T$20*$AL$19)</f>
        <v>0.4041508982092456</v>
      </c>
      <c r="AL44" s="52">
        <f t="shared" si="16"/>
        <v>13.893198070444642</v>
      </c>
      <c r="AM44" s="100">
        <f>IF('2'!E48&lt;1,0,(IF(T$5&lt;4,(((9/2)*T$16*PI()/((SUM(AC$9:AC$19))^2)))*T$16*'2'!K48*T$14*(1-((0.386*(('2'!E48-1.2)^0.57))*(1-(PI()*(('4'!E$16^0.77)/100))))),(IF(T$5=4,((4*T$16/(PI()*((T$15/2)^2)))*T$16*'2'!K48),(((9*PI()/2)*T$16/(((T$15)^2)))*T$16*'2'!K48))))))</f>
        <v>0</v>
      </c>
      <c r="AN44" s="52">
        <f t="shared" si="17"/>
        <v>13.893198070444642</v>
      </c>
      <c r="AO44" s="193">
        <f>AN44/('2'!K48*'4'!$L$15)</f>
        <v>4.1904856379095159E-3</v>
      </c>
      <c r="AP44" s="26"/>
    </row>
    <row r="45" spans="2:42" ht="13.8">
      <c r="B45" s="154" t="s">
        <v>396</v>
      </c>
      <c r="C45" s="150" t="s">
        <v>397</v>
      </c>
      <c r="D45" s="160">
        <f>D25*D26*D27/(12*12*12)</f>
        <v>0</v>
      </c>
      <c r="E45" s="160">
        <f>E25*E26*E27/(12*12*12)</f>
        <v>22.65625</v>
      </c>
      <c r="F45" s="160"/>
      <c r="G45" s="152"/>
      <c r="H45" s="151"/>
      <c r="I45" s="140"/>
      <c r="J45" s="140"/>
      <c r="K45" s="140"/>
      <c r="L45" s="140"/>
      <c r="M45" s="140"/>
      <c r="N45" s="25"/>
      <c r="O45" s="26"/>
      <c r="Q45" s="291"/>
      <c r="R45" s="1253">
        <f>IF((IF('2'!$E49&lt;1,(38.21*((R$37*$T$15/(0.00001*$T$13))^1.053)),(44.62*((R$37*$T$15/(0.00001*$T$13))^1.053)*('2'!$E49^1.16))))&lt;(R$37*$T$15*'2'!$I49/'4'!$D40),(IF('2'!$E49&lt;1,(38.21*((R$37*$T$15/(0.00001*$T$13))^1.053)),(44.62*((R$37*$T$15/(0.00001*$T$13))^1.053)*('2'!$E49^1.16)))),(R$37*$T$15*'2'!$I49/'4'!$D40))</f>
        <v>1936773.8085869609</v>
      </c>
      <c r="S45" s="1253">
        <f>IF((IF('2'!$E49&lt;1,(38.21*((S$37*$T$15/(0.00001*$T$13))^1.053)),(44.62*((S$37*$T$15/(0.00001*$T$13))^1.053)*('2'!$E49^1.16))))&lt;(S$37*$T$15*'2'!$I49/'4'!$D40),(IF('2'!$E49&lt;1,(38.21*((S$37*$T$15/(0.00001*$T$13))^1.053)),(44.62*((S$37*$T$15/(0.00001*$T$13))^1.053)*('2'!$E49^1.16)))),(S$37*$T$15*'2'!$I49/'4'!$D40))</f>
        <v>3873547.6171739218</v>
      </c>
      <c r="T45" s="1253">
        <f>IF((IF('2'!$E49&lt;1,(38.21*((T$37*$T$15/(0.00001*$T$13))^1.053)),(44.62*((T$37*$T$15/(0.00001*$T$13))^1.053)*('2'!$E49^1.16))))&lt;(T$37*$T$15*'2'!$I49/'4'!$D40),(IF('2'!$E49&lt;1,(38.21*((T$37*$T$15/(0.00001*$T$13))^1.053)),(44.62*((T$37*$T$15/(0.00001*$T$13))^1.053)*('2'!$E49^1.16)))),(T$37*$T$15*'2'!$I49/'4'!$D40))</f>
        <v>5810321.4257608801</v>
      </c>
      <c r="U45" s="1253">
        <f>IF((IF('2'!$E49&lt;1,(38.21*((U$37*$T$15/(0.00001*$T$13))^1.053)),(44.62*((U$37*$T$15/(0.00001*$T$13))^1.053)*('2'!$E49^1.16))))&lt;(U$37*$T$15*'2'!$I49/'4'!$D40),(IF('2'!$E49&lt;1,(38.21*((U$37*$T$15/(0.00001*$T$13))^1.053)),(44.62*((U$37*$T$15/(0.00001*$T$13))^1.053)*('2'!$E49^1.16)))),(U$37*$T$15*'2'!$I49/'4'!$D40))</f>
        <v>7747095.2343478436</v>
      </c>
      <c r="V45" s="1253">
        <f>IF((IF('2'!$E49&lt;1,(38.21*((V$37*$T$15/(0.00001*$T$13))^1.053)),(44.62*((V$37*$T$15/(0.00001*$T$13))^1.053)*('2'!$E49^1.16))))&lt;(V$37*$T$15*'2'!$I49/'4'!$D40),(IF('2'!$E49&lt;1,(38.21*((V$37*$T$15/(0.00001*$T$13))^1.053)),(44.62*((V$37*$T$15/(0.00001*$T$13))^1.053)*('2'!$E49^1.16)))),(V$37*$T$15*'2'!$I49/'4'!$D40))</f>
        <v>9683869.0429348033</v>
      </c>
      <c r="W45" s="1253">
        <f>IF((IF('2'!$E49&lt;1,(38.21*((W$37*$T$15/(0.00001*$T$13))^1.053)),(44.62*((W$37*$T$15/(0.00001*$T$13))^1.053)*('2'!$E49^1.16))))&lt;(W$37*$T$15*'2'!$I49/'4'!$D40),(IF('2'!$E49&lt;1,(38.21*((W$37*$T$15/(0.00001*$T$13))^1.053)),(44.62*((W$37*$T$15/(0.00001*$T$13))^1.053)*('2'!$E49^1.16)))),(W$37*$T$15*'2'!$I49/'4'!$D40))</f>
        <v>11620642.85152176</v>
      </c>
      <c r="X45" s="1253">
        <f>IF((IF('2'!$E49&lt;1,(38.21*((X$37*$T$15/(0.00001*$T$13))^1.053)),(44.62*((X$37*$T$15/(0.00001*$T$13))^1.053)*('2'!$E49^1.16))))&lt;(X$37*$T$15*'2'!$I49/'4'!$D40),(IF('2'!$E49&lt;1,(38.21*((X$37*$T$15/(0.00001*$T$13))^1.053)),(44.62*((X$37*$T$15/(0.00001*$T$13))^1.053)*('2'!$E49^1.16)))),(X$37*$T$15*'2'!$I49/'4'!$D40))</f>
        <v>13557416.660108723</v>
      </c>
      <c r="Y45" s="1253">
        <f>IF((IF('2'!$E49&lt;1,(38.21*((Y$37*$T$15/(0.00001*$T$13))^1.053)),(44.62*((Y$37*$T$15/(0.00001*$T$13))^1.053)*('2'!$E49^1.16))))&lt;(Y$37*$T$15*'2'!$I49/'4'!$D40),(IF('2'!$E49&lt;1,(38.21*((Y$37*$T$15/(0.00001*$T$13))^1.053)),(44.62*((Y$37*$T$15/(0.00001*$T$13))^1.053)*('2'!$E49^1.16)))),(Y$37*$T$15*'2'!$I49/'4'!$D40))</f>
        <v>15494190.468695687</v>
      </c>
      <c r="Z45" s="1253">
        <f>IF((IF('2'!$E49&lt;1,(38.21*((Z$37*$T$15/(0.00001*$T$13))^1.053)),(44.62*((Z$37*$T$15/(0.00001*$T$13))^1.053)*('2'!$E49^1.16))))&lt;(Z$37*$T$15*'2'!$I49/'4'!$D40),(IF('2'!$E49&lt;1,(38.21*((Z$37*$T$15/(0.00001*$T$13))^1.053)),(44.62*((Z$37*$T$15/(0.00001*$T$13))^1.053)*('2'!$E49^1.16)))),(Z$37*$T$15*'2'!$I49/'4'!$D40))</f>
        <v>17430964.277282644</v>
      </c>
      <c r="AA45" s="1253">
        <f>IF((IF('2'!$E49&lt;1,(38.21*((AA$37*$T$15/(0.00001*$T$13))^1.053)),(44.62*((AA$37*$T$15/(0.00001*$T$13))^1.053)*('2'!$E49^1.16))))&lt;(AA$37*$T$15*'2'!$I49/'4'!$D40),(IF('2'!$E49&lt;1,(38.21*((AA$37*$T$15/(0.00001*$T$13))^1.053)),(44.62*((AA$37*$T$15/(0.00001*$T$13))^1.053)*('2'!$E49^1.16)))),(AA$37*$T$15*'2'!$I49/'4'!$D40))</f>
        <v>19367738.085869607</v>
      </c>
      <c r="AB45" s="100">
        <f>IF(R$37&lt;$T$9,(1.16*(1.328/SQRT(R45))*'2'!$K49*$T$12*$T$20*$AL$10),IF(R45&lt;1000000,((1.328/SQRT(R45))*'2'!$K49*$T$12*$T$20*$AL$10),(0.455/((LOG(R45)^2.58)*(1+0.144*'2'!$E49^2)^0.65)))*'2'!$K49*$T$12*$T$20*$AL$10)</f>
        <v>0.66242305470522234</v>
      </c>
      <c r="AC45" s="100">
        <f>IF(S$37&lt;$T$9,(1.16*(1.328/SQRT(S45))*'2'!$K49*$T$12*$T$20*$AL$11),IF(S45&lt;1000000,((1.328/SQRT(S45))*'2'!$K49*$T$12*$T$20*$AL$11),(0.455/((LOG(S45)^2.58)*(1+0.144*'2'!$E49^2)^0.65)))*'2'!$K49*$T$12*$T$20*$AL$11)</f>
        <v>2.7260390016999958</v>
      </c>
      <c r="AD45" s="100">
        <f>IF(T$37&lt;$T$9,(1.16*(1.328/SQRT(T45))*'2'!$K49*$T$12*$T$20*$AL$12),IF(T45&lt;1000000,((1.328/SQRT(T45))*'2'!$K49*$T$12*$T$20*$AL$12),(0.455/((LOG(T45)^2.58)*(1+0.144*'2'!$E49^2)^0.65)))*'2'!$K49*$T$12*$T$20*$AL$12)</f>
        <v>2.4095623427864066</v>
      </c>
      <c r="AE45" s="100">
        <f>IF(U$37&lt;$T$9,(1.16*(1.328/SQRT(U45))*'2'!$K49*$T$12*$T$20*$AL$13),IF(U45&lt;1000000,((1.328/SQRT(U45))*'2'!$K49*$T$12*$T$20*$AL$13),(0.455/((LOG(U45)^2.58)*(1+0.144*'2'!$E49^2)^0.65)))*'2'!$K49*$T$12*$T$20*$AL$13)</f>
        <v>2.0555054627862654</v>
      </c>
      <c r="AF45" s="100">
        <f>IF(V$37&lt;$T$9,(1.16*(1.328/SQRT(V45))*'2'!$K49*$T$12*$T$20*$AL$14),IF(V45&lt;1000000,((1.328/SQRT(V45))*'2'!$K49*$T$12*$T$20*$AL$14),(0.455/((LOG(V45)^2.58)*(1+0.144*'2'!$E49^2)^0.65)))*'2'!$K49*$T$12*$T$20*$AL$14)</f>
        <v>1.7123696380418449</v>
      </c>
      <c r="AG45" s="100">
        <f>IF(W$37&lt;$T$9,(1.16*(1.328/SQRT(W45))*'2'!$K49*$T$12*$T$20*$AL$15),IF(W45&lt;1000000,((1.328/SQRT(W45))*'2'!$K49*$T$12*$T$20*$AL$15),(0.455/((LOG(W45)^2.58)*(1+0.144*'2'!$E49^2)^0.65)))*'2'!$K49*$T$12*$T$20*$AL$15)</f>
        <v>1.4006692517427024</v>
      </c>
      <c r="AH45" s="100">
        <f>IF(X$37&lt;$T$9,(1.16*(1.328/SQRT(X45))*'2'!$K49*$T$12*$T$20*$AL$16),IF(X45&lt;1000000,((1.328/SQRT(X45))*'2'!$K49*$T$12*$T$20*$AL$16),(0.455/((LOG(X45)^2.58)*(1+0.144*'2'!$E49^2)^0.65)))*'2'!$K49*$T$12*$T$20*$AL$16)</f>
        <v>1.1106873168266147</v>
      </c>
      <c r="AI45" s="100">
        <f>IF(Y$37&lt;$T$9,(1.16*(1.328/SQRT(Y45))*'2'!$K49*$T$12*$T$20*$AL$17),IF(Y45&lt;1000000,((1.328/SQRT(Y45))*'2'!$K49*$T$12*$T$20*$AL$17),(0.455/((LOG(Y45)^2.58)*(1+0.144*'2'!$E49^2)^0.65)))*'2'!$K49*$T$12*$T$20*$AL$17)</f>
        <v>0.83670939463231953</v>
      </c>
      <c r="AJ45" s="100">
        <f>IF(Z$37&lt;$T$9,(1.16*(1.328/SQRT(Z45))*'2'!$K49*$T$12*$T$20*$AL$18),IF(Z45&lt;1000000,((1.328/SQRT(Z45))*'2'!$K49*$T$12*$T$20*$AL$18),(0.455/((LOG(Z45)^2.58)*(1+0.144*'2'!$E49^2)^0.65)))*'2'!$K49*$T$12*$T$20*$AL$18)</f>
        <v>0.57508170901402567</v>
      </c>
      <c r="AK45" s="100">
        <f>IF(AA$37&lt;$T$9,(1.16*(1.328/SQRT(AA45))*'2'!$K49*$T$12*$T$20*$AL$19),IF(AA45&lt;1000000,((1.328/SQRT(AA45))*'2'!$K49*$T$12*$T$20*$AL$19),(0.455/((LOG(AA45)^2.58)*(1+0.144*'2'!$E49^2)^0.65)))*'2'!$K49*$T$12*$T$20*$AL$19)</f>
        <v>0.4041508982092456</v>
      </c>
      <c r="AL45" s="52">
        <f t="shared" si="16"/>
        <v>13.893198070444642</v>
      </c>
      <c r="AM45" s="100">
        <f>IF('2'!E49&lt;1,0,(IF(T$5&lt;4,(((9/2)*T$16*PI()/((SUM(AC$9:AC$19))^2)))*T$16*'2'!K49*T$14*(1-((0.386*(('2'!E49-1.2)^0.57))*(1-(PI()*(('4'!E$16^0.77)/100))))),(IF(T$5=4,((4*T$16/(PI()*((T$15/2)^2)))*T$16*'2'!K49),(((9*PI()/2)*T$16/(((T$15)^2)))*T$16*'2'!K49))))))</f>
        <v>0</v>
      </c>
      <c r="AN45" s="52">
        <f t="shared" si="17"/>
        <v>13.893198070444642</v>
      </c>
      <c r="AO45" s="193">
        <f>AN45/('2'!K49*'4'!$L$15)</f>
        <v>4.1904856379095159E-3</v>
      </c>
      <c r="AP45" s="26"/>
    </row>
    <row r="46" spans="2:42" ht="13.8">
      <c r="B46" s="154" t="s">
        <v>398</v>
      </c>
      <c r="C46" s="150" t="s">
        <v>397</v>
      </c>
      <c r="D46" s="160">
        <f>IF(D37=0,0,1.5*D45)</f>
        <v>0</v>
      </c>
      <c r="E46" s="160">
        <f>IF(E37=0,0,1.5*E45)</f>
        <v>0</v>
      </c>
      <c r="F46" s="160"/>
      <c r="G46" s="152"/>
      <c r="H46" s="155"/>
      <c r="I46" s="140"/>
      <c r="J46" s="140"/>
      <c r="K46" s="140"/>
      <c r="L46" s="140"/>
      <c r="M46" s="140"/>
      <c r="N46" s="25"/>
      <c r="O46" s="26"/>
      <c r="Q46" s="291"/>
      <c r="R46" s="1253">
        <f>IF((IF('2'!$E50&lt;1,(38.21*((R$37*$T$15/(0.00001*$T$13))^1.053)),(44.62*((R$37*$T$15/(0.00001*$T$13))^1.053)*('2'!$E50^1.16))))&lt;(R$37*$T$15*'2'!$I50/'4'!$D41),(IF('2'!$E50&lt;1,(38.21*((R$37*$T$15/(0.00001*$T$13))^1.053)),(44.62*((R$37*$T$15/(0.00001*$T$13))^1.053)*('2'!$E50^1.16)))),(R$37*$T$15*'2'!$I50/'4'!$D41))</f>
        <v>1936773.8085869609</v>
      </c>
      <c r="S46" s="1253">
        <f>IF((IF('2'!$E50&lt;1,(38.21*((S$37*$T$15/(0.00001*$T$13))^1.053)),(44.62*((S$37*$T$15/(0.00001*$T$13))^1.053)*('2'!$E50^1.16))))&lt;(S$37*$T$15*'2'!$I50/'4'!$D41),(IF('2'!$E50&lt;1,(38.21*((S$37*$T$15/(0.00001*$T$13))^1.053)),(44.62*((S$37*$T$15/(0.00001*$T$13))^1.053)*('2'!$E50^1.16)))),(S$37*$T$15*'2'!$I50/'4'!$D41))</f>
        <v>3873547.6171739218</v>
      </c>
      <c r="T46" s="1253">
        <f>IF((IF('2'!$E50&lt;1,(38.21*((T$37*$T$15/(0.00001*$T$13))^1.053)),(44.62*((T$37*$T$15/(0.00001*$T$13))^1.053)*('2'!$E50^1.16))))&lt;(T$37*$T$15*'2'!$I50/'4'!$D41),(IF('2'!$E50&lt;1,(38.21*((T$37*$T$15/(0.00001*$T$13))^1.053)),(44.62*((T$37*$T$15/(0.00001*$T$13))^1.053)*('2'!$E50^1.16)))),(T$37*$T$15*'2'!$I50/'4'!$D41))</f>
        <v>5810321.4257608801</v>
      </c>
      <c r="U46" s="1253">
        <f>IF((IF('2'!$E50&lt;1,(38.21*((U$37*$T$15/(0.00001*$T$13))^1.053)),(44.62*((U$37*$T$15/(0.00001*$T$13))^1.053)*('2'!$E50^1.16))))&lt;(U$37*$T$15*'2'!$I50/'4'!$D41),(IF('2'!$E50&lt;1,(38.21*((U$37*$T$15/(0.00001*$T$13))^1.053)),(44.62*((U$37*$T$15/(0.00001*$T$13))^1.053)*('2'!$E50^1.16)))),(U$37*$T$15*'2'!$I50/'4'!$D41))</f>
        <v>7747095.2343478436</v>
      </c>
      <c r="V46" s="1253">
        <f>IF((IF('2'!$E50&lt;1,(38.21*((V$37*$T$15/(0.00001*$T$13))^1.053)),(44.62*((V$37*$T$15/(0.00001*$T$13))^1.053)*('2'!$E50^1.16))))&lt;(V$37*$T$15*'2'!$I50/'4'!$D41),(IF('2'!$E50&lt;1,(38.21*((V$37*$T$15/(0.00001*$T$13))^1.053)),(44.62*((V$37*$T$15/(0.00001*$T$13))^1.053)*('2'!$E50^1.16)))),(V$37*$T$15*'2'!$I50/'4'!$D41))</f>
        <v>9683869.0429348033</v>
      </c>
      <c r="W46" s="1253">
        <f>IF((IF('2'!$E50&lt;1,(38.21*((W$37*$T$15/(0.00001*$T$13))^1.053)),(44.62*((W$37*$T$15/(0.00001*$T$13))^1.053)*('2'!$E50^1.16))))&lt;(W$37*$T$15*'2'!$I50/'4'!$D41),(IF('2'!$E50&lt;1,(38.21*((W$37*$T$15/(0.00001*$T$13))^1.053)),(44.62*((W$37*$T$15/(0.00001*$T$13))^1.053)*('2'!$E50^1.16)))),(W$37*$T$15*'2'!$I50/'4'!$D41))</f>
        <v>11620642.85152176</v>
      </c>
      <c r="X46" s="1253">
        <f>IF((IF('2'!$E50&lt;1,(38.21*((X$37*$T$15/(0.00001*$T$13))^1.053)),(44.62*((X$37*$T$15/(0.00001*$T$13))^1.053)*('2'!$E50^1.16))))&lt;(X$37*$T$15*'2'!$I50/'4'!$D41),(IF('2'!$E50&lt;1,(38.21*((X$37*$T$15/(0.00001*$T$13))^1.053)),(44.62*((X$37*$T$15/(0.00001*$T$13))^1.053)*('2'!$E50^1.16)))),(X$37*$T$15*'2'!$I50/'4'!$D41))</f>
        <v>13557416.660108723</v>
      </c>
      <c r="Y46" s="1253">
        <f>IF((IF('2'!$E50&lt;1,(38.21*((Y$37*$T$15/(0.00001*$T$13))^1.053)),(44.62*((Y$37*$T$15/(0.00001*$T$13))^1.053)*('2'!$E50^1.16))))&lt;(Y$37*$T$15*'2'!$I50/'4'!$D41),(IF('2'!$E50&lt;1,(38.21*((Y$37*$T$15/(0.00001*$T$13))^1.053)),(44.62*((Y$37*$T$15/(0.00001*$T$13))^1.053)*('2'!$E50^1.16)))),(Y$37*$T$15*'2'!$I50/'4'!$D41))</f>
        <v>15494190.468695687</v>
      </c>
      <c r="Z46" s="1253">
        <f>IF((IF('2'!$E50&lt;1,(38.21*((Z$37*$T$15/(0.00001*$T$13))^1.053)),(44.62*((Z$37*$T$15/(0.00001*$T$13))^1.053)*('2'!$E50^1.16))))&lt;(Z$37*$T$15*'2'!$I50/'4'!$D41),(IF('2'!$E50&lt;1,(38.21*((Z$37*$T$15/(0.00001*$T$13))^1.053)),(44.62*((Z$37*$T$15/(0.00001*$T$13))^1.053)*('2'!$E50^1.16)))),(Z$37*$T$15*'2'!$I50/'4'!$D41))</f>
        <v>17430964.277282644</v>
      </c>
      <c r="AA46" s="1253">
        <f>IF((IF('2'!$E50&lt;1,(38.21*((AA$37*$T$15/(0.00001*$T$13))^1.053)),(44.62*((AA$37*$T$15/(0.00001*$T$13))^1.053)*('2'!$E50^1.16))))&lt;(AA$37*$T$15*'2'!$I50/'4'!$D41),(IF('2'!$E50&lt;1,(38.21*((AA$37*$T$15/(0.00001*$T$13))^1.053)),(44.62*((AA$37*$T$15/(0.00001*$T$13))^1.053)*('2'!$E50^1.16)))),(AA$37*$T$15*'2'!$I50/'4'!$D41))</f>
        <v>19367738.085869607</v>
      </c>
      <c r="AB46" s="100">
        <f>IF(R$37&lt;$T$9,(1.16*(1.328/SQRT(R46))*'2'!$K50*$T$12*$T$20*$AL$10),IF(R46&lt;1000000,((1.328/SQRT(R46))*'2'!$K50*$T$12*$T$20*$AL$10),(0.455/((LOG(R46)^2.58)*(1+0.144*'2'!$E50^2)^0.65)))*'2'!$K50*$T$12*$T$20*$AL$10)</f>
        <v>0.66242305470522234</v>
      </c>
      <c r="AC46" s="100">
        <f>IF(S$37&lt;$T$9,(1.16*(1.328/SQRT(S46))*'2'!$K50*$T$12*$T$20*$AL$11),IF(S46&lt;1000000,((1.328/SQRT(S46))*'2'!$K50*$T$12*$T$20*$AL$11),(0.455/((LOG(S46)^2.58)*(1+0.144*'2'!$E50^2)^0.65)))*'2'!$K50*$T$12*$T$20*$AL$11)</f>
        <v>2.7260390016999958</v>
      </c>
      <c r="AD46" s="100">
        <f>IF(T$37&lt;$T$9,(1.16*(1.328/SQRT(T46))*'2'!$K50*$T$12*$T$20*$AL$12),IF(T46&lt;1000000,((1.328/SQRT(T46))*'2'!$K50*$T$12*$T$20*$AL$12),(0.455/((LOG(T46)^2.58)*(1+0.144*'2'!$E50^2)^0.65)))*'2'!$K50*$T$12*$T$20*$AL$12)</f>
        <v>2.4095623427864066</v>
      </c>
      <c r="AE46" s="100">
        <f>IF(U$37&lt;$T$9,(1.16*(1.328/SQRT(U46))*'2'!$K50*$T$12*$T$20*$AL$13),IF(U46&lt;1000000,((1.328/SQRT(U46))*'2'!$K50*$T$12*$T$20*$AL$13),(0.455/((LOG(U46)^2.58)*(1+0.144*'2'!$E50^2)^0.65)))*'2'!$K50*$T$12*$T$20*$AL$13)</f>
        <v>2.0555054627862654</v>
      </c>
      <c r="AF46" s="100">
        <f>IF(V$37&lt;$T$9,(1.16*(1.328/SQRT(V46))*'2'!$K50*$T$12*$T$20*$AL$14),IF(V46&lt;1000000,((1.328/SQRT(V46))*'2'!$K50*$T$12*$T$20*$AL$14),(0.455/((LOG(V46)^2.58)*(1+0.144*'2'!$E50^2)^0.65)))*'2'!$K50*$T$12*$T$20*$AL$14)</f>
        <v>1.7123696380418449</v>
      </c>
      <c r="AG46" s="100">
        <f>IF(W$37&lt;$T$9,(1.16*(1.328/SQRT(W46))*'2'!$K50*$T$12*$T$20*$AL$15),IF(W46&lt;1000000,((1.328/SQRT(W46))*'2'!$K50*$T$12*$T$20*$AL$15),(0.455/((LOG(W46)^2.58)*(1+0.144*'2'!$E50^2)^0.65)))*'2'!$K50*$T$12*$T$20*$AL$15)</f>
        <v>1.4006692517427024</v>
      </c>
      <c r="AH46" s="100">
        <f>IF(X$37&lt;$T$9,(1.16*(1.328/SQRT(X46))*'2'!$K50*$T$12*$T$20*$AL$16),IF(X46&lt;1000000,((1.328/SQRT(X46))*'2'!$K50*$T$12*$T$20*$AL$16),(0.455/((LOG(X46)^2.58)*(1+0.144*'2'!$E50^2)^0.65)))*'2'!$K50*$T$12*$T$20*$AL$16)</f>
        <v>1.1106873168266147</v>
      </c>
      <c r="AI46" s="100">
        <f>IF(Y$37&lt;$T$9,(1.16*(1.328/SQRT(Y46))*'2'!$K50*$T$12*$T$20*$AL$17),IF(Y46&lt;1000000,((1.328/SQRT(Y46))*'2'!$K50*$T$12*$T$20*$AL$17),(0.455/((LOG(Y46)^2.58)*(1+0.144*'2'!$E50^2)^0.65)))*'2'!$K50*$T$12*$T$20*$AL$17)</f>
        <v>0.83670939463231953</v>
      </c>
      <c r="AJ46" s="100">
        <f>IF(Z$37&lt;$T$9,(1.16*(1.328/SQRT(Z46))*'2'!$K50*$T$12*$T$20*$AL$18),IF(Z46&lt;1000000,((1.328/SQRT(Z46))*'2'!$K50*$T$12*$T$20*$AL$18),(0.455/((LOG(Z46)^2.58)*(1+0.144*'2'!$E50^2)^0.65)))*'2'!$K50*$T$12*$T$20*$AL$18)</f>
        <v>0.57508170901402567</v>
      </c>
      <c r="AK46" s="100">
        <f>IF(AA$37&lt;$T$9,(1.16*(1.328/SQRT(AA46))*'2'!$K50*$T$12*$T$20*$AL$19),IF(AA46&lt;1000000,((1.328/SQRT(AA46))*'2'!$K50*$T$12*$T$20*$AL$19),(0.455/((LOG(AA46)^2.58)*(1+0.144*'2'!$E50^2)^0.65)))*'2'!$K50*$T$12*$T$20*$AL$19)</f>
        <v>0.4041508982092456</v>
      </c>
      <c r="AL46" s="52">
        <f t="shared" si="16"/>
        <v>13.893198070444642</v>
      </c>
      <c r="AM46" s="100">
        <f>IF('2'!E50&lt;1,0,(IF(T$5&lt;4,(((9/2)*T$16*PI()/((SUM(AC$9:AC$19))^2)))*T$16*'2'!K50*T$14*(1-((0.386*(('2'!E50-1.2)^0.57))*(1-(PI()*(('4'!E$16^0.77)/100))))),(IF(T$5=4,((4*T$16/(PI()*((T$15/2)^2)))*T$16*'2'!K50),(((9*PI()/2)*T$16/(((T$15)^2)))*T$16*'2'!K50))))))</f>
        <v>0</v>
      </c>
      <c r="AN46" s="52">
        <f t="shared" si="17"/>
        <v>13.893198070444642</v>
      </c>
      <c r="AO46" s="193">
        <f>AN46/('2'!K50*'4'!$L$15)</f>
        <v>4.1904856379095159E-3</v>
      </c>
      <c r="AP46" s="26"/>
    </row>
    <row r="47" spans="2:42" ht="13.8">
      <c r="B47" s="154" t="s">
        <v>399</v>
      </c>
      <c r="C47" s="150" t="s">
        <v>400</v>
      </c>
      <c r="D47" s="160">
        <f>D45*D24*D38</f>
        <v>0</v>
      </c>
      <c r="E47" s="160">
        <f>E45*E24*E38</f>
        <v>45.3125</v>
      </c>
      <c r="F47" s="160">
        <f t="shared" ref="F47:F52" si="18">D47+E47</f>
        <v>45.3125</v>
      </c>
      <c r="G47" s="152"/>
      <c r="H47" s="155"/>
      <c r="I47" s="140"/>
      <c r="J47" s="140"/>
      <c r="K47" s="140"/>
      <c r="L47" s="140"/>
      <c r="M47" s="140"/>
      <c r="N47" s="25"/>
      <c r="O47" s="26"/>
      <c r="Q47" s="291"/>
      <c r="R47" s="1253">
        <f>IF((IF('2'!$E51&lt;1,(38.21*((R$37*$T$15/(0.00001*$T$13))^1.053)),(44.62*((R$37*$T$15/(0.00001*$T$13))^1.053)*('2'!$E51^1.16))))&lt;(R$37*$T$15*'2'!$I51/'4'!$D42),(IF('2'!$E51&lt;1,(38.21*((R$37*$T$15/(0.00001*$T$13))^1.053)),(44.62*((R$37*$T$15/(0.00001*$T$13))^1.053)*('2'!$E51^1.16)))),(R$37*$T$15*'2'!$I51/'4'!$D42))</f>
        <v>2012749.1015740742</v>
      </c>
      <c r="S47" s="1253">
        <f>IF((IF('2'!$E51&lt;1,(38.21*((S$37*$T$15/(0.00001*$T$13))^1.053)),(44.62*((S$37*$T$15/(0.00001*$T$13))^1.053)*('2'!$E51^1.16))))&lt;(S$37*$T$15*'2'!$I51/'4'!$D42),(IF('2'!$E51&lt;1,(38.21*((S$37*$T$15/(0.00001*$T$13))^1.053)),(44.62*((S$37*$T$15/(0.00001*$T$13))^1.053)*('2'!$E51^1.16)))),(S$37*$T$15*'2'!$I51/'4'!$D42))</f>
        <v>4025498.2031481485</v>
      </c>
      <c r="T47" s="1253">
        <f>IF((IF('2'!$E51&lt;1,(38.21*((T$37*$T$15/(0.00001*$T$13))^1.053)),(44.62*((T$37*$T$15/(0.00001*$T$13))^1.053)*('2'!$E51^1.16))))&lt;(T$37*$T$15*'2'!$I51/'4'!$D42),(IF('2'!$E51&lt;1,(38.21*((T$37*$T$15/(0.00001*$T$13))^1.053)),(44.62*((T$37*$T$15/(0.00001*$T$13))^1.053)*('2'!$E51^1.16)))),(T$37*$T$15*'2'!$I51/'4'!$D42))</f>
        <v>6038247.3047222216</v>
      </c>
      <c r="U47" s="1253">
        <f>IF((IF('2'!$E51&lt;1,(38.21*((U$37*$T$15/(0.00001*$T$13))^1.053)),(44.62*((U$37*$T$15/(0.00001*$T$13))^1.053)*('2'!$E51^1.16))))&lt;(U$37*$T$15*'2'!$I51/'4'!$D42),(IF('2'!$E51&lt;1,(38.21*((U$37*$T$15/(0.00001*$T$13))^1.053)),(44.62*((U$37*$T$15/(0.00001*$T$13))^1.053)*('2'!$E51^1.16)))),(U$37*$T$15*'2'!$I51/'4'!$D42))</f>
        <v>8050996.406296297</v>
      </c>
      <c r="V47" s="1253">
        <f>IF((IF('2'!$E51&lt;1,(38.21*((V$37*$T$15/(0.00001*$T$13))^1.053)),(44.62*((V$37*$T$15/(0.00001*$T$13))^1.053)*('2'!$E51^1.16))))&lt;(V$37*$T$15*'2'!$I51/'4'!$D42),(IF('2'!$E51&lt;1,(38.21*((V$37*$T$15/(0.00001*$T$13))^1.053)),(44.62*((V$37*$T$15/(0.00001*$T$13))^1.053)*('2'!$E51^1.16)))),(V$37*$T$15*'2'!$I51/'4'!$D42))</f>
        <v>10063745.507870371</v>
      </c>
      <c r="W47" s="1253">
        <f>IF((IF('2'!$E51&lt;1,(38.21*((W$37*$T$15/(0.00001*$T$13))^1.053)),(44.62*((W$37*$T$15/(0.00001*$T$13))^1.053)*('2'!$E51^1.16))))&lt;(W$37*$T$15*'2'!$I51/'4'!$D42),(IF('2'!$E51&lt;1,(38.21*((W$37*$T$15/(0.00001*$T$13))^1.053)),(44.62*((W$37*$T$15/(0.00001*$T$13))^1.053)*('2'!$E51^1.16)))),(W$37*$T$15*'2'!$I51/'4'!$D42))</f>
        <v>12076494.609444443</v>
      </c>
      <c r="X47" s="1253">
        <f>IF((IF('2'!$E51&lt;1,(38.21*((X$37*$T$15/(0.00001*$T$13))^1.053)),(44.62*((X$37*$T$15/(0.00001*$T$13))^1.053)*('2'!$E51^1.16))))&lt;(X$37*$T$15*'2'!$I51/'4'!$D42),(IF('2'!$E51&lt;1,(38.21*((X$37*$T$15/(0.00001*$T$13))^1.053)),(44.62*((X$37*$T$15/(0.00001*$T$13))^1.053)*('2'!$E51^1.16)))),(X$37*$T$15*'2'!$I51/'4'!$D42))</f>
        <v>14089243.711018519</v>
      </c>
      <c r="Y47" s="1253">
        <f>IF((IF('2'!$E51&lt;1,(38.21*((Y$37*$T$15/(0.00001*$T$13))^1.053)),(44.62*((Y$37*$T$15/(0.00001*$T$13))^1.053)*('2'!$E51^1.16))))&lt;(Y$37*$T$15*'2'!$I51/'4'!$D42),(IF('2'!$E51&lt;1,(38.21*((Y$37*$T$15/(0.00001*$T$13))^1.053)),(44.62*((Y$37*$T$15/(0.00001*$T$13))^1.053)*('2'!$E51^1.16)))),(Y$37*$T$15*'2'!$I51/'4'!$D42))</f>
        <v>16101992.812592594</v>
      </c>
      <c r="Z47" s="1253">
        <f>IF((IF('2'!$E51&lt;1,(38.21*((Z$37*$T$15/(0.00001*$T$13))^1.053)),(44.62*((Z$37*$T$15/(0.00001*$T$13))^1.053)*('2'!$E51^1.16))))&lt;(Z$37*$T$15*'2'!$I51/'4'!$D42),(IF('2'!$E51&lt;1,(38.21*((Z$37*$T$15/(0.00001*$T$13))^1.053)),(44.62*((Z$37*$T$15/(0.00001*$T$13))^1.053)*('2'!$E51^1.16)))),(Z$37*$T$15*'2'!$I51/'4'!$D42))</f>
        <v>18114741.914166667</v>
      </c>
      <c r="AA47" s="1253">
        <f>IF((IF('2'!$E51&lt;1,(38.21*((AA$37*$T$15/(0.00001*$T$13))^1.053)),(44.62*((AA$37*$T$15/(0.00001*$T$13))^1.053)*('2'!$E51^1.16))))&lt;(AA$37*$T$15*'2'!$I51/'4'!$D42),(IF('2'!$E51&lt;1,(38.21*((AA$37*$T$15/(0.00001*$T$13))^1.053)),(44.62*((AA$37*$T$15/(0.00001*$T$13))^1.053)*('2'!$E51^1.16)))),(AA$37*$T$15*'2'!$I51/'4'!$D42))</f>
        <v>20127491.015740741</v>
      </c>
      <c r="AB47" s="100">
        <f>IF(R$37&lt;$T$9,(1.16*(1.328/SQRT(R47))*'2'!$K51*$T$12*$T$20*$AL$10),IF(R47&lt;1000000,((1.328/SQRT(R47))*'2'!$K51*$T$12*$T$20*$AL$10),(0.455/((LOG(R47)^2.58)*(1+0.144*'2'!$E51^2)^0.65)))*'2'!$K51*$T$12*$T$20*$AL$10)</f>
        <v>0.65251197929173721</v>
      </c>
      <c r="AC47" s="100">
        <f>IF(S$37&lt;$T$9,(1.16*(1.328/SQRT(S47))*'2'!$K51*$T$12*$T$20*$AL$11),IF(S47&lt;1000000,((1.328/SQRT(S47))*'2'!$K51*$T$12*$T$20*$AL$11),(0.455/((LOG(S47)^2.58)*(1+0.144*'2'!$E51^2)^0.65)))*'2'!$K51*$T$12*$T$20*$AL$11)</f>
        <v>2.7203674245691767</v>
      </c>
      <c r="AD47" s="100">
        <f>IF(T$37&lt;$T$9,(1.16*(1.328/SQRT(T47))*'2'!$K51*$T$12*$T$20*$AL$12),IF(T47&lt;1000000,((1.328/SQRT(T47))*'2'!$K51*$T$12*$T$20*$AL$12),(0.455/((LOG(T47)^2.58)*(1+0.144*'2'!$E51^2)^0.65)))*'2'!$K51*$T$12*$T$20*$AL$12)</f>
        <v>2.4049578600520105</v>
      </c>
      <c r="AE47" s="100">
        <f>IF(U$37&lt;$T$9,(1.16*(1.328/SQRT(U47))*'2'!$K51*$T$12*$T$20*$AL$13),IF(U47&lt;1000000,((1.328/SQRT(U47))*'2'!$K51*$T$12*$T$20*$AL$13),(0.455/((LOG(U47)^2.58)*(1+0.144*'2'!$E51^2)^0.65)))*'2'!$K51*$T$12*$T$20*$AL$13)</f>
        <v>2.0518141369458252</v>
      </c>
      <c r="AF47" s="100">
        <f>IF(V$37&lt;$T$9,(1.16*(1.328/SQRT(V47))*'2'!$K51*$T$12*$T$20*$AL$14),IF(V47&lt;1000000,((1.328/SQRT(V47))*'2'!$K51*$T$12*$T$20*$AL$14),(0.455/((LOG(V47)^2.58)*(1+0.144*'2'!$E51^2)^0.65)))*'2'!$K51*$T$12*$T$20*$AL$14)</f>
        <v>1.70944256343403</v>
      </c>
      <c r="AG47" s="100">
        <f>IF(W$37&lt;$T$9,(1.16*(1.328/SQRT(W47))*'2'!$K51*$T$12*$T$20*$AL$15),IF(W47&lt;1000000,((1.328/SQRT(W47))*'2'!$K51*$T$12*$T$20*$AL$15),(0.455/((LOG(W47)^2.58)*(1+0.144*'2'!$E51^2)^0.65)))*'2'!$K51*$T$12*$T$20*$AL$15)</f>
        <v>1.3983714727121628</v>
      </c>
      <c r="AH47" s="100">
        <f>IF(X$37&lt;$T$9,(1.16*(1.328/SQRT(X47))*'2'!$K51*$T$12*$T$20*$AL$16),IF(X47&lt;1000000,((1.328/SQRT(X47))*'2'!$K51*$T$12*$T$20*$AL$16),(0.455/((LOG(X47)^2.58)*(1+0.144*'2'!$E51^2)^0.65)))*'2'!$K51*$T$12*$T$20*$AL$16)</f>
        <v>1.1089286167674315</v>
      </c>
      <c r="AI47" s="100">
        <f>IF(Y$37&lt;$T$9,(1.16*(1.328/SQRT(Y47))*'2'!$K51*$T$12*$T$20*$AL$17),IF(Y47&lt;1000000,((1.328/SQRT(Y47))*'2'!$K51*$T$12*$T$20*$AL$17),(0.455/((LOG(Y47)^2.58)*(1+0.144*'2'!$E51^2)^0.65)))*'2'!$K51*$T$12*$T$20*$AL$17)</f>
        <v>0.83542515611734103</v>
      </c>
      <c r="AJ47" s="100">
        <f>IF(Z$37&lt;$T$9,(1.16*(1.328/SQRT(Z47))*'2'!$K51*$T$12*$T$20*$AL$18),IF(Z47&lt;1000000,((1.328/SQRT(Z47))*'2'!$K51*$T$12*$T$20*$AL$18),(0.455/((LOG(Z47)^2.58)*(1+0.144*'2'!$E51^2)^0.65)))*'2'!$K51*$T$12*$T$20*$AL$18)</f>
        <v>0.57422330015542467</v>
      </c>
      <c r="AK47" s="100">
        <f>IF(AA$37&lt;$T$9,(1.16*(1.328/SQRT(AA47))*'2'!$K51*$T$12*$T$20*$AL$19),IF(AA47&lt;1000000,((1.328/SQRT(AA47))*'2'!$K51*$T$12*$T$20*$AL$19),(0.455/((LOG(AA47)^2.58)*(1+0.144*'2'!$E51^2)^0.65)))*'2'!$K51*$T$12*$T$20*$AL$19)</f>
        <v>0.40356268572221315</v>
      </c>
      <c r="AL47" s="52">
        <f t="shared" si="16"/>
        <v>13.859605195767351</v>
      </c>
      <c r="AM47" s="100">
        <f>IF('2'!E51&lt;1,0,(IF(T$5&lt;4,(((9/2)*T$16*PI()/((SUM(AC$9:AC$19))^2)))*T$16*'2'!K51*T$14*(1-((0.386*(('2'!E51-1.2)^0.57))*(1-(PI()*(('4'!E$16^0.77)/100))))),(IF(T$5=4,((4*T$16/(PI()*((T$15/2)^2)))*T$16*'2'!K51),(((9*PI()/2)*T$16/(((T$15)^2)))*T$16*'2'!K51))))))</f>
        <v>0</v>
      </c>
      <c r="AN47" s="52">
        <f t="shared" si="17"/>
        <v>13.859605195767351</v>
      </c>
      <c r="AO47" s="193">
        <f>AN47/('2'!K51*'4'!$L$15)</f>
        <v>4.1629823461956234E-3</v>
      </c>
      <c r="AP47" s="26"/>
    </row>
    <row r="48" spans="2:42" ht="13.8">
      <c r="B48" s="154" t="s">
        <v>401</v>
      </c>
      <c r="C48" s="150" t="s">
        <v>400</v>
      </c>
      <c r="D48" s="160">
        <f>D28*D29*D30*D26*D38/(12*12*12)</f>
        <v>0</v>
      </c>
      <c r="E48" s="160">
        <f>E28*E29*E30*E26*E38/(12*12*12)</f>
        <v>0</v>
      </c>
      <c r="F48" s="160">
        <f t="shared" si="18"/>
        <v>0</v>
      </c>
      <c r="G48" s="152"/>
      <c r="H48" s="155"/>
      <c r="I48" s="140"/>
      <c r="J48" s="140"/>
      <c r="K48" s="140"/>
      <c r="L48" s="140"/>
      <c r="M48" s="140"/>
      <c r="N48" s="25"/>
      <c r="O48" s="26"/>
      <c r="Q48" s="291"/>
      <c r="R48" s="1253">
        <f>IF((IF('2'!$E52&lt;1,(38.21*((R$37*$T$15/(0.00001*$T$13))^1.053)),(44.62*((R$37*$T$15/(0.00001*$T$13))^1.053)*('2'!$E52^1.16))))&lt;(R$37*$T$15*'2'!$I52/'4'!$D43),(IF('2'!$E52&lt;1,(38.21*((R$37*$T$15/(0.00001*$T$13))^1.053)),(44.62*((R$37*$T$15/(0.00001*$T$13))^1.053)*('2'!$E52^1.16)))),(R$37*$T$15*'2'!$I52/'4'!$D43))</f>
        <v>2012749.1015740742</v>
      </c>
      <c r="S48" s="1253">
        <f>IF((IF('2'!$E52&lt;1,(38.21*((S$37*$T$15/(0.00001*$T$13))^1.053)),(44.62*((S$37*$T$15/(0.00001*$T$13))^1.053)*('2'!$E52^1.16))))&lt;(S$37*$T$15*'2'!$I52/'4'!$D43),(IF('2'!$E52&lt;1,(38.21*((S$37*$T$15/(0.00001*$T$13))^1.053)),(44.62*((S$37*$T$15/(0.00001*$T$13))^1.053)*('2'!$E52^1.16)))),(S$37*$T$15*'2'!$I52/'4'!$D43))</f>
        <v>4025498.2031481485</v>
      </c>
      <c r="T48" s="1253">
        <f>IF((IF('2'!$E52&lt;1,(38.21*((T$37*$T$15/(0.00001*$T$13))^1.053)),(44.62*((T$37*$T$15/(0.00001*$T$13))^1.053)*('2'!$E52^1.16))))&lt;(T$37*$T$15*'2'!$I52/'4'!$D43),(IF('2'!$E52&lt;1,(38.21*((T$37*$T$15/(0.00001*$T$13))^1.053)),(44.62*((T$37*$T$15/(0.00001*$T$13))^1.053)*('2'!$E52^1.16)))),(T$37*$T$15*'2'!$I52/'4'!$D43))</f>
        <v>6038247.3047222216</v>
      </c>
      <c r="U48" s="1253">
        <f>IF((IF('2'!$E52&lt;1,(38.21*((U$37*$T$15/(0.00001*$T$13))^1.053)),(44.62*((U$37*$T$15/(0.00001*$T$13))^1.053)*('2'!$E52^1.16))))&lt;(U$37*$T$15*'2'!$I52/'4'!$D43),(IF('2'!$E52&lt;1,(38.21*((U$37*$T$15/(0.00001*$T$13))^1.053)),(44.62*((U$37*$T$15/(0.00001*$T$13))^1.053)*('2'!$E52^1.16)))),(U$37*$T$15*'2'!$I52/'4'!$D43))</f>
        <v>8050996.406296297</v>
      </c>
      <c r="V48" s="1253">
        <f>IF((IF('2'!$E52&lt;1,(38.21*((V$37*$T$15/(0.00001*$T$13))^1.053)),(44.62*((V$37*$T$15/(0.00001*$T$13))^1.053)*('2'!$E52^1.16))))&lt;(V$37*$T$15*'2'!$I52/'4'!$D43),(IF('2'!$E52&lt;1,(38.21*((V$37*$T$15/(0.00001*$T$13))^1.053)),(44.62*((V$37*$T$15/(0.00001*$T$13))^1.053)*('2'!$E52^1.16)))),(V$37*$T$15*'2'!$I52/'4'!$D43))</f>
        <v>10063745.507870371</v>
      </c>
      <c r="W48" s="1253">
        <f>IF((IF('2'!$E52&lt;1,(38.21*((W$37*$T$15/(0.00001*$T$13))^1.053)),(44.62*((W$37*$T$15/(0.00001*$T$13))^1.053)*('2'!$E52^1.16))))&lt;(W$37*$T$15*'2'!$I52/'4'!$D43),(IF('2'!$E52&lt;1,(38.21*((W$37*$T$15/(0.00001*$T$13))^1.053)),(44.62*((W$37*$T$15/(0.00001*$T$13))^1.053)*('2'!$E52^1.16)))),(W$37*$T$15*'2'!$I52/'4'!$D43))</f>
        <v>12076494.609444443</v>
      </c>
      <c r="X48" s="1253">
        <f>IF((IF('2'!$E52&lt;1,(38.21*((X$37*$T$15/(0.00001*$T$13))^1.053)),(44.62*((X$37*$T$15/(0.00001*$T$13))^1.053)*('2'!$E52^1.16))))&lt;(X$37*$T$15*'2'!$I52/'4'!$D43),(IF('2'!$E52&lt;1,(38.21*((X$37*$T$15/(0.00001*$T$13))^1.053)),(44.62*((X$37*$T$15/(0.00001*$T$13))^1.053)*('2'!$E52^1.16)))),(X$37*$T$15*'2'!$I52/'4'!$D43))</f>
        <v>14089243.711018519</v>
      </c>
      <c r="Y48" s="1253">
        <f>IF((IF('2'!$E52&lt;1,(38.21*((Y$37*$T$15/(0.00001*$T$13))^1.053)),(44.62*((Y$37*$T$15/(0.00001*$T$13))^1.053)*('2'!$E52^1.16))))&lt;(Y$37*$T$15*'2'!$I52/'4'!$D43),(IF('2'!$E52&lt;1,(38.21*((Y$37*$T$15/(0.00001*$T$13))^1.053)),(44.62*((Y$37*$T$15/(0.00001*$T$13))^1.053)*('2'!$E52^1.16)))),(Y$37*$T$15*'2'!$I52/'4'!$D43))</f>
        <v>16101992.812592594</v>
      </c>
      <c r="Z48" s="1253">
        <f>IF((IF('2'!$E52&lt;1,(38.21*((Z$37*$T$15/(0.00001*$T$13))^1.053)),(44.62*((Z$37*$T$15/(0.00001*$T$13))^1.053)*('2'!$E52^1.16))))&lt;(Z$37*$T$15*'2'!$I52/'4'!$D43),(IF('2'!$E52&lt;1,(38.21*((Z$37*$T$15/(0.00001*$T$13))^1.053)),(44.62*((Z$37*$T$15/(0.00001*$T$13))^1.053)*('2'!$E52^1.16)))),(Z$37*$T$15*'2'!$I52/'4'!$D43))</f>
        <v>18114741.914166667</v>
      </c>
      <c r="AA48" s="1253">
        <f>IF((IF('2'!$E52&lt;1,(38.21*((AA$37*$T$15/(0.00001*$T$13))^1.053)),(44.62*((AA$37*$T$15/(0.00001*$T$13))^1.053)*('2'!$E52^1.16))))&lt;(AA$37*$T$15*'2'!$I52/'4'!$D43),(IF('2'!$E52&lt;1,(38.21*((AA$37*$T$15/(0.00001*$T$13))^1.053)),(44.62*((AA$37*$T$15/(0.00001*$T$13))^1.053)*('2'!$E52^1.16)))),(AA$37*$T$15*'2'!$I52/'4'!$D43))</f>
        <v>20127491.015740741</v>
      </c>
      <c r="AB48" s="100">
        <f>IF(R$37&lt;$T$9,(1.16*(1.328/SQRT(R48))*'2'!$K52*$T$12*$T$20*$AL$10),IF(R48&lt;1000000,((1.328/SQRT(R48))*'2'!$K52*$T$12*$T$20*$AL$10),(0.455/((LOG(R48)^2.58)*(1+0.144*'2'!$E52^2)^0.65)))*'2'!$K52*$T$12*$T$20*$AL$10)</f>
        <v>0.65251197929173721</v>
      </c>
      <c r="AC48" s="100">
        <f>IF(S$37&lt;$T$9,(1.16*(1.328/SQRT(S48))*'2'!$K52*$T$12*$T$20*$AL$11),IF(S48&lt;1000000,((1.328/SQRT(S48))*'2'!$K52*$T$12*$T$20*$AL$11),(0.455/((LOG(S48)^2.58)*(1+0.144*'2'!$E52^2)^0.65)))*'2'!$K52*$T$12*$T$20*$AL$11)</f>
        <v>2.7203674245691767</v>
      </c>
      <c r="AD48" s="100">
        <f>IF(T$37&lt;$T$9,(1.16*(1.328/SQRT(T48))*'2'!$K52*$T$12*$T$20*$AL$12),IF(T48&lt;1000000,((1.328/SQRT(T48))*'2'!$K52*$T$12*$T$20*$AL$12),(0.455/((LOG(T48)^2.58)*(1+0.144*'2'!$E52^2)^0.65)))*'2'!$K52*$T$12*$T$20*$AL$12)</f>
        <v>2.4049578600520105</v>
      </c>
      <c r="AE48" s="100">
        <f>IF(U$37&lt;$T$9,(1.16*(1.328/SQRT(U48))*'2'!$K52*$T$12*$T$20*$AL$13),IF(U48&lt;1000000,((1.328/SQRT(U48))*'2'!$K52*$T$12*$T$20*$AL$13),(0.455/((LOG(U48)^2.58)*(1+0.144*'2'!$E52^2)^0.65)))*'2'!$K52*$T$12*$T$20*$AL$13)</f>
        <v>2.0518141369458252</v>
      </c>
      <c r="AF48" s="100">
        <f>IF(V$37&lt;$T$9,(1.16*(1.328/SQRT(V48))*'2'!$K52*$T$12*$T$20*$AL$14),IF(V48&lt;1000000,((1.328/SQRT(V48))*'2'!$K52*$T$12*$T$20*$AL$14),(0.455/((LOG(V48)^2.58)*(1+0.144*'2'!$E52^2)^0.65)))*'2'!$K52*$T$12*$T$20*$AL$14)</f>
        <v>1.70944256343403</v>
      </c>
      <c r="AG48" s="100">
        <f>IF(W$37&lt;$T$9,(1.16*(1.328/SQRT(W48))*'2'!$K52*$T$12*$T$20*$AL$15),IF(W48&lt;1000000,((1.328/SQRT(W48))*'2'!$K52*$T$12*$T$20*$AL$15),(0.455/((LOG(W48)^2.58)*(1+0.144*'2'!$E52^2)^0.65)))*'2'!$K52*$T$12*$T$20*$AL$15)</f>
        <v>1.3983714727121628</v>
      </c>
      <c r="AH48" s="100">
        <f>IF(X$37&lt;$T$9,(1.16*(1.328/SQRT(X48))*'2'!$K52*$T$12*$T$20*$AL$16),IF(X48&lt;1000000,((1.328/SQRT(X48))*'2'!$K52*$T$12*$T$20*$AL$16),(0.455/((LOG(X48)^2.58)*(1+0.144*'2'!$E52^2)^0.65)))*'2'!$K52*$T$12*$T$20*$AL$16)</f>
        <v>1.1089286167674315</v>
      </c>
      <c r="AI48" s="100">
        <f>IF(Y$37&lt;$T$9,(1.16*(1.328/SQRT(Y48))*'2'!$K52*$T$12*$T$20*$AL$17),IF(Y48&lt;1000000,((1.328/SQRT(Y48))*'2'!$K52*$T$12*$T$20*$AL$17),(0.455/((LOG(Y48)^2.58)*(1+0.144*'2'!$E52^2)^0.65)))*'2'!$K52*$T$12*$T$20*$AL$17)</f>
        <v>0.83542515611734103</v>
      </c>
      <c r="AJ48" s="100">
        <f>IF(Z$37&lt;$T$9,(1.16*(1.328/SQRT(Z48))*'2'!$K52*$T$12*$T$20*$AL$18),IF(Z48&lt;1000000,((1.328/SQRT(Z48))*'2'!$K52*$T$12*$T$20*$AL$18),(0.455/((LOG(Z48)^2.58)*(1+0.144*'2'!$E52^2)^0.65)))*'2'!$K52*$T$12*$T$20*$AL$18)</f>
        <v>0.57422330015542467</v>
      </c>
      <c r="AK48" s="100">
        <f>IF(AA$37&lt;$T$9,(1.16*(1.328/SQRT(AA48))*'2'!$K52*$T$12*$T$20*$AL$19),IF(AA48&lt;1000000,((1.328/SQRT(AA48))*'2'!$K52*$T$12*$T$20*$AL$19),(0.455/((LOG(AA48)^2.58)*(1+0.144*'2'!$E52^2)^0.65)))*'2'!$K52*$T$12*$T$20*$AL$19)</f>
        <v>0.40356268572221315</v>
      </c>
      <c r="AL48" s="52">
        <f t="shared" si="16"/>
        <v>13.859605195767351</v>
      </c>
      <c r="AM48" s="100">
        <f>IF('2'!E52&lt;1,0,(IF(T$5&lt;4,(((9/2)*T$16*PI()/((SUM(AC$9:AC$19))^2)))*T$16*'2'!K52*T$14*(1-((0.386*(('2'!E52-1.2)^0.57))*(1-(PI()*(('4'!E$16^0.77)/100))))),(IF(T$5=4,((4*T$16/(PI()*((T$15/2)^2)))*T$16*'2'!K52),(((9*PI()/2)*T$16/(((T$15)^2)))*T$16*'2'!K52))))))</f>
        <v>0</v>
      </c>
      <c r="AN48" s="52">
        <f t="shared" si="17"/>
        <v>13.859605195767351</v>
      </c>
      <c r="AO48" s="193">
        <f>AN48/('2'!K52*'4'!$L$15)</f>
        <v>4.1629823461956234E-3</v>
      </c>
      <c r="AP48" s="26"/>
    </row>
    <row r="49" spans="2:42" ht="13.8">
      <c r="B49" s="154" t="s">
        <v>402</v>
      </c>
      <c r="C49" s="150" t="s">
        <v>400</v>
      </c>
      <c r="D49" s="160">
        <f>D35*D31</f>
        <v>0</v>
      </c>
      <c r="E49" s="160">
        <f>E35*E31</f>
        <v>0</v>
      </c>
      <c r="F49" s="160">
        <f t="shared" si="18"/>
        <v>0</v>
      </c>
      <c r="G49" s="152"/>
      <c r="H49" s="155"/>
      <c r="I49" s="140"/>
      <c r="J49" s="140"/>
      <c r="K49" s="140"/>
      <c r="L49" s="140"/>
      <c r="M49" s="140"/>
      <c r="N49" s="25"/>
      <c r="O49" s="26"/>
      <c r="Q49" s="291"/>
      <c r="R49" s="1253">
        <f>IF((IF('2'!$E53&lt;1,(38.21*((R$37*$T$15/(0.00001*$T$13))^1.053)),(44.62*((R$37*$T$15/(0.00001*$T$13))^1.053)*('2'!$E53^1.16))))&lt;(R$37*$T$15*'2'!$I53/'4'!$D44),(IF('2'!$E53&lt;1,(38.21*((R$37*$T$15/(0.00001*$T$13))^1.053)),(44.62*((R$37*$T$15/(0.00001*$T$13))^1.053)*('2'!$E53^1.16)))),(R$37*$T$15*'2'!$I53/'4'!$D44))</f>
        <v>2012749.1015740742</v>
      </c>
      <c r="S49" s="1253">
        <f>IF((IF('2'!$E53&lt;1,(38.21*((S$37*$T$15/(0.00001*$T$13))^1.053)),(44.62*((S$37*$T$15/(0.00001*$T$13))^1.053)*('2'!$E53^1.16))))&lt;(S$37*$T$15*'2'!$I53/'4'!$D44),(IF('2'!$E53&lt;1,(38.21*((S$37*$T$15/(0.00001*$T$13))^1.053)),(44.62*((S$37*$T$15/(0.00001*$T$13))^1.053)*('2'!$E53^1.16)))),(S$37*$T$15*'2'!$I53/'4'!$D44))</f>
        <v>4025498.2031481485</v>
      </c>
      <c r="T49" s="1253">
        <f>IF((IF('2'!$E53&lt;1,(38.21*((T$37*$T$15/(0.00001*$T$13))^1.053)),(44.62*((T$37*$T$15/(0.00001*$T$13))^1.053)*('2'!$E53^1.16))))&lt;(T$37*$T$15*'2'!$I53/'4'!$D44),(IF('2'!$E53&lt;1,(38.21*((T$37*$T$15/(0.00001*$T$13))^1.053)),(44.62*((T$37*$T$15/(0.00001*$T$13))^1.053)*('2'!$E53^1.16)))),(T$37*$T$15*'2'!$I53/'4'!$D44))</f>
        <v>6038247.3047222216</v>
      </c>
      <c r="U49" s="1253">
        <f>IF((IF('2'!$E53&lt;1,(38.21*((U$37*$T$15/(0.00001*$T$13))^1.053)),(44.62*((U$37*$T$15/(0.00001*$T$13))^1.053)*('2'!$E53^1.16))))&lt;(U$37*$T$15*'2'!$I53/'4'!$D44),(IF('2'!$E53&lt;1,(38.21*((U$37*$T$15/(0.00001*$T$13))^1.053)),(44.62*((U$37*$T$15/(0.00001*$T$13))^1.053)*('2'!$E53^1.16)))),(U$37*$T$15*'2'!$I53/'4'!$D44))</f>
        <v>8050996.406296297</v>
      </c>
      <c r="V49" s="1253">
        <f>IF((IF('2'!$E53&lt;1,(38.21*((V$37*$T$15/(0.00001*$T$13))^1.053)),(44.62*((V$37*$T$15/(0.00001*$T$13))^1.053)*('2'!$E53^1.16))))&lt;(V$37*$T$15*'2'!$I53/'4'!$D44),(IF('2'!$E53&lt;1,(38.21*((V$37*$T$15/(0.00001*$T$13))^1.053)),(44.62*((V$37*$T$15/(0.00001*$T$13))^1.053)*('2'!$E53^1.16)))),(V$37*$T$15*'2'!$I53/'4'!$D44))</f>
        <v>10063745.507870371</v>
      </c>
      <c r="W49" s="1253">
        <f>IF((IF('2'!$E53&lt;1,(38.21*((W$37*$T$15/(0.00001*$T$13))^1.053)),(44.62*((W$37*$T$15/(0.00001*$T$13))^1.053)*('2'!$E53^1.16))))&lt;(W$37*$T$15*'2'!$I53/'4'!$D44),(IF('2'!$E53&lt;1,(38.21*((W$37*$T$15/(0.00001*$T$13))^1.053)),(44.62*((W$37*$T$15/(0.00001*$T$13))^1.053)*('2'!$E53^1.16)))),(W$37*$T$15*'2'!$I53/'4'!$D44))</f>
        <v>12076494.609444443</v>
      </c>
      <c r="X49" s="1253">
        <f>IF((IF('2'!$E53&lt;1,(38.21*((X$37*$T$15/(0.00001*$T$13))^1.053)),(44.62*((X$37*$T$15/(0.00001*$T$13))^1.053)*('2'!$E53^1.16))))&lt;(X$37*$T$15*'2'!$I53/'4'!$D44),(IF('2'!$E53&lt;1,(38.21*((X$37*$T$15/(0.00001*$T$13))^1.053)),(44.62*((X$37*$T$15/(0.00001*$T$13))^1.053)*('2'!$E53^1.16)))),(X$37*$T$15*'2'!$I53/'4'!$D44))</f>
        <v>14089243.711018519</v>
      </c>
      <c r="Y49" s="1253">
        <f>IF((IF('2'!$E53&lt;1,(38.21*((Y$37*$T$15/(0.00001*$T$13))^1.053)),(44.62*((Y$37*$T$15/(0.00001*$T$13))^1.053)*('2'!$E53^1.16))))&lt;(Y$37*$T$15*'2'!$I53/'4'!$D44),(IF('2'!$E53&lt;1,(38.21*((Y$37*$T$15/(0.00001*$T$13))^1.053)),(44.62*((Y$37*$T$15/(0.00001*$T$13))^1.053)*('2'!$E53^1.16)))),(Y$37*$T$15*'2'!$I53/'4'!$D44))</f>
        <v>16101992.812592594</v>
      </c>
      <c r="Z49" s="1253">
        <f>IF((IF('2'!$E53&lt;1,(38.21*((Z$37*$T$15/(0.00001*$T$13))^1.053)),(44.62*((Z$37*$T$15/(0.00001*$T$13))^1.053)*('2'!$E53^1.16))))&lt;(Z$37*$T$15*'2'!$I53/'4'!$D44),(IF('2'!$E53&lt;1,(38.21*((Z$37*$T$15/(0.00001*$T$13))^1.053)),(44.62*((Z$37*$T$15/(0.00001*$T$13))^1.053)*('2'!$E53^1.16)))),(Z$37*$T$15*'2'!$I53/'4'!$D44))</f>
        <v>18114741.914166667</v>
      </c>
      <c r="AA49" s="1253">
        <f>IF((IF('2'!$E53&lt;1,(38.21*((AA$37*$T$15/(0.00001*$T$13))^1.053)),(44.62*((AA$37*$T$15/(0.00001*$T$13))^1.053)*('2'!$E53^1.16))))&lt;(AA$37*$T$15*'2'!$I53/'4'!$D44),(IF('2'!$E53&lt;1,(38.21*((AA$37*$T$15/(0.00001*$T$13))^1.053)),(44.62*((AA$37*$T$15/(0.00001*$T$13))^1.053)*('2'!$E53^1.16)))),(AA$37*$T$15*'2'!$I53/'4'!$D44))</f>
        <v>20127491.015740741</v>
      </c>
      <c r="AB49" s="100">
        <f>IF(R$37&lt;$T$9,(1.16*(1.328/SQRT(R49))*'2'!$K53*$T$12*$T$20*$AL$10),IF(R49&lt;1000000,((1.328/SQRT(R49))*'2'!$K53*$T$12*$T$20*$AL$10),(0.455/((LOG(R49)^2.58)*(1+0.144*'2'!$E53^2)^0.65)))*'2'!$K53*$T$12*$T$20*$AL$10)</f>
        <v>0.65251197929173721</v>
      </c>
      <c r="AC49" s="100">
        <f>IF(S$37&lt;$T$9,(1.16*(1.328/SQRT(S49))*'2'!$K53*$T$12*$T$20*$AL$11),IF(S49&lt;1000000,((1.328/SQRT(S49))*'2'!$K53*$T$12*$T$20*$AL$11),(0.455/((LOG(S49)^2.58)*(1+0.144*'2'!$E53^2)^0.65)))*'2'!$K53*$T$12*$T$20*$AL$11)</f>
        <v>2.7203674245691767</v>
      </c>
      <c r="AD49" s="100">
        <f>IF(T$37&lt;$T$9,(1.16*(1.328/SQRT(T49))*'2'!$K53*$T$12*$T$20*$AL$12),IF(T49&lt;1000000,((1.328/SQRT(T49))*'2'!$K53*$T$12*$T$20*$AL$12),(0.455/((LOG(T49)^2.58)*(1+0.144*'2'!$E53^2)^0.65)))*'2'!$K53*$T$12*$T$20*$AL$12)</f>
        <v>2.4049578600520105</v>
      </c>
      <c r="AE49" s="100">
        <f>IF(U$37&lt;$T$9,(1.16*(1.328/SQRT(U49))*'2'!$K53*$T$12*$T$20*$AL$13),IF(U49&lt;1000000,((1.328/SQRT(U49))*'2'!$K53*$T$12*$T$20*$AL$13),(0.455/((LOG(U49)^2.58)*(1+0.144*'2'!$E53^2)^0.65)))*'2'!$K53*$T$12*$T$20*$AL$13)</f>
        <v>2.0518141369458252</v>
      </c>
      <c r="AF49" s="100">
        <f>IF(V$37&lt;$T$9,(1.16*(1.328/SQRT(V49))*'2'!$K53*$T$12*$T$20*$AL$14),IF(V49&lt;1000000,((1.328/SQRT(V49))*'2'!$K53*$T$12*$T$20*$AL$14),(0.455/((LOG(V49)^2.58)*(1+0.144*'2'!$E53^2)^0.65)))*'2'!$K53*$T$12*$T$20*$AL$14)</f>
        <v>1.70944256343403</v>
      </c>
      <c r="AG49" s="100">
        <f>IF(W$37&lt;$T$9,(1.16*(1.328/SQRT(W49))*'2'!$K53*$T$12*$T$20*$AL$15),IF(W49&lt;1000000,((1.328/SQRT(W49))*'2'!$K53*$T$12*$T$20*$AL$15),(0.455/((LOG(W49)^2.58)*(1+0.144*'2'!$E53^2)^0.65)))*'2'!$K53*$T$12*$T$20*$AL$15)</f>
        <v>1.3983714727121628</v>
      </c>
      <c r="AH49" s="100">
        <f>IF(X$37&lt;$T$9,(1.16*(1.328/SQRT(X49))*'2'!$K53*$T$12*$T$20*$AL$16),IF(X49&lt;1000000,((1.328/SQRT(X49))*'2'!$K53*$T$12*$T$20*$AL$16),(0.455/((LOG(X49)^2.58)*(1+0.144*'2'!$E53^2)^0.65)))*'2'!$K53*$T$12*$T$20*$AL$16)</f>
        <v>1.1089286167674315</v>
      </c>
      <c r="AI49" s="100">
        <f>IF(Y$37&lt;$T$9,(1.16*(1.328/SQRT(Y49))*'2'!$K53*$T$12*$T$20*$AL$17),IF(Y49&lt;1000000,((1.328/SQRT(Y49))*'2'!$K53*$T$12*$T$20*$AL$17),(0.455/((LOG(Y49)^2.58)*(1+0.144*'2'!$E53^2)^0.65)))*'2'!$K53*$T$12*$T$20*$AL$17)</f>
        <v>0.83542515611734103</v>
      </c>
      <c r="AJ49" s="100">
        <f>IF(Z$37&lt;$T$9,(1.16*(1.328/SQRT(Z49))*'2'!$K53*$T$12*$T$20*$AL$18),IF(Z49&lt;1000000,((1.328/SQRT(Z49))*'2'!$K53*$T$12*$T$20*$AL$18),(0.455/((LOG(Z49)^2.58)*(1+0.144*'2'!$E53^2)^0.65)))*'2'!$K53*$T$12*$T$20*$AL$18)</f>
        <v>0.57422330015542467</v>
      </c>
      <c r="AK49" s="100">
        <f>IF(AA$37&lt;$T$9,(1.16*(1.328/SQRT(AA49))*'2'!$K53*$T$12*$T$20*$AL$19),IF(AA49&lt;1000000,((1.328/SQRT(AA49))*'2'!$K53*$T$12*$T$20*$AL$19),(0.455/((LOG(AA49)^2.58)*(1+0.144*'2'!$E53^2)^0.65)))*'2'!$K53*$T$12*$T$20*$AL$19)</f>
        <v>0.40356268572221315</v>
      </c>
      <c r="AL49" s="52">
        <f t="shared" si="16"/>
        <v>13.859605195767351</v>
      </c>
      <c r="AM49" s="100">
        <f>IF('2'!E53&lt;1,0,(IF(T$5&lt;4,(((9/2)*T$16*PI()/((SUM(AC$9:AC$19))^2)))*T$16*'2'!K53*T$14*(1-((0.386*(('2'!E53-1.2)^0.57))*(1-(PI()*(('4'!E$16^0.77)/100))))),(IF(T$5=4,((4*T$16/(PI()*((T$15/2)^2)))*T$16*'2'!K53),(((9*PI()/2)*T$16/(((T$15)^2)))*T$16*'2'!K53))))))</f>
        <v>0</v>
      </c>
      <c r="AN49" s="52">
        <f t="shared" si="17"/>
        <v>13.859605195767351</v>
      </c>
      <c r="AO49" s="193">
        <f>AN49/('2'!K53*'4'!$L$15)</f>
        <v>4.1629823461956234E-3</v>
      </c>
      <c r="AP49" s="26"/>
    </row>
    <row r="50" spans="2:42" ht="13.8">
      <c r="B50" s="154" t="s">
        <v>403</v>
      </c>
      <c r="C50" s="150" t="s">
        <v>400</v>
      </c>
      <c r="D50" s="160">
        <f>D34*D31</f>
        <v>0</v>
      </c>
      <c r="E50" s="160">
        <f>E34*E31</f>
        <v>30</v>
      </c>
      <c r="F50" s="160">
        <f t="shared" si="18"/>
        <v>30</v>
      </c>
      <c r="G50" s="152"/>
      <c r="H50" s="155"/>
      <c r="I50" s="140"/>
      <c r="J50" s="140"/>
      <c r="K50" s="140"/>
      <c r="L50" s="140"/>
      <c r="M50" s="140"/>
      <c r="N50" s="25"/>
      <c r="O50" s="26"/>
      <c r="Q50" s="291"/>
      <c r="R50" s="1253">
        <f>IF((IF('2'!$E54&lt;1,(38.21*((R$37*$T$15/(0.00001*$T$13))^1.053)),(44.62*((R$37*$T$15/(0.00001*$T$13))^1.053)*('2'!$E54^1.16))))&lt;(R$37*$T$15*'2'!$I54/'4'!$D45),(IF('2'!$E54&lt;1,(38.21*((R$37*$T$15/(0.00001*$T$13))^1.053)),(44.62*((R$37*$T$15/(0.00001*$T$13))^1.053)*('2'!$E54^1.16)))),(R$37*$T$15*'2'!$I54/'4'!$D45))</f>
        <v>2012749.1015740742</v>
      </c>
      <c r="S50" s="1253">
        <f>IF((IF('2'!$E54&lt;1,(38.21*((S$37*$T$15/(0.00001*$T$13))^1.053)),(44.62*((S$37*$T$15/(0.00001*$T$13))^1.053)*('2'!$E54^1.16))))&lt;(S$37*$T$15*'2'!$I54/'4'!$D45),(IF('2'!$E54&lt;1,(38.21*((S$37*$T$15/(0.00001*$T$13))^1.053)),(44.62*((S$37*$T$15/(0.00001*$T$13))^1.053)*('2'!$E54^1.16)))),(S$37*$T$15*'2'!$I54/'4'!$D45))</f>
        <v>4025498.2031481485</v>
      </c>
      <c r="T50" s="1253">
        <f>IF((IF('2'!$E54&lt;1,(38.21*((T$37*$T$15/(0.00001*$T$13))^1.053)),(44.62*((T$37*$T$15/(0.00001*$T$13))^1.053)*('2'!$E54^1.16))))&lt;(T$37*$T$15*'2'!$I54/'4'!$D45),(IF('2'!$E54&lt;1,(38.21*((T$37*$T$15/(0.00001*$T$13))^1.053)),(44.62*((T$37*$T$15/(0.00001*$T$13))^1.053)*('2'!$E54^1.16)))),(T$37*$T$15*'2'!$I54/'4'!$D45))</f>
        <v>6038247.3047222216</v>
      </c>
      <c r="U50" s="1253">
        <f>IF((IF('2'!$E54&lt;1,(38.21*((U$37*$T$15/(0.00001*$T$13))^1.053)),(44.62*((U$37*$T$15/(0.00001*$T$13))^1.053)*('2'!$E54^1.16))))&lt;(U$37*$T$15*'2'!$I54/'4'!$D45),(IF('2'!$E54&lt;1,(38.21*((U$37*$T$15/(0.00001*$T$13))^1.053)),(44.62*((U$37*$T$15/(0.00001*$T$13))^1.053)*('2'!$E54^1.16)))),(U$37*$T$15*'2'!$I54/'4'!$D45))</f>
        <v>8050996.406296297</v>
      </c>
      <c r="V50" s="1253">
        <f>IF((IF('2'!$E54&lt;1,(38.21*((V$37*$T$15/(0.00001*$T$13))^1.053)),(44.62*((V$37*$T$15/(0.00001*$T$13))^1.053)*('2'!$E54^1.16))))&lt;(V$37*$T$15*'2'!$I54/'4'!$D45),(IF('2'!$E54&lt;1,(38.21*((V$37*$T$15/(0.00001*$T$13))^1.053)),(44.62*((V$37*$T$15/(0.00001*$T$13))^1.053)*('2'!$E54^1.16)))),(V$37*$T$15*'2'!$I54/'4'!$D45))</f>
        <v>10063745.507870371</v>
      </c>
      <c r="W50" s="1253">
        <f>IF((IF('2'!$E54&lt;1,(38.21*((W$37*$T$15/(0.00001*$T$13))^1.053)),(44.62*((W$37*$T$15/(0.00001*$T$13))^1.053)*('2'!$E54^1.16))))&lt;(W$37*$T$15*'2'!$I54/'4'!$D45),(IF('2'!$E54&lt;1,(38.21*((W$37*$T$15/(0.00001*$T$13))^1.053)),(44.62*((W$37*$T$15/(0.00001*$T$13))^1.053)*('2'!$E54^1.16)))),(W$37*$T$15*'2'!$I54/'4'!$D45))</f>
        <v>12076494.609444443</v>
      </c>
      <c r="X50" s="1253">
        <f>IF((IF('2'!$E54&lt;1,(38.21*((X$37*$T$15/(0.00001*$T$13))^1.053)),(44.62*((X$37*$T$15/(0.00001*$T$13))^1.053)*('2'!$E54^1.16))))&lt;(X$37*$T$15*'2'!$I54/'4'!$D45),(IF('2'!$E54&lt;1,(38.21*((X$37*$T$15/(0.00001*$T$13))^1.053)),(44.62*((X$37*$T$15/(0.00001*$T$13))^1.053)*('2'!$E54^1.16)))),(X$37*$T$15*'2'!$I54/'4'!$D45))</f>
        <v>14089243.711018519</v>
      </c>
      <c r="Y50" s="1253">
        <f>IF((IF('2'!$E54&lt;1,(38.21*((Y$37*$T$15/(0.00001*$T$13))^1.053)),(44.62*((Y$37*$T$15/(0.00001*$T$13))^1.053)*('2'!$E54^1.16))))&lt;(Y$37*$T$15*'2'!$I54/'4'!$D45),(IF('2'!$E54&lt;1,(38.21*((Y$37*$T$15/(0.00001*$T$13))^1.053)),(44.62*((Y$37*$T$15/(0.00001*$T$13))^1.053)*('2'!$E54^1.16)))),(Y$37*$T$15*'2'!$I54/'4'!$D45))</f>
        <v>16101992.812592594</v>
      </c>
      <c r="Z50" s="1253">
        <f>IF((IF('2'!$E54&lt;1,(38.21*((Z$37*$T$15/(0.00001*$T$13))^1.053)),(44.62*((Z$37*$T$15/(0.00001*$T$13))^1.053)*('2'!$E54^1.16))))&lt;(Z$37*$T$15*'2'!$I54/'4'!$D45),(IF('2'!$E54&lt;1,(38.21*((Z$37*$T$15/(0.00001*$T$13))^1.053)),(44.62*((Z$37*$T$15/(0.00001*$T$13))^1.053)*('2'!$E54^1.16)))),(Z$37*$T$15*'2'!$I54/'4'!$D45))</f>
        <v>18114741.914166667</v>
      </c>
      <c r="AA50" s="1253">
        <f>IF((IF('2'!$E54&lt;1,(38.21*((AA$37*$T$15/(0.00001*$T$13))^1.053)),(44.62*((AA$37*$T$15/(0.00001*$T$13))^1.053)*('2'!$E54^1.16))))&lt;(AA$37*$T$15*'2'!$I54/'4'!$D45),(IF('2'!$E54&lt;1,(38.21*((AA$37*$T$15/(0.00001*$T$13))^1.053)),(44.62*((AA$37*$T$15/(0.00001*$T$13))^1.053)*('2'!$E54^1.16)))),(AA$37*$T$15*'2'!$I54/'4'!$D45))</f>
        <v>20127491.015740741</v>
      </c>
      <c r="AB50" s="100">
        <f>IF(R$37&lt;$T$9,(1.16*(1.328/SQRT(R50))*'2'!$K54*$T$12*$T$20*$AL$10),IF(R50&lt;1000000,((1.328/SQRT(R50))*'2'!$K54*$T$12*$T$20*$AL$10),(0.455/((LOG(R50)^2.58)*(1+0.144*'2'!$E54^2)^0.65)))*'2'!$K54*$T$12*$T$20*$AL$10)</f>
        <v>0.65251197929173721</v>
      </c>
      <c r="AC50" s="100">
        <f>IF(S$37&lt;$T$9,(1.16*(1.328/SQRT(S50))*'2'!$K54*$T$12*$T$20*$AL$11),IF(S50&lt;1000000,((1.328/SQRT(S50))*'2'!$K54*$T$12*$T$20*$AL$11),(0.455/((LOG(S50)^2.58)*(1+0.144*'2'!$E54^2)^0.65)))*'2'!$K54*$T$12*$T$20*$AL$11)</f>
        <v>2.7203674245691767</v>
      </c>
      <c r="AD50" s="100">
        <f>IF(T$37&lt;$T$9,(1.16*(1.328/SQRT(T50))*'2'!$K54*$T$12*$T$20*$AL$12),IF(T50&lt;1000000,((1.328/SQRT(T50))*'2'!$K54*$T$12*$T$20*$AL$12),(0.455/((LOG(T50)^2.58)*(1+0.144*'2'!$E54^2)^0.65)))*'2'!$K54*$T$12*$T$20*$AL$12)</f>
        <v>2.4049578600520105</v>
      </c>
      <c r="AE50" s="100">
        <f>IF(U$37&lt;$T$9,(1.16*(1.328/SQRT(U50))*'2'!$K54*$T$12*$T$20*$AL$13),IF(U50&lt;1000000,((1.328/SQRT(U50))*'2'!$K54*$T$12*$T$20*$AL$13),(0.455/((LOG(U50)^2.58)*(1+0.144*'2'!$E54^2)^0.65)))*'2'!$K54*$T$12*$T$20*$AL$13)</f>
        <v>2.0518141369458252</v>
      </c>
      <c r="AF50" s="100">
        <f>IF(V$37&lt;$T$9,(1.16*(1.328/SQRT(V50))*'2'!$K54*$T$12*$T$20*$AL$14),IF(V50&lt;1000000,((1.328/SQRT(V50))*'2'!$K54*$T$12*$T$20*$AL$14),(0.455/((LOG(V50)^2.58)*(1+0.144*'2'!$E54^2)^0.65)))*'2'!$K54*$T$12*$T$20*$AL$14)</f>
        <v>1.70944256343403</v>
      </c>
      <c r="AG50" s="100">
        <f>IF(W$37&lt;$T$9,(1.16*(1.328/SQRT(W50))*'2'!$K54*$T$12*$T$20*$AL$15),IF(W50&lt;1000000,((1.328/SQRT(W50))*'2'!$K54*$T$12*$T$20*$AL$15),(0.455/((LOG(W50)^2.58)*(1+0.144*'2'!$E54^2)^0.65)))*'2'!$K54*$T$12*$T$20*$AL$15)</f>
        <v>1.3983714727121628</v>
      </c>
      <c r="AH50" s="100">
        <f>IF(X$37&lt;$T$9,(1.16*(1.328/SQRT(X50))*'2'!$K54*$T$12*$T$20*$AL$16),IF(X50&lt;1000000,((1.328/SQRT(X50))*'2'!$K54*$T$12*$T$20*$AL$16),(0.455/((LOG(X50)^2.58)*(1+0.144*'2'!$E54^2)^0.65)))*'2'!$K54*$T$12*$T$20*$AL$16)</f>
        <v>1.1089286167674315</v>
      </c>
      <c r="AI50" s="100">
        <f>IF(Y$37&lt;$T$9,(1.16*(1.328/SQRT(Y50))*'2'!$K54*$T$12*$T$20*$AL$17),IF(Y50&lt;1000000,((1.328/SQRT(Y50))*'2'!$K54*$T$12*$T$20*$AL$17),(0.455/((LOG(Y50)^2.58)*(1+0.144*'2'!$E54^2)^0.65)))*'2'!$K54*$T$12*$T$20*$AL$17)</f>
        <v>0.83542515611734103</v>
      </c>
      <c r="AJ50" s="100">
        <f>IF(Z$37&lt;$T$9,(1.16*(1.328/SQRT(Z50))*'2'!$K54*$T$12*$T$20*$AL$18),IF(Z50&lt;1000000,((1.328/SQRT(Z50))*'2'!$K54*$T$12*$T$20*$AL$18),(0.455/((LOG(Z50)^2.58)*(1+0.144*'2'!$E54^2)^0.65)))*'2'!$K54*$T$12*$T$20*$AL$18)</f>
        <v>0.57422330015542467</v>
      </c>
      <c r="AK50" s="100">
        <f>IF(AA$37&lt;$T$9,(1.16*(1.328/SQRT(AA50))*'2'!$K54*$T$12*$T$20*$AL$19),IF(AA50&lt;1000000,((1.328/SQRT(AA50))*'2'!$K54*$T$12*$T$20*$AL$19),(0.455/((LOG(AA50)^2.58)*(1+0.144*'2'!$E54^2)^0.65)))*'2'!$K54*$T$12*$T$20*$AL$19)</f>
        <v>0.40356268572221315</v>
      </c>
      <c r="AL50" s="52">
        <f t="shared" si="16"/>
        <v>13.859605195767351</v>
      </c>
      <c r="AM50" s="100">
        <f>IF('2'!E54&lt;1,0,(IF(T$5&lt;4,(((9/2)*T$16*PI()/((SUM(AC$9:AC$19))^2)))*T$16*'2'!K54*T$14*(1-((0.386*(('2'!E54-1.2)^0.57))*(1-(PI()*(('4'!E$16^0.77)/100))))),(IF(T$5=4,((4*T$16/(PI()*((T$15/2)^2)))*T$16*'2'!K54),(((9*PI()/2)*T$16/(((T$15)^2)))*T$16*'2'!K54))))))</f>
        <v>0</v>
      </c>
      <c r="AN50" s="52">
        <f t="shared" si="17"/>
        <v>13.859605195767351</v>
      </c>
      <c r="AO50" s="193">
        <f>AN50/('2'!K54*'4'!$L$15)</f>
        <v>4.1629823461956234E-3</v>
      </c>
      <c r="AP50" s="26"/>
    </row>
    <row r="51" spans="2:42" ht="13.8">
      <c r="B51" s="154" t="s">
        <v>404</v>
      </c>
      <c r="C51" s="150" t="s">
        <v>400</v>
      </c>
      <c r="D51" s="160">
        <f>D46*D37</f>
        <v>0</v>
      </c>
      <c r="E51" s="160">
        <f>E46*E37</f>
        <v>0</v>
      </c>
      <c r="F51" s="160">
        <f t="shared" si="18"/>
        <v>0</v>
      </c>
      <c r="G51" s="152"/>
      <c r="H51" s="155"/>
      <c r="I51" s="140"/>
      <c r="J51" s="140"/>
      <c r="K51" s="140"/>
      <c r="L51" s="140"/>
      <c r="M51" s="140"/>
      <c r="N51" s="25"/>
      <c r="O51" s="26"/>
      <c r="Q51" s="291"/>
      <c r="R51" s="1253">
        <f>IF((IF('2'!$E55&lt;1,(38.21*((R$37*$T$15/(0.00001*$T$13))^1.053)),(44.62*((R$37*$T$15/(0.00001*$T$13))^1.053)*('2'!$E55^1.16))))&lt;(R$37*$T$15*'2'!$I55/'4'!$D46),(IF('2'!$E55&lt;1,(38.21*((R$37*$T$15/(0.00001*$T$13))^1.053)),(44.62*((R$37*$T$15/(0.00001*$T$13))^1.053)*('2'!$E55^1.16)))),(R$37*$T$15*'2'!$I55/'4'!$D46))</f>
        <v>2012749.1015740742</v>
      </c>
      <c r="S51" s="1253">
        <f>IF((IF('2'!$E55&lt;1,(38.21*((S$37*$T$15/(0.00001*$T$13))^1.053)),(44.62*((S$37*$T$15/(0.00001*$T$13))^1.053)*('2'!$E55^1.16))))&lt;(S$37*$T$15*'2'!$I55/'4'!$D46),(IF('2'!$E55&lt;1,(38.21*((S$37*$T$15/(0.00001*$T$13))^1.053)),(44.62*((S$37*$T$15/(0.00001*$T$13))^1.053)*('2'!$E55^1.16)))),(S$37*$T$15*'2'!$I55/'4'!$D46))</f>
        <v>4025498.2031481485</v>
      </c>
      <c r="T51" s="1253">
        <f>IF((IF('2'!$E55&lt;1,(38.21*((T$37*$T$15/(0.00001*$T$13))^1.053)),(44.62*((T$37*$T$15/(0.00001*$T$13))^1.053)*('2'!$E55^1.16))))&lt;(T$37*$T$15*'2'!$I55/'4'!$D46),(IF('2'!$E55&lt;1,(38.21*((T$37*$T$15/(0.00001*$T$13))^1.053)),(44.62*((T$37*$T$15/(0.00001*$T$13))^1.053)*('2'!$E55^1.16)))),(T$37*$T$15*'2'!$I55/'4'!$D46))</f>
        <v>6038247.3047222216</v>
      </c>
      <c r="U51" s="1253">
        <f>IF((IF('2'!$E55&lt;1,(38.21*((U$37*$T$15/(0.00001*$T$13))^1.053)),(44.62*((U$37*$T$15/(0.00001*$T$13))^1.053)*('2'!$E55^1.16))))&lt;(U$37*$T$15*'2'!$I55/'4'!$D46),(IF('2'!$E55&lt;1,(38.21*((U$37*$T$15/(0.00001*$T$13))^1.053)),(44.62*((U$37*$T$15/(0.00001*$T$13))^1.053)*('2'!$E55^1.16)))),(U$37*$T$15*'2'!$I55/'4'!$D46))</f>
        <v>8050996.406296297</v>
      </c>
      <c r="V51" s="1253">
        <f>IF((IF('2'!$E55&lt;1,(38.21*((V$37*$T$15/(0.00001*$T$13))^1.053)),(44.62*((V$37*$T$15/(0.00001*$T$13))^1.053)*('2'!$E55^1.16))))&lt;(V$37*$T$15*'2'!$I55/'4'!$D46),(IF('2'!$E55&lt;1,(38.21*((V$37*$T$15/(0.00001*$T$13))^1.053)),(44.62*((V$37*$T$15/(0.00001*$T$13))^1.053)*('2'!$E55^1.16)))),(V$37*$T$15*'2'!$I55/'4'!$D46))</f>
        <v>10063745.507870371</v>
      </c>
      <c r="W51" s="1253">
        <f>IF((IF('2'!$E55&lt;1,(38.21*((W$37*$T$15/(0.00001*$T$13))^1.053)),(44.62*((W$37*$T$15/(0.00001*$T$13))^1.053)*('2'!$E55^1.16))))&lt;(W$37*$T$15*'2'!$I55/'4'!$D46),(IF('2'!$E55&lt;1,(38.21*((W$37*$T$15/(0.00001*$T$13))^1.053)),(44.62*((W$37*$T$15/(0.00001*$T$13))^1.053)*('2'!$E55^1.16)))),(W$37*$T$15*'2'!$I55/'4'!$D46))</f>
        <v>12076494.609444443</v>
      </c>
      <c r="X51" s="1253">
        <f>IF((IF('2'!$E55&lt;1,(38.21*((X$37*$T$15/(0.00001*$T$13))^1.053)),(44.62*((X$37*$T$15/(0.00001*$T$13))^1.053)*('2'!$E55^1.16))))&lt;(X$37*$T$15*'2'!$I55/'4'!$D46),(IF('2'!$E55&lt;1,(38.21*((X$37*$T$15/(0.00001*$T$13))^1.053)),(44.62*((X$37*$T$15/(0.00001*$T$13))^1.053)*('2'!$E55^1.16)))),(X$37*$T$15*'2'!$I55/'4'!$D46))</f>
        <v>14089243.711018519</v>
      </c>
      <c r="Y51" s="1253">
        <f>IF((IF('2'!$E55&lt;1,(38.21*((Y$37*$T$15/(0.00001*$T$13))^1.053)),(44.62*((Y$37*$T$15/(0.00001*$T$13))^1.053)*('2'!$E55^1.16))))&lt;(Y$37*$T$15*'2'!$I55/'4'!$D46),(IF('2'!$E55&lt;1,(38.21*((Y$37*$T$15/(0.00001*$T$13))^1.053)),(44.62*((Y$37*$T$15/(0.00001*$T$13))^1.053)*('2'!$E55^1.16)))),(Y$37*$T$15*'2'!$I55/'4'!$D46))</f>
        <v>16101992.812592594</v>
      </c>
      <c r="Z51" s="1253">
        <f>IF((IF('2'!$E55&lt;1,(38.21*((Z$37*$T$15/(0.00001*$T$13))^1.053)),(44.62*((Z$37*$T$15/(0.00001*$T$13))^1.053)*('2'!$E55^1.16))))&lt;(Z$37*$T$15*'2'!$I55/'4'!$D46),(IF('2'!$E55&lt;1,(38.21*((Z$37*$T$15/(0.00001*$T$13))^1.053)),(44.62*((Z$37*$T$15/(0.00001*$T$13))^1.053)*('2'!$E55^1.16)))),(Z$37*$T$15*'2'!$I55/'4'!$D46))</f>
        <v>18114741.914166667</v>
      </c>
      <c r="AA51" s="1253">
        <f>IF((IF('2'!$E55&lt;1,(38.21*((AA$37*$T$15/(0.00001*$T$13))^1.053)),(44.62*((AA$37*$T$15/(0.00001*$T$13))^1.053)*('2'!$E55^1.16))))&lt;(AA$37*$T$15*'2'!$I55/'4'!$D46),(IF('2'!$E55&lt;1,(38.21*((AA$37*$T$15/(0.00001*$T$13))^1.053)),(44.62*((AA$37*$T$15/(0.00001*$T$13))^1.053)*('2'!$E55^1.16)))),(AA$37*$T$15*'2'!$I55/'4'!$D46))</f>
        <v>20127491.015740741</v>
      </c>
      <c r="AB51" s="100">
        <f>IF(R$37&lt;$T$9,(1.16*(1.328/SQRT(R51))*'2'!$K55*$T$12*$T$20*$AL$10),IF(R51&lt;1000000,((1.328/SQRT(R51))*'2'!$K55*$T$12*$T$20*$AL$10),(0.455/((LOG(R51)^2.58)*(1+0.144*'2'!$E55^2)^0.65)))*'2'!$K55*$T$12*$T$20*$AL$10)</f>
        <v>0.65251197929173721</v>
      </c>
      <c r="AC51" s="100">
        <f>IF(S$37&lt;$T$9,(1.16*(1.328/SQRT(S51))*'2'!$K55*$T$12*$T$20*$AL$11),IF(S51&lt;1000000,((1.328/SQRT(S51))*'2'!$K55*$T$12*$T$20*$AL$11),(0.455/((LOG(S51)^2.58)*(1+0.144*'2'!$E55^2)^0.65)))*'2'!$K55*$T$12*$T$20*$AL$11)</f>
        <v>2.7203674245691767</v>
      </c>
      <c r="AD51" s="100">
        <f>IF(T$37&lt;$T$9,(1.16*(1.328/SQRT(T51))*'2'!$K55*$T$12*$T$20*$AL$12),IF(T51&lt;1000000,((1.328/SQRT(T51))*'2'!$K55*$T$12*$T$20*$AL$12),(0.455/((LOG(T51)^2.58)*(1+0.144*'2'!$E55^2)^0.65)))*'2'!$K55*$T$12*$T$20*$AL$12)</f>
        <v>2.4049578600520105</v>
      </c>
      <c r="AE51" s="100">
        <f>IF(U$37&lt;$T$9,(1.16*(1.328/SQRT(U51))*'2'!$K55*$T$12*$T$20*$AL$13),IF(U51&lt;1000000,((1.328/SQRT(U51))*'2'!$K55*$T$12*$T$20*$AL$13),(0.455/((LOG(U51)^2.58)*(1+0.144*'2'!$E55^2)^0.65)))*'2'!$K55*$T$12*$T$20*$AL$13)</f>
        <v>2.0518141369458252</v>
      </c>
      <c r="AF51" s="100">
        <f>IF(V$37&lt;$T$9,(1.16*(1.328/SQRT(V51))*'2'!$K55*$T$12*$T$20*$AL$14),IF(V51&lt;1000000,((1.328/SQRT(V51))*'2'!$K55*$T$12*$T$20*$AL$14),(0.455/((LOG(V51)^2.58)*(1+0.144*'2'!$E55^2)^0.65)))*'2'!$K55*$T$12*$T$20*$AL$14)</f>
        <v>1.70944256343403</v>
      </c>
      <c r="AG51" s="100">
        <f>IF(W$37&lt;$T$9,(1.16*(1.328/SQRT(W51))*'2'!$K55*$T$12*$T$20*$AL$15),IF(W51&lt;1000000,((1.328/SQRT(W51))*'2'!$K55*$T$12*$T$20*$AL$15),(0.455/((LOG(W51)^2.58)*(1+0.144*'2'!$E55^2)^0.65)))*'2'!$K55*$T$12*$T$20*$AL$15)</f>
        <v>1.3983714727121628</v>
      </c>
      <c r="AH51" s="100">
        <f>IF(X$37&lt;$T$9,(1.16*(1.328/SQRT(X51))*'2'!$K55*$T$12*$T$20*$AL$16),IF(X51&lt;1000000,((1.328/SQRT(X51))*'2'!$K55*$T$12*$T$20*$AL$16),(0.455/((LOG(X51)^2.58)*(1+0.144*'2'!$E55^2)^0.65)))*'2'!$K55*$T$12*$T$20*$AL$16)</f>
        <v>1.1089286167674315</v>
      </c>
      <c r="AI51" s="100">
        <f>IF(Y$37&lt;$T$9,(1.16*(1.328/SQRT(Y51))*'2'!$K55*$T$12*$T$20*$AL$17),IF(Y51&lt;1000000,((1.328/SQRT(Y51))*'2'!$K55*$T$12*$T$20*$AL$17),(0.455/((LOG(Y51)^2.58)*(1+0.144*'2'!$E55^2)^0.65)))*'2'!$K55*$T$12*$T$20*$AL$17)</f>
        <v>0.83542515611734103</v>
      </c>
      <c r="AJ51" s="100">
        <f>IF(Z$37&lt;$T$9,(1.16*(1.328/SQRT(Z51))*'2'!$K55*$T$12*$T$20*$AL$18),IF(Z51&lt;1000000,((1.328/SQRT(Z51))*'2'!$K55*$T$12*$T$20*$AL$18),(0.455/((LOG(Z51)^2.58)*(1+0.144*'2'!$E55^2)^0.65)))*'2'!$K55*$T$12*$T$20*$AL$18)</f>
        <v>0.57422330015542467</v>
      </c>
      <c r="AK51" s="100">
        <f>IF(AA$37&lt;$T$9,(1.16*(1.328/SQRT(AA51))*'2'!$K55*$T$12*$T$20*$AL$19),IF(AA51&lt;1000000,((1.328/SQRT(AA51))*'2'!$K55*$T$12*$T$20*$AL$19),(0.455/((LOG(AA51)^2.58)*(1+0.144*'2'!$E55^2)^0.65)))*'2'!$K55*$T$12*$T$20*$AL$19)</f>
        <v>0.40356268572221315</v>
      </c>
      <c r="AL51" s="52">
        <f t="shared" si="16"/>
        <v>13.859605195767351</v>
      </c>
      <c r="AM51" s="100">
        <f>IF('2'!E55&lt;1,0,(IF(T$5&lt;4,(((9/2)*T$16*PI()/((SUM(AC$9:AC$19))^2)))*T$16*'2'!K55*T$14*(1-((0.386*(('2'!E55-1.2)^0.57))*(1-(PI()*(('4'!E$16^0.77)/100))))),(IF(T$5=4,((4*T$16/(PI()*((T$15/2)^2)))*T$16*'2'!K55),(((9*PI()/2)*T$16/(((T$15)^2)))*T$16*'2'!K55))))))</f>
        <v>0</v>
      </c>
      <c r="AN51" s="52">
        <f t="shared" si="17"/>
        <v>13.859605195767351</v>
      </c>
      <c r="AO51" s="193">
        <f>AN51/('2'!K55*'4'!$L$15)</f>
        <v>4.1629823461956234E-3</v>
      </c>
      <c r="AP51" s="26"/>
    </row>
    <row r="52" spans="2:42" ht="13.8">
      <c r="B52" s="154" t="s">
        <v>382</v>
      </c>
      <c r="C52" s="150" t="s">
        <v>400</v>
      </c>
      <c r="D52" s="160">
        <f>D33*D31</f>
        <v>0</v>
      </c>
      <c r="E52" s="160">
        <f>E33*E31</f>
        <v>0</v>
      </c>
      <c r="F52" s="160">
        <f t="shared" si="18"/>
        <v>0</v>
      </c>
      <c r="G52" s="152"/>
      <c r="H52" s="155"/>
      <c r="I52" s="140"/>
      <c r="J52" s="140"/>
      <c r="K52" s="140"/>
      <c r="L52" s="140"/>
      <c r="M52" s="140"/>
      <c r="N52" s="25"/>
      <c r="O52" s="26"/>
      <c r="Q52" s="291"/>
      <c r="R52" s="1253">
        <f>IF((IF('2'!$E56&lt;1,(38.21*((R$37*$T$15/(0.00001*$T$13))^1.053)),(44.62*((R$37*$T$15/(0.00001*$T$13))^1.053)*('2'!$E56^1.16))))&lt;(R$37*$T$15*'2'!$I56/'4'!$D47),(IF('2'!$E56&lt;1,(38.21*((R$37*$T$15/(0.00001*$T$13))^1.053)),(44.62*((R$37*$T$15/(0.00001*$T$13))^1.053)*('2'!$E56^1.16)))),(R$37*$T$15*'2'!$I56/'4'!$D47))</f>
        <v>2146932.3750123465</v>
      </c>
      <c r="S52" s="1253">
        <f>IF((IF('2'!$E56&lt;1,(38.21*((S$37*$T$15/(0.00001*$T$13))^1.053)),(44.62*((S$37*$T$15/(0.00001*$T$13))^1.053)*('2'!$E56^1.16))))&lt;(S$37*$T$15*'2'!$I56/'4'!$D47),(IF('2'!$E56&lt;1,(38.21*((S$37*$T$15/(0.00001*$T$13))^1.053)),(44.62*((S$37*$T$15/(0.00001*$T$13))^1.053)*('2'!$E56^1.16)))),(S$37*$T$15*'2'!$I56/'4'!$D47))</f>
        <v>4293864.7500246931</v>
      </c>
      <c r="T52" s="1253">
        <f>IF((IF('2'!$E56&lt;1,(38.21*((T$37*$T$15/(0.00001*$T$13))^1.053)),(44.62*((T$37*$T$15/(0.00001*$T$13))^1.053)*('2'!$E56^1.16))))&lt;(T$37*$T$15*'2'!$I56/'4'!$D47),(IF('2'!$E56&lt;1,(38.21*((T$37*$T$15/(0.00001*$T$13))^1.053)),(44.62*((T$37*$T$15/(0.00001*$T$13))^1.053)*('2'!$E56^1.16)))),(T$37*$T$15*'2'!$I56/'4'!$D47))</f>
        <v>6440797.1250370378</v>
      </c>
      <c r="U52" s="1253">
        <f>IF((IF('2'!$E56&lt;1,(38.21*((U$37*$T$15/(0.00001*$T$13))^1.053)),(44.62*((U$37*$T$15/(0.00001*$T$13))^1.053)*('2'!$E56^1.16))))&lt;(U$37*$T$15*'2'!$I56/'4'!$D47),(IF('2'!$E56&lt;1,(38.21*((U$37*$T$15/(0.00001*$T$13))^1.053)),(44.62*((U$37*$T$15/(0.00001*$T$13))^1.053)*('2'!$E56^1.16)))),(U$37*$T$15*'2'!$I56/'4'!$D47))</f>
        <v>8587729.5000493862</v>
      </c>
      <c r="V52" s="1253">
        <f>IF((IF('2'!$E56&lt;1,(38.21*((V$37*$T$15/(0.00001*$T$13))^1.053)),(44.62*((V$37*$T$15/(0.00001*$T$13))^1.053)*('2'!$E56^1.16))))&lt;(V$37*$T$15*'2'!$I56/'4'!$D47),(IF('2'!$E56&lt;1,(38.21*((V$37*$T$15/(0.00001*$T$13))^1.053)),(44.62*((V$37*$T$15/(0.00001*$T$13))^1.053)*('2'!$E56^1.16)))),(V$37*$T$15*'2'!$I56/'4'!$D47))</f>
        <v>10734661.87506173</v>
      </c>
      <c r="W52" s="1253">
        <f>IF((IF('2'!$E56&lt;1,(38.21*((W$37*$T$15/(0.00001*$T$13))^1.053)),(44.62*((W$37*$T$15/(0.00001*$T$13))^1.053)*('2'!$E56^1.16))))&lt;(W$37*$T$15*'2'!$I56/'4'!$D47),(IF('2'!$E56&lt;1,(38.21*((W$37*$T$15/(0.00001*$T$13))^1.053)),(44.62*((W$37*$T$15/(0.00001*$T$13))^1.053)*('2'!$E56^1.16)))),(W$37*$T$15*'2'!$I56/'4'!$D47))</f>
        <v>12881594.250074076</v>
      </c>
      <c r="X52" s="1253">
        <f>IF((IF('2'!$E56&lt;1,(38.21*((X$37*$T$15/(0.00001*$T$13))^1.053)),(44.62*((X$37*$T$15/(0.00001*$T$13))^1.053)*('2'!$E56^1.16))))&lt;(X$37*$T$15*'2'!$I56/'4'!$D47),(IF('2'!$E56&lt;1,(38.21*((X$37*$T$15/(0.00001*$T$13))^1.053)),(44.62*((X$37*$T$15/(0.00001*$T$13))^1.053)*('2'!$E56^1.16)))),(X$37*$T$15*'2'!$I56/'4'!$D47))</f>
        <v>15028526.625086421</v>
      </c>
      <c r="Y52" s="1253">
        <f>IF((IF('2'!$E56&lt;1,(38.21*((Y$37*$T$15/(0.00001*$T$13))^1.053)),(44.62*((Y$37*$T$15/(0.00001*$T$13))^1.053)*('2'!$E56^1.16))))&lt;(Y$37*$T$15*'2'!$I56/'4'!$D47),(IF('2'!$E56&lt;1,(38.21*((Y$37*$T$15/(0.00001*$T$13))^1.053)),(44.62*((Y$37*$T$15/(0.00001*$T$13))^1.053)*('2'!$E56^1.16)))),(Y$37*$T$15*'2'!$I56/'4'!$D47))</f>
        <v>17175459.000098772</v>
      </c>
      <c r="Z52" s="1253">
        <f>IF((IF('2'!$E56&lt;1,(38.21*((Z$37*$T$15/(0.00001*$T$13))^1.053)),(44.62*((Z$37*$T$15/(0.00001*$T$13))^1.053)*('2'!$E56^1.16))))&lt;(Z$37*$T$15*'2'!$I56/'4'!$D47),(IF('2'!$E56&lt;1,(38.21*((Z$37*$T$15/(0.00001*$T$13))^1.053)),(44.62*((Z$37*$T$15/(0.00001*$T$13))^1.053)*('2'!$E56^1.16)))),(Z$37*$T$15*'2'!$I56/'4'!$D47))</f>
        <v>19322391.375111114</v>
      </c>
      <c r="AA52" s="1253">
        <f>IF((IF('2'!$E56&lt;1,(38.21*((AA$37*$T$15/(0.00001*$T$13))^1.053)),(44.62*((AA$37*$T$15/(0.00001*$T$13))^1.053)*('2'!$E56^1.16))))&lt;(AA$37*$T$15*'2'!$I56/'4'!$D47),(IF('2'!$E56&lt;1,(38.21*((AA$37*$T$15/(0.00001*$T$13))^1.053)),(44.62*((AA$37*$T$15/(0.00001*$T$13))^1.053)*('2'!$E56^1.16)))),(AA$37*$T$15*'2'!$I56/'4'!$D47))</f>
        <v>21469323.75012346</v>
      </c>
      <c r="AB52" s="100">
        <f>IF(R$37&lt;$T$9,(1.16*(1.328/SQRT(R52))*'2'!$K56*$T$12*$T$20*$AL$10),IF(R52&lt;1000000,((1.328/SQRT(R52))*'2'!$K56*$T$12*$T$20*$AL$10),(0.455/((LOG(R52)^2.58)*(1+0.144*'2'!$E56^2)^0.65)))*'2'!$K56*$T$12*$T$20*$AL$10)</f>
        <v>0.71883890602602296</v>
      </c>
      <c r="AC52" s="100">
        <f>IF(S$37&lt;$T$9,(1.16*(1.328/SQRT(S52))*'2'!$K56*$T$12*$T$20*$AL$11),IF(S52&lt;1000000,((1.328/SQRT(S52))*'2'!$K56*$T$12*$T$20*$AL$11),(0.455/((LOG(S52)^2.58)*(1+0.144*'2'!$E56^2)^0.65)))*'2'!$K56*$T$12*$T$20*$AL$11)</f>
        <v>3.0606561334057294</v>
      </c>
      <c r="AD52" s="100">
        <f>IF(T$37&lt;$T$9,(1.16*(1.328/SQRT(T52))*'2'!$K56*$T$12*$T$20*$AL$12),IF(T52&lt;1000000,((1.328/SQRT(T52))*'2'!$K56*$T$12*$T$20*$AL$12),(0.455/((LOG(T52)^2.58)*(1+0.144*'2'!$E56^2)^0.65)))*'2'!$K56*$T$12*$T$20*$AL$12)</f>
        <v>2.7065584426397371</v>
      </c>
      <c r="AE52" s="100">
        <f>IF(U$37&lt;$T$9,(1.16*(1.328/SQRT(U52))*'2'!$K56*$T$12*$T$20*$AL$13),IF(U52&lt;1000000,((1.328/SQRT(U52))*'2'!$K56*$T$12*$T$20*$AL$13),(0.455/((LOG(U52)^2.58)*(1+0.144*'2'!$E56^2)^0.65)))*'2'!$K56*$T$12*$T$20*$AL$13)</f>
        <v>2.3095714670656169</v>
      </c>
      <c r="AF52" s="100">
        <f>IF(V$37&lt;$T$9,(1.16*(1.328/SQRT(V52))*'2'!$K56*$T$12*$T$20*$AL$14),IF(V52&lt;1000000,((1.328/SQRT(V52))*'2'!$K56*$T$12*$T$20*$AL$14),(0.455/((LOG(V52)^2.58)*(1+0.144*'2'!$E56^2)^0.65)))*'2'!$K56*$T$12*$T$20*$AL$14)</f>
        <v>1.9244675079485571</v>
      </c>
      <c r="AG52" s="100">
        <f>IF(W$37&lt;$T$9,(1.16*(1.328/SQRT(W52))*'2'!$K56*$T$12*$T$20*$AL$15),IF(W52&lt;1000000,((1.328/SQRT(W52))*'2'!$K56*$T$12*$T$20*$AL$15),(0.455/((LOG(W52)^2.58)*(1+0.144*'2'!$E56^2)^0.65)))*'2'!$K56*$T$12*$T$20*$AL$15)</f>
        <v>1.5744488982080336</v>
      </c>
      <c r="AH52" s="100">
        <f>IF(X$37&lt;$T$9,(1.16*(1.328/SQRT(X52))*'2'!$K56*$T$12*$T$20*$AL$16),IF(X52&lt;1000000,((1.328/SQRT(X52))*'2'!$K56*$T$12*$T$20*$AL$16),(0.455/((LOG(X52)^2.58)*(1+0.144*'2'!$E56^2)^0.65)))*'2'!$K56*$T$12*$T$20*$AL$16)</f>
        <v>1.2486794666119301</v>
      </c>
      <c r="AI52" s="100">
        <f>IF(Y$37&lt;$T$9,(1.16*(1.328/SQRT(Y52))*'2'!$K56*$T$12*$T$20*$AL$17),IF(Y52&lt;1000000,((1.328/SQRT(Y52))*'2'!$K56*$T$12*$T$20*$AL$17),(0.455/((LOG(Y52)^2.58)*(1+0.144*'2'!$E56^2)^0.65)))*'2'!$K56*$T$12*$T$20*$AL$17)</f>
        <v>0.9407844712606418</v>
      </c>
      <c r="AJ52" s="100">
        <f>IF(Z$37&lt;$T$9,(1.16*(1.328/SQRT(Z52))*'2'!$K56*$T$12*$T$20*$AL$18),IF(Z52&lt;1000000,((1.328/SQRT(Z52))*'2'!$K56*$T$12*$T$20*$AL$18),(0.455/((LOG(Z52)^2.58)*(1+0.144*'2'!$E56^2)^0.65)))*'2'!$K56*$T$12*$T$20*$AL$18)</f>
        <v>0.64668679952598551</v>
      </c>
      <c r="AK52" s="100">
        <f>IF(AA$37&lt;$T$9,(1.16*(1.328/SQRT(AA52))*'2'!$K56*$T$12*$T$20*$AL$19),IF(AA52&lt;1000000,((1.328/SQRT(AA52))*'2'!$K56*$T$12*$T$20*$AL$19),(0.455/((LOG(AA52)^2.58)*(1+0.144*'2'!$E56^2)^0.65)))*'2'!$K56*$T$12*$T$20*$AL$19)</f>
        <v>0.45451811111792512</v>
      </c>
      <c r="AL52" s="52">
        <f t="shared" si="16"/>
        <v>15.585210203810183</v>
      </c>
      <c r="AM52" s="100">
        <f>IF('2'!E56&lt;1,0,(IF(T$5&lt;4,(((9/2)*T$16*PI()/((SUM(AC$9:AC$19))^2)))*T$16*'2'!K56*T$14*(1-((0.386*(('2'!E56-1.2)^0.57))*(1-(PI()*(('4'!E$16^0.77)/100))))),(IF(T$5=4,((4*T$16/(PI()*((T$15/2)^2)))*T$16*'2'!K56),(((9*PI()/2)*T$16/(((T$15)^2)))*T$16*'2'!K56))))))</f>
        <v>0</v>
      </c>
      <c r="AN52" s="52">
        <f t="shared" si="17"/>
        <v>15.585210203810183</v>
      </c>
      <c r="AO52" s="193">
        <f>AN52/('2'!K56*'4'!$L$15)</f>
        <v>4.1144228856052527E-3</v>
      </c>
      <c r="AP52" s="26"/>
    </row>
    <row r="53" spans="2:42" ht="13.8">
      <c r="B53" s="280"/>
      <c r="C53" s="25"/>
      <c r="D53" s="140"/>
      <c r="E53" s="140"/>
      <c r="F53" s="140"/>
      <c r="G53" s="145"/>
      <c r="H53" s="155"/>
      <c r="I53" s="140"/>
      <c r="J53" s="140"/>
      <c r="K53" s="140"/>
      <c r="L53" s="140"/>
      <c r="M53" s="140"/>
      <c r="N53" s="25"/>
      <c r="O53" s="26"/>
      <c r="Q53" s="291"/>
      <c r="R53" s="1253">
        <f>IF((IF('2'!$E57&lt;1,(38.21*((R$37*$T$15/(0.00001*$T$13))^1.053)),(44.62*((R$37*$T$15/(0.00001*$T$13))^1.053)*('2'!$E57^1.16))))&lt;(R$37*$T$15*'2'!$I57/'4'!$D48),(IF('2'!$E57&lt;1,(38.21*((R$37*$T$15/(0.00001*$T$13))^1.053)),(44.62*((R$37*$T$15/(0.00001*$T$13))^1.053)*('2'!$E57^1.16)))),(R$37*$T$15*'2'!$I57/'4'!$D48))</f>
        <v>2012749.1015740742</v>
      </c>
      <c r="S53" s="1253">
        <f>IF((IF('2'!$E57&lt;1,(38.21*((S$37*$T$15/(0.00001*$T$13))^1.053)),(44.62*((S$37*$T$15/(0.00001*$T$13))^1.053)*('2'!$E57^1.16))))&lt;(S$37*$T$15*'2'!$I57/'4'!$D48),(IF('2'!$E57&lt;1,(38.21*((S$37*$T$15/(0.00001*$T$13))^1.053)),(44.62*((S$37*$T$15/(0.00001*$T$13))^1.053)*('2'!$E57^1.16)))),(S$37*$T$15*'2'!$I57/'4'!$D48))</f>
        <v>4025498.2031481485</v>
      </c>
      <c r="T53" s="1253">
        <f>IF((IF('2'!$E57&lt;1,(38.21*((T$37*$T$15/(0.00001*$T$13))^1.053)),(44.62*((T$37*$T$15/(0.00001*$T$13))^1.053)*('2'!$E57^1.16))))&lt;(T$37*$T$15*'2'!$I57/'4'!$D48),(IF('2'!$E57&lt;1,(38.21*((T$37*$T$15/(0.00001*$T$13))^1.053)),(44.62*((T$37*$T$15/(0.00001*$T$13))^1.053)*('2'!$E57^1.16)))),(T$37*$T$15*'2'!$I57/'4'!$D48))</f>
        <v>6038247.3047222216</v>
      </c>
      <c r="U53" s="1253">
        <f>IF((IF('2'!$E57&lt;1,(38.21*((U$37*$T$15/(0.00001*$T$13))^1.053)),(44.62*((U$37*$T$15/(0.00001*$T$13))^1.053)*('2'!$E57^1.16))))&lt;(U$37*$T$15*'2'!$I57/'4'!$D48),(IF('2'!$E57&lt;1,(38.21*((U$37*$T$15/(0.00001*$T$13))^1.053)),(44.62*((U$37*$T$15/(0.00001*$T$13))^1.053)*('2'!$E57^1.16)))),(U$37*$T$15*'2'!$I57/'4'!$D48))</f>
        <v>8050996.406296297</v>
      </c>
      <c r="V53" s="1253">
        <f>IF((IF('2'!$E57&lt;1,(38.21*((V$37*$T$15/(0.00001*$T$13))^1.053)),(44.62*((V$37*$T$15/(0.00001*$T$13))^1.053)*('2'!$E57^1.16))))&lt;(V$37*$T$15*'2'!$I57/'4'!$D48),(IF('2'!$E57&lt;1,(38.21*((V$37*$T$15/(0.00001*$T$13))^1.053)),(44.62*((V$37*$T$15/(0.00001*$T$13))^1.053)*('2'!$E57^1.16)))),(V$37*$T$15*'2'!$I57/'4'!$D48))</f>
        <v>10063745.507870371</v>
      </c>
      <c r="W53" s="1253">
        <f>IF((IF('2'!$E57&lt;1,(38.21*((W$37*$T$15/(0.00001*$T$13))^1.053)),(44.62*((W$37*$T$15/(0.00001*$T$13))^1.053)*('2'!$E57^1.16))))&lt;(W$37*$T$15*'2'!$I57/'4'!$D48),(IF('2'!$E57&lt;1,(38.21*((W$37*$T$15/(0.00001*$T$13))^1.053)),(44.62*((W$37*$T$15/(0.00001*$T$13))^1.053)*('2'!$E57^1.16)))),(W$37*$T$15*'2'!$I57/'4'!$D48))</f>
        <v>12076494.609444443</v>
      </c>
      <c r="X53" s="1253">
        <f>IF((IF('2'!$E57&lt;1,(38.21*((X$37*$T$15/(0.00001*$T$13))^1.053)),(44.62*((X$37*$T$15/(0.00001*$T$13))^1.053)*('2'!$E57^1.16))))&lt;(X$37*$T$15*'2'!$I57/'4'!$D48),(IF('2'!$E57&lt;1,(38.21*((X$37*$T$15/(0.00001*$T$13))^1.053)),(44.62*((X$37*$T$15/(0.00001*$T$13))^1.053)*('2'!$E57^1.16)))),(X$37*$T$15*'2'!$I57/'4'!$D48))</f>
        <v>14089243.711018519</v>
      </c>
      <c r="Y53" s="1253">
        <f>IF((IF('2'!$E57&lt;1,(38.21*((Y$37*$T$15/(0.00001*$T$13))^1.053)),(44.62*((Y$37*$T$15/(0.00001*$T$13))^1.053)*('2'!$E57^1.16))))&lt;(Y$37*$T$15*'2'!$I57/'4'!$D48),(IF('2'!$E57&lt;1,(38.21*((Y$37*$T$15/(0.00001*$T$13))^1.053)),(44.62*((Y$37*$T$15/(0.00001*$T$13))^1.053)*('2'!$E57^1.16)))),(Y$37*$T$15*'2'!$I57/'4'!$D48))</f>
        <v>16101992.812592594</v>
      </c>
      <c r="Z53" s="1253">
        <f>IF((IF('2'!$E57&lt;1,(38.21*((Z$37*$T$15/(0.00001*$T$13))^1.053)),(44.62*((Z$37*$T$15/(0.00001*$T$13))^1.053)*('2'!$E57^1.16))))&lt;(Z$37*$T$15*'2'!$I57/'4'!$D48),(IF('2'!$E57&lt;1,(38.21*((Z$37*$T$15/(0.00001*$T$13))^1.053)),(44.62*((Z$37*$T$15/(0.00001*$T$13))^1.053)*('2'!$E57^1.16)))),(Z$37*$T$15*'2'!$I57/'4'!$D48))</f>
        <v>18114741.914166667</v>
      </c>
      <c r="AA53" s="1253">
        <f>IF((IF('2'!$E57&lt;1,(38.21*((AA$37*$T$15/(0.00001*$T$13))^1.053)),(44.62*((AA$37*$T$15/(0.00001*$T$13))^1.053)*('2'!$E57^1.16))))&lt;(AA$37*$T$15*'2'!$I57/'4'!$D48),(IF('2'!$E57&lt;1,(38.21*((AA$37*$T$15/(0.00001*$T$13))^1.053)),(44.62*((AA$37*$T$15/(0.00001*$T$13))^1.053)*('2'!$E57^1.16)))),(AA$37*$T$15*'2'!$I57/'4'!$D48))</f>
        <v>20127491.015740741</v>
      </c>
      <c r="AB53" s="100">
        <f>IF(R$37&lt;$T$9,(1.16*(1.328/SQRT(R53))*'2'!$K57*$T$12*$T$20*$AL$10),IF(R53&lt;1000000,((1.328/SQRT(R53))*'2'!$K57*$T$12*$T$20*$AL$10),(0.455/((LOG(R53)^2.58)*(1+0.144*'2'!$E57^2)^0.65)))*'2'!$K57*$T$12*$T$20*$AL$10)</f>
        <v>0.65251197929173721</v>
      </c>
      <c r="AC53" s="100">
        <f>IF(S$37&lt;$T$9,(1.16*(1.328/SQRT(S53))*'2'!$K57*$T$12*$T$20*$AL$11),IF(S53&lt;1000000,((1.328/SQRT(S53))*'2'!$K57*$T$12*$T$20*$AL$11),(0.455/((LOG(S53)^2.58)*(1+0.144*'2'!$E57^2)^0.65)))*'2'!$K57*$T$12*$T$20*$AL$11)</f>
        <v>2.7203674245691767</v>
      </c>
      <c r="AD53" s="100">
        <f>IF(T$37&lt;$T$9,(1.16*(1.328/SQRT(T53))*'2'!$K57*$T$12*$T$20*$AL$12),IF(T53&lt;1000000,((1.328/SQRT(T53))*'2'!$K57*$T$12*$T$20*$AL$12),(0.455/((LOG(T53)^2.58)*(1+0.144*'2'!$E57^2)^0.65)))*'2'!$K57*$T$12*$T$20*$AL$12)</f>
        <v>2.4049578600520105</v>
      </c>
      <c r="AE53" s="100">
        <f>IF(U$37&lt;$T$9,(1.16*(1.328/SQRT(U53))*'2'!$K57*$T$12*$T$20*$AL$13),IF(U53&lt;1000000,((1.328/SQRT(U53))*'2'!$K57*$T$12*$T$20*$AL$13),(0.455/((LOG(U53)^2.58)*(1+0.144*'2'!$E57^2)^0.65)))*'2'!$K57*$T$12*$T$20*$AL$13)</f>
        <v>2.0518141369458252</v>
      </c>
      <c r="AF53" s="100">
        <f>IF(V$37&lt;$T$9,(1.16*(1.328/SQRT(V53))*'2'!$K57*$T$12*$T$20*$AL$14),IF(V53&lt;1000000,((1.328/SQRT(V53))*'2'!$K57*$T$12*$T$20*$AL$14),(0.455/((LOG(V53)^2.58)*(1+0.144*'2'!$E57^2)^0.65)))*'2'!$K57*$T$12*$T$20*$AL$14)</f>
        <v>1.70944256343403</v>
      </c>
      <c r="AG53" s="100">
        <f>IF(W$37&lt;$T$9,(1.16*(1.328/SQRT(W53))*'2'!$K57*$T$12*$T$20*$AL$15),IF(W53&lt;1000000,((1.328/SQRT(W53))*'2'!$K57*$T$12*$T$20*$AL$15),(0.455/((LOG(W53)^2.58)*(1+0.144*'2'!$E57^2)^0.65)))*'2'!$K57*$T$12*$T$20*$AL$15)</f>
        <v>1.3983714727121628</v>
      </c>
      <c r="AH53" s="100">
        <f>IF(X$37&lt;$T$9,(1.16*(1.328/SQRT(X53))*'2'!$K57*$T$12*$T$20*$AL$16),IF(X53&lt;1000000,((1.328/SQRT(X53))*'2'!$K57*$T$12*$T$20*$AL$16),(0.455/((LOG(X53)^2.58)*(1+0.144*'2'!$E57^2)^0.65)))*'2'!$K57*$T$12*$T$20*$AL$16)</f>
        <v>1.1089286167674315</v>
      </c>
      <c r="AI53" s="100">
        <f>IF(Y$37&lt;$T$9,(1.16*(1.328/SQRT(Y53))*'2'!$K57*$T$12*$T$20*$AL$17),IF(Y53&lt;1000000,((1.328/SQRT(Y53))*'2'!$K57*$T$12*$T$20*$AL$17),(0.455/((LOG(Y53)^2.58)*(1+0.144*'2'!$E57^2)^0.65)))*'2'!$K57*$T$12*$T$20*$AL$17)</f>
        <v>0.83542515611734103</v>
      </c>
      <c r="AJ53" s="100">
        <f>IF(Z$37&lt;$T$9,(1.16*(1.328/SQRT(Z53))*'2'!$K57*$T$12*$T$20*$AL$18),IF(Z53&lt;1000000,((1.328/SQRT(Z53))*'2'!$K57*$T$12*$T$20*$AL$18),(0.455/((LOG(Z53)^2.58)*(1+0.144*'2'!$E57^2)^0.65)))*'2'!$K57*$T$12*$T$20*$AL$18)</f>
        <v>0.57422330015542467</v>
      </c>
      <c r="AK53" s="100">
        <f>IF(AA$37&lt;$T$9,(1.16*(1.328/SQRT(AA53))*'2'!$K57*$T$12*$T$20*$AL$19),IF(AA53&lt;1000000,((1.328/SQRT(AA53))*'2'!$K57*$T$12*$T$20*$AL$19),(0.455/((LOG(AA53)^2.58)*(1+0.144*'2'!$E57^2)^0.65)))*'2'!$K57*$T$12*$T$20*$AL$19)</f>
        <v>0.40356268572221315</v>
      </c>
      <c r="AL53" s="52">
        <f t="shared" si="16"/>
        <v>13.859605195767351</v>
      </c>
      <c r="AM53" s="100">
        <f>IF('2'!E57&lt;1,0,(IF(T$5&lt;4,(((9/2)*T$16*PI()/((SUM(AC$9:AC$19))^2)))*T$16*'2'!K57*T$14*(1-((0.386*(('2'!E57-1.2)^0.57))*(1-(PI()*(('4'!E$16^0.77)/100))))),(IF(T$5=4,((4*T$16/(PI()*((T$15/2)^2)))*T$16*'2'!K57),(((9*PI()/2)*T$16/(((T$15)^2)))*T$16*'2'!K57))))))</f>
        <v>0</v>
      </c>
      <c r="AN53" s="52">
        <f t="shared" si="17"/>
        <v>13.859605195767351</v>
      </c>
      <c r="AO53" s="193">
        <f>AN53/('2'!K57*'4'!$L$15)</f>
        <v>4.1629823461956234E-3</v>
      </c>
      <c r="AP53" s="26"/>
    </row>
    <row r="54" spans="2:42" ht="13.8">
      <c r="B54" s="154"/>
      <c r="C54" s="140"/>
      <c r="D54" s="140"/>
      <c r="E54" s="140"/>
      <c r="F54" s="140"/>
      <c r="G54" s="145"/>
      <c r="H54" s="140"/>
      <c r="I54" s="140"/>
      <c r="J54" s="140"/>
      <c r="K54" s="140"/>
      <c r="L54" s="140"/>
      <c r="M54" s="140"/>
      <c r="N54" s="25"/>
      <c r="O54" s="26"/>
      <c r="Q54" s="291"/>
      <c r="R54" s="1253">
        <f>IF((IF('2'!$E58&lt;1,(38.21*((R$37*$T$15/(0.00001*$T$13))^1.053)),(44.62*((R$37*$T$15/(0.00001*$T$13))^1.053)*('2'!$E58^1.16))))&lt;(R$37*$T$15*'2'!$I58/'4'!$D49),(IF('2'!$E58&lt;1,(38.21*((R$37*$T$15/(0.00001*$T$13))^1.053)),(44.62*((R$37*$T$15/(0.00001*$T$13))^1.053)*('2'!$E58^1.16)))),(R$37*$T$15*'2'!$I58/'4'!$D49))</f>
        <v>2012749.1015740742</v>
      </c>
      <c r="S54" s="1253">
        <f>IF((IF('2'!$E58&lt;1,(38.21*((S$37*$T$15/(0.00001*$T$13))^1.053)),(44.62*((S$37*$T$15/(0.00001*$T$13))^1.053)*('2'!$E58^1.16))))&lt;(S$37*$T$15*'2'!$I58/'4'!$D49),(IF('2'!$E58&lt;1,(38.21*((S$37*$T$15/(0.00001*$T$13))^1.053)),(44.62*((S$37*$T$15/(0.00001*$T$13))^1.053)*('2'!$E58^1.16)))),(S$37*$T$15*'2'!$I58/'4'!$D49))</f>
        <v>4025498.2031481485</v>
      </c>
      <c r="T54" s="1253">
        <f>IF((IF('2'!$E58&lt;1,(38.21*((T$37*$T$15/(0.00001*$T$13))^1.053)),(44.62*((T$37*$T$15/(0.00001*$T$13))^1.053)*('2'!$E58^1.16))))&lt;(T$37*$T$15*'2'!$I58/'4'!$D49),(IF('2'!$E58&lt;1,(38.21*((T$37*$T$15/(0.00001*$T$13))^1.053)),(44.62*((T$37*$T$15/(0.00001*$T$13))^1.053)*('2'!$E58^1.16)))),(T$37*$T$15*'2'!$I58/'4'!$D49))</f>
        <v>6038247.3047222216</v>
      </c>
      <c r="U54" s="1253">
        <f>IF((IF('2'!$E58&lt;1,(38.21*((U$37*$T$15/(0.00001*$T$13))^1.053)),(44.62*((U$37*$T$15/(0.00001*$T$13))^1.053)*('2'!$E58^1.16))))&lt;(U$37*$T$15*'2'!$I58/'4'!$D49),(IF('2'!$E58&lt;1,(38.21*((U$37*$T$15/(0.00001*$T$13))^1.053)),(44.62*((U$37*$T$15/(0.00001*$T$13))^1.053)*('2'!$E58^1.16)))),(U$37*$T$15*'2'!$I58/'4'!$D49))</f>
        <v>8050996.406296297</v>
      </c>
      <c r="V54" s="1253">
        <f>IF((IF('2'!$E58&lt;1,(38.21*((V$37*$T$15/(0.00001*$T$13))^1.053)),(44.62*((V$37*$T$15/(0.00001*$T$13))^1.053)*('2'!$E58^1.16))))&lt;(V$37*$T$15*'2'!$I58/'4'!$D49),(IF('2'!$E58&lt;1,(38.21*((V$37*$T$15/(0.00001*$T$13))^1.053)),(44.62*((V$37*$T$15/(0.00001*$T$13))^1.053)*('2'!$E58^1.16)))),(V$37*$T$15*'2'!$I58/'4'!$D49))</f>
        <v>10063745.507870371</v>
      </c>
      <c r="W54" s="1253">
        <f>IF((IF('2'!$E58&lt;1,(38.21*((W$37*$T$15/(0.00001*$T$13))^1.053)),(44.62*((W$37*$T$15/(0.00001*$T$13))^1.053)*('2'!$E58^1.16))))&lt;(W$37*$T$15*'2'!$I58/'4'!$D49),(IF('2'!$E58&lt;1,(38.21*((W$37*$T$15/(0.00001*$T$13))^1.053)),(44.62*((W$37*$T$15/(0.00001*$T$13))^1.053)*('2'!$E58^1.16)))),(W$37*$T$15*'2'!$I58/'4'!$D49))</f>
        <v>12076494.609444443</v>
      </c>
      <c r="X54" s="1253">
        <f>IF((IF('2'!$E58&lt;1,(38.21*((X$37*$T$15/(0.00001*$T$13))^1.053)),(44.62*((X$37*$T$15/(0.00001*$T$13))^1.053)*('2'!$E58^1.16))))&lt;(X$37*$T$15*'2'!$I58/'4'!$D49),(IF('2'!$E58&lt;1,(38.21*((X$37*$T$15/(0.00001*$T$13))^1.053)),(44.62*((X$37*$T$15/(0.00001*$T$13))^1.053)*('2'!$E58^1.16)))),(X$37*$T$15*'2'!$I58/'4'!$D49))</f>
        <v>14089243.711018519</v>
      </c>
      <c r="Y54" s="1253">
        <f>IF((IF('2'!$E58&lt;1,(38.21*((Y$37*$T$15/(0.00001*$T$13))^1.053)),(44.62*((Y$37*$T$15/(0.00001*$T$13))^1.053)*('2'!$E58^1.16))))&lt;(Y$37*$T$15*'2'!$I58/'4'!$D49),(IF('2'!$E58&lt;1,(38.21*((Y$37*$T$15/(0.00001*$T$13))^1.053)),(44.62*((Y$37*$T$15/(0.00001*$T$13))^1.053)*('2'!$E58^1.16)))),(Y$37*$T$15*'2'!$I58/'4'!$D49))</f>
        <v>16101992.812592594</v>
      </c>
      <c r="Z54" s="1253">
        <f>IF((IF('2'!$E58&lt;1,(38.21*((Z$37*$T$15/(0.00001*$T$13))^1.053)),(44.62*((Z$37*$T$15/(0.00001*$T$13))^1.053)*('2'!$E58^1.16))))&lt;(Z$37*$T$15*'2'!$I58/'4'!$D49),(IF('2'!$E58&lt;1,(38.21*((Z$37*$T$15/(0.00001*$T$13))^1.053)),(44.62*((Z$37*$T$15/(0.00001*$T$13))^1.053)*('2'!$E58^1.16)))),(Z$37*$T$15*'2'!$I58/'4'!$D49))</f>
        <v>18114741.914166667</v>
      </c>
      <c r="AA54" s="1253">
        <f>IF((IF('2'!$E58&lt;1,(38.21*((AA$37*$T$15/(0.00001*$T$13))^1.053)),(44.62*((AA$37*$T$15/(0.00001*$T$13))^1.053)*('2'!$E58^1.16))))&lt;(AA$37*$T$15*'2'!$I58/'4'!$D49),(IF('2'!$E58&lt;1,(38.21*((AA$37*$T$15/(0.00001*$T$13))^1.053)),(44.62*((AA$37*$T$15/(0.00001*$T$13))^1.053)*('2'!$E58^1.16)))),(AA$37*$T$15*'2'!$I58/'4'!$D49))</f>
        <v>20127491.015740741</v>
      </c>
      <c r="AB54" s="100">
        <f>IF(R$37&lt;$T$9,(1.16*(1.328/SQRT(R54))*'2'!$K58*$T$12*$T$20*$AL$10),IF(R54&lt;1000000,((1.328/SQRT(R54))*'2'!$K58*$T$12*$T$20*$AL$10),(0.455/((LOG(R54)^2.58)*(1+0.144*'2'!$E58^2)^0.65)))*'2'!$K58*$T$12*$T$20*$AL$10)</f>
        <v>0.65251197929173721</v>
      </c>
      <c r="AC54" s="100">
        <f>IF(S$37&lt;$T$9,(1.16*(1.328/SQRT(S54))*'2'!$K58*$T$12*$T$20*$AL$11),IF(S54&lt;1000000,((1.328/SQRT(S54))*'2'!$K58*$T$12*$T$20*$AL$11),(0.455/((LOG(S54)^2.58)*(1+0.144*'2'!$E58^2)^0.65)))*'2'!$K58*$T$12*$T$20*$AL$11)</f>
        <v>2.7203674245691767</v>
      </c>
      <c r="AD54" s="100">
        <f>IF(T$37&lt;$T$9,(1.16*(1.328/SQRT(T54))*'2'!$K58*$T$12*$T$20*$AL$12),IF(T54&lt;1000000,((1.328/SQRT(T54))*'2'!$K58*$T$12*$T$20*$AL$12),(0.455/((LOG(T54)^2.58)*(1+0.144*'2'!$E58^2)^0.65)))*'2'!$K58*$T$12*$T$20*$AL$12)</f>
        <v>2.4049578600520105</v>
      </c>
      <c r="AE54" s="100">
        <f>IF(U$37&lt;$T$9,(1.16*(1.328/SQRT(U54))*'2'!$K58*$T$12*$T$20*$AL$13),IF(U54&lt;1000000,((1.328/SQRT(U54))*'2'!$K58*$T$12*$T$20*$AL$13),(0.455/((LOG(U54)^2.58)*(1+0.144*'2'!$E58^2)^0.65)))*'2'!$K58*$T$12*$T$20*$AL$13)</f>
        <v>2.0518141369458252</v>
      </c>
      <c r="AF54" s="100">
        <f>IF(V$37&lt;$T$9,(1.16*(1.328/SQRT(V54))*'2'!$K58*$T$12*$T$20*$AL$14),IF(V54&lt;1000000,((1.328/SQRT(V54))*'2'!$K58*$T$12*$T$20*$AL$14),(0.455/((LOG(V54)^2.58)*(1+0.144*'2'!$E58^2)^0.65)))*'2'!$K58*$T$12*$T$20*$AL$14)</f>
        <v>1.70944256343403</v>
      </c>
      <c r="AG54" s="100">
        <f>IF(W$37&lt;$T$9,(1.16*(1.328/SQRT(W54))*'2'!$K58*$T$12*$T$20*$AL$15),IF(W54&lt;1000000,((1.328/SQRT(W54))*'2'!$K58*$T$12*$T$20*$AL$15),(0.455/((LOG(W54)^2.58)*(1+0.144*'2'!$E58^2)^0.65)))*'2'!$K58*$T$12*$T$20*$AL$15)</f>
        <v>1.3983714727121628</v>
      </c>
      <c r="AH54" s="100">
        <f>IF(X$37&lt;$T$9,(1.16*(1.328/SQRT(X54))*'2'!$K58*$T$12*$T$20*$AL$16),IF(X54&lt;1000000,((1.328/SQRT(X54))*'2'!$K58*$T$12*$T$20*$AL$16),(0.455/((LOG(X54)^2.58)*(1+0.144*'2'!$E58^2)^0.65)))*'2'!$K58*$T$12*$T$20*$AL$16)</f>
        <v>1.1089286167674315</v>
      </c>
      <c r="AI54" s="100">
        <f>IF(Y$37&lt;$T$9,(1.16*(1.328/SQRT(Y54))*'2'!$K58*$T$12*$T$20*$AL$17),IF(Y54&lt;1000000,((1.328/SQRT(Y54))*'2'!$K58*$T$12*$T$20*$AL$17),(0.455/((LOG(Y54)^2.58)*(1+0.144*'2'!$E58^2)^0.65)))*'2'!$K58*$T$12*$T$20*$AL$17)</f>
        <v>0.83542515611734103</v>
      </c>
      <c r="AJ54" s="100">
        <f>IF(Z$37&lt;$T$9,(1.16*(1.328/SQRT(Z54))*'2'!$K58*$T$12*$T$20*$AL$18),IF(Z54&lt;1000000,((1.328/SQRT(Z54))*'2'!$K58*$T$12*$T$20*$AL$18),(0.455/((LOG(Z54)^2.58)*(1+0.144*'2'!$E58^2)^0.65)))*'2'!$K58*$T$12*$T$20*$AL$18)</f>
        <v>0.57422330015542467</v>
      </c>
      <c r="AK54" s="100">
        <f>IF(AA$37&lt;$T$9,(1.16*(1.328/SQRT(AA54))*'2'!$K58*$T$12*$T$20*$AL$19),IF(AA54&lt;1000000,((1.328/SQRT(AA54))*'2'!$K58*$T$12*$T$20*$AL$19),(0.455/((LOG(AA54)^2.58)*(1+0.144*'2'!$E58^2)^0.65)))*'2'!$K58*$T$12*$T$20*$AL$19)</f>
        <v>0.40356268572221315</v>
      </c>
      <c r="AL54" s="52">
        <f t="shared" si="16"/>
        <v>13.859605195767351</v>
      </c>
      <c r="AM54" s="100">
        <f>IF('2'!E58&lt;1,0,(IF(T$5&lt;4,(((9/2)*T$16*PI()/((SUM(AC$9:AC$19))^2)))*T$16*'2'!K58*T$14*(1-((0.386*(('2'!E58-1.2)^0.57))*(1-(PI()*(('4'!E$16^0.77)/100))))),(IF(T$5=4,((4*T$16/(PI()*((T$15/2)^2)))*T$16*'2'!K58),(((9*PI()/2)*T$16/(((T$15)^2)))*T$16*'2'!K58))))))</f>
        <v>0</v>
      </c>
      <c r="AN54" s="52">
        <f t="shared" si="17"/>
        <v>13.859605195767351</v>
      </c>
      <c r="AO54" s="193">
        <f>AN54/('2'!K58*'4'!$L$15)</f>
        <v>4.1629823461956234E-3</v>
      </c>
      <c r="AP54" s="26"/>
    </row>
    <row r="55" spans="2:42" ht="14.4" thickBot="1">
      <c r="B55" s="283" t="s">
        <v>405</v>
      </c>
      <c r="C55" s="147" t="s">
        <v>90</v>
      </c>
      <c r="D55" s="147" t="s">
        <v>91</v>
      </c>
      <c r="E55" s="140"/>
      <c r="F55" s="140"/>
      <c r="G55" s="145"/>
      <c r="H55" s="140"/>
      <c r="I55" s="140"/>
      <c r="J55" s="140"/>
      <c r="K55" s="140"/>
      <c r="L55" s="140"/>
      <c r="M55" s="140"/>
      <c r="N55" s="25"/>
      <c r="O55" s="26"/>
      <c r="Q55" s="291"/>
      <c r="R55" s="1253">
        <f>IF((IF('2'!$E59&lt;1,(38.21*((R$37*$T$15/(0.00001*$T$13))^1.053)),(44.62*((R$37*$T$15/(0.00001*$T$13))^1.053)*('2'!$E59^1.16))))&lt;(R$37*$T$15*'2'!$I59/'4'!$D50),(IF('2'!$E59&lt;1,(38.21*((R$37*$T$15/(0.00001*$T$13))^1.053)),(44.62*((R$37*$T$15/(0.00001*$T$13))^1.053)*('2'!$E59^1.16)))),(R$37*$T$15*'2'!$I59/'4'!$D50))</f>
        <v>1878565.8281358029</v>
      </c>
      <c r="S55" s="1253">
        <f>IF((IF('2'!$E59&lt;1,(38.21*((S$37*$T$15/(0.00001*$T$13))^1.053)),(44.62*((S$37*$T$15/(0.00001*$T$13))^1.053)*('2'!$E59^1.16))))&lt;(S$37*$T$15*'2'!$I59/'4'!$D50),(IF('2'!$E59&lt;1,(38.21*((S$37*$T$15/(0.00001*$T$13))^1.053)),(44.62*((S$37*$T$15/(0.00001*$T$13))^1.053)*('2'!$E59^1.16)))),(S$37*$T$15*'2'!$I59/'4'!$D50))</f>
        <v>3757131.6562716058</v>
      </c>
      <c r="T55" s="1253">
        <f>IF((IF('2'!$E59&lt;1,(38.21*((T$37*$T$15/(0.00001*$T$13))^1.053)),(44.62*((T$37*$T$15/(0.00001*$T$13))^1.053)*('2'!$E59^1.16))))&lt;(T$37*$T$15*'2'!$I59/'4'!$D50),(IF('2'!$E59&lt;1,(38.21*((T$37*$T$15/(0.00001*$T$13))^1.053)),(44.62*((T$37*$T$15/(0.00001*$T$13))^1.053)*('2'!$E59^1.16)))),(T$37*$T$15*'2'!$I59/'4'!$D50))</f>
        <v>5635697.4844074082</v>
      </c>
      <c r="U55" s="1253">
        <f>IF((IF('2'!$E59&lt;1,(38.21*((U$37*$T$15/(0.00001*$T$13))^1.053)),(44.62*((U$37*$T$15/(0.00001*$T$13))^1.053)*('2'!$E59^1.16))))&lt;(U$37*$T$15*'2'!$I59/'4'!$D50),(IF('2'!$E59&lt;1,(38.21*((U$37*$T$15/(0.00001*$T$13))^1.053)),(44.62*((U$37*$T$15/(0.00001*$T$13))^1.053)*('2'!$E59^1.16)))),(U$37*$T$15*'2'!$I59/'4'!$D50))</f>
        <v>7514263.3125432115</v>
      </c>
      <c r="V55" s="1253">
        <f>IF((IF('2'!$E59&lt;1,(38.21*((V$37*$T$15/(0.00001*$T$13))^1.053)),(44.62*((V$37*$T$15/(0.00001*$T$13))^1.053)*('2'!$E59^1.16))))&lt;(V$37*$T$15*'2'!$I59/'4'!$D50),(IF('2'!$E59&lt;1,(38.21*((V$37*$T$15/(0.00001*$T$13))^1.053)),(44.62*((V$37*$T$15/(0.00001*$T$13))^1.053)*('2'!$E59^1.16)))),(V$37*$T$15*'2'!$I59/'4'!$D50))</f>
        <v>9392829.140679013</v>
      </c>
      <c r="W55" s="1253">
        <f>IF((IF('2'!$E59&lt;1,(38.21*((W$37*$T$15/(0.00001*$T$13))^1.053)),(44.62*((W$37*$T$15/(0.00001*$T$13))^1.053)*('2'!$E59^1.16))))&lt;(W$37*$T$15*'2'!$I59/'4'!$D50),(IF('2'!$E59&lt;1,(38.21*((W$37*$T$15/(0.00001*$T$13))^1.053)),(44.62*((W$37*$T$15/(0.00001*$T$13))^1.053)*('2'!$E59^1.16)))),(W$37*$T$15*'2'!$I59/'4'!$D50))</f>
        <v>11271394.968814816</v>
      </c>
      <c r="X55" s="1253">
        <f>IF((IF('2'!$E59&lt;1,(38.21*((X$37*$T$15/(0.00001*$T$13))^1.053)),(44.62*((X$37*$T$15/(0.00001*$T$13))^1.053)*('2'!$E59^1.16))))&lt;(X$37*$T$15*'2'!$I59/'4'!$D50),(IF('2'!$E59&lt;1,(38.21*((X$37*$T$15/(0.00001*$T$13))^1.053)),(44.62*((X$37*$T$15/(0.00001*$T$13))^1.053)*('2'!$E59^1.16)))),(X$37*$T$15*'2'!$I59/'4'!$D50))</f>
        <v>13149960.79695062</v>
      </c>
      <c r="Y55" s="1253">
        <f>IF((IF('2'!$E59&lt;1,(38.21*((Y$37*$T$15/(0.00001*$T$13))^1.053)),(44.62*((Y$37*$T$15/(0.00001*$T$13))^1.053)*('2'!$E59^1.16))))&lt;(Y$37*$T$15*'2'!$I59/'4'!$D50),(IF('2'!$E59&lt;1,(38.21*((Y$37*$T$15/(0.00001*$T$13))^1.053)),(44.62*((Y$37*$T$15/(0.00001*$T$13))^1.053)*('2'!$E59^1.16)))),(Y$37*$T$15*'2'!$I59/'4'!$D50))</f>
        <v>15028526.625086423</v>
      </c>
      <c r="Z55" s="1253">
        <f>IF((IF('2'!$E59&lt;1,(38.21*((Z$37*$T$15/(0.00001*$T$13))^1.053)),(44.62*((Z$37*$T$15/(0.00001*$T$13))^1.053)*('2'!$E59^1.16))))&lt;(Z$37*$T$15*'2'!$I59/'4'!$D50),(IF('2'!$E59&lt;1,(38.21*((Z$37*$T$15/(0.00001*$T$13))^1.053)),(44.62*((Z$37*$T$15/(0.00001*$T$13))^1.053)*('2'!$E59^1.16)))),(Z$37*$T$15*'2'!$I59/'4'!$D50))</f>
        <v>16907092.453222223</v>
      </c>
      <c r="AA55" s="1253">
        <f>IF((IF('2'!$E59&lt;1,(38.21*((AA$37*$T$15/(0.00001*$T$13))^1.053)),(44.62*((AA$37*$T$15/(0.00001*$T$13))^1.053)*('2'!$E59^1.16))))&lt;(AA$37*$T$15*'2'!$I59/'4'!$D50),(IF('2'!$E59&lt;1,(38.21*((AA$37*$T$15/(0.00001*$T$13))^1.053)),(44.62*((AA$37*$T$15/(0.00001*$T$13))^1.053)*('2'!$E59^1.16)))),(AA$37*$T$15*'2'!$I59/'4'!$D50))</f>
        <v>18785658.281358026</v>
      </c>
      <c r="AB55" s="100">
        <f>IF(R$37&lt;$T$9,(1.16*(1.328/SQRT(R55))*'2'!$K59*$T$12*$T$20*$AL$10),IF(R55&lt;1000000,((1.328/SQRT(R55))*'2'!$K59*$T$12*$T$20*$AL$10),(0.455/((LOG(R55)^2.58)*(1+0.144*'2'!$E59^2)^0.65)))*'2'!$K59*$T$12*$T$20*$AL$10)</f>
        <v>0.5883606974509179</v>
      </c>
      <c r="AC55" s="100">
        <f>IF(S$37&lt;$T$9,(1.16*(1.328/SQRT(S55))*'2'!$K59*$T$12*$T$20*$AL$11),IF(S55&lt;1000000,((1.328/SQRT(S55))*'2'!$K59*$T$12*$T$20*$AL$11),(0.455/((LOG(S55)^2.58)*(1+0.144*'2'!$E59^2)^0.65)))*'2'!$K59*$T$12*$T$20*$AL$11)</f>
        <v>2.398354336833147</v>
      </c>
      <c r="AD55" s="100">
        <f>IF(T$37&lt;$T$9,(1.16*(1.328/SQRT(T55))*'2'!$K59*$T$12*$T$20*$AL$12),IF(T55&lt;1000000,((1.328/SQRT(T55))*'2'!$K59*$T$12*$T$20*$AL$12),(0.455/((LOG(T55)^2.58)*(1+0.144*'2'!$E59^2)^0.65)))*'2'!$K59*$T$12*$T$20*$AL$12)</f>
        <v>2.1196329216082734</v>
      </c>
      <c r="AE55" s="100">
        <f>IF(U$37&lt;$T$9,(1.16*(1.328/SQRT(U55))*'2'!$K59*$T$12*$T$20*$AL$13),IF(U55&lt;1000000,((1.328/SQRT(U55))*'2'!$K59*$T$12*$T$20*$AL$13),(0.455/((LOG(U55)^2.58)*(1+0.144*'2'!$E59^2)^0.65)))*'2'!$K59*$T$12*$T$20*$AL$13)</f>
        <v>1.8080116915386661</v>
      </c>
      <c r="AF55" s="100">
        <f>IF(V$37&lt;$T$9,(1.16*(1.328/SQRT(V55))*'2'!$K59*$T$12*$T$20*$AL$14),IF(V55&lt;1000000,((1.328/SQRT(V55))*'2'!$K59*$T$12*$T$20*$AL$14),(0.455/((LOG(V55)^2.58)*(1+0.144*'2'!$E59^2)^0.65)))*'2'!$K59*$T$12*$T$20*$AL$14)</f>
        <v>1.5060873493210167</v>
      </c>
      <c r="AG55" s="100">
        <f>IF(W$37&lt;$T$9,(1.16*(1.328/SQRT(W55))*'2'!$K59*$T$12*$T$20*$AL$15),IF(W55&lt;1000000,((1.328/SQRT(W55))*'2'!$K59*$T$12*$T$20*$AL$15),(0.455/((LOG(W55)^2.58)*(1+0.144*'2'!$E59^2)^0.65)))*'2'!$K59*$T$12*$T$20*$AL$15)</f>
        <v>1.231868557617706</v>
      </c>
      <c r="AH55" s="100">
        <f>IF(X$37&lt;$T$9,(1.16*(1.328/SQRT(X55))*'2'!$K59*$T$12*$T$20*$AL$16),IF(X55&lt;1000000,((1.328/SQRT(X55))*'2'!$K59*$T$12*$T$20*$AL$16),(0.455/((LOG(X55)^2.58)*(1+0.144*'2'!$E59^2)^0.65)))*'2'!$K59*$T$12*$T$20*$AL$16)</f>
        <v>0.9767891416815172</v>
      </c>
      <c r="AI55" s="100">
        <f>IF(Y$37&lt;$T$9,(1.16*(1.328/SQRT(Y55))*'2'!$K59*$T$12*$T$20*$AL$17),IF(Y55&lt;1000000,((1.328/SQRT(Y55))*'2'!$K59*$T$12*$T$20*$AL$17),(0.455/((LOG(Y55)^2.58)*(1+0.144*'2'!$E59^2)^0.65)))*'2'!$K59*$T$12*$T$20*$AL$17)</f>
        <v>0.73581194292478036</v>
      </c>
      <c r="AJ55" s="100">
        <f>IF(Z$37&lt;$T$9,(1.16*(1.328/SQRT(Z55))*'2'!$K59*$T$12*$T$20*$AL$18),IF(Z55&lt;1000000,((1.328/SQRT(Z55))*'2'!$K59*$T$12*$T$20*$AL$18),(0.455/((LOG(Z55)^2.58)*(1+0.144*'2'!$E59^2)^0.65)))*'2'!$K59*$T$12*$T$20*$AL$18)</f>
        <v>0.5057165034987614</v>
      </c>
      <c r="AK55" s="100">
        <f>IF(AA$37&lt;$T$9,(1.16*(1.328/SQRT(AA55))*'2'!$K59*$T$12*$T$20*$AL$19),IF(AA55&lt;1000000,((1.328/SQRT(AA55))*'2'!$K59*$T$12*$T$20*$AL$19),(0.455/((LOG(AA55)^2.58)*(1+0.144*'2'!$E59^2)^0.65)))*'2'!$K59*$T$12*$T$20*$AL$19)</f>
        <v>0.35539246881760073</v>
      </c>
      <c r="AL55" s="52">
        <f t="shared" si="16"/>
        <v>12.226025611292384</v>
      </c>
      <c r="AM55" s="100">
        <f>IF('2'!E59&lt;1,0,(IF(T$5&lt;4,(((9/2)*T$16*PI()/((SUM(AC$9:AC$19))^2)))*T$16*'2'!K59*T$14*(1-((0.386*(('2'!E59-1.2)^0.57))*(1-(PI()*(('4'!E$16^0.77)/100))))),(IF(T$5=4,((4*T$16/(PI()*((T$15/2)^2)))*T$16*'2'!K59),(((9*PI()/2)*T$16/(((T$15)^2)))*T$16*'2'!K59))))))</f>
        <v>0</v>
      </c>
      <c r="AN55" s="52">
        <f t="shared" si="17"/>
        <v>12.226025611292384</v>
      </c>
      <c r="AO55" s="193">
        <f>AN55/('2'!K59*'4'!$L$15)</f>
        <v>4.2156588446193057E-3</v>
      </c>
      <c r="AP55" s="26"/>
    </row>
    <row r="56" spans="2:42" ht="39.6">
      <c r="B56" s="154" t="s">
        <v>407</v>
      </c>
      <c r="C56" s="150" t="s">
        <v>87</v>
      </c>
      <c r="D56" s="1354">
        <v>0</v>
      </c>
      <c r="E56" s="140"/>
      <c r="F56" s="140"/>
      <c r="G56" s="145" t="s">
        <v>1004</v>
      </c>
      <c r="H56" s="140"/>
      <c r="I56" s="932" t="s">
        <v>406</v>
      </c>
      <c r="J56" s="922"/>
      <c r="K56" s="922"/>
      <c r="L56" s="922"/>
      <c r="M56" s="923"/>
      <c r="N56" s="25"/>
      <c r="O56" s="26"/>
      <c r="Q56" s="291"/>
      <c r="R56" s="1253">
        <f>IF((IF('2'!$E60&lt;1,(38.21*((R$37*$T$15/(0.00001*$T$13))^1.053)),(44.62*((R$37*$T$15/(0.00001*$T$13))^1.053)*('2'!$E60^1.16))))&lt;(R$37*$T$15*'2'!$I60/'4'!$D51),(IF('2'!$E60&lt;1,(38.21*((R$37*$T$15/(0.00001*$T$13))^1.053)),(44.62*((R$37*$T$15/(0.00001*$T$13))^1.053)*('2'!$E60^1.16)))),(R$37*$T$15*'2'!$I60/'4'!$D51))</f>
        <v>1878565.8281358029</v>
      </c>
      <c r="S56" s="1253">
        <f>IF((IF('2'!$E60&lt;1,(38.21*((S$37*$T$15/(0.00001*$T$13))^1.053)),(44.62*((S$37*$T$15/(0.00001*$T$13))^1.053)*('2'!$E60^1.16))))&lt;(S$37*$T$15*'2'!$I60/'4'!$D51),(IF('2'!$E60&lt;1,(38.21*((S$37*$T$15/(0.00001*$T$13))^1.053)),(44.62*((S$37*$T$15/(0.00001*$T$13))^1.053)*('2'!$E60^1.16)))),(S$37*$T$15*'2'!$I60/'4'!$D51))</f>
        <v>3757131.6562716058</v>
      </c>
      <c r="T56" s="1253">
        <f>IF((IF('2'!$E60&lt;1,(38.21*((T$37*$T$15/(0.00001*$T$13))^1.053)),(44.62*((T$37*$T$15/(0.00001*$T$13))^1.053)*('2'!$E60^1.16))))&lt;(T$37*$T$15*'2'!$I60/'4'!$D51),(IF('2'!$E60&lt;1,(38.21*((T$37*$T$15/(0.00001*$T$13))^1.053)),(44.62*((T$37*$T$15/(0.00001*$T$13))^1.053)*('2'!$E60^1.16)))),(T$37*$T$15*'2'!$I60/'4'!$D51))</f>
        <v>5635697.4844074082</v>
      </c>
      <c r="U56" s="1253">
        <f>IF((IF('2'!$E60&lt;1,(38.21*((U$37*$T$15/(0.00001*$T$13))^1.053)),(44.62*((U$37*$T$15/(0.00001*$T$13))^1.053)*('2'!$E60^1.16))))&lt;(U$37*$T$15*'2'!$I60/'4'!$D51),(IF('2'!$E60&lt;1,(38.21*((U$37*$T$15/(0.00001*$T$13))^1.053)),(44.62*((U$37*$T$15/(0.00001*$T$13))^1.053)*('2'!$E60^1.16)))),(U$37*$T$15*'2'!$I60/'4'!$D51))</f>
        <v>7514263.3125432115</v>
      </c>
      <c r="V56" s="1253">
        <f>IF((IF('2'!$E60&lt;1,(38.21*((V$37*$T$15/(0.00001*$T$13))^1.053)),(44.62*((V$37*$T$15/(0.00001*$T$13))^1.053)*('2'!$E60^1.16))))&lt;(V$37*$T$15*'2'!$I60/'4'!$D51),(IF('2'!$E60&lt;1,(38.21*((V$37*$T$15/(0.00001*$T$13))^1.053)),(44.62*((V$37*$T$15/(0.00001*$T$13))^1.053)*('2'!$E60^1.16)))),(V$37*$T$15*'2'!$I60/'4'!$D51))</f>
        <v>9392829.140679013</v>
      </c>
      <c r="W56" s="1253">
        <f>IF((IF('2'!$E60&lt;1,(38.21*((W$37*$T$15/(0.00001*$T$13))^1.053)),(44.62*((W$37*$T$15/(0.00001*$T$13))^1.053)*('2'!$E60^1.16))))&lt;(W$37*$T$15*'2'!$I60/'4'!$D51),(IF('2'!$E60&lt;1,(38.21*((W$37*$T$15/(0.00001*$T$13))^1.053)),(44.62*((W$37*$T$15/(0.00001*$T$13))^1.053)*('2'!$E60^1.16)))),(W$37*$T$15*'2'!$I60/'4'!$D51))</f>
        <v>11271394.968814816</v>
      </c>
      <c r="X56" s="1253">
        <f>IF((IF('2'!$E60&lt;1,(38.21*((X$37*$T$15/(0.00001*$T$13))^1.053)),(44.62*((X$37*$T$15/(0.00001*$T$13))^1.053)*('2'!$E60^1.16))))&lt;(X$37*$T$15*'2'!$I60/'4'!$D51),(IF('2'!$E60&lt;1,(38.21*((X$37*$T$15/(0.00001*$T$13))^1.053)),(44.62*((X$37*$T$15/(0.00001*$T$13))^1.053)*('2'!$E60^1.16)))),(X$37*$T$15*'2'!$I60/'4'!$D51))</f>
        <v>13149960.79695062</v>
      </c>
      <c r="Y56" s="1253">
        <f>IF((IF('2'!$E60&lt;1,(38.21*((Y$37*$T$15/(0.00001*$T$13))^1.053)),(44.62*((Y$37*$T$15/(0.00001*$T$13))^1.053)*('2'!$E60^1.16))))&lt;(Y$37*$T$15*'2'!$I60/'4'!$D51),(IF('2'!$E60&lt;1,(38.21*((Y$37*$T$15/(0.00001*$T$13))^1.053)),(44.62*((Y$37*$T$15/(0.00001*$T$13))^1.053)*('2'!$E60^1.16)))),(Y$37*$T$15*'2'!$I60/'4'!$D51))</f>
        <v>15028526.625086423</v>
      </c>
      <c r="Z56" s="1253">
        <f>IF((IF('2'!$E60&lt;1,(38.21*((Z$37*$T$15/(0.00001*$T$13))^1.053)),(44.62*((Z$37*$T$15/(0.00001*$T$13))^1.053)*('2'!$E60^1.16))))&lt;(Z$37*$T$15*'2'!$I60/'4'!$D51),(IF('2'!$E60&lt;1,(38.21*((Z$37*$T$15/(0.00001*$T$13))^1.053)),(44.62*((Z$37*$T$15/(0.00001*$T$13))^1.053)*('2'!$E60^1.16)))),(Z$37*$T$15*'2'!$I60/'4'!$D51))</f>
        <v>16907092.453222223</v>
      </c>
      <c r="AA56" s="1253">
        <f>IF((IF('2'!$E60&lt;1,(38.21*((AA$37*$T$15/(0.00001*$T$13))^1.053)),(44.62*((AA$37*$T$15/(0.00001*$T$13))^1.053)*('2'!$E60^1.16))))&lt;(AA$37*$T$15*'2'!$I60/'4'!$D51),(IF('2'!$E60&lt;1,(38.21*((AA$37*$T$15/(0.00001*$T$13))^1.053)),(44.62*((AA$37*$T$15/(0.00001*$T$13))^1.053)*('2'!$E60^1.16)))),(AA$37*$T$15*'2'!$I60/'4'!$D51))</f>
        <v>18785658.281358026</v>
      </c>
      <c r="AB56" s="100">
        <f>IF(R$37&lt;$T$9,(1.16*(1.328/SQRT(R56))*'2'!$K60*$T$12*$T$20*$AL$10),IF(R56&lt;1000000,((1.328/SQRT(R56))*'2'!$K60*$T$12*$T$20*$AL$10),(0.455/((LOG(R56)^2.58)*(1+0.144*'2'!$E60^2)^0.65)))*'2'!$K60*$T$12*$T$20*$AL$10)</f>
        <v>0.5883606974509179</v>
      </c>
      <c r="AC56" s="100">
        <f>IF(S$37&lt;$T$9,(1.16*(1.328/SQRT(S56))*'2'!$K60*$T$12*$T$20*$AL$11),IF(S56&lt;1000000,((1.328/SQRT(S56))*'2'!$K60*$T$12*$T$20*$AL$11),(0.455/((LOG(S56)^2.58)*(1+0.144*'2'!$E60^2)^0.65)))*'2'!$K60*$T$12*$T$20*$AL$11)</f>
        <v>2.398354336833147</v>
      </c>
      <c r="AD56" s="100">
        <f>IF(T$37&lt;$T$9,(1.16*(1.328/SQRT(T56))*'2'!$K60*$T$12*$T$20*$AL$12),IF(T56&lt;1000000,((1.328/SQRT(T56))*'2'!$K60*$T$12*$T$20*$AL$12),(0.455/((LOG(T56)^2.58)*(1+0.144*'2'!$E60^2)^0.65)))*'2'!$K60*$T$12*$T$20*$AL$12)</f>
        <v>2.1196329216082734</v>
      </c>
      <c r="AE56" s="100">
        <f>IF(U$37&lt;$T$9,(1.16*(1.328/SQRT(U56))*'2'!$K60*$T$12*$T$20*$AL$13),IF(U56&lt;1000000,((1.328/SQRT(U56))*'2'!$K60*$T$12*$T$20*$AL$13),(0.455/((LOG(U56)^2.58)*(1+0.144*'2'!$E60^2)^0.65)))*'2'!$K60*$T$12*$T$20*$AL$13)</f>
        <v>1.8080116915386661</v>
      </c>
      <c r="AF56" s="100">
        <f>IF(V$37&lt;$T$9,(1.16*(1.328/SQRT(V56))*'2'!$K60*$T$12*$T$20*$AL$14),IF(V56&lt;1000000,((1.328/SQRT(V56))*'2'!$K60*$T$12*$T$20*$AL$14),(0.455/((LOG(V56)^2.58)*(1+0.144*'2'!$E60^2)^0.65)))*'2'!$K60*$T$12*$T$20*$AL$14)</f>
        <v>1.5060873493210167</v>
      </c>
      <c r="AG56" s="100">
        <f>IF(W$37&lt;$T$9,(1.16*(1.328/SQRT(W56))*'2'!$K60*$T$12*$T$20*$AL$15),IF(W56&lt;1000000,((1.328/SQRT(W56))*'2'!$K60*$T$12*$T$20*$AL$15),(0.455/((LOG(W56)^2.58)*(1+0.144*'2'!$E60^2)^0.65)))*'2'!$K60*$T$12*$T$20*$AL$15)</f>
        <v>1.231868557617706</v>
      </c>
      <c r="AH56" s="100">
        <f>IF(X$37&lt;$T$9,(1.16*(1.328/SQRT(X56))*'2'!$K60*$T$12*$T$20*$AL$16),IF(X56&lt;1000000,((1.328/SQRT(X56))*'2'!$K60*$T$12*$T$20*$AL$16),(0.455/((LOG(X56)^2.58)*(1+0.144*'2'!$E60^2)^0.65)))*'2'!$K60*$T$12*$T$20*$AL$16)</f>
        <v>0.9767891416815172</v>
      </c>
      <c r="AI56" s="100">
        <f>IF(Y$37&lt;$T$9,(1.16*(1.328/SQRT(Y56))*'2'!$K60*$T$12*$T$20*$AL$17),IF(Y56&lt;1000000,((1.328/SQRT(Y56))*'2'!$K60*$T$12*$T$20*$AL$17),(0.455/((LOG(Y56)^2.58)*(1+0.144*'2'!$E60^2)^0.65)))*'2'!$K60*$T$12*$T$20*$AL$17)</f>
        <v>0.73581194292478036</v>
      </c>
      <c r="AJ56" s="100">
        <f>IF(Z$37&lt;$T$9,(1.16*(1.328/SQRT(Z56))*'2'!$K60*$T$12*$T$20*$AL$18),IF(Z56&lt;1000000,((1.328/SQRT(Z56))*'2'!$K60*$T$12*$T$20*$AL$18),(0.455/((LOG(Z56)^2.58)*(1+0.144*'2'!$E60^2)^0.65)))*'2'!$K60*$T$12*$T$20*$AL$18)</f>
        <v>0.5057165034987614</v>
      </c>
      <c r="AK56" s="100">
        <f>IF(AA$37&lt;$T$9,(1.16*(1.328/SQRT(AA56))*'2'!$K60*$T$12*$T$20*$AL$19),IF(AA56&lt;1000000,((1.328/SQRT(AA56))*'2'!$K60*$T$12*$T$20*$AL$19),(0.455/((LOG(AA56)^2.58)*(1+0.144*'2'!$E60^2)^0.65)))*'2'!$K60*$T$12*$T$20*$AL$19)</f>
        <v>0.35539246881760073</v>
      </c>
      <c r="AL56" s="52">
        <f t="shared" si="16"/>
        <v>12.226025611292384</v>
      </c>
      <c r="AM56" s="100">
        <f>IF('2'!E60&lt;1,0,(IF(T$5&lt;4,(((9/2)*T$16*PI()/((SUM(AC$9:AC$19))^2)))*T$16*'2'!K60*T$14*(1-((0.386*(('2'!E60-1.2)^0.57))*(1-(PI()*(('4'!E$16^0.77)/100))))),(IF(T$5=4,((4*T$16/(PI()*((T$15/2)^2)))*T$16*'2'!K60),(((9*PI()/2)*T$16/(((T$15)^2)))*T$16*'2'!K60))))))</f>
        <v>0</v>
      </c>
      <c r="AN56" s="52">
        <f t="shared" si="17"/>
        <v>12.226025611292384</v>
      </c>
      <c r="AO56" s="193">
        <f>AN56/('2'!K60*'4'!$L$15)</f>
        <v>4.2156588446193057E-3</v>
      </c>
      <c r="AP56" s="26"/>
    </row>
    <row r="57" spans="2:42" ht="13.8">
      <c r="B57" s="154" t="s">
        <v>409</v>
      </c>
      <c r="C57" s="150" t="s">
        <v>165</v>
      </c>
      <c r="D57" s="1354">
        <v>4</v>
      </c>
      <c r="E57" s="140"/>
      <c r="F57" s="140"/>
      <c r="G57" s="145" t="s">
        <v>410</v>
      </c>
      <c r="H57" s="140"/>
      <c r="I57" s="933" t="s">
        <v>408</v>
      </c>
      <c r="J57" s="140"/>
      <c r="K57" s="140"/>
      <c r="L57" s="140"/>
      <c r="M57" s="934"/>
      <c r="N57" s="25"/>
      <c r="O57" s="26"/>
      <c r="Q57" s="291"/>
      <c r="R57" s="1253">
        <f>IF((IF('2'!$E61&lt;1,(38.21*((R$37*$T$15/(0.00001*$T$13))^1.053)),(44.62*((R$37*$T$15/(0.00001*$T$13))^1.053)*('2'!$E61^1.16))))&lt;(R$37*$T$15*'2'!$I61/'4'!$D52),(IF('2'!$E61&lt;1,(38.21*((R$37*$T$15/(0.00001*$T$13))^1.053)),(44.62*((R$37*$T$15/(0.00001*$T$13))^1.053)*('2'!$E61^1.16)))),(R$37*$T$15*'2'!$I61/'4'!$D52))</f>
        <v>1878565.8281358029</v>
      </c>
      <c r="S57" s="1253">
        <f>IF((IF('2'!$E61&lt;1,(38.21*((S$37*$T$15/(0.00001*$T$13))^1.053)),(44.62*((S$37*$T$15/(0.00001*$T$13))^1.053)*('2'!$E61^1.16))))&lt;(S$37*$T$15*'2'!$I61/'4'!$D52),(IF('2'!$E61&lt;1,(38.21*((S$37*$T$15/(0.00001*$T$13))^1.053)),(44.62*((S$37*$T$15/(0.00001*$T$13))^1.053)*('2'!$E61^1.16)))),(S$37*$T$15*'2'!$I61/'4'!$D52))</f>
        <v>3757131.6562716058</v>
      </c>
      <c r="T57" s="1253">
        <f>IF((IF('2'!$E61&lt;1,(38.21*((T$37*$T$15/(0.00001*$T$13))^1.053)),(44.62*((T$37*$T$15/(0.00001*$T$13))^1.053)*('2'!$E61^1.16))))&lt;(T$37*$T$15*'2'!$I61/'4'!$D52),(IF('2'!$E61&lt;1,(38.21*((T$37*$T$15/(0.00001*$T$13))^1.053)),(44.62*((T$37*$T$15/(0.00001*$T$13))^1.053)*('2'!$E61^1.16)))),(T$37*$T$15*'2'!$I61/'4'!$D52))</f>
        <v>5635697.4844074082</v>
      </c>
      <c r="U57" s="1253">
        <f>IF((IF('2'!$E61&lt;1,(38.21*((U$37*$T$15/(0.00001*$T$13))^1.053)),(44.62*((U$37*$T$15/(0.00001*$T$13))^1.053)*('2'!$E61^1.16))))&lt;(U$37*$T$15*'2'!$I61/'4'!$D52),(IF('2'!$E61&lt;1,(38.21*((U$37*$T$15/(0.00001*$T$13))^1.053)),(44.62*((U$37*$T$15/(0.00001*$T$13))^1.053)*('2'!$E61^1.16)))),(U$37*$T$15*'2'!$I61/'4'!$D52))</f>
        <v>7514263.3125432115</v>
      </c>
      <c r="V57" s="1253">
        <f>IF((IF('2'!$E61&lt;1,(38.21*((V$37*$T$15/(0.00001*$T$13))^1.053)),(44.62*((V$37*$T$15/(0.00001*$T$13))^1.053)*('2'!$E61^1.16))))&lt;(V$37*$T$15*'2'!$I61/'4'!$D52),(IF('2'!$E61&lt;1,(38.21*((V$37*$T$15/(0.00001*$T$13))^1.053)),(44.62*((V$37*$T$15/(0.00001*$T$13))^1.053)*('2'!$E61^1.16)))),(V$37*$T$15*'2'!$I61/'4'!$D52))</f>
        <v>9392829.140679013</v>
      </c>
      <c r="W57" s="1253">
        <f>IF((IF('2'!$E61&lt;1,(38.21*((W$37*$T$15/(0.00001*$T$13))^1.053)),(44.62*((W$37*$T$15/(0.00001*$T$13))^1.053)*('2'!$E61^1.16))))&lt;(W$37*$T$15*'2'!$I61/'4'!$D52),(IF('2'!$E61&lt;1,(38.21*((W$37*$T$15/(0.00001*$T$13))^1.053)),(44.62*((W$37*$T$15/(0.00001*$T$13))^1.053)*('2'!$E61^1.16)))),(W$37*$T$15*'2'!$I61/'4'!$D52))</f>
        <v>11271394.968814816</v>
      </c>
      <c r="X57" s="1253">
        <f>IF((IF('2'!$E61&lt;1,(38.21*((X$37*$T$15/(0.00001*$T$13))^1.053)),(44.62*((X$37*$T$15/(0.00001*$T$13))^1.053)*('2'!$E61^1.16))))&lt;(X$37*$T$15*'2'!$I61/'4'!$D52),(IF('2'!$E61&lt;1,(38.21*((X$37*$T$15/(0.00001*$T$13))^1.053)),(44.62*((X$37*$T$15/(0.00001*$T$13))^1.053)*('2'!$E61^1.16)))),(X$37*$T$15*'2'!$I61/'4'!$D52))</f>
        <v>13149960.79695062</v>
      </c>
      <c r="Y57" s="1253">
        <f>IF((IF('2'!$E61&lt;1,(38.21*((Y$37*$T$15/(0.00001*$T$13))^1.053)),(44.62*((Y$37*$T$15/(0.00001*$T$13))^1.053)*('2'!$E61^1.16))))&lt;(Y$37*$T$15*'2'!$I61/'4'!$D52),(IF('2'!$E61&lt;1,(38.21*((Y$37*$T$15/(0.00001*$T$13))^1.053)),(44.62*((Y$37*$T$15/(0.00001*$T$13))^1.053)*('2'!$E61^1.16)))),(Y$37*$T$15*'2'!$I61/'4'!$D52))</f>
        <v>15028526.625086423</v>
      </c>
      <c r="Z57" s="1253">
        <f>IF((IF('2'!$E61&lt;1,(38.21*((Z$37*$T$15/(0.00001*$T$13))^1.053)),(44.62*((Z$37*$T$15/(0.00001*$T$13))^1.053)*('2'!$E61^1.16))))&lt;(Z$37*$T$15*'2'!$I61/'4'!$D52),(IF('2'!$E61&lt;1,(38.21*((Z$37*$T$15/(0.00001*$T$13))^1.053)),(44.62*((Z$37*$T$15/(0.00001*$T$13))^1.053)*('2'!$E61^1.16)))),(Z$37*$T$15*'2'!$I61/'4'!$D52))</f>
        <v>16907092.453222223</v>
      </c>
      <c r="AA57" s="1253">
        <f>IF((IF('2'!$E61&lt;1,(38.21*((AA$37*$T$15/(0.00001*$T$13))^1.053)),(44.62*((AA$37*$T$15/(0.00001*$T$13))^1.053)*('2'!$E61^1.16))))&lt;(AA$37*$T$15*'2'!$I61/'4'!$D52),(IF('2'!$E61&lt;1,(38.21*((AA$37*$T$15/(0.00001*$T$13))^1.053)),(44.62*((AA$37*$T$15/(0.00001*$T$13))^1.053)*('2'!$E61^1.16)))),(AA$37*$T$15*'2'!$I61/'4'!$D52))</f>
        <v>18785658.281358026</v>
      </c>
      <c r="AB57" s="100">
        <f>IF(R$37&lt;$T$9,(1.16*(1.328/SQRT(R57))*'2'!$K61*$T$12*$T$20*$AL$10),IF(R57&lt;1000000,((1.328/SQRT(R57))*'2'!$K61*$T$12*$T$20*$AL$10),(0.455/((LOG(R57)^2.58)*(1+0.144*'2'!$E61^2)^0.65)))*'2'!$K61*$T$12*$T$20*$AL$10)</f>
        <v>0.5883606974509179</v>
      </c>
      <c r="AC57" s="100">
        <f>IF(S$37&lt;$T$9,(1.16*(1.328/SQRT(S57))*'2'!$K61*$T$12*$T$20*$AL$11),IF(S57&lt;1000000,((1.328/SQRT(S57))*'2'!$K61*$T$12*$T$20*$AL$11),(0.455/((LOG(S57)^2.58)*(1+0.144*'2'!$E61^2)^0.65)))*'2'!$K61*$T$12*$T$20*$AL$11)</f>
        <v>2.398354336833147</v>
      </c>
      <c r="AD57" s="100">
        <f>IF(T$37&lt;$T$9,(1.16*(1.328/SQRT(T57))*'2'!$K61*$T$12*$T$20*$AL$12),IF(T57&lt;1000000,((1.328/SQRT(T57))*'2'!$K61*$T$12*$T$20*$AL$12),(0.455/((LOG(T57)^2.58)*(1+0.144*'2'!$E61^2)^0.65)))*'2'!$K61*$T$12*$T$20*$AL$12)</f>
        <v>2.1196329216082734</v>
      </c>
      <c r="AE57" s="100">
        <f>IF(U$37&lt;$T$9,(1.16*(1.328/SQRT(U57))*'2'!$K61*$T$12*$T$20*$AL$13),IF(U57&lt;1000000,((1.328/SQRT(U57))*'2'!$K61*$T$12*$T$20*$AL$13),(0.455/((LOG(U57)^2.58)*(1+0.144*'2'!$E61^2)^0.65)))*'2'!$K61*$T$12*$T$20*$AL$13)</f>
        <v>1.8080116915386661</v>
      </c>
      <c r="AF57" s="100">
        <f>IF(V$37&lt;$T$9,(1.16*(1.328/SQRT(V57))*'2'!$K61*$T$12*$T$20*$AL$14),IF(V57&lt;1000000,((1.328/SQRT(V57))*'2'!$K61*$T$12*$T$20*$AL$14),(0.455/((LOG(V57)^2.58)*(1+0.144*'2'!$E61^2)^0.65)))*'2'!$K61*$T$12*$T$20*$AL$14)</f>
        <v>1.5060873493210167</v>
      </c>
      <c r="AG57" s="100">
        <f>IF(W$37&lt;$T$9,(1.16*(1.328/SQRT(W57))*'2'!$K61*$T$12*$T$20*$AL$15),IF(W57&lt;1000000,((1.328/SQRT(W57))*'2'!$K61*$T$12*$T$20*$AL$15),(0.455/((LOG(W57)^2.58)*(1+0.144*'2'!$E61^2)^0.65)))*'2'!$K61*$T$12*$T$20*$AL$15)</f>
        <v>1.231868557617706</v>
      </c>
      <c r="AH57" s="100">
        <f>IF(X$37&lt;$T$9,(1.16*(1.328/SQRT(X57))*'2'!$K61*$T$12*$T$20*$AL$16),IF(X57&lt;1000000,((1.328/SQRT(X57))*'2'!$K61*$T$12*$T$20*$AL$16),(0.455/((LOG(X57)^2.58)*(1+0.144*'2'!$E61^2)^0.65)))*'2'!$K61*$T$12*$T$20*$AL$16)</f>
        <v>0.9767891416815172</v>
      </c>
      <c r="AI57" s="100">
        <f>IF(Y$37&lt;$T$9,(1.16*(1.328/SQRT(Y57))*'2'!$K61*$T$12*$T$20*$AL$17),IF(Y57&lt;1000000,((1.328/SQRT(Y57))*'2'!$K61*$T$12*$T$20*$AL$17),(0.455/((LOG(Y57)^2.58)*(1+0.144*'2'!$E61^2)^0.65)))*'2'!$K61*$T$12*$T$20*$AL$17)</f>
        <v>0.73581194292478036</v>
      </c>
      <c r="AJ57" s="100">
        <f>IF(Z$37&lt;$T$9,(1.16*(1.328/SQRT(Z57))*'2'!$K61*$T$12*$T$20*$AL$18),IF(Z57&lt;1000000,((1.328/SQRT(Z57))*'2'!$K61*$T$12*$T$20*$AL$18),(0.455/((LOG(Z57)^2.58)*(1+0.144*'2'!$E61^2)^0.65)))*'2'!$K61*$T$12*$T$20*$AL$18)</f>
        <v>0.5057165034987614</v>
      </c>
      <c r="AK57" s="100">
        <f>IF(AA$37&lt;$T$9,(1.16*(1.328/SQRT(AA57))*'2'!$K61*$T$12*$T$20*$AL$19),IF(AA57&lt;1000000,((1.328/SQRT(AA57))*'2'!$K61*$T$12*$T$20*$AL$19),(0.455/((LOG(AA57)^2.58)*(1+0.144*'2'!$E61^2)^0.65)))*'2'!$K61*$T$12*$T$20*$AL$19)</f>
        <v>0.35539246881760073</v>
      </c>
      <c r="AL57" s="52">
        <f t="shared" si="16"/>
        <v>12.226025611292384</v>
      </c>
      <c r="AM57" s="100">
        <f>IF('2'!E61&lt;1,0,(IF(T$5&lt;4,(((9/2)*T$16*PI()/((SUM(AC$9:AC$19))^2)))*T$16*'2'!K61*T$14*(1-((0.386*(('2'!E61-1.2)^0.57))*(1-(PI()*(('4'!E$16^0.77)/100))))),(IF(T$5=4,((4*T$16/(PI()*((T$15/2)^2)))*T$16*'2'!K61),(((9*PI()/2)*T$16/(((T$15)^2)))*T$16*'2'!K61))))))</f>
        <v>0</v>
      </c>
      <c r="AN57" s="52">
        <f t="shared" si="17"/>
        <v>12.226025611292384</v>
      </c>
      <c r="AO57" s="193">
        <f>AN57/('2'!K61*'4'!$L$15)</f>
        <v>4.2156588446193057E-3</v>
      </c>
      <c r="AP57" s="26"/>
    </row>
    <row r="58" spans="2:42" ht="13.8">
      <c r="B58" s="154" t="s">
        <v>413</v>
      </c>
      <c r="C58" s="150" t="s">
        <v>414</v>
      </c>
      <c r="D58" s="140">
        <f>'3'!E12</f>
        <v>45</v>
      </c>
      <c r="E58" s="140"/>
      <c r="F58" s="140"/>
      <c r="G58" s="145" t="s">
        <v>415</v>
      </c>
      <c r="H58" s="140"/>
      <c r="I58" s="935"/>
      <c r="J58" s="147" t="s">
        <v>411</v>
      </c>
      <c r="K58" s="147" t="s">
        <v>412</v>
      </c>
      <c r="L58" s="140"/>
      <c r="M58" s="934"/>
      <c r="N58" s="25"/>
      <c r="O58" s="26"/>
      <c r="Q58" s="291"/>
      <c r="R58" s="1253">
        <f>IF((IF('2'!$E62&lt;1,(38.21*((R$37*$T$15/(0.00001*$T$13))^1.053)),(44.62*((R$37*$T$15/(0.00001*$T$13))^1.053)*('2'!$E62^1.16))))&lt;(R$37*$T$15*'2'!$I62/'4'!$D53),(IF('2'!$E62&lt;1,(38.21*((R$37*$T$15/(0.00001*$T$13))^1.053)),(44.62*((R$37*$T$15/(0.00001*$T$13))^1.053)*('2'!$E62^1.16)))),(R$37*$T$15*'2'!$I62/'4'!$D53))</f>
        <v>1878565.8281358029</v>
      </c>
      <c r="S58" s="1253">
        <f>IF((IF('2'!$E62&lt;1,(38.21*((S$37*$T$15/(0.00001*$T$13))^1.053)),(44.62*((S$37*$T$15/(0.00001*$T$13))^1.053)*('2'!$E62^1.16))))&lt;(S$37*$T$15*'2'!$I62/'4'!$D53),(IF('2'!$E62&lt;1,(38.21*((S$37*$T$15/(0.00001*$T$13))^1.053)),(44.62*((S$37*$T$15/(0.00001*$T$13))^1.053)*('2'!$E62^1.16)))),(S$37*$T$15*'2'!$I62/'4'!$D53))</f>
        <v>3757131.6562716058</v>
      </c>
      <c r="T58" s="1253">
        <f>IF((IF('2'!$E62&lt;1,(38.21*((T$37*$T$15/(0.00001*$T$13))^1.053)),(44.62*((T$37*$T$15/(0.00001*$T$13))^1.053)*('2'!$E62^1.16))))&lt;(T$37*$T$15*'2'!$I62/'4'!$D53),(IF('2'!$E62&lt;1,(38.21*((T$37*$T$15/(0.00001*$T$13))^1.053)),(44.62*((T$37*$T$15/(0.00001*$T$13))^1.053)*('2'!$E62^1.16)))),(T$37*$T$15*'2'!$I62/'4'!$D53))</f>
        <v>5635697.4844074082</v>
      </c>
      <c r="U58" s="1253">
        <f>IF((IF('2'!$E62&lt;1,(38.21*((U$37*$T$15/(0.00001*$T$13))^1.053)),(44.62*((U$37*$T$15/(0.00001*$T$13))^1.053)*('2'!$E62^1.16))))&lt;(U$37*$T$15*'2'!$I62/'4'!$D53),(IF('2'!$E62&lt;1,(38.21*((U$37*$T$15/(0.00001*$T$13))^1.053)),(44.62*((U$37*$T$15/(0.00001*$T$13))^1.053)*('2'!$E62^1.16)))),(U$37*$T$15*'2'!$I62/'4'!$D53))</f>
        <v>7514263.3125432115</v>
      </c>
      <c r="V58" s="1253">
        <f>IF((IF('2'!$E62&lt;1,(38.21*((V$37*$T$15/(0.00001*$T$13))^1.053)),(44.62*((V$37*$T$15/(0.00001*$T$13))^1.053)*('2'!$E62^1.16))))&lt;(V$37*$T$15*'2'!$I62/'4'!$D53),(IF('2'!$E62&lt;1,(38.21*((V$37*$T$15/(0.00001*$T$13))^1.053)),(44.62*((V$37*$T$15/(0.00001*$T$13))^1.053)*('2'!$E62^1.16)))),(V$37*$T$15*'2'!$I62/'4'!$D53))</f>
        <v>9392829.140679013</v>
      </c>
      <c r="W58" s="1253">
        <f>IF((IF('2'!$E62&lt;1,(38.21*((W$37*$T$15/(0.00001*$T$13))^1.053)),(44.62*((W$37*$T$15/(0.00001*$T$13))^1.053)*('2'!$E62^1.16))))&lt;(W$37*$T$15*'2'!$I62/'4'!$D53),(IF('2'!$E62&lt;1,(38.21*((W$37*$T$15/(0.00001*$T$13))^1.053)),(44.62*((W$37*$T$15/(0.00001*$T$13))^1.053)*('2'!$E62^1.16)))),(W$37*$T$15*'2'!$I62/'4'!$D53))</f>
        <v>11271394.968814816</v>
      </c>
      <c r="X58" s="1253">
        <f>IF((IF('2'!$E62&lt;1,(38.21*((X$37*$T$15/(0.00001*$T$13))^1.053)),(44.62*((X$37*$T$15/(0.00001*$T$13))^1.053)*('2'!$E62^1.16))))&lt;(X$37*$T$15*'2'!$I62/'4'!$D53),(IF('2'!$E62&lt;1,(38.21*((X$37*$T$15/(0.00001*$T$13))^1.053)),(44.62*((X$37*$T$15/(0.00001*$T$13))^1.053)*('2'!$E62^1.16)))),(X$37*$T$15*'2'!$I62/'4'!$D53))</f>
        <v>13149960.79695062</v>
      </c>
      <c r="Y58" s="1253">
        <f>IF((IF('2'!$E62&lt;1,(38.21*((Y$37*$T$15/(0.00001*$T$13))^1.053)),(44.62*((Y$37*$T$15/(0.00001*$T$13))^1.053)*('2'!$E62^1.16))))&lt;(Y$37*$T$15*'2'!$I62/'4'!$D53),(IF('2'!$E62&lt;1,(38.21*((Y$37*$T$15/(0.00001*$T$13))^1.053)),(44.62*((Y$37*$T$15/(0.00001*$T$13))^1.053)*('2'!$E62^1.16)))),(Y$37*$T$15*'2'!$I62/'4'!$D53))</f>
        <v>15028526.625086423</v>
      </c>
      <c r="Z58" s="1253">
        <f>IF((IF('2'!$E62&lt;1,(38.21*((Z$37*$T$15/(0.00001*$T$13))^1.053)),(44.62*((Z$37*$T$15/(0.00001*$T$13))^1.053)*('2'!$E62^1.16))))&lt;(Z$37*$T$15*'2'!$I62/'4'!$D53),(IF('2'!$E62&lt;1,(38.21*((Z$37*$T$15/(0.00001*$T$13))^1.053)),(44.62*((Z$37*$T$15/(0.00001*$T$13))^1.053)*('2'!$E62^1.16)))),(Z$37*$T$15*'2'!$I62/'4'!$D53))</f>
        <v>16907092.453222223</v>
      </c>
      <c r="AA58" s="1253">
        <f>IF((IF('2'!$E62&lt;1,(38.21*((AA$37*$T$15/(0.00001*$T$13))^1.053)),(44.62*((AA$37*$T$15/(0.00001*$T$13))^1.053)*('2'!$E62^1.16))))&lt;(AA$37*$T$15*'2'!$I62/'4'!$D53),(IF('2'!$E62&lt;1,(38.21*((AA$37*$T$15/(0.00001*$T$13))^1.053)),(44.62*((AA$37*$T$15/(0.00001*$T$13))^1.053)*('2'!$E62^1.16)))),(AA$37*$T$15*'2'!$I62/'4'!$D53))</f>
        <v>18785658.281358026</v>
      </c>
      <c r="AB58" s="100">
        <f>IF(R$37&lt;$T$9,(1.16*(1.328/SQRT(R58))*'2'!$K62*$T$12*$T$20*$AL$10),IF(R58&lt;1000000,((1.328/SQRT(R58))*'2'!$K62*$T$12*$T$20*$AL$10),(0.455/((LOG(R58)^2.58)*(1+0.144*'2'!$E62^2)^0.65)))*'2'!$K62*$T$12*$T$20*$AL$10)</f>
        <v>0.5883606974509179</v>
      </c>
      <c r="AC58" s="100">
        <f>IF(S$37&lt;$T$9,(1.16*(1.328/SQRT(S58))*'2'!$K62*$T$12*$T$20*$AL$11),IF(S58&lt;1000000,((1.328/SQRT(S58))*'2'!$K62*$T$12*$T$20*$AL$11),(0.455/((LOG(S58)^2.58)*(1+0.144*'2'!$E62^2)^0.65)))*'2'!$K62*$T$12*$T$20*$AL$11)</f>
        <v>2.398354336833147</v>
      </c>
      <c r="AD58" s="100">
        <f>IF(T$37&lt;$T$9,(1.16*(1.328/SQRT(T58))*'2'!$K62*$T$12*$T$20*$AL$12),IF(T58&lt;1000000,((1.328/SQRT(T58))*'2'!$K62*$T$12*$T$20*$AL$12),(0.455/((LOG(T58)^2.58)*(1+0.144*'2'!$E62^2)^0.65)))*'2'!$K62*$T$12*$T$20*$AL$12)</f>
        <v>2.1196329216082734</v>
      </c>
      <c r="AE58" s="100">
        <f>IF(U$37&lt;$T$9,(1.16*(1.328/SQRT(U58))*'2'!$K62*$T$12*$T$20*$AL$13),IF(U58&lt;1000000,((1.328/SQRT(U58))*'2'!$K62*$T$12*$T$20*$AL$13),(0.455/((LOG(U58)^2.58)*(1+0.144*'2'!$E62^2)^0.65)))*'2'!$K62*$T$12*$T$20*$AL$13)</f>
        <v>1.8080116915386661</v>
      </c>
      <c r="AF58" s="100">
        <f>IF(V$37&lt;$T$9,(1.16*(1.328/SQRT(V58))*'2'!$K62*$T$12*$T$20*$AL$14),IF(V58&lt;1000000,((1.328/SQRT(V58))*'2'!$K62*$T$12*$T$20*$AL$14),(0.455/((LOG(V58)^2.58)*(1+0.144*'2'!$E62^2)^0.65)))*'2'!$K62*$T$12*$T$20*$AL$14)</f>
        <v>1.5060873493210167</v>
      </c>
      <c r="AG58" s="100">
        <f>IF(W$37&lt;$T$9,(1.16*(1.328/SQRT(W58))*'2'!$K62*$T$12*$T$20*$AL$15),IF(W58&lt;1000000,((1.328/SQRT(W58))*'2'!$K62*$T$12*$T$20*$AL$15),(0.455/((LOG(W58)^2.58)*(1+0.144*'2'!$E62^2)^0.65)))*'2'!$K62*$T$12*$T$20*$AL$15)</f>
        <v>1.231868557617706</v>
      </c>
      <c r="AH58" s="100">
        <f>IF(X$37&lt;$T$9,(1.16*(1.328/SQRT(X58))*'2'!$K62*$T$12*$T$20*$AL$16),IF(X58&lt;1000000,((1.328/SQRT(X58))*'2'!$K62*$T$12*$T$20*$AL$16),(0.455/((LOG(X58)^2.58)*(1+0.144*'2'!$E62^2)^0.65)))*'2'!$K62*$T$12*$T$20*$AL$16)</f>
        <v>0.9767891416815172</v>
      </c>
      <c r="AI58" s="100">
        <f>IF(Y$37&lt;$T$9,(1.16*(1.328/SQRT(Y58))*'2'!$K62*$T$12*$T$20*$AL$17),IF(Y58&lt;1000000,((1.328/SQRT(Y58))*'2'!$K62*$T$12*$T$20*$AL$17),(0.455/((LOG(Y58)^2.58)*(1+0.144*'2'!$E62^2)^0.65)))*'2'!$K62*$T$12*$T$20*$AL$17)</f>
        <v>0.73581194292478036</v>
      </c>
      <c r="AJ58" s="100">
        <f>IF(Z$37&lt;$T$9,(1.16*(1.328/SQRT(Z58))*'2'!$K62*$T$12*$T$20*$AL$18),IF(Z58&lt;1000000,((1.328/SQRT(Z58))*'2'!$K62*$T$12*$T$20*$AL$18),(0.455/((LOG(Z58)^2.58)*(1+0.144*'2'!$E62^2)^0.65)))*'2'!$K62*$T$12*$T$20*$AL$18)</f>
        <v>0.5057165034987614</v>
      </c>
      <c r="AK58" s="100">
        <f>IF(AA$37&lt;$T$9,(1.16*(1.328/SQRT(AA58))*'2'!$K62*$T$12*$T$20*$AL$19),IF(AA58&lt;1000000,((1.328/SQRT(AA58))*'2'!$K62*$T$12*$T$20*$AL$19),(0.455/((LOG(AA58)^2.58)*(1+0.144*'2'!$E62^2)^0.65)))*'2'!$K62*$T$12*$T$20*$AL$19)</f>
        <v>0.35539246881760073</v>
      </c>
      <c r="AL58" s="52">
        <f t="shared" si="16"/>
        <v>12.226025611292384</v>
      </c>
      <c r="AM58" s="100">
        <f>IF('2'!E62&lt;1,0,(IF(T$5&lt;4,(((9/2)*T$16*PI()/((SUM(AC$9:AC$19))^2)))*T$16*'2'!K62*T$14*(1-((0.386*(('2'!E62-1.2)^0.57))*(1-(PI()*(('4'!E$16^0.77)/100))))),(IF(T$5=4,((4*T$16/(PI()*((T$15/2)^2)))*T$16*'2'!K62),(((9*PI()/2)*T$16/(((T$15)^2)))*T$16*'2'!K62))))))</f>
        <v>0</v>
      </c>
      <c r="AN58" s="52">
        <f t="shared" si="17"/>
        <v>12.226025611292384</v>
      </c>
      <c r="AO58" s="193">
        <f>AN58/('2'!K62*'4'!$L$15)</f>
        <v>4.2156588446193057E-3</v>
      </c>
      <c r="AP58" s="26"/>
    </row>
    <row r="59" spans="2:42" ht="13.8">
      <c r="B59" s="154" t="s">
        <v>417</v>
      </c>
      <c r="C59" s="150" t="s">
        <v>359</v>
      </c>
      <c r="D59" s="140">
        <f>IF(D56&lt;=2,100,(IF(D56=3,130,150)))</f>
        <v>100</v>
      </c>
      <c r="E59" s="140"/>
      <c r="F59" s="140"/>
      <c r="G59" s="145"/>
      <c r="H59" s="140"/>
      <c r="I59" s="935" t="s">
        <v>416</v>
      </c>
      <c r="J59" s="350">
        <v>17</v>
      </c>
      <c r="K59" s="350">
        <v>35</v>
      </c>
      <c r="L59" s="140"/>
      <c r="M59" s="934"/>
      <c r="N59" s="25"/>
      <c r="O59" s="26"/>
      <c r="Q59" s="291"/>
      <c r="R59" s="1253">
        <f>IF((IF('2'!$E63&lt;1,(38.21*((R$37*$T$15/(0.00001*$T$13))^1.053)),(44.62*((R$37*$T$15/(0.00001*$T$13))^1.053)*('2'!$E63^1.16))))&lt;(R$37*$T$15*'2'!$I63/'4'!$D54),(IF('2'!$E63&lt;1,(38.21*((R$37*$T$15/(0.00001*$T$13))^1.053)),(44.62*((R$37*$T$15/(0.00001*$T$13))^1.053)*('2'!$E63^1.16)))),(R$37*$T$15*'2'!$I63/'4'!$D54))</f>
        <v>1878565.8281358029</v>
      </c>
      <c r="S59" s="1253">
        <f>IF((IF('2'!$E63&lt;1,(38.21*((S$37*$T$15/(0.00001*$T$13))^1.053)),(44.62*((S$37*$T$15/(0.00001*$T$13))^1.053)*('2'!$E63^1.16))))&lt;(S$37*$T$15*'2'!$I63/'4'!$D54),(IF('2'!$E63&lt;1,(38.21*((S$37*$T$15/(0.00001*$T$13))^1.053)),(44.62*((S$37*$T$15/(0.00001*$T$13))^1.053)*('2'!$E63^1.16)))),(S$37*$T$15*'2'!$I63/'4'!$D54))</f>
        <v>3757131.6562716058</v>
      </c>
      <c r="T59" s="1253">
        <f>IF((IF('2'!$E63&lt;1,(38.21*((T$37*$T$15/(0.00001*$T$13))^1.053)),(44.62*((T$37*$T$15/(0.00001*$T$13))^1.053)*('2'!$E63^1.16))))&lt;(T$37*$T$15*'2'!$I63/'4'!$D54),(IF('2'!$E63&lt;1,(38.21*((T$37*$T$15/(0.00001*$T$13))^1.053)),(44.62*((T$37*$T$15/(0.00001*$T$13))^1.053)*('2'!$E63^1.16)))),(T$37*$T$15*'2'!$I63/'4'!$D54))</f>
        <v>5635697.4844074082</v>
      </c>
      <c r="U59" s="1253">
        <f>IF((IF('2'!$E63&lt;1,(38.21*((U$37*$T$15/(0.00001*$T$13))^1.053)),(44.62*((U$37*$T$15/(0.00001*$T$13))^1.053)*('2'!$E63^1.16))))&lt;(U$37*$T$15*'2'!$I63/'4'!$D54),(IF('2'!$E63&lt;1,(38.21*((U$37*$T$15/(0.00001*$T$13))^1.053)),(44.62*((U$37*$T$15/(0.00001*$T$13))^1.053)*('2'!$E63^1.16)))),(U$37*$T$15*'2'!$I63/'4'!$D54))</f>
        <v>7514263.3125432115</v>
      </c>
      <c r="V59" s="1253">
        <f>IF((IF('2'!$E63&lt;1,(38.21*((V$37*$T$15/(0.00001*$T$13))^1.053)),(44.62*((V$37*$T$15/(0.00001*$T$13))^1.053)*('2'!$E63^1.16))))&lt;(V$37*$T$15*'2'!$I63/'4'!$D54),(IF('2'!$E63&lt;1,(38.21*((V$37*$T$15/(0.00001*$T$13))^1.053)),(44.62*((V$37*$T$15/(0.00001*$T$13))^1.053)*('2'!$E63^1.16)))),(V$37*$T$15*'2'!$I63/'4'!$D54))</f>
        <v>9392829.140679013</v>
      </c>
      <c r="W59" s="1253">
        <f>IF((IF('2'!$E63&lt;1,(38.21*((W$37*$T$15/(0.00001*$T$13))^1.053)),(44.62*((W$37*$T$15/(0.00001*$T$13))^1.053)*('2'!$E63^1.16))))&lt;(W$37*$T$15*'2'!$I63/'4'!$D54),(IF('2'!$E63&lt;1,(38.21*((W$37*$T$15/(0.00001*$T$13))^1.053)),(44.62*((W$37*$T$15/(0.00001*$T$13))^1.053)*('2'!$E63^1.16)))),(W$37*$T$15*'2'!$I63/'4'!$D54))</f>
        <v>11271394.968814816</v>
      </c>
      <c r="X59" s="1253">
        <f>IF((IF('2'!$E63&lt;1,(38.21*((X$37*$T$15/(0.00001*$T$13))^1.053)),(44.62*((X$37*$T$15/(0.00001*$T$13))^1.053)*('2'!$E63^1.16))))&lt;(X$37*$T$15*'2'!$I63/'4'!$D54),(IF('2'!$E63&lt;1,(38.21*((X$37*$T$15/(0.00001*$T$13))^1.053)),(44.62*((X$37*$T$15/(0.00001*$T$13))^1.053)*('2'!$E63^1.16)))),(X$37*$T$15*'2'!$I63/'4'!$D54))</f>
        <v>13149960.79695062</v>
      </c>
      <c r="Y59" s="1253">
        <f>IF((IF('2'!$E63&lt;1,(38.21*((Y$37*$T$15/(0.00001*$T$13))^1.053)),(44.62*((Y$37*$T$15/(0.00001*$T$13))^1.053)*('2'!$E63^1.16))))&lt;(Y$37*$T$15*'2'!$I63/'4'!$D54),(IF('2'!$E63&lt;1,(38.21*((Y$37*$T$15/(0.00001*$T$13))^1.053)),(44.62*((Y$37*$T$15/(0.00001*$T$13))^1.053)*('2'!$E63^1.16)))),(Y$37*$T$15*'2'!$I63/'4'!$D54))</f>
        <v>15028526.625086423</v>
      </c>
      <c r="Z59" s="1253">
        <f>IF((IF('2'!$E63&lt;1,(38.21*((Z$37*$T$15/(0.00001*$T$13))^1.053)),(44.62*((Z$37*$T$15/(0.00001*$T$13))^1.053)*('2'!$E63^1.16))))&lt;(Z$37*$T$15*'2'!$I63/'4'!$D54),(IF('2'!$E63&lt;1,(38.21*((Z$37*$T$15/(0.00001*$T$13))^1.053)),(44.62*((Z$37*$T$15/(0.00001*$T$13))^1.053)*('2'!$E63^1.16)))),(Z$37*$T$15*'2'!$I63/'4'!$D54))</f>
        <v>16907092.453222223</v>
      </c>
      <c r="AA59" s="1253">
        <f>IF((IF('2'!$E63&lt;1,(38.21*((AA$37*$T$15/(0.00001*$T$13))^1.053)),(44.62*((AA$37*$T$15/(0.00001*$T$13))^1.053)*('2'!$E63^1.16))))&lt;(AA$37*$T$15*'2'!$I63/'4'!$D54),(IF('2'!$E63&lt;1,(38.21*((AA$37*$T$15/(0.00001*$T$13))^1.053)),(44.62*((AA$37*$T$15/(0.00001*$T$13))^1.053)*('2'!$E63^1.16)))),(AA$37*$T$15*'2'!$I63/'4'!$D54))</f>
        <v>18785658.281358026</v>
      </c>
      <c r="AB59" s="100">
        <f>IF(R$37&lt;$T$9,(1.16*(1.328/SQRT(R59))*'2'!$K63*$T$12*$T$20*$AL$10),IF(R59&lt;1000000,((1.328/SQRT(R59))*'2'!$K63*$T$12*$T$20*$AL$10),(0.455/((LOG(R59)^2.58)*(1+0.144*'2'!$E63^2)^0.65)))*'2'!$K63*$T$12*$T$20*$AL$10)</f>
        <v>0.5883606974509179</v>
      </c>
      <c r="AC59" s="100">
        <f>IF(S$37&lt;$T$9,(1.16*(1.328/SQRT(S59))*'2'!$K63*$T$12*$T$20*$AL$11),IF(S59&lt;1000000,((1.328/SQRT(S59))*'2'!$K63*$T$12*$T$20*$AL$11),(0.455/((LOG(S59)^2.58)*(1+0.144*'2'!$E63^2)^0.65)))*'2'!$K63*$T$12*$T$20*$AL$11)</f>
        <v>2.398354336833147</v>
      </c>
      <c r="AD59" s="100">
        <f>IF(T$37&lt;$T$9,(1.16*(1.328/SQRT(T59))*'2'!$K63*$T$12*$T$20*$AL$12),IF(T59&lt;1000000,((1.328/SQRT(T59))*'2'!$K63*$T$12*$T$20*$AL$12),(0.455/((LOG(T59)^2.58)*(1+0.144*'2'!$E63^2)^0.65)))*'2'!$K63*$T$12*$T$20*$AL$12)</f>
        <v>2.1196329216082734</v>
      </c>
      <c r="AE59" s="100">
        <f>IF(U$37&lt;$T$9,(1.16*(1.328/SQRT(U59))*'2'!$K63*$T$12*$T$20*$AL$13),IF(U59&lt;1000000,((1.328/SQRT(U59))*'2'!$K63*$T$12*$T$20*$AL$13),(0.455/((LOG(U59)^2.58)*(1+0.144*'2'!$E63^2)^0.65)))*'2'!$K63*$T$12*$T$20*$AL$13)</f>
        <v>1.8080116915386661</v>
      </c>
      <c r="AF59" s="100">
        <f>IF(V$37&lt;$T$9,(1.16*(1.328/SQRT(V59))*'2'!$K63*$T$12*$T$20*$AL$14),IF(V59&lt;1000000,((1.328/SQRT(V59))*'2'!$K63*$T$12*$T$20*$AL$14),(0.455/((LOG(V59)^2.58)*(1+0.144*'2'!$E63^2)^0.65)))*'2'!$K63*$T$12*$T$20*$AL$14)</f>
        <v>1.5060873493210167</v>
      </c>
      <c r="AG59" s="100">
        <f>IF(W$37&lt;$T$9,(1.16*(1.328/SQRT(W59))*'2'!$K63*$T$12*$T$20*$AL$15),IF(W59&lt;1000000,((1.328/SQRT(W59))*'2'!$K63*$T$12*$T$20*$AL$15),(0.455/((LOG(W59)^2.58)*(1+0.144*'2'!$E63^2)^0.65)))*'2'!$K63*$T$12*$T$20*$AL$15)</f>
        <v>1.231868557617706</v>
      </c>
      <c r="AH59" s="100">
        <f>IF(X$37&lt;$T$9,(1.16*(1.328/SQRT(X59))*'2'!$K63*$T$12*$T$20*$AL$16),IF(X59&lt;1000000,((1.328/SQRT(X59))*'2'!$K63*$T$12*$T$20*$AL$16),(0.455/((LOG(X59)^2.58)*(1+0.144*'2'!$E63^2)^0.65)))*'2'!$K63*$T$12*$T$20*$AL$16)</f>
        <v>0.9767891416815172</v>
      </c>
      <c r="AI59" s="100">
        <f>IF(Y$37&lt;$T$9,(1.16*(1.328/SQRT(Y59))*'2'!$K63*$T$12*$T$20*$AL$17),IF(Y59&lt;1000000,((1.328/SQRT(Y59))*'2'!$K63*$T$12*$T$20*$AL$17),(0.455/((LOG(Y59)^2.58)*(1+0.144*'2'!$E63^2)^0.65)))*'2'!$K63*$T$12*$T$20*$AL$17)</f>
        <v>0.73581194292478036</v>
      </c>
      <c r="AJ59" s="100">
        <f>IF(Z$37&lt;$T$9,(1.16*(1.328/SQRT(Z59))*'2'!$K63*$T$12*$T$20*$AL$18),IF(Z59&lt;1000000,((1.328/SQRT(Z59))*'2'!$K63*$T$12*$T$20*$AL$18),(0.455/((LOG(Z59)^2.58)*(1+0.144*'2'!$E63^2)^0.65)))*'2'!$K63*$T$12*$T$20*$AL$18)</f>
        <v>0.5057165034987614</v>
      </c>
      <c r="AK59" s="100">
        <f>IF(AA$37&lt;$T$9,(1.16*(1.328/SQRT(AA59))*'2'!$K63*$T$12*$T$20*$AL$19),IF(AA59&lt;1000000,((1.328/SQRT(AA59))*'2'!$K63*$T$12*$T$20*$AL$19),(0.455/((LOG(AA59)^2.58)*(1+0.144*'2'!$E63^2)^0.65)))*'2'!$K63*$T$12*$T$20*$AL$19)</f>
        <v>0.35539246881760073</v>
      </c>
      <c r="AL59" s="52">
        <f t="shared" si="16"/>
        <v>12.226025611292384</v>
      </c>
      <c r="AM59" s="100">
        <f>IF('2'!E63&lt;1,0,(IF(T$5&lt;4,(((9/2)*T$16*PI()/((SUM(AC$9:AC$19))^2)))*T$16*'2'!K63*T$14*(1-((0.386*(('2'!E63-1.2)^0.57))*(1-(PI()*(('4'!E$16^0.77)/100))))),(IF(T$5=4,((4*T$16/(PI()*((T$15/2)^2)))*T$16*'2'!K63),(((9*PI()/2)*T$16/(((T$15)^2)))*T$16*'2'!K63))))))</f>
        <v>0</v>
      </c>
      <c r="AN59" s="52">
        <f t="shared" si="17"/>
        <v>12.226025611292384</v>
      </c>
      <c r="AO59" s="193">
        <f>AN59/('2'!K63*'4'!$L$15)</f>
        <v>4.2156588446193057E-3</v>
      </c>
      <c r="AP59" s="26"/>
    </row>
    <row r="60" spans="2:42" ht="13.8">
      <c r="B60" s="154" t="s">
        <v>417</v>
      </c>
      <c r="C60" s="150" t="s">
        <v>188</v>
      </c>
      <c r="D60" s="157">
        <f>D59/12</f>
        <v>8.3333333333333339</v>
      </c>
      <c r="E60" s="140"/>
      <c r="F60" s="140"/>
      <c r="G60" s="145"/>
      <c r="H60" s="140"/>
      <c r="I60" s="935" t="s">
        <v>418</v>
      </c>
      <c r="J60" s="351" t="s">
        <v>419</v>
      </c>
      <c r="K60" s="350">
        <v>40</v>
      </c>
      <c r="L60" s="140"/>
      <c r="M60" s="934"/>
      <c r="N60" s="25"/>
      <c r="O60" s="26"/>
      <c r="Q60" s="291"/>
      <c r="R60" s="1253">
        <f>IF((IF('2'!$E64&lt;1,(38.21*((R$37*$T$15/(0.00001*$T$13))^1.053)),(44.62*((R$37*$T$15/(0.00001*$T$13))^1.053)*('2'!$E64^1.16))))&lt;(R$37*$T$15*'2'!$I64/'4'!$D55),(IF('2'!$E64&lt;1,(38.21*((R$37*$T$15/(0.00001*$T$13))^1.053)),(44.62*((R$37*$T$15/(0.00001*$T$13))^1.053)*('2'!$E64^1.16)))),(R$37*$T$15*'2'!$I64/'4'!$D55))</f>
        <v>1778790.4333270853</v>
      </c>
      <c r="S60" s="1253">
        <f>IF((IF('2'!$E64&lt;1,(38.21*((S$37*$T$15/(0.00001*$T$13))^1.053)),(44.62*((S$37*$T$15/(0.00001*$T$13))^1.053)*('2'!$E64^1.16))))&lt;(S$37*$T$15*'2'!$I64/'4'!$D55),(IF('2'!$E64&lt;1,(38.21*((S$37*$T$15/(0.00001*$T$13))^1.053)),(44.62*((S$37*$T$15/(0.00001*$T$13))^1.053)*('2'!$E64^1.16)))),(S$37*$T$15*'2'!$I64/'4'!$D55))</f>
        <v>3557580.8666541707</v>
      </c>
      <c r="T60" s="1253">
        <f>IF((IF('2'!$E64&lt;1,(38.21*((T$37*$T$15/(0.00001*$T$13))^1.053)),(44.62*((T$37*$T$15/(0.00001*$T$13))^1.053)*('2'!$E64^1.16))))&lt;(T$37*$T$15*'2'!$I64/'4'!$D55),(IF('2'!$E64&lt;1,(38.21*((T$37*$T$15/(0.00001*$T$13))^1.053)),(44.62*((T$37*$T$15/(0.00001*$T$13))^1.053)*('2'!$E64^1.16)))),(T$37*$T$15*'2'!$I64/'4'!$D55))</f>
        <v>5336371.2999812551</v>
      </c>
      <c r="U60" s="1253">
        <f>IF((IF('2'!$E64&lt;1,(38.21*((U$37*$T$15/(0.00001*$T$13))^1.053)),(44.62*((U$37*$T$15/(0.00001*$T$13))^1.053)*('2'!$E64^1.16))))&lt;(U$37*$T$15*'2'!$I64/'4'!$D55),(IF('2'!$E64&lt;1,(38.21*((U$37*$T$15/(0.00001*$T$13))^1.053)),(44.62*((U$37*$T$15/(0.00001*$T$13))^1.053)*('2'!$E64^1.16)))),(U$37*$T$15*'2'!$I64/'4'!$D55))</f>
        <v>7115161.7333083414</v>
      </c>
      <c r="V60" s="1253">
        <f>IF((IF('2'!$E64&lt;1,(38.21*((V$37*$T$15/(0.00001*$T$13))^1.053)),(44.62*((V$37*$T$15/(0.00001*$T$13))^1.053)*('2'!$E64^1.16))))&lt;(V$37*$T$15*'2'!$I64/'4'!$D55),(IF('2'!$E64&lt;1,(38.21*((V$37*$T$15/(0.00001*$T$13))^1.053)),(44.62*((V$37*$T$15/(0.00001*$T$13))^1.053)*('2'!$E64^1.16)))),(V$37*$T$15*'2'!$I64/'4'!$D55))</f>
        <v>8893952.1666354258</v>
      </c>
      <c r="W60" s="1253">
        <f>IF((IF('2'!$E64&lt;1,(38.21*((W$37*$T$15/(0.00001*$T$13))^1.053)),(44.62*((W$37*$T$15/(0.00001*$T$13))^1.053)*('2'!$E64^1.16))))&lt;(W$37*$T$15*'2'!$I64/'4'!$D55),(IF('2'!$E64&lt;1,(38.21*((W$37*$T$15/(0.00001*$T$13))^1.053)),(44.62*((W$37*$T$15/(0.00001*$T$13))^1.053)*('2'!$E64^1.16)))),(W$37*$T$15*'2'!$I64/'4'!$D55))</f>
        <v>10672742.59996251</v>
      </c>
      <c r="X60" s="1253">
        <f>IF((IF('2'!$E64&lt;1,(38.21*((X$37*$T$15/(0.00001*$T$13))^1.053)),(44.62*((X$37*$T$15/(0.00001*$T$13))^1.053)*('2'!$E64^1.16))))&lt;(X$37*$T$15*'2'!$I64/'4'!$D55),(IF('2'!$E64&lt;1,(38.21*((X$37*$T$15/(0.00001*$T$13))^1.053)),(44.62*((X$37*$T$15/(0.00001*$T$13))^1.053)*('2'!$E64^1.16)))),(X$37*$T$15*'2'!$I64/'4'!$D55))</f>
        <v>12451533.033289595</v>
      </c>
      <c r="Y60" s="1253">
        <f>IF((IF('2'!$E64&lt;1,(38.21*((Y$37*$T$15/(0.00001*$T$13))^1.053)),(44.62*((Y$37*$T$15/(0.00001*$T$13))^1.053)*('2'!$E64^1.16))))&lt;(Y$37*$T$15*'2'!$I64/'4'!$D55),(IF('2'!$E64&lt;1,(38.21*((Y$37*$T$15/(0.00001*$T$13))^1.053)),(44.62*((Y$37*$T$15/(0.00001*$T$13))^1.053)*('2'!$E64^1.16)))),(Y$37*$T$15*'2'!$I64/'4'!$D55))</f>
        <v>14230323.466616683</v>
      </c>
      <c r="Z60" s="1253">
        <f>IF((IF('2'!$E64&lt;1,(38.21*((Z$37*$T$15/(0.00001*$T$13))^1.053)),(44.62*((Z$37*$T$15/(0.00001*$T$13))^1.053)*('2'!$E64^1.16))))&lt;(Z$37*$T$15*'2'!$I64/'4'!$D55),(IF('2'!$E64&lt;1,(38.21*((Z$37*$T$15/(0.00001*$T$13))^1.053)),(44.62*((Z$37*$T$15/(0.00001*$T$13))^1.053)*('2'!$E64^1.16)))),(Z$37*$T$15*'2'!$I64/'4'!$D55))</f>
        <v>16009113.899943767</v>
      </c>
      <c r="AA60" s="1253">
        <f>IF((IF('2'!$E64&lt;1,(38.21*((AA$37*$T$15/(0.00001*$T$13))^1.053)),(44.62*((AA$37*$T$15/(0.00001*$T$13))^1.053)*('2'!$E64^1.16))))&lt;(AA$37*$T$15*'2'!$I64/'4'!$D55),(IF('2'!$E64&lt;1,(38.21*((AA$37*$T$15/(0.00001*$T$13))^1.053)),(44.62*((AA$37*$T$15/(0.00001*$T$13))^1.053)*('2'!$E64^1.16)))),(AA$37*$T$15*'2'!$I64/'4'!$D55))</f>
        <v>17787904.333270852</v>
      </c>
      <c r="AB60" s="100">
        <f>IF(R$37&lt;$T$9,(1.16*(1.328/SQRT(R60))*'2'!$K64*$T$12*$T$20*$AL$10),IF(R60&lt;1000000,((1.328/SQRT(R60))*'2'!$K64*$T$12*$T$20*$AL$10),(0.455/((LOG(R60)^2.58)*(1+0.144*'2'!$E64^2)^0.65)))*'2'!$K64*$T$12*$T$20*$AL$10)</f>
        <v>0.6160397125389302</v>
      </c>
      <c r="AC60" s="100">
        <f>IF(S$37&lt;$T$9,(1.16*(1.328/SQRT(S60))*'2'!$K64*$T$12*$T$20*$AL$11),IF(S60&lt;1000000,((1.328/SQRT(S60))*'2'!$K64*$T$12*$T$20*$AL$11),(0.455/((LOG(S60)^2.58)*(1+0.144*'2'!$E64^2)^0.65)))*'2'!$K64*$T$12*$T$20*$AL$11)</f>
        <v>2.4650797907674393</v>
      </c>
      <c r="AD60" s="100">
        <f>IF(T$37&lt;$T$9,(1.16*(1.328/SQRT(T60))*'2'!$K64*$T$12*$T$20*$AL$12),IF(T60&lt;1000000,((1.328/SQRT(T60))*'2'!$K64*$T$12*$T$20*$AL$12),(0.455/((LOG(T60)^2.58)*(1+0.144*'2'!$E64^2)^0.65)))*'2'!$K64*$T$12*$T$20*$AL$12)</f>
        <v>2.1780736251271966</v>
      </c>
      <c r="AE60" s="100">
        <f>IF(U$37&lt;$T$9,(1.16*(1.328/SQRT(U60))*'2'!$K64*$T$12*$T$20*$AL$13),IF(U60&lt;1000000,((1.328/SQRT(U60))*'2'!$K64*$T$12*$T$20*$AL$13),(0.455/((LOG(U60)^2.58)*(1+0.144*'2'!$E64^2)^0.65)))*'2'!$K64*$T$12*$T$20*$AL$13)</f>
        <v>1.8575538151900475</v>
      </c>
      <c r="AF60" s="100">
        <f>IF(V$37&lt;$T$9,(1.16*(1.328/SQRT(V60))*'2'!$K64*$T$12*$T$20*$AL$14),IF(V60&lt;1000000,((1.328/SQRT(V60))*'2'!$K64*$T$12*$T$20*$AL$14),(0.455/((LOG(V60)^2.58)*(1+0.144*'2'!$E64^2)^0.65)))*'2'!$K64*$T$12*$T$20*$AL$14)</f>
        <v>1.5471644074808459</v>
      </c>
      <c r="AG60" s="100">
        <f>IF(W$37&lt;$T$9,(1.16*(1.328/SQRT(W60))*'2'!$K64*$T$12*$T$20*$AL$15),IF(W60&lt;1000000,((1.328/SQRT(W60))*'2'!$K64*$T$12*$T$20*$AL$15),(0.455/((LOG(W60)^2.58)*(1+0.144*'2'!$E64^2)^0.65)))*'2'!$K64*$T$12*$T$20*$AL$15)</f>
        <v>1.2653415401710233</v>
      </c>
      <c r="AH60" s="100">
        <f>IF(X$37&lt;$T$9,(1.16*(1.328/SQRT(X60))*'2'!$K64*$T$12*$T$20*$AL$16),IF(X60&lt;1000000,((1.328/SQRT(X60))*'2'!$K64*$T$12*$T$20*$AL$16),(0.455/((LOG(X60)^2.58)*(1+0.144*'2'!$E64^2)^0.65)))*'2'!$K64*$T$12*$T$20*$AL$16)</f>
        <v>1.0032488828926807</v>
      </c>
      <c r="AI60" s="100">
        <f>IF(Y$37&lt;$T$9,(1.16*(1.328/SQRT(Y60))*'2'!$K64*$T$12*$T$20*$AL$17),IF(Y60&lt;1000000,((1.328/SQRT(Y60))*'2'!$K64*$T$12*$T$20*$AL$17),(0.455/((LOG(Y60)^2.58)*(1+0.144*'2'!$E64^2)^0.65)))*'2'!$K64*$T$12*$T$20*$AL$17)</f>
        <v>0.75569134828465612</v>
      </c>
      <c r="AJ60" s="100">
        <f>IF(Z$37&lt;$T$9,(1.16*(1.328/SQRT(Z60))*'2'!$K64*$T$12*$T$20*$AL$18),IF(Z60&lt;1000000,((1.328/SQRT(Z60))*'2'!$K64*$T$12*$T$20*$AL$18),(0.455/((LOG(Z60)^2.58)*(1+0.144*'2'!$E64^2)^0.65)))*'2'!$K64*$T$12*$T$20*$AL$18)</f>
        <v>0.51934800834021</v>
      </c>
      <c r="AK60" s="100">
        <f>IF(AA$37&lt;$T$9,(1.16*(1.328/SQRT(AA60))*'2'!$K64*$T$12*$T$20*$AL$19),IF(AA60&lt;1000000,((1.328/SQRT(AA60))*'2'!$K64*$T$12*$T$20*$AL$19),(0.455/((LOG(AA60)^2.58)*(1+0.144*'2'!$E64^2)^0.65)))*'2'!$K64*$T$12*$T$20*$AL$19)</f>
        <v>0.36495252713275533</v>
      </c>
      <c r="AL60" s="52">
        <f t="shared" si="16"/>
        <v>12.572493657925786</v>
      </c>
      <c r="AM60" s="100">
        <f>IF('2'!E64&lt;1,0,(IF(T$5&lt;4,(((9/2)*T$16*PI()/((SUM(AC$9:AC$19))^2)))*T$16*'2'!K64*T$14*(1-((0.386*(('2'!E64-1.2)^0.57))*(1-(PI()*(('4'!E$16^0.77)/100))))),(IF(T$5=4,((4*T$16/(PI()*((T$15/2)^2)))*T$16*'2'!K64),(((9*PI()/2)*T$16/(((T$15)^2)))*T$16*'2'!K64))))))</f>
        <v>0</v>
      </c>
      <c r="AN60" s="52">
        <f t="shared" si="17"/>
        <v>12.572493657925786</v>
      </c>
      <c r="AO60" s="193">
        <f>AN60/('2'!K64*'4'!$L$15)</f>
        <v>4.2548802632795682E-3</v>
      </c>
      <c r="AP60" s="26"/>
    </row>
    <row r="61" spans="2:42" ht="13.8">
      <c r="B61" s="154" t="s">
        <v>422</v>
      </c>
      <c r="C61" s="150" t="s">
        <v>188</v>
      </c>
      <c r="D61" s="157">
        <f>MAX(D40,E40)*(2/3)</f>
        <v>1.6959064327485378</v>
      </c>
      <c r="E61" s="140"/>
      <c r="F61" s="140"/>
      <c r="G61" s="145"/>
      <c r="H61" s="140"/>
      <c r="I61" s="935" t="s">
        <v>420</v>
      </c>
      <c r="J61" s="350" t="s">
        <v>421</v>
      </c>
      <c r="K61" s="350">
        <v>35</v>
      </c>
      <c r="L61" s="140"/>
      <c r="M61" s="934"/>
      <c r="N61" s="25"/>
      <c r="O61" s="26"/>
      <c r="Q61" s="291"/>
      <c r="R61" s="1253">
        <f>IF((IF('2'!$E65&lt;1,(38.21*((R$37*$T$15/(0.00001*$T$13))^1.053)),(44.62*((R$37*$T$15/(0.00001*$T$13))^1.053)*('2'!$E65^1.16))))&lt;(R$37*$T$15*'2'!$I65/'4'!$D56),(IF('2'!$E65&lt;1,(38.21*((R$37*$T$15/(0.00001*$T$13))^1.053)),(44.62*((R$37*$T$15/(0.00001*$T$13))^1.053)*('2'!$E65^1.16)))),(R$37*$T$15*'2'!$I65/'4'!$D56))</f>
        <v>1778790.4333270853</v>
      </c>
      <c r="S61" s="1253">
        <f>IF((IF('2'!$E65&lt;1,(38.21*((S$37*$T$15/(0.00001*$T$13))^1.053)),(44.62*((S$37*$T$15/(0.00001*$T$13))^1.053)*('2'!$E65^1.16))))&lt;(S$37*$T$15*'2'!$I65/'4'!$D56),(IF('2'!$E65&lt;1,(38.21*((S$37*$T$15/(0.00001*$T$13))^1.053)),(44.62*((S$37*$T$15/(0.00001*$T$13))^1.053)*('2'!$E65^1.16)))),(S$37*$T$15*'2'!$I65/'4'!$D56))</f>
        <v>3557580.8666541707</v>
      </c>
      <c r="T61" s="1253">
        <f>IF((IF('2'!$E65&lt;1,(38.21*((T$37*$T$15/(0.00001*$T$13))^1.053)),(44.62*((T$37*$T$15/(0.00001*$T$13))^1.053)*('2'!$E65^1.16))))&lt;(T$37*$T$15*'2'!$I65/'4'!$D56),(IF('2'!$E65&lt;1,(38.21*((T$37*$T$15/(0.00001*$T$13))^1.053)),(44.62*((T$37*$T$15/(0.00001*$T$13))^1.053)*('2'!$E65^1.16)))),(T$37*$T$15*'2'!$I65/'4'!$D56))</f>
        <v>5336371.2999812551</v>
      </c>
      <c r="U61" s="1253">
        <f>IF((IF('2'!$E65&lt;1,(38.21*((U$37*$T$15/(0.00001*$T$13))^1.053)),(44.62*((U$37*$T$15/(0.00001*$T$13))^1.053)*('2'!$E65^1.16))))&lt;(U$37*$T$15*'2'!$I65/'4'!$D56),(IF('2'!$E65&lt;1,(38.21*((U$37*$T$15/(0.00001*$T$13))^1.053)),(44.62*((U$37*$T$15/(0.00001*$T$13))^1.053)*('2'!$E65^1.16)))),(U$37*$T$15*'2'!$I65/'4'!$D56))</f>
        <v>7115161.7333083414</v>
      </c>
      <c r="V61" s="1253">
        <f>IF((IF('2'!$E65&lt;1,(38.21*((V$37*$T$15/(0.00001*$T$13))^1.053)),(44.62*((V$37*$T$15/(0.00001*$T$13))^1.053)*('2'!$E65^1.16))))&lt;(V$37*$T$15*'2'!$I65/'4'!$D56),(IF('2'!$E65&lt;1,(38.21*((V$37*$T$15/(0.00001*$T$13))^1.053)),(44.62*((V$37*$T$15/(0.00001*$T$13))^1.053)*('2'!$E65^1.16)))),(V$37*$T$15*'2'!$I65/'4'!$D56))</f>
        <v>8893952.1666354258</v>
      </c>
      <c r="W61" s="1253">
        <f>IF((IF('2'!$E65&lt;1,(38.21*((W$37*$T$15/(0.00001*$T$13))^1.053)),(44.62*((W$37*$T$15/(0.00001*$T$13))^1.053)*('2'!$E65^1.16))))&lt;(W$37*$T$15*'2'!$I65/'4'!$D56),(IF('2'!$E65&lt;1,(38.21*((W$37*$T$15/(0.00001*$T$13))^1.053)),(44.62*((W$37*$T$15/(0.00001*$T$13))^1.053)*('2'!$E65^1.16)))),(W$37*$T$15*'2'!$I65/'4'!$D56))</f>
        <v>10672742.59996251</v>
      </c>
      <c r="X61" s="1253">
        <f>IF((IF('2'!$E65&lt;1,(38.21*((X$37*$T$15/(0.00001*$T$13))^1.053)),(44.62*((X$37*$T$15/(0.00001*$T$13))^1.053)*('2'!$E65^1.16))))&lt;(X$37*$T$15*'2'!$I65/'4'!$D56),(IF('2'!$E65&lt;1,(38.21*((X$37*$T$15/(0.00001*$T$13))^1.053)),(44.62*((X$37*$T$15/(0.00001*$T$13))^1.053)*('2'!$E65^1.16)))),(X$37*$T$15*'2'!$I65/'4'!$D56))</f>
        <v>12451533.033289595</v>
      </c>
      <c r="Y61" s="1253">
        <f>IF((IF('2'!$E65&lt;1,(38.21*((Y$37*$T$15/(0.00001*$T$13))^1.053)),(44.62*((Y$37*$T$15/(0.00001*$T$13))^1.053)*('2'!$E65^1.16))))&lt;(Y$37*$T$15*'2'!$I65/'4'!$D56),(IF('2'!$E65&lt;1,(38.21*((Y$37*$T$15/(0.00001*$T$13))^1.053)),(44.62*((Y$37*$T$15/(0.00001*$T$13))^1.053)*('2'!$E65^1.16)))),(Y$37*$T$15*'2'!$I65/'4'!$D56))</f>
        <v>14230323.466616683</v>
      </c>
      <c r="Z61" s="1253">
        <f>IF((IF('2'!$E65&lt;1,(38.21*((Z$37*$T$15/(0.00001*$T$13))^1.053)),(44.62*((Z$37*$T$15/(0.00001*$T$13))^1.053)*('2'!$E65^1.16))))&lt;(Z$37*$T$15*'2'!$I65/'4'!$D56),(IF('2'!$E65&lt;1,(38.21*((Z$37*$T$15/(0.00001*$T$13))^1.053)),(44.62*((Z$37*$T$15/(0.00001*$T$13))^1.053)*('2'!$E65^1.16)))),(Z$37*$T$15*'2'!$I65/'4'!$D56))</f>
        <v>16009113.899943767</v>
      </c>
      <c r="AA61" s="1253">
        <f>IF((IF('2'!$E65&lt;1,(38.21*((AA$37*$T$15/(0.00001*$T$13))^1.053)),(44.62*((AA$37*$T$15/(0.00001*$T$13))^1.053)*('2'!$E65^1.16))))&lt;(AA$37*$T$15*'2'!$I65/'4'!$D56),(IF('2'!$E65&lt;1,(38.21*((AA$37*$T$15/(0.00001*$T$13))^1.053)),(44.62*((AA$37*$T$15/(0.00001*$T$13))^1.053)*('2'!$E65^1.16)))),(AA$37*$T$15*'2'!$I65/'4'!$D56))</f>
        <v>17787904.333270852</v>
      </c>
      <c r="AB61" s="100">
        <f>IF(R$37&lt;$T$9,(1.16*(1.328/SQRT(R61))*'2'!$K65*$T$12*$T$20*$AL$10),IF(R61&lt;1000000,((1.328/SQRT(R61))*'2'!$K65*$T$12*$T$20*$AL$10),(0.455/((LOG(R61)^2.58)*(1+0.144*'2'!$E65^2)^0.65)))*'2'!$K65*$T$12*$T$20*$AL$10)</f>
        <v>0.6160397125389302</v>
      </c>
      <c r="AC61" s="100">
        <f>IF(S$37&lt;$T$9,(1.16*(1.328/SQRT(S61))*'2'!$K65*$T$12*$T$20*$AL$11),IF(S61&lt;1000000,((1.328/SQRT(S61))*'2'!$K65*$T$12*$T$20*$AL$11),(0.455/((LOG(S61)^2.58)*(1+0.144*'2'!$E65^2)^0.65)))*'2'!$K65*$T$12*$T$20*$AL$11)</f>
        <v>2.4650797907674393</v>
      </c>
      <c r="AD61" s="100">
        <f>IF(T$37&lt;$T$9,(1.16*(1.328/SQRT(T61))*'2'!$K65*$T$12*$T$20*$AL$12),IF(T61&lt;1000000,((1.328/SQRT(T61))*'2'!$K65*$T$12*$T$20*$AL$12),(0.455/((LOG(T61)^2.58)*(1+0.144*'2'!$E65^2)^0.65)))*'2'!$K65*$T$12*$T$20*$AL$12)</f>
        <v>2.1780736251271966</v>
      </c>
      <c r="AE61" s="100">
        <f>IF(U$37&lt;$T$9,(1.16*(1.328/SQRT(U61))*'2'!$K65*$T$12*$T$20*$AL$13),IF(U61&lt;1000000,((1.328/SQRT(U61))*'2'!$K65*$T$12*$T$20*$AL$13),(0.455/((LOG(U61)^2.58)*(1+0.144*'2'!$E65^2)^0.65)))*'2'!$K65*$T$12*$T$20*$AL$13)</f>
        <v>1.8575538151900475</v>
      </c>
      <c r="AF61" s="100">
        <f>IF(V$37&lt;$T$9,(1.16*(1.328/SQRT(V61))*'2'!$K65*$T$12*$T$20*$AL$14),IF(V61&lt;1000000,((1.328/SQRT(V61))*'2'!$K65*$T$12*$T$20*$AL$14),(0.455/((LOG(V61)^2.58)*(1+0.144*'2'!$E65^2)^0.65)))*'2'!$K65*$T$12*$T$20*$AL$14)</f>
        <v>1.5471644074808459</v>
      </c>
      <c r="AG61" s="100">
        <f>IF(W$37&lt;$T$9,(1.16*(1.328/SQRT(W61))*'2'!$K65*$T$12*$T$20*$AL$15),IF(W61&lt;1000000,((1.328/SQRT(W61))*'2'!$K65*$T$12*$T$20*$AL$15),(0.455/((LOG(W61)^2.58)*(1+0.144*'2'!$E65^2)^0.65)))*'2'!$K65*$T$12*$T$20*$AL$15)</f>
        <v>1.2653415401710233</v>
      </c>
      <c r="AH61" s="100">
        <f>IF(X$37&lt;$T$9,(1.16*(1.328/SQRT(X61))*'2'!$K65*$T$12*$T$20*$AL$16),IF(X61&lt;1000000,((1.328/SQRT(X61))*'2'!$K65*$T$12*$T$20*$AL$16),(0.455/((LOG(X61)^2.58)*(1+0.144*'2'!$E65^2)^0.65)))*'2'!$K65*$T$12*$T$20*$AL$16)</f>
        <v>1.0032488828926807</v>
      </c>
      <c r="AI61" s="100">
        <f>IF(Y$37&lt;$T$9,(1.16*(1.328/SQRT(Y61))*'2'!$K65*$T$12*$T$20*$AL$17),IF(Y61&lt;1000000,((1.328/SQRT(Y61))*'2'!$K65*$T$12*$T$20*$AL$17),(0.455/((LOG(Y61)^2.58)*(1+0.144*'2'!$E65^2)^0.65)))*'2'!$K65*$T$12*$T$20*$AL$17)</f>
        <v>0.75569134828465612</v>
      </c>
      <c r="AJ61" s="100">
        <f>IF(Z$37&lt;$T$9,(1.16*(1.328/SQRT(Z61))*'2'!$K65*$T$12*$T$20*$AL$18),IF(Z61&lt;1000000,((1.328/SQRT(Z61))*'2'!$K65*$T$12*$T$20*$AL$18),(0.455/((LOG(Z61)^2.58)*(1+0.144*'2'!$E65^2)^0.65)))*'2'!$K65*$T$12*$T$20*$AL$18)</f>
        <v>0.51934800834021</v>
      </c>
      <c r="AK61" s="100">
        <f>IF(AA$37&lt;$T$9,(1.16*(1.328/SQRT(AA61))*'2'!$K65*$T$12*$T$20*$AL$19),IF(AA61&lt;1000000,((1.328/SQRT(AA61))*'2'!$K65*$T$12*$T$20*$AL$19),(0.455/((LOG(AA61)^2.58)*(1+0.144*'2'!$E65^2)^0.65)))*'2'!$K65*$T$12*$T$20*$AL$19)</f>
        <v>0.36495252713275533</v>
      </c>
      <c r="AL61" s="52">
        <f t="shared" si="16"/>
        <v>12.572493657925786</v>
      </c>
      <c r="AM61" s="100">
        <f>IF('2'!E65&lt;1,0,(IF(T$5&lt;4,(((9/2)*T$16*PI()/((SUM(AC$9:AC$19))^2)))*T$16*'2'!K65*T$14*(1-((0.386*(('2'!E65-1.2)^0.57))*(1-(PI()*(('4'!E$16^0.77)/100))))),(IF(T$5=4,((4*T$16/(PI()*((T$15/2)^2)))*T$16*'2'!K65),(((9*PI()/2)*T$16/(((T$15)^2)))*T$16*'2'!K65))))))</f>
        <v>0</v>
      </c>
      <c r="AN61" s="52">
        <f t="shared" si="17"/>
        <v>12.572493657925786</v>
      </c>
      <c r="AO61" s="193">
        <f>AN61/('2'!K65*'4'!$L$15)</f>
        <v>4.2548802632795682E-3</v>
      </c>
      <c r="AP61" s="26"/>
    </row>
    <row r="62" spans="2:42" ht="14.4" thickBot="1">
      <c r="B62" s="154" t="s">
        <v>425</v>
      </c>
      <c r="C62" s="150" t="s">
        <v>336</v>
      </c>
      <c r="D62" s="166">
        <f>(1/3)*PI()*((MAX(D40,E40)/2)^2)*D60</f>
        <v>14.118016129263147</v>
      </c>
      <c r="E62" s="140"/>
      <c r="F62" s="140"/>
      <c r="G62" s="145"/>
      <c r="H62" s="140"/>
      <c r="I62" s="936" t="s">
        <v>423</v>
      </c>
      <c r="J62" s="930" t="s">
        <v>424</v>
      </c>
      <c r="K62" s="930">
        <v>35</v>
      </c>
      <c r="L62" s="297"/>
      <c r="M62" s="937"/>
      <c r="N62" s="25"/>
      <c r="O62" s="26"/>
      <c r="Q62" s="291"/>
      <c r="R62" s="1253">
        <f>IF((IF('2'!$E66&lt;1,(38.21*((R$37*$T$15/(0.00001*$T$13))^1.053)),(44.62*((R$37*$T$15/(0.00001*$T$13))^1.053)*('2'!$E66^1.16))))&lt;(R$37*$T$15*'2'!$I66/'4'!$D57),(IF('2'!$E66&lt;1,(38.21*((R$37*$T$15/(0.00001*$T$13))^1.053)),(44.62*((R$37*$T$15/(0.00001*$T$13))^1.053)*('2'!$E66^1.16)))),(R$37*$T$15*'2'!$I66/'4'!$D57))</f>
        <v>1778790.4333270853</v>
      </c>
      <c r="S62" s="1253">
        <f>IF((IF('2'!$E66&lt;1,(38.21*((S$37*$T$15/(0.00001*$T$13))^1.053)),(44.62*((S$37*$T$15/(0.00001*$T$13))^1.053)*('2'!$E66^1.16))))&lt;(S$37*$T$15*'2'!$I66/'4'!$D57),(IF('2'!$E66&lt;1,(38.21*((S$37*$T$15/(0.00001*$T$13))^1.053)),(44.62*((S$37*$T$15/(0.00001*$T$13))^1.053)*('2'!$E66^1.16)))),(S$37*$T$15*'2'!$I66/'4'!$D57))</f>
        <v>3557580.8666541707</v>
      </c>
      <c r="T62" s="1253">
        <f>IF((IF('2'!$E66&lt;1,(38.21*((T$37*$T$15/(0.00001*$T$13))^1.053)),(44.62*((T$37*$T$15/(0.00001*$T$13))^1.053)*('2'!$E66^1.16))))&lt;(T$37*$T$15*'2'!$I66/'4'!$D57),(IF('2'!$E66&lt;1,(38.21*((T$37*$T$15/(0.00001*$T$13))^1.053)),(44.62*((T$37*$T$15/(0.00001*$T$13))^1.053)*('2'!$E66^1.16)))),(T$37*$T$15*'2'!$I66/'4'!$D57))</f>
        <v>5336371.2999812551</v>
      </c>
      <c r="U62" s="1253">
        <f>IF((IF('2'!$E66&lt;1,(38.21*((U$37*$T$15/(0.00001*$T$13))^1.053)),(44.62*((U$37*$T$15/(0.00001*$T$13))^1.053)*('2'!$E66^1.16))))&lt;(U$37*$T$15*'2'!$I66/'4'!$D57),(IF('2'!$E66&lt;1,(38.21*((U$37*$T$15/(0.00001*$T$13))^1.053)),(44.62*((U$37*$T$15/(0.00001*$T$13))^1.053)*('2'!$E66^1.16)))),(U$37*$T$15*'2'!$I66/'4'!$D57))</f>
        <v>7115161.7333083414</v>
      </c>
      <c r="V62" s="1253">
        <f>IF((IF('2'!$E66&lt;1,(38.21*((V$37*$T$15/(0.00001*$T$13))^1.053)),(44.62*((V$37*$T$15/(0.00001*$T$13))^1.053)*('2'!$E66^1.16))))&lt;(V$37*$T$15*'2'!$I66/'4'!$D57),(IF('2'!$E66&lt;1,(38.21*((V$37*$T$15/(0.00001*$T$13))^1.053)),(44.62*((V$37*$T$15/(0.00001*$T$13))^1.053)*('2'!$E66^1.16)))),(V$37*$T$15*'2'!$I66/'4'!$D57))</f>
        <v>8893952.1666354258</v>
      </c>
      <c r="W62" s="1253">
        <f>IF((IF('2'!$E66&lt;1,(38.21*((W$37*$T$15/(0.00001*$T$13))^1.053)),(44.62*((W$37*$T$15/(0.00001*$T$13))^1.053)*('2'!$E66^1.16))))&lt;(W$37*$T$15*'2'!$I66/'4'!$D57),(IF('2'!$E66&lt;1,(38.21*((W$37*$T$15/(0.00001*$T$13))^1.053)),(44.62*((W$37*$T$15/(0.00001*$T$13))^1.053)*('2'!$E66^1.16)))),(W$37*$T$15*'2'!$I66/'4'!$D57))</f>
        <v>10672742.59996251</v>
      </c>
      <c r="X62" s="1253">
        <f>IF((IF('2'!$E66&lt;1,(38.21*((X$37*$T$15/(0.00001*$T$13))^1.053)),(44.62*((X$37*$T$15/(0.00001*$T$13))^1.053)*('2'!$E66^1.16))))&lt;(X$37*$T$15*'2'!$I66/'4'!$D57),(IF('2'!$E66&lt;1,(38.21*((X$37*$T$15/(0.00001*$T$13))^1.053)),(44.62*((X$37*$T$15/(0.00001*$T$13))^1.053)*('2'!$E66^1.16)))),(X$37*$T$15*'2'!$I66/'4'!$D57))</f>
        <v>12451533.033289595</v>
      </c>
      <c r="Y62" s="1253">
        <f>IF((IF('2'!$E66&lt;1,(38.21*((Y$37*$T$15/(0.00001*$T$13))^1.053)),(44.62*((Y$37*$T$15/(0.00001*$T$13))^1.053)*('2'!$E66^1.16))))&lt;(Y$37*$T$15*'2'!$I66/'4'!$D57),(IF('2'!$E66&lt;1,(38.21*((Y$37*$T$15/(0.00001*$T$13))^1.053)),(44.62*((Y$37*$T$15/(0.00001*$T$13))^1.053)*('2'!$E66^1.16)))),(Y$37*$T$15*'2'!$I66/'4'!$D57))</f>
        <v>14230323.466616683</v>
      </c>
      <c r="Z62" s="1253">
        <f>IF((IF('2'!$E66&lt;1,(38.21*((Z$37*$T$15/(0.00001*$T$13))^1.053)),(44.62*((Z$37*$T$15/(0.00001*$T$13))^1.053)*('2'!$E66^1.16))))&lt;(Z$37*$T$15*'2'!$I66/'4'!$D57),(IF('2'!$E66&lt;1,(38.21*((Z$37*$T$15/(0.00001*$T$13))^1.053)),(44.62*((Z$37*$T$15/(0.00001*$T$13))^1.053)*('2'!$E66^1.16)))),(Z$37*$T$15*'2'!$I66/'4'!$D57))</f>
        <v>16009113.899943767</v>
      </c>
      <c r="AA62" s="1253">
        <f>IF((IF('2'!$E66&lt;1,(38.21*((AA$37*$T$15/(0.00001*$T$13))^1.053)),(44.62*((AA$37*$T$15/(0.00001*$T$13))^1.053)*('2'!$E66^1.16))))&lt;(AA$37*$T$15*'2'!$I66/'4'!$D57),(IF('2'!$E66&lt;1,(38.21*((AA$37*$T$15/(0.00001*$T$13))^1.053)),(44.62*((AA$37*$T$15/(0.00001*$T$13))^1.053)*('2'!$E66^1.16)))),(AA$37*$T$15*'2'!$I66/'4'!$D57))</f>
        <v>17787904.333270852</v>
      </c>
      <c r="AB62" s="100">
        <f>IF(R$37&lt;$T$9,(1.16*(1.328/SQRT(R62))*'2'!$K66*$T$12*$T$20*$AL$10),IF(R62&lt;1000000,((1.328/SQRT(R62))*'2'!$K66*$T$12*$T$20*$AL$10),(0.455/((LOG(R62)^2.58)*(1+0.144*'2'!$E66^2)^0.65)))*'2'!$K66*$T$12*$T$20*$AL$10)</f>
        <v>0.6160397125389302</v>
      </c>
      <c r="AC62" s="100">
        <f>IF(S$37&lt;$T$9,(1.16*(1.328/SQRT(S62))*'2'!$K66*$T$12*$T$20*$AL$11),IF(S62&lt;1000000,((1.328/SQRT(S62))*'2'!$K66*$T$12*$T$20*$AL$11),(0.455/((LOG(S62)^2.58)*(1+0.144*'2'!$E66^2)^0.65)))*'2'!$K66*$T$12*$T$20*$AL$11)</f>
        <v>2.4650797907674393</v>
      </c>
      <c r="AD62" s="100">
        <f>IF(T$37&lt;$T$9,(1.16*(1.328/SQRT(T62))*'2'!$K66*$T$12*$T$20*$AL$12),IF(T62&lt;1000000,((1.328/SQRT(T62))*'2'!$K66*$T$12*$T$20*$AL$12),(0.455/((LOG(T62)^2.58)*(1+0.144*'2'!$E66^2)^0.65)))*'2'!$K66*$T$12*$T$20*$AL$12)</f>
        <v>2.1780736251271966</v>
      </c>
      <c r="AE62" s="100">
        <f>IF(U$37&lt;$T$9,(1.16*(1.328/SQRT(U62))*'2'!$K66*$T$12*$T$20*$AL$13),IF(U62&lt;1000000,((1.328/SQRT(U62))*'2'!$K66*$T$12*$T$20*$AL$13),(0.455/((LOG(U62)^2.58)*(1+0.144*'2'!$E66^2)^0.65)))*'2'!$K66*$T$12*$T$20*$AL$13)</f>
        <v>1.8575538151900475</v>
      </c>
      <c r="AF62" s="100">
        <f>IF(V$37&lt;$T$9,(1.16*(1.328/SQRT(V62))*'2'!$K66*$T$12*$T$20*$AL$14),IF(V62&lt;1000000,((1.328/SQRT(V62))*'2'!$K66*$T$12*$T$20*$AL$14),(0.455/((LOG(V62)^2.58)*(1+0.144*'2'!$E66^2)^0.65)))*'2'!$K66*$T$12*$T$20*$AL$14)</f>
        <v>1.5471644074808459</v>
      </c>
      <c r="AG62" s="100">
        <f>IF(W$37&lt;$T$9,(1.16*(1.328/SQRT(W62))*'2'!$K66*$T$12*$T$20*$AL$15),IF(W62&lt;1000000,((1.328/SQRT(W62))*'2'!$K66*$T$12*$T$20*$AL$15),(0.455/((LOG(W62)^2.58)*(1+0.144*'2'!$E66^2)^0.65)))*'2'!$K66*$T$12*$T$20*$AL$15)</f>
        <v>1.2653415401710233</v>
      </c>
      <c r="AH62" s="100">
        <f>IF(X$37&lt;$T$9,(1.16*(1.328/SQRT(X62))*'2'!$K66*$T$12*$T$20*$AL$16),IF(X62&lt;1000000,((1.328/SQRT(X62))*'2'!$K66*$T$12*$T$20*$AL$16),(0.455/((LOG(X62)^2.58)*(1+0.144*'2'!$E66^2)^0.65)))*'2'!$K66*$T$12*$T$20*$AL$16)</f>
        <v>1.0032488828926807</v>
      </c>
      <c r="AI62" s="100">
        <f>IF(Y$37&lt;$T$9,(1.16*(1.328/SQRT(Y62))*'2'!$K66*$T$12*$T$20*$AL$17),IF(Y62&lt;1000000,((1.328/SQRT(Y62))*'2'!$K66*$T$12*$T$20*$AL$17),(0.455/((LOG(Y62)^2.58)*(1+0.144*'2'!$E66^2)^0.65)))*'2'!$K66*$T$12*$T$20*$AL$17)</f>
        <v>0.75569134828465612</v>
      </c>
      <c r="AJ62" s="100">
        <f>IF(Z$37&lt;$T$9,(1.16*(1.328/SQRT(Z62))*'2'!$K66*$T$12*$T$20*$AL$18),IF(Z62&lt;1000000,((1.328/SQRT(Z62))*'2'!$K66*$T$12*$T$20*$AL$18),(0.455/((LOG(Z62)^2.58)*(1+0.144*'2'!$E66^2)^0.65)))*'2'!$K66*$T$12*$T$20*$AL$18)</f>
        <v>0.51934800834021</v>
      </c>
      <c r="AK62" s="100">
        <f>IF(AA$37&lt;$T$9,(1.16*(1.328/SQRT(AA62))*'2'!$K66*$T$12*$T$20*$AL$19),IF(AA62&lt;1000000,((1.328/SQRT(AA62))*'2'!$K66*$T$12*$T$20*$AL$19),(0.455/((LOG(AA62)^2.58)*(1+0.144*'2'!$E66^2)^0.65)))*'2'!$K66*$T$12*$T$20*$AL$19)</f>
        <v>0.36495252713275533</v>
      </c>
      <c r="AL62" s="52">
        <f t="shared" si="16"/>
        <v>12.572493657925786</v>
      </c>
      <c r="AM62" s="100">
        <f>IF('2'!E66&lt;1,0,(IF(T$5&lt;4,(((9/2)*T$16*PI()/((SUM(AC$9:AC$19))^2)))*T$16*'2'!K66*T$14*(1-((0.386*(('2'!E66-1.2)^0.57))*(1-(PI()*(('4'!E$16^0.77)/100))))),(IF(T$5=4,((4*T$16/(PI()*((T$15/2)^2)))*T$16*'2'!K66),(((9*PI()/2)*T$16/(((T$15)^2)))*T$16*'2'!K66))))))</f>
        <v>0</v>
      </c>
      <c r="AN62" s="52">
        <f t="shared" si="17"/>
        <v>12.572493657925786</v>
      </c>
      <c r="AO62" s="193">
        <f>AN62/('2'!K66*'4'!$L$15)</f>
        <v>4.2548802632795682E-3</v>
      </c>
      <c r="AP62" s="26"/>
    </row>
    <row r="63" spans="2:42" ht="26.4">
      <c r="B63" s="154" t="s">
        <v>426</v>
      </c>
      <c r="C63" s="150" t="s">
        <v>165</v>
      </c>
      <c r="D63" s="296">
        <f>D57+(0.07*1.3*D58)</f>
        <v>8.0950000000000006</v>
      </c>
      <c r="E63" s="140"/>
      <c r="F63" s="140"/>
      <c r="G63" s="145" t="s">
        <v>531</v>
      </c>
      <c r="H63" s="140"/>
      <c r="I63" s="140"/>
      <c r="J63" s="140"/>
      <c r="K63" s="140"/>
      <c r="L63" s="140"/>
      <c r="M63" s="140"/>
      <c r="N63" s="25"/>
      <c r="O63" s="26"/>
      <c r="Q63" s="291"/>
      <c r="R63" s="1253">
        <f>IF((IF('2'!$E67&lt;1,(38.21*((R$37*$T$15/(0.00001*$T$13))^1.053)),(44.62*((R$37*$T$15/(0.00001*$T$13))^1.053)*('2'!$E67^1.16))))&lt;(R$37*$T$15*'2'!$I67/'4'!$D58),(IF('2'!$E67&lt;1,(38.21*((R$37*$T$15/(0.00001*$T$13))^1.053)),(44.62*((R$37*$T$15/(0.00001*$T$13))^1.053)*('2'!$E67^1.16)))),(R$37*$T$15*'2'!$I67/'4'!$D58))</f>
        <v>1778790.4333270853</v>
      </c>
      <c r="S63" s="1253">
        <f>IF((IF('2'!$E67&lt;1,(38.21*((S$37*$T$15/(0.00001*$T$13))^1.053)),(44.62*((S$37*$T$15/(0.00001*$T$13))^1.053)*('2'!$E67^1.16))))&lt;(S$37*$T$15*'2'!$I67/'4'!$D58),(IF('2'!$E67&lt;1,(38.21*((S$37*$T$15/(0.00001*$T$13))^1.053)),(44.62*((S$37*$T$15/(0.00001*$T$13))^1.053)*('2'!$E67^1.16)))),(S$37*$T$15*'2'!$I67/'4'!$D58))</f>
        <v>3557580.8666541707</v>
      </c>
      <c r="T63" s="1253">
        <f>IF((IF('2'!$E67&lt;1,(38.21*((T$37*$T$15/(0.00001*$T$13))^1.053)),(44.62*((T$37*$T$15/(0.00001*$T$13))^1.053)*('2'!$E67^1.16))))&lt;(T$37*$T$15*'2'!$I67/'4'!$D58),(IF('2'!$E67&lt;1,(38.21*((T$37*$T$15/(0.00001*$T$13))^1.053)),(44.62*((T$37*$T$15/(0.00001*$T$13))^1.053)*('2'!$E67^1.16)))),(T$37*$T$15*'2'!$I67/'4'!$D58))</f>
        <v>5336371.2999812551</v>
      </c>
      <c r="U63" s="1253">
        <f>IF((IF('2'!$E67&lt;1,(38.21*((U$37*$T$15/(0.00001*$T$13))^1.053)),(44.62*((U$37*$T$15/(0.00001*$T$13))^1.053)*('2'!$E67^1.16))))&lt;(U$37*$T$15*'2'!$I67/'4'!$D58),(IF('2'!$E67&lt;1,(38.21*((U$37*$T$15/(0.00001*$T$13))^1.053)),(44.62*((U$37*$T$15/(0.00001*$T$13))^1.053)*('2'!$E67^1.16)))),(U$37*$T$15*'2'!$I67/'4'!$D58))</f>
        <v>7115161.7333083414</v>
      </c>
      <c r="V63" s="1253">
        <f>IF((IF('2'!$E67&lt;1,(38.21*((V$37*$T$15/(0.00001*$T$13))^1.053)),(44.62*((V$37*$T$15/(0.00001*$T$13))^1.053)*('2'!$E67^1.16))))&lt;(V$37*$T$15*'2'!$I67/'4'!$D58),(IF('2'!$E67&lt;1,(38.21*((V$37*$T$15/(0.00001*$T$13))^1.053)),(44.62*((V$37*$T$15/(0.00001*$T$13))^1.053)*('2'!$E67^1.16)))),(V$37*$T$15*'2'!$I67/'4'!$D58))</f>
        <v>8893952.1666354258</v>
      </c>
      <c r="W63" s="1253">
        <f>IF((IF('2'!$E67&lt;1,(38.21*((W$37*$T$15/(0.00001*$T$13))^1.053)),(44.62*((W$37*$T$15/(0.00001*$T$13))^1.053)*('2'!$E67^1.16))))&lt;(W$37*$T$15*'2'!$I67/'4'!$D58),(IF('2'!$E67&lt;1,(38.21*((W$37*$T$15/(0.00001*$T$13))^1.053)),(44.62*((W$37*$T$15/(0.00001*$T$13))^1.053)*('2'!$E67^1.16)))),(W$37*$T$15*'2'!$I67/'4'!$D58))</f>
        <v>10672742.59996251</v>
      </c>
      <c r="X63" s="1253">
        <f>IF((IF('2'!$E67&lt;1,(38.21*((X$37*$T$15/(0.00001*$T$13))^1.053)),(44.62*((X$37*$T$15/(0.00001*$T$13))^1.053)*('2'!$E67^1.16))))&lt;(X$37*$T$15*'2'!$I67/'4'!$D58),(IF('2'!$E67&lt;1,(38.21*((X$37*$T$15/(0.00001*$T$13))^1.053)),(44.62*((X$37*$T$15/(0.00001*$T$13))^1.053)*('2'!$E67^1.16)))),(X$37*$T$15*'2'!$I67/'4'!$D58))</f>
        <v>12451533.033289595</v>
      </c>
      <c r="Y63" s="1253">
        <f>IF((IF('2'!$E67&lt;1,(38.21*((Y$37*$T$15/(0.00001*$T$13))^1.053)),(44.62*((Y$37*$T$15/(0.00001*$T$13))^1.053)*('2'!$E67^1.16))))&lt;(Y$37*$T$15*'2'!$I67/'4'!$D58),(IF('2'!$E67&lt;1,(38.21*((Y$37*$T$15/(0.00001*$T$13))^1.053)),(44.62*((Y$37*$T$15/(0.00001*$T$13))^1.053)*('2'!$E67^1.16)))),(Y$37*$T$15*'2'!$I67/'4'!$D58))</f>
        <v>14230323.466616683</v>
      </c>
      <c r="Z63" s="1253">
        <f>IF((IF('2'!$E67&lt;1,(38.21*((Z$37*$T$15/(0.00001*$T$13))^1.053)),(44.62*((Z$37*$T$15/(0.00001*$T$13))^1.053)*('2'!$E67^1.16))))&lt;(Z$37*$T$15*'2'!$I67/'4'!$D58),(IF('2'!$E67&lt;1,(38.21*((Z$37*$T$15/(0.00001*$T$13))^1.053)),(44.62*((Z$37*$T$15/(0.00001*$T$13))^1.053)*('2'!$E67^1.16)))),(Z$37*$T$15*'2'!$I67/'4'!$D58))</f>
        <v>16009113.899943767</v>
      </c>
      <c r="AA63" s="1253">
        <f>IF((IF('2'!$E67&lt;1,(38.21*((AA$37*$T$15/(0.00001*$T$13))^1.053)),(44.62*((AA$37*$T$15/(0.00001*$T$13))^1.053)*('2'!$E67^1.16))))&lt;(AA$37*$T$15*'2'!$I67/'4'!$D58),(IF('2'!$E67&lt;1,(38.21*((AA$37*$T$15/(0.00001*$T$13))^1.053)),(44.62*((AA$37*$T$15/(0.00001*$T$13))^1.053)*('2'!$E67^1.16)))),(AA$37*$T$15*'2'!$I67/'4'!$D58))</f>
        <v>17787904.333270852</v>
      </c>
      <c r="AB63" s="100">
        <f>IF(R$37&lt;$T$9,(1.16*(1.328/SQRT(R63))*'2'!$K67*$T$12*$T$20*$AL$10),IF(R63&lt;1000000,((1.328/SQRT(R63))*'2'!$K67*$T$12*$T$20*$AL$10),(0.455/((LOG(R63)^2.58)*(1+0.144*'2'!$E67^2)^0.65)))*'2'!$K67*$T$12*$T$20*$AL$10)</f>
        <v>0.6160397125389302</v>
      </c>
      <c r="AC63" s="100">
        <f>IF(S$37&lt;$T$9,(1.16*(1.328/SQRT(S63))*'2'!$K67*$T$12*$T$20*$AL$11),IF(S63&lt;1000000,((1.328/SQRT(S63))*'2'!$K67*$T$12*$T$20*$AL$11),(0.455/((LOG(S63)^2.58)*(1+0.144*'2'!$E67^2)^0.65)))*'2'!$K67*$T$12*$T$20*$AL$11)</f>
        <v>2.4650797907674393</v>
      </c>
      <c r="AD63" s="100">
        <f>IF(T$37&lt;$T$9,(1.16*(1.328/SQRT(T63))*'2'!$K67*$T$12*$T$20*$AL$12),IF(T63&lt;1000000,((1.328/SQRT(T63))*'2'!$K67*$T$12*$T$20*$AL$12),(0.455/((LOG(T63)^2.58)*(1+0.144*'2'!$E67^2)^0.65)))*'2'!$K67*$T$12*$T$20*$AL$12)</f>
        <v>2.1780736251271966</v>
      </c>
      <c r="AE63" s="100">
        <f>IF(U$37&lt;$T$9,(1.16*(1.328/SQRT(U63))*'2'!$K67*$T$12*$T$20*$AL$13),IF(U63&lt;1000000,((1.328/SQRT(U63))*'2'!$K67*$T$12*$T$20*$AL$13),(0.455/((LOG(U63)^2.58)*(1+0.144*'2'!$E67^2)^0.65)))*'2'!$K67*$T$12*$T$20*$AL$13)</f>
        <v>1.8575538151900475</v>
      </c>
      <c r="AF63" s="100">
        <f>IF(V$37&lt;$T$9,(1.16*(1.328/SQRT(V63))*'2'!$K67*$T$12*$T$20*$AL$14),IF(V63&lt;1000000,((1.328/SQRT(V63))*'2'!$K67*$T$12*$T$20*$AL$14),(0.455/((LOG(V63)^2.58)*(1+0.144*'2'!$E67^2)^0.65)))*'2'!$K67*$T$12*$T$20*$AL$14)</f>
        <v>1.5471644074808459</v>
      </c>
      <c r="AG63" s="100">
        <f>IF(W$37&lt;$T$9,(1.16*(1.328/SQRT(W63))*'2'!$K67*$T$12*$T$20*$AL$15),IF(W63&lt;1000000,((1.328/SQRT(W63))*'2'!$K67*$T$12*$T$20*$AL$15),(0.455/((LOG(W63)^2.58)*(1+0.144*'2'!$E67^2)^0.65)))*'2'!$K67*$T$12*$T$20*$AL$15)</f>
        <v>1.2653415401710233</v>
      </c>
      <c r="AH63" s="100">
        <f>IF(X$37&lt;$T$9,(1.16*(1.328/SQRT(X63))*'2'!$K67*$T$12*$T$20*$AL$16),IF(X63&lt;1000000,((1.328/SQRT(X63))*'2'!$K67*$T$12*$T$20*$AL$16),(0.455/((LOG(X63)^2.58)*(1+0.144*'2'!$E67^2)^0.65)))*'2'!$K67*$T$12*$T$20*$AL$16)</f>
        <v>1.0032488828926807</v>
      </c>
      <c r="AI63" s="100">
        <f>IF(Y$37&lt;$T$9,(1.16*(1.328/SQRT(Y63))*'2'!$K67*$T$12*$T$20*$AL$17),IF(Y63&lt;1000000,((1.328/SQRT(Y63))*'2'!$K67*$T$12*$T$20*$AL$17),(0.455/((LOG(Y63)^2.58)*(1+0.144*'2'!$E67^2)^0.65)))*'2'!$K67*$T$12*$T$20*$AL$17)</f>
        <v>0.75569134828465612</v>
      </c>
      <c r="AJ63" s="100">
        <f>IF(Z$37&lt;$T$9,(1.16*(1.328/SQRT(Z63))*'2'!$K67*$T$12*$T$20*$AL$18),IF(Z63&lt;1000000,((1.328/SQRT(Z63))*'2'!$K67*$T$12*$T$20*$AL$18),(0.455/((LOG(Z63)^2.58)*(1+0.144*'2'!$E67^2)^0.65)))*'2'!$K67*$T$12*$T$20*$AL$18)</f>
        <v>0.51934800834021</v>
      </c>
      <c r="AK63" s="100">
        <f>IF(AA$37&lt;$T$9,(1.16*(1.328/SQRT(AA63))*'2'!$K67*$T$12*$T$20*$AL$19),IF(AA63&lt;1000000,((1.328/SQRT(AA63))*'2'!$K67*$T$12*$T$20*$AL$19),(0.455/((LOG(AA63)^2.58)*(1+0.144*'2'!$E67^2)^0.65)))*'2'!$K67*$T$12*$T$20*$AL$19)</f>
        <v>0.36495252713275533</v>
      </c>
      <c r="AL63" s="52">
        <f t="shared" si="16"/>
        <v>12.572493657925786</v>
      </c>
      <c r="AM63" s="100">
        <f>IF('2'!E67&lt;1,0,(IF(T$5&lt;4,(((9/2)*T$16*PI()/((SUM(AC$9:AC$19))^2)))*T$16*'2'!K67*T$14*(1-((0.386*(('2'!E67-1.2)^0.57))*(1-(PI()*(('4'!E$16^0.77)/100))))),(IF(T$5=4,((4*T$16/(PI()*((T$15/2)^2)))*T$16*'2'!K67),(((9*PI()/2)*T$16/(((T$15)^2)))*T$16*'2'!K67))))))</f>
        <v>0</v>
      </c>
      <c r="AN63" s="52">
        <f t="shared" si="17"/>
        <v>12.572493657925786</v>
      </c>
      <c r="AO63" s="193">
        <f>AN63/('2'!K67*'4'!$L$15)</f>
        <v>4.2548802632795682E-3</v>
      </c>
      <c r="AP63" s="26"/>
    </row>
    <row r="64" spans="2:42" ht="13.8">
      <c r="B64" s="154" t="s">
        <v>427</v>
      </c>
      <c r="C64" s="150" t="s">
        <v>165</v>
      </c>
      <c r="D64" s="159">
        <v>35</v>
      </c>
      <c r="E64" s="140"/>
      <c r="F64" s="140"/>
      <c r="G64" s="145" t="s">
        <v>428</v>
      </c>
      <c r="H64" s="140"/>
      <c r="I64" s="140"/>
      <c r="J64" s="140"/>
      <c r="K64" s="140"/>
      <c r="L64" s="140"/>
      <c r="M64" s="140"/>
      <c r="N64" s="25"/>
      <c r="O64" s="26"/>
      <c r="Q64" s="291"/>
      <c r="R64" s="1253">
        <f>IF((IF('2'!$E68&lt;1,(38.21*((R$37*$T$15/(0.00001*$T$13))^1.053)),(44.62*((R$37*$T$15/(0.00001*$T$13))^1.053)*('2'!$E68^1.16))))&lt;(R$37*$T$15*'2'!$I68/'4'!$D59),(IF('2'!$E68&lt;1,(38.21*((R$37*$T$15/(0.00001*$T$13))^1.053)),(44.62*((R$37*$T$15/(0.00001*$T$13))^1.053)*('2'!$E68^1.16)))),(R$37*$T$15*'2'!$I68/'4'!$D59))</f>
        <v>1778790.4333270853</v>
      </c>
      <c r="S64" s="1253">
        <f>IF((IF('2'!$E68&lt;1,(38.21*((S$37*$T$15/(0.00001*$T$13))^1.053)),(44.62*((S$37*$T$15/(0.00001*$T$13))^1.053)*('2'!$E68^1.16))))&lt;(S$37*$T$15*'2'!$I68/'4'!$D59),(IF('2'!$E68&lt;1,(38.21*((S$37*$T$15/(0.00001*$T$13))^1.053)),(44.62*((S$37*$T$15/(0.00001*$T$13))^1.053)*('2'!$E68^1.16)))),(S$37*$T$15*'2'!$I68/'4'!$D59))</f>
        <v>3557580.8666541707</v>
      </c>
      <c r="T64" s="1253">
        <f>IF((IF('2'!$E68&lt;1,(38.21*((T$37*$T$15/(0.00001*$T$13))^1.053)),(44.62*((T$37*$T$15/(0.00001*$T$13))^1.053)*('2'!$E68^1.16))))&lt;(T$37*$T$15*'2'!$I68/'4'!$D59),(IF('2'!$E68&lt;1,(38.21*((T$37*$T$15/(0.00001*$T$13))^1.053)),(44.62*((T$37*$T$15/(0.00001*$T$13))^1.053)*('2'!$E68^1.16)))),(T$37*$T$15*'2'!$I68/'4'!$D59))</f>
        <v>5336371.2999812551</v>
      </c>
      <c r="U64" s="1253">
        <f>IF((IF('2'!$E68&lt;1,(38.21*((U$37*$T$15/(0.00001*$T$13))^1.053)),(44.62*((U$37*$T$15/(0.00001*$T$13))^1.053)*('2'!$E68^1.16))))&lt;(U$37*$T$15*'2'!$I68/'4'!$D59),(IF('2'!$E68&lt;1,(38.21*((U$37*$T$15/(0.00001*$T$13))^1.053)),(44.62*((U$37*$T$15/(0.00001*$T$13))^1.053)*('2'!$E68^1.16)))),(U$37*$T$15*'2'!$I68/'4'!$D59))</f>
        <v>7115161.7333083414</v>
      </c>
      <c r="V64" s="1253">
        <f>IF((IF('2'!$E68&lt;1,(38.21*((V$37*$T$15/(0.00001*$T$13))^1.053)),(44.62*((V$37*$T$15/(0.00001*$T$13))^1.053)*('2'!$E68^1.16))))&lt;(V$37*$T$15*'2'!$I68/'4'!$D59),(IF('2'!$E68&lt;1,(38.21*((V$37*$T$15/(0.00001*$T$13))^1.053)),(44.62*((V$37*$T$15/(0.00001*$T$13))^1.053)*('2'!$E68^1.16)))),(V$37*$T$15*'2'!$I68/'4'!$D59))</f>
        <v>8893952.1666354258</v>
      </c>
      <c r="W64" s="1253">
        <f>IF((IF('2'!$E68&lt;1,(38.21*((W$37*$T$15/(0.00001*$T$13))^1.053)),(44.62*((W$37*$T$15/(0.00001*$T$13))^1.053)*('2'!$E68^1.16))))&lt;(W$37*$T$15*'2'!$I68/'4'!$D59),(IF('2'!$E68&lt;1,(38.21*((W$37*$T$15/(0.00001*$T$13))^1.053)),(44.62*((W$37*$T$15/(0.00001*$T$13))^1.053)*('2'!$E68^1.16)))),(W$37*$T$15*'2'!$I68/'4'!$D59))</f>
        <v>10672742.59996251</v>
      </c>
      <c r="X64" s="1253">
        <f>IF((IF('2'!$E68&lt;1,(38.21*((X$37*$T$15/(0.00001*$T$13))^1.053)),(44.62*((X$37*$T$15/(0.00001*$T$13))^1.053)*('2'!$E68^1.16))))&lt;(X$37*$T$15*'2'!$I68/'4'!$D59),(IF('2'!$E68&lt;1,(38.21*((X$37*$T$15/(0.00001*$T$13))^1.053)),(44.62*((X$37*$T$15/(0.00001*$T$13))^1.053)*('2'!$E68^1.16)))),(X$37*$T$15*'2'!$I68/'4'!$D59))</f>
        <v>12451533.033289595</v>
      </c>
      <c r="Y64" s="1253">
        <f>IF((IF('2'!$E68&lt;1,(38.21*((Y$37*$T$15/(0.00001*$T$13))^1.053)),(44.62*((Y$37*$T$15/(0.00001*$T$13))^1.053)*('2'!$E68^1.16))))&lt;(Y$37*$T$15*'2'!$I68/'4'!$D59),(IF('2'!$E68&lt;1,(38.21*((Y$37*$T$15/(0.00001*$T$13))^1.053)),(44.62*((Y$37*$T$15/(0.00001*$T$13))^1.053)*('2'!$E68^1.16)))),(Y$37*$T$15*'2'!$I68/'4'!$D59))</f>
        <v>14230323.466616683</v>
      </c>
      <c r="Z64" s="1253">
        <f>IF((IF('2'!$E68&lt;1,(38.21*((Z$37*$T$15/(0.00001*$T$13))^1.053)),(44.62*((Z$37*$T$15/(0.00001*$T$13))^1.053)*('2'!$E68^1.16))))&lt;(Z$37*$T$15*'2'!$I68/'4'!$D59),(IF('2'!$E68&lt;1,(38.21*((Z$37*$T$15/(0.00001*$T$13))^1.053)),(44.62*((Z$37*$T$15/(0.00001*$T$13))^1.053)*('2'!$E68^1.16)))),(Z$37*$T$15*'2'!$I68/'4'!$D59))</f>
        <v>16009113.899943767</v>
      </c>
      <c r="AA64" s="1253">
        <f>IF((IF('2'!$E68&lt;1,(38.21*((AA$37*$T$15/(0.00001*$T$13))^1.053)),(44.62*((AA$37*$T$15/(0.00001*$T$13))^1.053)*('2'!$E68^1.16))))&lt;(AA$37*$T$15*'2'!$I68/'4'!$D59),(IF('2'!$E68&lt;1,(38.21*((AA$37*$T$15/(0.00001*$T$13))^1.053)),(44.62*((AA$37*$T$15/(0.00001*$T$13))^1.053)*('2'!$E68^1.16)))),(AA$37*$T$15*'2'!$I68/'4'!$D59))</f>
        <v>17787904.333270852</v>
      </c>
      <c r="AB64" s="100">
        <f>IF(R$37&lt;$T$9,(1.16*(1.328/SQRT(R64))*'2'!$K68*$T$12*$T$20*$AL$10),IF(R64&lt;1000000,((1.328/SQRT(R64))*'2'!$K68*$T$12*$T$20*$AL$10),(0.455/((LOG(R64)^2.58)*(1+0.144*'2'!$E68^2)^0.65)))*'2'!$K68*$T$12*$T$20*$AL$10)</f>
        <v>0.6160397125389302</v>
      </c>
      <c r="AC64" s="100">
        <f>IF(S$37&lt;$T$9,(1.16*(1.328/SQRT(S64))*'2'!$K68*$T$12*$T$20*$AL$11),IF(S64&lt;1000000,((1.328/SQRT(S64))*'2'!$K68*$T$12*$T$20*$AL$11),(0.455/((LOG(S64)^2.58)*(1+0.144*'2'!$E68^2)^0.65)))*'2'!$K68*$T$12*$T$20*$AL$11)</f>
        <v>2.4650797907674393</v>
      </c>
      <c r="AD64" s="100">
        <f>IF(T$37&lt;$T$9,(1.16*(1.328/SQRT(T64))*'2'!$K68*$T$12*$T$20*$AL$12),IF(T64&lt;1000000,((1.328/SQRT(T64))*'2'!$K68*$T$12*$T$20*$AL$12),(0.455/((LOG(T64)^2.58)*(1+0.144*'2'!$E68^2)^0.65)))*'2'!$K68*$T$12*$T$20*$AL$12)</f>
        <v>2.1780736251271966</v>
      </c>
      <c r="AE64" s="100">
        <f>IF(U$37&lt;$T$9,(1.16*(1.328/SQRT(U64))*'2'!$K68*$T$12*$T$20*$AL$13),IF(U64&lt;1000000,((1.328/SQRT(U64))*'2'!$K68*$T$12*$T$20*$AL$13),(0.455/((LOG(U64)^2.58)*(1+0.144*'2'!$E68^2)^0.65)))*'2'!$K68*$T$12*$T$20*$AL$13)</f>
        <v>1.8575538151900475</v>
      </c>
      <c r="AF64" s="100">
        <f>IF(V$37&lt;$T$9,(1.16*(1.328/SQRT(V64))*'2'!$K68*$T$12*$T$20*$AL$14),IF(V64&lt;1000000,((1.328/SQRT(V64))*'2'!$K68*$T$12*$T$20*$AL$14),(0.455/((LOG(V64)^2.58)*(1+0.144*'2'!$E68^2)^0.65)))*'2'!$K68*$T$12*$T$20*$AL$14)</f>
        <v>1.5471644074808459</v>
      </c>
      <c r="AG64" s="100">
        <f>IF(W$37&lt;$T$9,(1.16*(1.328/SQRT(W64))*'2'!$K68*$T$12*$T$20*$AL$15),IF(W64&lt;1000000,((1.328/SQRT(W64))*'2'!$K68*$T$12*$T$20*$AL$15),(0.455/((LOG(W64)^2.58)*(1+0.144*'2'!$E68^2)^0.65)))*'2'!$K68*$T$12*$T$20*$AL$15)</f>
        <v>1.2653415401710233</v>
      </c>
      <c r="AH64" s="100">
        <f>IF(X$37&lt;$T$9,(1.16*(1.328/SQRT(X64))*'2'!$K68*$T$12*$T$20*$AL$16),IF(X64&lt;1000000,((1.328/SQRT(X64))*'2'!$K68*$T$12*$T$20*$AL$16),(0.455/((LOG(X64)^2.58)*(1+0.144*'2'!$E68^2)^0.65)))*'2'!$K68*$T$12*$T$20*$AL$16)</f>
        <v>1.0032488828926807</v>
      </c>
      <c r="AI64" s="100">
        <f>IF(Y$37&lt;$T$9,(1.16*(1.328/SQRT(Y64))*'2'!$K68*$T$12*$T$20*$AL$17),IF(Y64&lt;1000000,((1.328/SQRT(Y64))*'2'!$K68*$T$12*$T$20*$AL$17),(0.455/((LOG(Y64)^2.58)*(1+0.144*'2'!$E68^2)^0.65)))*'2'!$K68*$T$12*$T$20*$AL$17)</f>
        <v>0.75569134828465612</v>
      </c>
      <c r="AJ64" s="100">
        <f>IF(Z$37&lt;$T$9,(1.16*(1.328/SQRT(Z64))*'2'!$K68*$T$12*$T$20*$AL$18),IF(Z64&lt;1000000,((1.328/SQRT(Z64))*'2'!$K68*$T$12*$T$20*$AL$18),(0.455/((LOG(Z64)^2.58)*(1+0.144*'2'!$E68^2)^0.65)))*'2'!$K68*$T$12*$T$20*$AL$18)</f>
        <v>0.51934800834021</v>
      </c>
      <c r="AK64" s="100">
        <f>IF(AA$37&lt;$T$9,(1.16*(1.328/SQRT(AA64))*'2'!$K68*$T$12*$T$20*$AL$19),IF(AA64&lt;1000000,((1.328/SQRT(AA64))*'2'!$K68*$T$12*$T$20*$AL$19),(0.455/((LOG(AA64)^2.58)*(1+0.144*'2'!$E68^2)^0.65)))*'2'!$K68*$T$12*$T$20*$AL$19)</f>
        <v>0.36495252713275533</v>
      </c>
      <c r="AL64" s="52">
        <f t="shared" si="16"/>
        <v>12.572493657925786</v>
      </c>
      <c r="AM64" s="100">
        <f>IF('2'!E68&lt;1,0,(IF(T$5&lt;4,(((9/2)*T$16*PI()/((SUM(AC$9:AC$19))^2)))*T$16*'2'!K68*T$14*(1-((0.386*(('2'!E68-1.2)^0.57))*(1-(PI()*(('4'!E$16^0.77)/100))))),(IF(T$5=4,((4*T$16/(PI()*((T$15/2)^2)))*T$16*'2'!K68),(((9*PI()/2)*T$16/(((T$15)^2)))*T$16*'2'!K68))))))</f>
        <v>0</v>
      </c>
      <c r="AN64" s="52">
        <f t="shared" si="17"/>
        <v>12.572493657925786</v>
      </c>
      <c r="AO64" s="193">
        <f>AN64/('2'!K68*'4'!$L$15)</f>
        <v>4.2548802632795682E-3</v>
      </c>
      <c r="AP64" s="26"/>
    </row>
    <row r="65" spans="2:42" ht="13.8">
      <c r="B65" s="154" t="s">
        <v>429</v>
      </c>
      <c r="C65" s="140" t="s">
        <v>188</v>
      </c>
      <c r="D65" s="157">
        <f>D60+F39</f>
        <v>13.333333333333334</v>
      </c>
      <c r="E65" s="140"/>
      <c r="F65" s="140"/>
      <c r="G65" s="145"/>
      <c r="H65" s="140"/>
      <c r="I65" s="140"/>
      <c r="J65" s="140"/>
      <c r="K65" s="140"/>
      <c r="L65" s="140"/>
      <c r="M65" s="140"/>
      <c r="N65" s="25"/>
      <c r="O65" s="26"/>
      <c r="Q65" s="291"/>
      <c r="R65" s="1253">
        <f>IF((IF('2'!$E69&lt;1,(38.21*((R$37*$T$15/(0.00001*$T$13))^1.053)),(44.62*((R$37*$T$15/(0.00001*$T$13))^1.053)*('2'!$E69^1.16))))&lt;(R$37*$T$15*'2'!$I69/'4'!$D60),(IF('2'!$E69&lt;1,(38.21*((R$37*$T$15/(0.00001*$T$13))^1.053)),(44.62*((R$37*$T$15/(0.00001*$T$13))^1.053)*('2'!$E69^1.16)))),(R$37*$T$15*'2'!$I69/'4'!$D60))</f>
        <v>1778790.4333270853</v>
      </c>
      <c r="S65" s="1253">
        <f>IF((IF('2'!$E69&lt;1,(38.21*((S$37*$T$15/(0.00001*$T$13))^1.053)),(44.62*((S$37*$T$15/(0.00001*$T$13))^1.053)*('2'!$E69^1.16))))&lt;(S$37*$T$15*'2'!$I69/'4'!$D60),(IF('2'!$E69&lt;1,(38.21*((S$37*$T$15/(0.00001*$T$13))^1.053)),(44.62*((S$37*$T$15/(0.00001*$T$13))^1.053)*('2'!$E69^1.16)))),(S$37*$T$15*'2'!$I69/'4'!$D60))</f>
        <v>3557580.8666541707</v>
      </c>
      <c r="T65" s="1253">
        <f>IF((IF('2'!$E69&lt;1,(38.21*((T$37*$T$15/(0.00001*$T$13))^1.053)),(44.62*((T$37*$T$15/(0.00001*$T$13))^1.053)*('2'!$E69^1.16))))&lt;(T$37*$T$15*'2'!$I69/'4'!$D60),(IF('2'!$E69&lt;1,(38.21*((T$37*$T$15/(0.00001*$T$13))^1.053)),(44.62*((T$37*$T$15/(0.00001*$T$13))^1.053)*('2'!$E69^1.16)))),(T$37*$T$15*'2'!$I69/'4'!$D60))</f>
        <v>5336371.2999812551</v>
      </c>
      <c r="U65" s="1253">
        <f>IF((IF('2'!$E69&lt;1,(38.21*((U$37*$T$15/(0.00001*$T$13))^1.053)),(44.62*((U$37*$T$15/(0.00001*$T$13))^1.053)*('2'!$E69^1.16))))&lt;(U$37*$T$15*'2'!$I69/'4'!$D60),(IF('2'!$E69&lt;1,(38.21*((U$37*$T$15/(0.00001*$T$13))^1.053)),(44.62*((U$37*$T$15/(0.00001*$T$13))^1.053)*('2'!$E69^1.16)))),(U$37*$T$15*'2'!$I69/'4'!$D60))</f>
        <v>7115161.7333083414</v>
      </c>
      <c r="V65" s="1253">
        <f>IF((IF('2'!$E69&lt;1,(38.21*((V$37*$T$15/(0.00001*$T$13))^1.053)),(44.62*((V$37*$T$15/(0.00001*$T$13))^1.053)*('2'!$E69^1.16))))&lt;(V$37*$T$15*'2'!$I69/'4'!$D60),(IF('2'!$E69&lt;1,(38.21*((V$37*$T$15/(0.00001*$T$13))^1.053)),(44.62*((V$37*$T$15/(0.00001*$T$13))^1.053)*('2'!$E69^1.16)))),(V$37*$T$15*'2'!$I69/'4'!$D60))</f>
        <v>8893952.1666354258</v>
      </c>
      <c r="W65" s="1253">
        <f>IF((IF('2'!$E69&lt;1,(38.21*((W$37*$T$15/(0.00001*$T$13))^1.053)),(44.62*((W$37*$T$15/(0.00001*$T$13))^1.053)*('2'!$E69^1.16))))&lt;(W$37*$T$15*'2'!$I69/'4'!$D60),(IF('2'!$E69&lt;1,(38.21*((W$37*$T$15/(0.00001*$T$13))^1.053)),(44.62*((W$37*$T$15/(0.00001*$T$13))^1.053)*('2'!$E69^1.16)))),(W$37*$T$15*'2'!$I69/'4'!$D60))</f>
        <v>10672742.59996251</v>
      </c>
      <c r="X65" s="1253">
        <f>IF((IF('2'!$E69&lt;1,(38.21*((X$37*$T$15/(0.00001*$T$13))^1.053)),(44.62*((X$37*$T$15/(0.00001*$T$13))^1.053)*('2'!$E69^1.16))))&lt;(X$37*$T$15*'2'!$I69/'4'!$D60),(IF('2'!$E69&lt;1,(38.21*((X$37*$T$15/(0.00001*$T$13))^1.053)),(44.62*((X$37*$T$15/(0.00001*$T$13))^1.053)*('2'!$E69^1.16)))),(X$37*$T$15*'2'!$I69/'4'!$D60))</f>
        <v>12451533.033289595</v>
      </c>
      <c r="Y65" s="1253">
        <f>IF((IF('2'!$E69&lt;1,(38.21*((Y$37*$T$15/(0.00001*$T$13))^1.053)),(44.62*((Y$37*$T$15/(0.00001*$T$13))^1.053)*('2'!$E69^1.16))))&lt;(Y$37*$T$15*'2'!$I69/'4'!$D60),(IF('2'!$E69&lt;1,(38.21*((Y$37*$T$15/(0.00001*$T$13))^1.053)),(44.62*((Y$37*$T$15/(0.00001*$T$13))^1.053)*('2'!$E69^1.16)))),(Y$37*$T$15*'2'!$I69/'4'!$D60))</f>
        <v>14230323.466616683</v>
      </c>
      <c r="Z65" s="1253">
        <f>IF((IF('2'!$E69&lt;1,(38.21*((Z$37*$T$15/(0.00001*$T$13))^1.053)),(44.62*((Z$37*$T$15/(0.00001*$T$13))^1.053)*('2'!$E69^1.16))))&lt;(Z$37*$T$15*'2'!$I69/'4'!$D60),(IF('2'!$E69&lt;1,(38.21*((Z$37*$T$15/(0.00001*$T$13))^1.053)),(44.62*((Z$37*$T$15/(0.00001*$T$13))^1.053)*('2'!$E69^1.16)))),(Z$37*$T$15*'2'!$I69/'4'!$D60))</f>
        <v>16009113.899943767</v>
      </c>
      <c r="AA65" s="1253">
        <f>IF((IF('2'!$E69&lt;1,(38.21*((AA$37*$T$15/(0.00001*$T$13))^1.053)),(44.62*((AA$37*$T$15/(0.00001*$T$13))^1.053)*('2'!$E69^1.16))))&lt;(AA$37*$T$15*'2'!$I69/'4'!$D60),(IF('2'!$E69&lt;1,(38.21*((AA$37*$T$15/(0.00001*$T$13))^1.053)),(44.62*((AA$37*$T$15/(0.00001*$T$13))^1.053)*('2'!$E69^1.16)))),(AA$37*$T$15*'2'!$I69/'4'!$D60))</f>
        <v>17787904.333270852</v>
      </c>
      <c r="AB65" s="100">
        <f>IF(R$37&lt;$T$9,(1.16*(1.328/SQRT(R65))*'2'!$K69*$T$12*$T$20*$AL$10),IF(R65&lt;1000000,((1.328/SQRT(R65))*'2'!$K69*$T$12*$T$20*$AL$10),(0.455/((LOG(R65)^2.58)*(1+0.144*'2'!$E69^2)^0.65)))*'2'!$K69*$T$12*$T$20*$AL$10)</f>
        <v>0.6160397125389302</v>
      </c>
      <c r="AC65" s="100">
        <f>IF(S$37&lt;$T$9,(1.16*(1.328/SQRT(S65))*'2'!$K69*$T$12*$T$20*$AL$11),IF(S65&lt;1000000,((1.328/SQRT(S65))*'2'!$K69*$T$12*$T$20*$AL$11),(0.455/((LOG(S65)^2.58)*(1+0.144*'2'!$E69^2)^0.65)))*'2'!$K69*$T$12*$T$20*$AL$11)</f>
        <v>2.4650797907674393</v>
      </c>
      <c r="AD65" s="100">
        <f>IF(T$37&lt;$T$9,(1.16*(1.328/SQRT(T65))*'2'!$K69*$T$12*$T$20*$AL$12),IF(T65&lt;1000000,((1.328/SQRT(T65))*'2'!$K69*$T$12*$T$20*$AL$12),(0.455/((LOG(T65)^2.58)*(1+0.144*'2'!$E69^2)^0.65)))*'2'!$K69*$T$12*$T$20*$AL$12)</f>
        <v>2.1780736251271966</v>
      </c>
      <c r="AE65" s="100">
        <f>IF(U$37&lt;$T$9,(1.16*(1.328/SQRT(U65))*'2'!$K69*$T$12*$T$20*$AL$13),IF(U65&lt;1000000,((1.328/SQRT(U65))*'2'!$K69*$T$12*$T$20*$AL$13),(0.455/((LOG(U65)^2.58)*(1+0.144*'2'!$E69^2)^0.65)))*'2'!$K69*$T$12*$T$20*$AL$13)</f>
        <v>1.8575538151900475</v>
      </c>
      <c r="AF65" s="100">
        <f>IF(V$37&lt;$T$9,(1.16*(1.328/SQRT(V65))*'2'!$K69*$T$12*$T$20*$AL$14),IF(V65&lt;1000000,((1.328/SQRT(V65))*'2'!$K69*$T$12*$T$20*$AL$14),(0.455/((LOG(V65)^2.58)*(1+0.144*'2'!$E69^2)^0.65)))*'2'!$K69*$T$12*$T$20*$AL$14)</f>
        <v>1.5471644074808459</v>
      </c>
      <c r="AG65" s="100">
        <f>IF(W$37&lt;$T$9,(1.16*(1.328/SQRT(W65))*'2'!$K69*$T$12*$T$20*$AL$15),IF(W65&lt;1000000,((1.328/SQRT(W65))*'2'!$K69*$T$12*$T$20*$AL$15),(0.455/((LOG(W65)^2.58)*(1+0.144*'2'!$E69^2)^0.65)))*'2'!$K69*$T$12*$T$20*$AL$15)</f>
        <v>1.2653415401710233</v>
      </c>
      <c r="AH65" s="100">
        <f>IF(X$37&lt;$T$9,(1.16*(1.328/SQRT(X65))*'2'!$K69*$T$12*$T$20*$AL$16),IF(X65&lt;1000000,((1.328/SQRT(X65))*'2'!$K69*$T$12*$T$20*$AL$16),(0.455/((LOG(X65)^2.58)*(1+0.144*'2'!$E69^2)^0.65)))*'2'!$K69*$T$12*$T$20*$AL$16)</f>
        <v>1.0032488828926807</v>
      </c>
      <c r="AI65" s="100">
        <f>IF(Y$37&lt;$T$9,(1.16*(1.328/SQRT(Y65))*'2'!$K69*$T$12*$T$20*$AL$17),IF(Y65&lt;1000000,((1.328/SQRT(Y65))*'2'!$K69*$T$12*$T$20*$AL$17),(0.455/((LOG(Y65)^2.58)*(1+0.144*'2'!$E69^2)^0.65)))*'2'!$K69*$T$12*$T$20*$AL$17)</f>
        <v>0.75569134828465612</v>
      </c>
      <c r="AJ65" s="100">
        <f>IF(Z$37&lt;$T$9,(1.16*(1.328/SQRT(Z65))*'2'!$K69*$T$12*$T$20*$AL$18),IF(Z65&lt;1000000,((1.328/SQRT(Z65))*'2'!$K69*$T$12*$T$20*$AL$18),(0.455/((LOG(Z65)^2.58)*(1+0.144*'2'!$E69^2)^0.65)))*'2'!$K69*$T$12*$T$20*$AL$18)</f>
        <v>0.51934800834021</v>
      </c>
      <c r="AK65" s="100">
        <f>IF(AA$37&lt;$T$9,(1.16*(1.328/SQRT(AA65))*'2'!$K69*$T$12*$T$20*$AL$19),IF(AA65&lt;1000000,((1.328/SQRT(AA65))*'2'!$K69*$T$12*$T$20*$AL$19),(0.455/((LOG(AA65)^2.58)*(1+0.144*'2'!$E69^2)^0.65)))*'2'!$K69*$T$12*$T$20*$AL$19)</f>
        <v>0.36495252713275533</v>
      </c>
      <c r="AL65" s="52">
        <f t="shared" si="16"/>
        <v>12.572493657925786</v>
      </c>
      <c r="AM65" s="100">
        <f>IF('2'!E69&lt;1,0,(IF(T$5&lt;4,(((9/2)*T$16*PI()/((SUM(AC$9:AC$19))^2)))*T$16*'2'!K69*T$14*(1-((0.386*(('2'!E69-1.2)^0.57))*(1-(PI()*(('4'!E$16^0.77)/100))))),(IF(T$5=4,((4*T$16/(PI()*((T$15/2)^2)))*T$16*'2'!K69),(((9*PI()/2)*T$16/(((T$15)^2)))*T$16*'2'!K69))))))</f>
        <v>0</v>
      </c>
      <c r="AN65" s="52">
        <f t="shared" si="17"/>
        <v>12.572493657925786</v>
      </c>
      <c r="AO65" s="193">
        <f>AN65/('2'!K69*'4'!$L$15)</f>
        <v>4.2548802632795682E-3</v>
      </c>
      <c r="AP65" s="26"/>
    </row>
    <row r="66" spans="2:42" ht="13.8">
      <c r="B66" s="154"/>
      <c r="C66" s="140"/>
      <c r="D66" s="157"/>
      <c r="E66" s="140"/>
      <c r="F66" s="140"/>
      <c r="G66" s="145"/>
      <c r="H66" s="140"/>
      <c r="I66" s="140"/>
      <c r="J66" s="140"/>
      <c r="K66" s="140"/>
      <c r="L66" s="140"/>
      <c r="M66" s="140"/>
      <c r="N66" s="25"/>
      <c r="O66" s="26"/>
      <c r="Q66" s="291"/>
      <c r="R66" s="1253">
        <f>IF((IF('2'!$E70&lt;1,(38.21*((R$37*$T$15/(0.00001*$T$13))^1.053)),(44.62*((R$37*$T$15/(0.00001*$T$13))^1.053)*('2'!$E70^1.16))))&lt;(R$37*$T$15*'2'!$I70/'4'!$D61),(IF('2'!$E70&lt;1,(38.21*((R$37*$T$15/(0.00001*$T$13))^1.053)),(44.62*((R$37*$T$15/(0.00001*$T$13))^1.053)*('2'!$E70^1.16)))),(R$37*$T$15*'2'!$I70/'4'!$D61))</f>
        <v>2012749.1015740742</v>
      </c>
      <c r="S66" s="1253">
        <f>IF((IF('2'!$E70&lt;1,(38.21*((S$37*$T$15/(0.00001*$T$13))^1.053)),(44.62*((S$37*$T$15/(0.00001*$T$13))^1.053)*('2'!$E70^1.16))))&lt;(S$37*$T$15*'2'!$I70/'4'!$D61),(IF('2'!$E70&lt;1,(38.21*((S$37*$T$15/(0.00001*$T$13))^1.053)),(44.62*((S$37*$T$15/(0.00001*$T$13))^1.053)*('2'!$E70^1.16)))),(S$37*$T$15*'2'!$I70/'4'!$D61))</f>
        <v>4025498.2031481485</v>
      </c>
      <c r="T66" s="1253">
        <f>IF((IF('2'!$E70&lt;1,(38.21*((T$37*$T$15/(0.00001*$T$13))^1.053)),(44.62*((T$37*$T$15/(0.00001*$T$13))^1.053)*('2'!$E70^1.16))))&lt;(T$37*$T$15*'2'!$I70/'4'!$D61),(IF('2'!$E70&lt;1,(38.21*((T$37*$T$15/(0.00001*$T$13))^1.053)),(44.62*((T$37*$T$15/(0.00001*$T$13))^1.053)*('2'!$E70^1.16)))),(T$37*$T$15*'2'!$I70/'4'!$D61))</f>
        <v>6038247.3047222216</v>
      </c>
      <c r="U66" s="1253">
        <f>IF((IF('2'!$E70&lt;1,(38.21*((U$37*$T$15/(0.00001*$T$13))^1.053)),(44.62*((U$37*$T$15/(0.00001*$T$13))^1.053)*('2'!$E70^1.16))))&lt;(U$37*$T$15*'2'!$I70/'4'!$D61),(IF('2'!$E70&lt;1,(38.21*((U$37*$T$15/(0.00001*$T$13))^1.053)),(44.62*((U$37*$T$15/(0.00001*$T$13))^1.053)*('2'!$E70^1.16)))),(U$37*$T$15*'2'!$I70/'4'!$D61))</f>
        <v>8050996.406296297</v>
      </c>
      <c r="V66" s="1253">
        <f>IF((IF('2'!$E70&lt;1,(38.21*((V$37*$T$15/(0.00001*$T$13))^1.053)),(44.62*((V$37*$T$15/(0.00001*$T$13))^1.053)*('2'!$E70^1.16))))&lt;(V$37*$T$15*'2'!$I70/'4'!$D61),(IF('2'!$E70&lt;1,(38.21*((V$37*$T$15/(0.00001*$T$13))^1.053)),(44.62*((V$37*$T$15/(0.00001*$T$13))^1.053)*('2'!$E70^1.16)))),(V$37*$T$15*'2'!$I70/'4'!$D61))</f>
        <v>10063745.507870371</v>
      </c>
      <c r="W66" s="1253">
        <f>IF((IF('2'!$E70&lt;1,(38.21*((W$37*$T$15/(0.00001*$T$13))^1.053)),(44.62*((W$37*$T$15/(0.00001*$T$13))^1.053)*('2'!$E70^1.16))))&lt;(W$37*$T$15*'2'!$I70/'4'!$D61),(IF('2'!$E70&lt;1,(38.21*((W$37*$T$15/(0.00001*$T$13))^1.053)),(44.62*((W$37*$T$15/(0.00001*$T$13))^1.053)*('2'!$E70^1.16)))),(W$37*$T$15*'2'!$I70/'4'!$D61))</f>
        <v>12076494.609444443</v>
      </c>
      <c r="X66" s="1253">
        <f>IF((IF('2'!$E70&lt;1,(38.21*((X$37*$T$15/(0.00001*$T$13))^1.053)),(44.62*((X$37*$T$15/(0.00001*$T$13))^1.053)*('2'!$E70^1.16))))&lt;(X$37*$T$15*'2'!$I70/'4'!$D61),(IF('2'!$E70&lt;1,(38.21*((X$37*$T$15/(0.00001*$T$13))^1.053)),(44.62*((X$37*$T$15/(0.00001*$T$13))^1.053)*('2'!$E70^1.16)))),(X$37*$T$15*'2'!$I70/'4'!$D61))</f>
        <v>14089243.711018519</v>
      </c>
      <c r="Y66" s="1253">
        <f>IF((IF('2'!$E70&lt;1,(38.21*((Y$37*$T$15/(0.00001*$T$13))^1.053)),(44.62*((Y$37*$T$15/(0.00001*$T$13))^1.053)*('2'!$E70^1.16))))&lt;(Y$37*$T$15*'2'!$I70/'4'!$D61),(IF('2'!$E70&lt;1,(38.21*((Y$37*$T$15/(0.00001*$T$13))^1.053)),(44.62*((Y$37*$T$15/(0.00001*$T$13))^1.053)*('2'!$E70^1.16)))),(Y$37*$T$15*'2'!$I70/'4'!$D61))</f>
        <v>16101992.812592594</v>
      </c>
      <c r="Z66" s="1253">
        <f>IF((IF('2'!$E70&lt;1,(38.21*((Z$37*$T$15/(0.00001*$T$13))^1.053)),(44.62*((Z$37*$T$15/(0.00001*$T$13))^1.053)*('2'!$E70^1.16))))&lt;(Z$37*$T$15*'2'!$I70/'4'!$D61),(IF('2'!$E70&lt;1,(38.21*((Z$37*$T$15/(0.00001*$T$13))^1.053)),(44.62*((Z$37*$T$15/(0.00001*$T$13))^1.053)*('2'!$E70^1.16)))),(Z$37*$T$15*'2'!$I70/'4'!$D61))</f>
        <v>18114741.914166667</v>
      </c>
      <c r="AA66" s="1253">
        <f>IF((IF('2'!$E70&lt;1,(38.21*((AA$37*$T$15/(0.00001*$T$13))^1.053)),(44.62*((AA$37*$T$15/(0.00001*$T$13))^1.053)*('2'!$E70^1.16))))&lt;(AA$37*$T$15*'2'!$I70/'4'!$D61),(IF('2'!$E70&lt;1,(38.21*((AA$37*$T$15/(0.00001*$T$13))^1.053)),(44.62*((AA$37*$T$15/(0.00001*$T$13))^1.053)*('2'!$E70^1.16)))),(AA$37*$T$15*'2'!$I70/'4'!$D61))</f>
        <v>20127491.015740741</v>
      </c>
      <c r="AB66" s="100">
        <f>IF(R$37&lt;$T$9,(1.16*(1.328/SQRT(R66))*'2'!$K70*$T$12*$T$20*$AL$10),IF(R66&lt;1000000,((1.328/SQRT(R66))*'2'!$K70*$T$12*$T$20*$AL$10),(0.455/((LOG(R66)^2.58)*(1+0.144*'2'!$E70^2)^0.65)))*'2'!$K70*$T$12*$T$20*$AL$10)</f>
        <v>0.65251197929173721</v>
      </c>
      <c r="AC66" s="100">
        <f>IF(S$37&lt;$T$9,(1.16*(1.328/SQRT(S66))*'2'!$K70*$T$12*$T$20*$AL$11),IF(S66&lt;1000000,((1.328/SQRT(S66))*'2'!$K70*$T$12*$T$20*$AL$11),(0.455/((LOG(S66)^2.58)*(1+0.144*'2'!$E70^2)^0.65)))*'2'!$K70*$T$12*$T$20*$AL$11)</f>
        <v>2.7203674245691767</v>
      </c>
      <c r="AD66" s="100">
        <f>IF(T$37&lt;$T$9,(1.16*(1.328/SQRT(T66))*'2'!$K70*$T$12*$T$20*$AL$12),IF(T66&lt;1000000,((1.328/SQRT(T66))*'2'!$K70*$T$12*$T$20*$AL$12),(0.455/((LOG(T66)^2.58)*(1+0.144*'2'!$E70^2)^0.65)))*'2'!$K70*$T$12*$T$20*$AL$12)</f>
        <v>2.4049578600520105</v>
      </c>
      <c r="AE66" s="100">
        <f>IF(U$37&lt;$T$9,(1.16*(1.328/SQRT(U66))*'2'!$K70*$T$12*$T$20*$AL$13),IF(U66&lt;1000000,((1.328/SQRT(U66))*'2'!$K70*$T$12*$T$20*$AL$13),(0.455/((LOG(U66)^2.58)*(1+0.144*'2'!$E70^2)^0.65)))*'2'!$K70*$T$12*$T$20*$AL$13)</f>
        <v>2.0518141369458252</v>
      </c>
      <c r="AF66" s="100">
        <f>IF(V$37&lt;$T$9,(1.16*(1.328/SQRT(V66))*'2'!$K70*$T$12*$T$20*$AL$14),IF(V66&lt;1000000,((1.328/SQRT(V66))*'2'!$K70*$T$12*$T$20*$AL$14),(0.455/((LOG(V66)^2.58)*(1+0.144*'2'!$E70^2)^0.65)))*'2'!$K70*$T$12*$T$20*$AL$14)</f>
        <v>1.70944256343403</v>
      </c>
      <c r="AG66" s="100">
        <f>IF(W$37&lt;$T$9,(1.16*(1.328/SQRT(W66))*'2'!$K70*$T$12*$T$20*$AL$15),IF(W66&lt;1000000,((1.328/SQRT(W66))*'2'!$K70*$T$12*$T$20*$AL$15),(0.455/((LOG(W66)^2.58)*(1+0.144*'2'!$E70^2)^0.65)))*'2'!$K70*$T$12*$T$20*$AL$15)</f>
        <v>1.3983714727121628</v>
      </c>
      <c r="AH66" s="100">
        <f>IF(X$37&lt;$T$9,(1.16*(1.328/SQRT(X66))*'2'!$K70*$T$12*$T$20*$AL$16),IF(X66&lt;1000000,((1.328/SQRT(X66))*'2'!$K70*$T$12*$T$20*$AL$16),(0.455/((LOG(X66)^2.58)*(1+0.144*'2'!$E70^2)^0.65)))*'2'!$K70*$T$12*$T$20*$AL$16)</f>
        <v>1.1089286167674315</v>
      </c>
      <c r="AI66" s="100">
        <f>IF(Y$37&lt;$T$9,(1.16*(1.328/SQRT(Y66))*'2'!$K70*$T$12*$T$20*$AL$17),IF(Y66&lt;1000000,((1.328/SQRT(Y66))*'2'!$K70*$T$12*$T$20*$AL$17),(0.455/((LOG(Y66)^2.58)*(1+0.144*'2'!$E70^2)^0.65)))*'2'!$K70*$T$12*$T$20*$AL$17)</f>
        <v>0.83542515611734103</v>
      </c>
      <c r="AJ66" s="100">
        <f>IF(Z$37&lt;$T$9,(1.16*(1.328/SQRT(Z66))*'2'!$K70*$T$12*$T$20*$AL$18),IF(Z66&lt;1000000,((1.328/SQRT(Z66))*'2'!$K70*$T$12*$T$20*$AL$18),(0.455/((LOG(Z66)^2.58)*(1+0.144*'2'!$E70^2)^0.65)))*'2'!$K70*$T$12*$T$20*$AL$18)</f>
        <v>0.57422330015542467</v>
      </c>
      <c r="AK66" s="100">
        <f>IF(AA$37&lt;$T$9,(1.16*(1.328/SQRT(AA66))*'2'!$K70*$T$12*$T$20*$AL$19),IF(AA66&lt;1000000,((1.328/SQRT(AA66))*'2'!$K70*$T$12*$T$20*$AL$19),(0.455/((LOG(AA66)^2.58)*(1+0.144*'2'!$E70^2)^0.65)))*'2'!$K70*$T$12*$T$20*$AL$19)</f>
        <v>0.40356268572221315</v>
      </c>
      <c r="AL66" s="52">
        <f t="shared" si="16"/>
        <v>13.859605195767351</v>
      </c>
      <c r="AM66" s="100">
        <f>IF('2'!E70&lt;1,0,(IF(T$5&lt;4,(((9/2)*T$16*PI()/((SUM(AC$9:AC$19))^2)))*T$16*'2'!K70*T$14*(1-((0.386*(('2'!E70-1.2)^0.57))*(1-(PI()*(('4'!E$16^0.77)/100))))),(IF(T$5=4,((4*T$16/(PI()*((T$15/2)^2)))*T$16*'2'!K70),(((9*PI()/2)*T$16/(((T$15)^2)))*T$16*'2'!K70))))))</f>
        <v>0</v>
      </c>
      <c r="AN66" s="52">
        <f t="shared" si="17"/>
        <v>13.859605195767351</v>
      </c>
      <c r="AO66" s="193">
        <f>AN66/('2'!K70*'4'!$L$15)</f>
        <v>4.1629823461956234E-3</v>
      </c>
      <c r="AP66" s="26"/>
    </row>
    <row r="67" spans="2:42" ht="13.8">
      <c r="B67" s="154"/>
      <c r="C67" s="140"/>
      <c r="D67" s="140"/>
      <c r="E67" s="140"/>
      <c r="F67" s="140"/>
      <c r="G67" s="145"/>
      <c r="H67" s="140"/>
      <c r="I67" s="140"/>
      <c r="J67" s="140"/>
      <c r="K67" s="140"/>
      <c r="L67" s="140"/>
      <c r="M67" s="140"/>
      <c r="N67" s="25"/>
      <c r="O67" s="26"/>
      <c r="Q67" s="291"/>
      <c r="R67" s="1253">
        <f>IF((IF('2'!$E71&lt;1,(38.21*((R$37*$T$15/(0.00001*$T$13))^1.053)),(44.62*((R$37*$T$15/(0.00001*$T$13))^1.053)*('2'!$E71^1.16))))&lt;(R$37*$T$15*'2'!$I71/'4'!$D62),(IF('2'!$E71&lt;1,(38.21*((R$37*$T$15/(0.00001*$T$13))^1.053)),(44.62*((R$37*$T$15/(0.00001*$T$13))^1.053)*('2'!$E71^1.16)))),(R$37*$T$15*'2'!$I71/'4'!$D62))</f>
        <v>2012749.1015740742</v>
      </c>
      <c r="S67" s="1253">
        <f>IF((IF('2'!$E71&lt;1,(38.21*((S$37*$T$15/(0.00001*$T$13))^1.053)),(44.62*((S$37*$T$15/(0.00001*$T$13))^1.053)*('2'!$E71^1.16))))&lt;(S$37*$T$15*'2'!$I71/'4'!$D62),(IF('2'!$E71&lt;1,(38.21*((S$37*$T$15/(0.00001*$T$13))^1.053)),(44.62*((S$37*$T$15/(0.00001*$T$13))^1.053)*('2'!$E71^1.16)))),(S$37*$T$15*'2'!$I71/'4'!$D62))</f>
        <v>4025498.2031481485</v>
      </c>
      <c r="T67" s="1253">
        <f>IF((IF('2'!$E71&lt;1,(38.21*((T$37*$T$15/(0.00001*$T$13))^1.053)),(44.62*((T$37*$T$15/(0.00001*$T$13))^1.053)*('2'!$E71^1.16))))&lt;(T$37*$T$15*'2'!$I71/'4'!$D62),(IF('2'!$E71&lt;1,(38.21*((T$37*$T$15/(0.00001*$T$13))^1.053)),(44.62*((T$37*$T$15/(0.00001*$T$13))^1.053)*('2'!$E71^1.16)))),(T$37*$T$15*'2'!$I71/'4'!$D62))</f>
        <v>6038247.3047222216</v>
      </c>
      <c r="U67" s="1253">
        <f>IF((IF('2'!$E71&lt;1,(38.21*((U$37*$T$15/(0.00001*$T$13))^1.053)),(44.62*((U$37*$T$15/(0.00001*$T$13))^1.053)*('2'!$E71^1.16))))&lt;(U$37*$T$15*'2'!$I71/'4'!$D62),(IF('2'!$E71&lt;1,(38.21*((U$37*$T$15/(0.00001*$T$13))^1.053)),(44.62*((U$37*$T$15/(0.00001*$T$13))^1.053)*('2'!$E71^1.16)))),(U$37*$T$15*'2'!$I71/'4'!$D62))</f>
        <v>8050996.406296297</v>
      </c>
      <c r="V67" s="1253">
        <f>IF((IF('2'!$E71&lt;1,(38.21*((V$37*$T$15/(0.00001*$T$13))^1.053)),(44.62*((V$37*$T$15/(0.00001*$T$13))^1.053)*('2'!$E71^1.16))))&lt;(V$37*$T$15*'2'!$I71/'4'!$D62),(IF('2'!$E71&lt;1,(38.21*((V$37*$T$15/(0.00001*$T$13))^1.053)),(44.62*((V$37*$T$15/(0.00001*$T$13))^1.053)*('2'!$E71^1.16)))),(V$37*$T$15*'2'!$I71/'4'!$D62))</f>
        <v>10063745.507870371</v>
      </c>
      <c r="W67" s="1253">
        <f>IF((IF('2'!$E71&lt;1,(38.21*((W$37*$T$15/(0.00001*$T$13))^1.053)),(44.62*((W$37*$T$15/(0.00001*$T$13))^1.053)*('2'!$E71^1.16))))&lt;(W$37*$T$15*'2'!$I71/'4'!$D62),(IF('2'!$E71&lt;1,(38.21*((W$37*$T$15/(0.00001*$T$13))^1.053)),(44.62*((W$37*$T$15/(0.00001*$T$13))^1.053)*('2'!$E71^1.16)))),(W$37*$T$15*'2'!$I71/'4'!$D62))</f>
        <v>12076494.609444443</v>
      </c>
      <c r="X67" s="1253">
        <f>IF((IF('2'!$E71&lt;1,(38.21*((X$37*$T$15/(0.00001*$T$13))^1.053)),(44.62*((X$37*$T$15/(0.00001*$T$13))^1.053)*('2'!$E71^1.16))))&lt;(X$37*$T$15*'2'!$I71/'4'!$D62),(IF('2'!$E71&lt;1,(38.21*((X$37*$T$15/(0.00001*$T$13))^1.053)),(44.62*((X$37*$T$15/(0.00001*$T$13))^1.053)*('2'!$E71^1.16)))),(X$37*$T$15*'2'!$I71/'4'!$D62))</f>
        <v>14089243.711018519</v>
      </c>
      <c r="Y67" s="1253">
        <f>IF((IF('2'!$E71&lt;1,(38.21*((Y$37*$T$15/(0.00001*$T$13))^1.053)),(44.62*((Y$37*$T$15/(0.00001*$T$13))^1.053)*('2'!$E71^1.16))))&lt;(Y$37*$T$15*'2'!$I71/'4'!$D62),(IF('2'!$E71&lt;1,(38.21*((Y$37*$T$15/(0.00001*$T$13))^1.053)),(44.62*((Y$37*$T$15/(0.00001*$T$13))^1.053)*('2'!$E71^1.16)))),(Y$37*$T$15*'2'!$I71/'4'!$D62))</f>
        <v>16101992.812592594</v>
      </c>
      <c r="Z67" s="1253">
        <f>IF((IF('2'!$E71&lt;1,(38.21*((Z$37*$T$15/(0.00001*$T$13))^1.053)),(44.62*((Z$37*$T$15/(0.00001*$T$13))^1.053)*('2'!$E71^1.16))))&lt;(Z$37*$T$15*'2'!$I71/'4'!$D62),(IF('2'!$E71&lt;1,(38.21*((Z$37*$T$15/(0.00001*$T$13))^1.053)),(44.62*((Z$37*$T$15/(0.00001*$T$13))^1.053)*('2'!$E71^1.16)))),(Z$37*$T$15*'2'!$I71/'4'!$D62))</f>
        <v>18114741.914166667</v>
      </c>
      <c r="AA67" s="1253">
        <f>IF((IF('2'!$E71&lt;1,(38.21*((AA$37*$T$15/(0.00001*$T$13))^1.053)),(44.62*((AA$37*$T$15/(0.00001*$T$13))^1.053)*('2'!$E71^1.16))))&lt;(AA$37*$T$15*'2'!$I71/'4'!$D62),(IF('2'!$E71&lt;1,(38.21*((AA$37*$T$15/(0.00001*$T$13))^1.053)),(44.62*((AA$37*$T$15/(0.00001*$T$13))^1.053)*('2'!$E71^1.16)))),(AA$37*$T$15*'2'!$I71/'4'!$D62))</f>
        <v>20127491.015740741</v>
      </c>
      <c r="AB67" s="100">
        <f>IF(R$37&lt;$T$9,(1.16*(1.328/SQRT(R67))*'2'!$K71*$T$12*$T$20*$AL$10),IF(R67&lt;1000000,((1.328/SQRT(R67))*'2'!$K71*$T$12*$T$20*$AL$10),(0.455/((LOG(R67)^2.58)*(1+0.144*'2'!$E71^2)^0.65)))*'2'!$K71*$T$12*$T$20*$AL$10)</f>
        <v>0.65251197929173721</v>
      </c>
      <c r="AC67" s="100">
        <f>IF(S$37&lt;$T$9,(1.16*(1.328/SQRT(S67))*'2'!$K71*$T$12*$T$20*$AL$11),IF(S67&lt;1000000,((1.328/SQRT(S67))*'2'!$K71*$T$12*$T$20*$AL$11),(0.455/((LOG(S67)^2.58)*(1+0.144*'2'!$E71^2)^0.65)))*'2'!$K71*$T$12*$T$20*$AL$11)</f>
        <v>2.7203674245691767</v>
      </c>
      <c r="AD67" s="100">
        <f>IF(T$37&lt;$T$9,(1.16*(1.328/SQRT(T67))*'2'!$K71*$T$12*$T$20*$AL$12),IF(T67&lt;1000000,((1.328/SQRT(T67))*'2'!$K71*$T$12*$T$20*$AL$12),(0.455/((LOG(T67)^2.58)*(1+0.144*'2'!$E71^2)^0.65)))*'2'!$K71*$T$12*$T$20*$AL$12)</f>
        <v>2.4049578600520105</v>
      </c>
      <c r="AE67" s="100">
        <f>IF(U$37&lt;$T$9,(1.16*(1.328/SQRT(U67))*'2'!$K71*$T$12*$T$20*$AL$13),IF(U67&lt;1000000,((1.328/SQRT(U67))*'2'!$K71*$T$12*$T$20*$AL$13),(0.455/((LOG(U67)^2.58)*(1+0.144*'2'!$E71^2)^0.65)))*'2'!$K71*$T$12*$T$20*$AL$13)</f>
        <v>2.0518141369458252</v>
      </c>
      <c r="AF67" s="100">
        <f>IF(V$37&lt;$T$9,(1.16*(1.328/SQRT(V67))*'2'!$K71*$T$12*$T$20*$AL$14),IF(V67&lt;1000000,((1.328/SQRT(V67))*'2'!$K71*$T$12*$T$20*$AL$14),(0.455/((LOG(V67)^2.58)*(1+0.144*'2'!$E71^2)^0.65)))*'2'!$K71*$T$12*$T$20*$AL$14)</f>
        <v>1.70944256343403</v>
      </c>
      <c r="AG67" s="100">
        <f>IF(W$37&lt;$T$9,(1.16*(1.328/SQRT(W67))*'2'!$K71*$T$12*$T$20*$AL$15),IF(W67&lt;1000000,((1.328/SQRT(W67))*'2'!$K71*$T$12*$T$20*$AL$15),(0.455/((LOG(W67)^2.58)*(1+0.144*'2'!$E71^2)^0.65)))*'2'!$K71*$T$12*$T$20*$AL$15)</f>
        <v>1.3983714727121628</v>
      </c>
      <c r="AH67" s="100">
        <f>IF(X$37&lt;$T$9,(1.16*(1.328/SQRT(X67))*'2'!$K71*$T$12*$T$20*$AL$16),IF(X67&lt;1000000,((1.328/SQRT(X67))*'2'!$K71*$T$12*$T$20*$AL$16),(0.455/((LOG(X67)^2.58)*(1+0.144*'2'!$E71^2)^0.65)))*'2'!$K71*$T$12*$T$20*$AL$16)</f>
        <v>1.1089286167674315</v>
      </c>
      <c r="AI67" s="100">
        <f>IF(Y$37&lt;$T$9,(1.16*(1.328/SQRT(Y67))*'2'!$K71*$T$12*$T$20*$AL$17),IF(Y67&lt;1000000,((1.328/SQRT(Y67))*'2'!$K71*$T$12*$T$20*$AL$17),(0.455/((LOG(Y67)^2.58)*(1+0.144*'2'!$E71^2)^0.65)))*'2'!$K71*$T$12*$T$20*$AL$17)</f>
        <v>0.83542515611734103</v>
      </c>
      <c r="AJ67" s="100">
        <f>IF(Z$37&lt;$T$9,(1.16*(1.328/SQRT(Z67))*'2'!$K71*$T$12*$T$20*$AL$18),IF(Z67&lt;1000000,((1.328/SQRT(Z67))*'2'!$K71*$T$12*$T$20*$AL$18),(0.455/((LOG(Z67)^2.58)*(1+0.144*'2'!$E71^2)^0.65)))*'2'!$K71*$T$12*$T$20*$AL$18)</f>
        <v>0.57422330015542467</v>
      </c>
      <c r="AK67" s="100">
        <f>IF(AA$37&lt;$T$9,(1.16*(1.328/SQRT(AA67))*'2'!$K71*$T$12*$T$20*$AL$19),IF(AA67&lt;1000000,((1.328/SQRT(AA67))*'2'!$K71*$T$12*$T$20*$AL$19),(0.455/((LOG(AA67)^2.58)*(1+0.144*'2'!$E71^2)^0.65)))*'2'!$K71*$T$12*$T$20*$AL$19)</f>
        <v>0.40356268572221315</v>
      </c>
      <c r="AL67" s="52">
        <f t="shared" si="16"/>
        <v>13.859605195767351</v>
      </c>
      <c r="AM67" s="100">
        <f>IF('2'!E71&lt;1,0,(IF(T$5&lt;4,(((9/2)*T$16*PI()/((SUM(AC$9:AC$19))^2)))*T$16*'2'!K71*T$14*(1-((0.386*(('2'!E71-1.2)^0.57))*(1-(PI()*(('4'!E$16^0.77)/100))))),(IF(T$5=4,((4*T$16/(PI()*((T$15/2)^2)))*T$16*'2'!K71),(((9*PI()/2)*T$16/(((T$15)^2)))*T$16*'2'!K71))))))</f>
        <v>0</v>
      </c>
      <c r="AN67" s="52">
        <f t="shared" si="17"/>
        <v>13.859605195767351</v>
      </c>
      <c r="AO67" s="193">
        <f>AN67/('2'!K71*'4'!$L$15)</f>
        <v>4.1629823461956234E-3</v>
      </c>
      <c r="AP67" s="26"/>
    </row>
    <row r="68" spans="2:42" ht="14.4" thickBot="1">
      <c r="B68" s="283" t="s">
        <v>430</v>
      </c>
      <c r="C68" s="147" t="s">
        <v>90</v>
      </c>
      <c r="D68" s="147" t="s">
        <v>91</v>
      </c>
      <c r="E68" s="140"/>
      <c r="F68" s="140"/>
      <c r="G68" s="145"/>
      <c r="H68" s="140"/>
      <c r="I68" s="140"/>
      <c r="J68" s="140"/>
      <c r="K68" s="140"/>
      <c r="L68" s="140"/>
      <c r="M68" s="140"/>
      <c r="N68" s="25"/>
      <c r="O68" s="26"/>
      <c r="Q68" s="291"/>
      <c r="R68" s="1253">
        <f>IF((IF('2'!$E72&lt;1,(38.21*((R$37*$T$15/(0.00001*$T$13))^1.053)),(44.62*((R$37*$T$15/(0.00001*$T$13))^1.053)*('2'!$E72^1.16))))&lt;(R$37*$T$15*'2'!$I72/'4'!$D63),(IF('2'!$E72&lt;1,(38.21*((R$37*$T$15/(0.00001*$T$13))^1.053)),(44.62*((R$37*$T$15/(0.00001*$T$13))^1.053)*('2'!$E72^1.16)))),(R$37*$T$15*'2'!$I72/'4'!$D63))</f>
        <v>2012749.1015740742</v>
      </c>
      <c r="S68" s="1253">
        <f>IF((IF('2'!$E72&lt;1,(38.21*((S$37*$T$15/(0.00001*$T$13))^1.053)),(44.62*((S$37*$T$15/(0.00001*$T$13))^1.053)*('2'!$E72^1.16))))&lt;(S$37*$T$15*'2'!$I72/'4'!$D63),(IF('2'!$E72&lt;1,(38.21*((S$37*$T$15/(0.00001*$T$13))^1.053)),(44.62*((S$37*$T$15/(0.00001*$T$13))^1.053)*('2'!$E72^1.16)))),(S$37*$T$15*'2'!$I72/'4'!$D63))</f>
        <v>4025498.2031481485</v>
      </c>
      <c r="T68" s="1253">
        <f>IF((IF('2'!$E72&lt;1,(38.21*((T$37*$T$15/(0.00001*$T$13))^1.053)),(44.62*((T$37*$T$15/(0.00001*$T$13))^1.053)*('2'!$E72^1.16))))&lt;(T$37*$T$15*'2'!$I72/'4'!$D63),(IF('2'!$E72&lt;1,(38.21*((T$37*$T$15/(0.00001*$T$13))^1.053)),(44.62*((T$37*$T$15/(0.00001*$T$13))^1.053)*('2'!$E72^1.16)))),(T$37*$T$15*'2'!$I72/'4'!$D63))</f>
        <v>6038247.3047222216</v>
      </c>
      <c r="U68" s="1253">
        <f>IF((IF('2'!$E72&lt;1,(38.21*((U$37*$T$15/(0.00001*$T$13))^1.053)),(44.62*((U$37*$T$15/(0.00001*$T$13))^1.053)*('2'!$E72^1.16))))&lt;(U$37*$T$15*'2'!$I72/'4'!$D63),(IF('2'!$E72&lt;1,(38.21*((U$37*$T$15/(0.00001*$T$13))^1.053)),(44.62*((U$37*$T$15/(0.00001*$T$13))^1.053)*('2'!$E72^1.16)))),(U$37*$T$15*'2'!$I72/'4'!$D63))</f>
        <v>8050996.406296297</v>
      </c>
      <c r="V68" s="1253">
        <f>IF((IF('2'!$E72&lt;1,(38.21*((V$37*$T$15/(0.00001*$T$13))^1.053)),(44.62*((V$37*$T$15/(0.00001*$T$13))^1.053)*('2'!$E72^1.16))))&lt;(V$37*$T$15*'2'!$I72/'4'!$D63),(IF('2'!$E72&lt;1,(38.21*((V$37*$T$15/(0.00001*$T$13))^1.053)),(44.62*((V$37*$T$15/(0.00001*$T$13))^1.053)*('2'!$E72^1.16)))),(V$37*$T$15*'2'!$I72/'4'!$D63))</f>
        <v>10063745.507870371</v>
      </c>
      <c r="W68" s="1253">
        <f>IF((IF('2'!$E72&lt;1,(38.21*((W$37*$T$15/(0.00001*$T$13))^1.053)),(44.62*((W$37*$T$15/(0.00001*$T$13))^1.053)*('2'!$E72^1.16))))&lt;(W$37*$T$15*'2'!$I72/'4'!$D63),(IF('2'!$E72&lt;1,(38.21*((W$37*$T$15/(0.00001*$T$13))^1.053)),(44.62*((W$37*$T$15/(0.00001*$T$13))^1.053)*('2'!$E72^1.16)))),(W$37*$T$15*'2'!$I72/'4'!$D63))</f>
        <v>12076494.609444443</v>
      </c>
      <c r="X68" s="1253">
        <f>IF((IF('2'!$E72&lt;1,(38.21*((X$37*$T$15/(0.00001*$T$13))^1.053)),(44.62*((X$37*$T$15/(0.00001*$T$13))^1.053)*('2'!$E72^1.16))))&lt;(X$37*$T$15*'2'!$I72/'4'!$D63),(IF('2'!$E72&lt;1,(38.21*((X$37*$T$15/(0.00001*$T$13))^1.053)),(44.62*((X$37*$T$15/(0.00001*$T$13))^1.053)*('2'!$E72^1.16)))),(X$37*$T$15*'2'!$I72/'4'!$D63))</f>
        <v>14089243.711018519</v>
      </c>
      <c r="Y68" s="1253">
        <f>IF((IF('2'!$E72&lt;1,(38.21*((Y$37*$T$15/(0.00001*$T$13))^1.053)),(44.62*((Y$37*$T$15/(0.00001*$T$13))^1.053)*('2'!$E72^1.16))))&lt;(Y$37*$T$15*'2'!$I72/'4'!$D63),(IF('2'!$E72&lt;1,(38.21*((Y$37*$T$15/(0.00001*$T$13))^1.053)),(44.62*((Y$37*$T$15/(0.00001*$T$13))^1.053)*('2'!$E72^1.16)))),(Y$37*$T$15*'2'!$I72/'4'!$D63))</f>
        <v>16101992.812592594</v>
      </c>
      <c r="Z68" s="1253">
        <f>IF((IF('2'!$E72&lt;1,(38.21*((Z$37*$T$15/(0.00001*$T$13))^1.053)),(44.62*((Z$37*$T$15/(0.00001*$T$13))^1.053)*('2'!$E72^1.16))))&lt;(Z$37*$T$15*'2'!$I72/'4'!$D63),(IF('2'!$E72&lt;1,(38.21*((Z$37*$T$15/(0.00001*$T$13))^1.053)),(44.62*((Z$37*$T$15/(0.00001*$T$13))^1.053)*('2'!$E72^1.16)))),(Z$37*$T$15*'2'!$I72/'4'!$D63))</f>
        <v>18114741.914166667</v>
      </c>
      <c r="AA68" s="1253">
        <f>IF((IF('2'!$E72&lt;1,(38.21*((AA$37*$T$15/(0.00001*$T$13))^1.053)),(44.62*((AA$37*$T$15/(0.00001*$T$13))^1.053)*('2'!$E72^1.16))))&lt;(AA$37*$T$15*'2'!$I72/'4'!$D63),(IF('2'!$E72&lt;1,(38.21*((AA$37*$T$15/(0.00001*$T$13))^1.053)),(44.62*((AA$37*$T$15/(0.00001*$T$13))^1.053)*('2'!$E72^1.16)))),(AA$37*$T$15*'2'!$I72/'4'!$D63))</f>
        <v>20127491.015740741</v>
      </c>
      <c r="AB68" s="100">
        <f>IF(R$37&lt;$T$9,(1.16*(1.328/SQRT(R68))*'2'!$K72*$T$12*$T$20*$AL$10),IF(R68&lt;1000000,((1.328/SQRT(R68))*'2'!$K72*$T$12*$T$20*$AL$10),(0.455/((LOG(R68)^2.58)*(1+0.144*'2'!$E72^2)^0.65)))*'2'!$K72*$T$12*$T$20*$AL$10)</f>
        <v>0.65251197929173721</v>
      </c>
      <c r="AC68" s="100">
        <f>IF(S$37&lt;$T$9,(1.16*(1.328/SQRT(S68))*'2'!$K72*$T$12*$T$20*$AL$11),IF(S68&lt;1000000,((1.328/SQRT(S68))*'2'!$K72*$T$12*$T$20*$AL$11),(0.455/((LOG(S68)^2.58)*(1+0.144*'2'!$E72^2)^0.65)))*'2'!$K72*$T$12*$T$20*$AL$11)</f>
        <v>2.7203674245691767</v>
      </c>
      <c r="AD68" s="100">
        <f>IF(T$37&lt;$T$9,(1.16*(1.328/SQRT(T68))*'2'!$K72*$T$12*$T$20*$AL$12),IF(T68&lt;1000000,((1.328/SQRT(T68))*'2'!$K72*$T$12*$T$20*$AL$12),(0.455/((LOG(T68)^2.58)*(1+0.144*'2'!$E72^2)^0.65)))*'2'!$K72*$T$12*$T$20*$AL$12)</f>
        <v>2.4049578600520105</v>
      </c>
      <c r="AE68" s="100">
        <f>IF(U$37&lt;$T$9,(1.16*(1.328/SQRT(U68))*'2'!$K72*$T$12*$T$20*$AL$13),IF(U68&lt;1000000,((1.328/SQRT(U68))*'2'!$K72*$T$12*$T$20*$AL$13),(0.455/((LOG(U68)^2.58)*(1+0.144*'2'!$E72^2)^0.65)))*'2'!$K72*$T$12*$T$20*$AL$13)</f>
        <v>2.0518141369458252</v>
      </c>
      <c r="AF68" s="100">
        <f>IF(V$37&lt;$T$9,(1.16*(1.328/SQRT(V68))*'2'!$K72*$T$12*$T$20*$AL$14),IF(V68&lt;1000000,((1.328/SQRT(V68))*'2'!$K72*$T$12*$T$20*$AL$14),(0.455/((LOG(V68)^2.58)*(1+0.144*'2'!$E72^2)^0.65)))*'2'!$K72*$T$12*$T$20*$AL$14)</f>
        <v>1.70944256343403</v>
      </c>
      <c r="AG68" s="100">
        <f>IF(W$37&lt;$T$9,(1.16*(1.328/SQRT(W68))*'2'!$K72*$T$12*$T$20*$AL$15),IF(W68&lt;1000000,((1.328/SQRT(W68))*'2'!$K72*$T$12*$T$20*$AL$15),(0.455/((LOG(W68)^2.58)*(1+0.144*'2'!$E72^2)^0.65)))*'2'!$K72*$T$12*$T$20*$AL$15)</f>
        <v>1.3983714727121628</v>
      </c>
      <c r="AH68" s="100">
        <f>IF(X$37&lt;$T$9,(1.16*(1.328/SQRT(X68))*'2'!$K72*$T$12*$T$20*$AL$16),IF(X68&lt;1000000,((1.328/SQRT(X68))*'2'!$K72*$T$12*$T$20*$AL$16),(0.455/((LOG(X68)^2.58)*(1+0.144*'2'!$E72^2)^0.65)))*'2'!$K72*$T$12*$T$20*$AL$16)</f>
        <v>1.1089286167674315</v>
      </c>
      <c r="AI68" s="100">
        <f>IF(Y$37&lt;$T$9,(1.16*(1.328/SQRT(Y68))*'2'!$K72*$T$12*$T$20*$AL$17),IF(Y68&lt;1000000,((1.328/SQRT(Y68))*'2'!$K72*$T$12*$T$20*$AL$17),(0.455/((LOG(Y68)^2.58)*(1+0.144*'2'!$E72^2)^0.65)))*'2'!$K72*$T$12*$T$20*$AL$17)</f>
        <v>0.83542515611734103</v>
      </c>
      <c r="AJ68" s="100">
        <f>IF(Z$37&lt;$T$9,(1.16*(1.328/SQRT(Z68))*'2'!$K72*$T$12*$T$20*$AL$18),IF(Z68&lt;1000000,((1.328/SQRT(Z68))*'2'!$K72*$T$12*$T$20*$AL$18),(0.455/((LOG(Z68)^2.58)*(1+0.144*'2'!$E72^2)^0.65)))*'2'!$K72*$T$12*$T$20*$AL$18)</f>
        <v>0.57422330015542467</v>
      </c>
      <c r="AK68" s="100">
        <f>IF(AA$37&lt;$T$9,(1.16*(1.328/SQRT(AA68))*'2'!$K72*$T$12*$T$20*$AL$19),IF(AA68&lt;1000000,((1.328/SQRT(AA68))*'2'!$K72*$T$12*$T$20*$AL$19),(0.455/((LOG(AA68)^2.58)*(1+0.144*'2'!$E72^2)^0.65)))*'2'!$K72*$T$12*$T$20*$AL$19)</f>
        <v>0.40356268572221315</v>
      </c>
      <c r="AL68" s="52">
        <f t="shared" si="16"/>
        <v>13.859605195767351</v>
      </c>
      <c r="AM68" s="100">
        <f>IF('2'!E72&lt;1,0,(IF(T$5&lt;4,(((9/2)*T$16*PI()/((SUM(AC$9:AC$19))^2)))*T$16*'2'!K72*T$14*(1-((0.386*(('2'!E72-1.2)^0.57))*(1-(PI()*(('4'!E$16^0.77)/100))))),(IF(T$5=4,((4*T$16/(PI()*((T$15/2)^2)))*T$16*'2'!K72),(((9*PI()/2)*T$16/(((T$15)^2)))*T$16*'2'!K72))))))</f>
        <v>0</v>
      </c>
      <c r="AN68" s="52">
        <f t="shared" si="17"/>
        <v>13.859605195767351</v>
      </c>
      <c r="AO68" s="193">
        <f>AN68/('2'!K72*'4'!$L$15)</f>
        <v>4.1629823461956234E-3</v>
      </c>
      <c r="AP68" s="26"/>
    </row>
    <row r="69" spans="2:42" ht="14.4">
      <c r="B69" s="154" t="s">
        <v>432</v>
      </c>
      <c r="C69" s="141" t="s">
        <v>433</v>
      </c>
      <c r="D69" s="159">
        <v>2.35E-2</v>
      </c>
      <c r="E69" s="150"/>
      <c r="F69" s="140"/>
      <c r="G69" s="145" t="s">
        <v>533</v>
      </c>
      <c r="H69" s="140"/>
      <c r="I69" s="932" t="s">
        <v>431</v>
      </c>
      <c r="J69" s="922"/>
      <c r="K69" s="922"/>
      <c r="L69" s="923"/>
      <c r="M69" s="140"/>
      <c r="N69" s="25"/>
      <c r="O69" s="26"/>
      <c r="Q69" s="291"/>
      <c r="R69" s="1253">
        <f>IF((IF('2'!$E73&lt;1,(38.21*((R$37*$T$15/(0.00001*$T$13))^1.053)),(44.62*((R$37*$T$15/(0.00001*$T$13))^1.053)*('2'!$E73^1.16))))&lt;(R$37*$T$15*'2'!$I73/'4'!$D64),(IF('2'!$E73&lt;1,(38.21*((R$37*$T$15/(0.00001*$T$13))^1.053)),(44.62*((R$37*$T$15/(0.00001*$T$13))^1.053)*('2'!$E73^1.16)))),(R$37*$T$15*'2'!$I73/'4'!$D64))</f>
        <v>2012749.1015740742</v>
      </c>
      <c r="S69" s="1253">
        <f>IF((IF('2'!$E73&lt;1,(38.21*((S$37*$T$15/(0.00001*$T$13))^1.053)),(44.62*((S$37*$T$15/(0.00001*$T$13))^1.053)*('2'!$E73^1.16))))&lt;(S$37*$T$15*'2'!$I73/'4'!$D64),(IF('2'!$E73&lt;1,(38.21*((S$37*$T$15/(0.00001*$T$13))^1.053)),(44.62*((S$37*$T$15/(0.00001*$T$13))^1.053)*('2'!$E73^1.16)))),(S$37*$T$15*'2'!$I73/'4'!$D64))</f>
        <v>4025498.2031481485</v>
      </c>
      <c r="T69" s="1253">
        <f>IF((IF('2'!$E73&lt;1,(38.21*((T$37*$T$15/(0.00001*$T$13))^1.053)),(44.62*((T$37*$T$15/(0.00001*$T$13))^1.053)*('2'!$E73^1.16))))&lt;(T$37*$T$15*'2'!$I73/'4'!$D64),(IF('2'!$E73&lt;1,(38.21*((T$37*$T$15/(0.00001*$T$13))^1.053)),(44.62*((T$37*$T$15/(0.00001*$T$13))^1.053)*('2'!$E73^1.16)))),(T$37*$T$15*'2'!$I73/'4'!$D64))</f>
        <v>6038247.3047222216</v>
      </c>
      <c r="U69" s="1253">
        <f>IF((IF('2'!$E73&lt;1,(38.21*((U$37*$T$15/(0.00001*$T$13))^1.053)),(44.62*((U$37*$T$15/(0.00001*$T$13))^1.053)*('2'!$E73^1.16))))&lt;(U$37*$T$15*'2'!$I73/'4'!$D64),(IF('2'!$E73&lt;1,(38.21*((U$37*$T$15/(0.00001*$T$13))^1.053)),(44.62*((U$37*$T$15/(0.00001*$T$13))^1.053)*('2'!$E73^1.16)))),(U$37*$T$15*'2'!$I73/'4'!$D64))</f>
        <v>8050996.406296297</v>
      </c>
      <c r="V69" s="1253">
        <f>IF((IF('2'!$E73&lt;1,(38.21*((V$37*$T$15/(0.00001*$T$13))^1.053)),(44.62*((V$37*$T$15/(0.00001*$T$13))^1.053)*('2'!$E73^1.16))))&lt;(V$37*$T$15*'2'!$I73/'4'!$D64),(IF('2'!$E73&lt;1,(38.21*((V$37*$T$15/(0.00001*$T$13))^1.053)),(44.62*((V$37*$T$15/(0.00001*$T$13))^1.053)*('2'!$E73^1.16)))),(V$37*$T$15*'2'!$I73/'4'!$D64))</f>
        <v>10063745.507870371</v>
      </c>
      <c r="W69" s="1253">
        <f>IF((IF('2'!$E73&lt;1,(38.21*((W$37*$T$15/(0.00001*$T$13))^1.053)),(44.62*((W$37*$T$15/(0.00001*$T$13))^1.053)*('2'!$E73^1.16))))&lt;(W$37*$T$15*'2'!$I73/'4'!$D64),(IF('2'!$E73&lt;1,(38.21*((W$37*$T$15/(0.00001*$T$13))^1.053)),(44.62*((W$37*$T$15/(0.00001*$T$13))^1.053)*('2'!$E73^1.16)))),(W$37*$T$15*'2'!$I73/'4'!$D64))</f>
        <v>12076494.609444443</v>
      </c>
      <c r="X69" s="1253">
        <f>IF((IF('2'!$E73&lt;1,(38.21*((X$37*$T$15/(0.00001*$T$13))^1.053)),(44.62*((X$37*$T$15/(0.00001*$T$13))^1.053)*('2'!$E73^1.16))))&lt;(X$37*$T$15*'2'!$I73/'4'!$D64),(IF('2'!$E73&lt;1,(38.21*((X$37*$T$15/(0.00001*$T$13))^1.053)),(44.62*((X$37*$T$15/(0.00001*$T$13))^1.053)*('2'!$E73^1.16)))),(X$37*$T$15*'2'!$I73/'4'!$D64))</f>
        <v>14089243.711018519</v>
      </c>
      <c r="Y69" s="1253">
        <f>IF((IF('2'!$E73&lt;1,(38.21*((Y$37*$T$15/(0.00001*$T$13))^1.053)),(44.62*((Y$37*$T$15/(0.00001*$T$13))^1.053)*('2'!$E73^1.16))))&lt;(Y$37*$T$15*'2'!$I73/'4'!$D64),(IF('2'!$E73&lt;1,(38.21*((Y$37*$T$15/(0.00001*$T$13))^1.053)),(44.62*((Y$37*$T$15/(0.00001*$T$13))^1.053)*('2'!$E73^1.16)))),(Y$37*$T$15*'2'!$I73/'4'!$D64))</f>
        <v>16101992.812592594</v>
      </c>
      <c r="Z69" s="1253">
        <f>IF((IF('2'!$E73&lt;1,(38.21*((Z$37*$T$15/(0.00001*$T$13))^1.053)),(44.62*((Z$37*$T$15/(0.00001*$T$13))^1.053)*('2'!$E73^1.16))))&lt;(Z$37*$T$15*'2'!$I73/'4'!$D64),(IF('2'!$E73&lt;1,(38.21*((Z$37*$T$15/(0.00001*$T$13))^1.053)),(44.62*((Z$37*$T$15/(0.00001*$T$13))^1.053)*('2'!$E73^1.16)))),(Z$37*$T$15*'2'!$I73/'4'!$D64))</f>
        <v>18114741.914166667</v>
      </c>
      <c r="AA69" s="1253">
        <f>IF((IF('2'!$E73&lt;1,(38.21*((AA$37*$T$15/(0.00001*$T$13))^1.053)),(44.62*((AA$37*$T$15/(0.00001*$T$13))^1.053)*('2'!$E73^1.16))))&lt;(AA$37*$T$15*'2'!$I73/'4'!$D64),(IF('2'!$E73&lt;1,(38.21*((AA$37*$T$15/(0.00001*$T$13))^1.053)),(44.62*((AA$37*$T$15/(0.00001*$T$13))^1.053)*('2'!$E73^1.16)))),(AA$37*$T$15*'2'!$I73/'4'!$D64))</f>
        <v>20127491.015740741</v>
      </c>
      <c r="AB69" s="100">
        <f>IF(R$37&lt;$T$9,(1.16*(1.328/SQRT(R69))*'2'!$K73*$T$12*$T$20*$AL$10),IF(R69&lt;1000000,((1.328/SQRT(R69))*'2'!$K73*$T$12*$T$20*$AL$10),(0.455/((LOG(R69)^2.58)*(1+0.144*'2'!$E73^2)^0.65)))*'2'!$K73*$T$12*$T$20*$AL$10)</f>
        <v>0.65251197929173721</v>
      </c>
      <c r="AC69" s="100">
        <f>IF(S$37&lt;$T$9,(1.16*(1.328/SQRT(S69))*'2'!$K73*$T$12*$T$20*$AL$11),IF(S69&lt;1000000,((1.328/SQRT(S69))*'2'!$K73*$T$12*$T$20*$AL$11),(0.455/((LOG(S69)^2.58)*(1+0.144*'2'!$E73^2)^0.65)))*'2'!$K73*$T$12*$T$20*$AL$11)</f>
        <v>2.7203674245691767</v>
      </c>
      <c r="AD69" s="100">
        <f>IF(T$37&lt;$T$9,(1.16*(1.328/SQRT(T69))*'2'!$K73*$T$12*$T$20*$AL$12),IF(T69&lt;1000000,((1.328/SQRT(T69))*'2'!$K73*$T$12*$T$20*$AL$12),(0.455/((LOG(T69)^2.58)*(1+0.144*'2'!$E73^2)^0.65)))*'2'!$K73*$T$12*$T$20*$AL$12)</f>
        <v>2.4049578600520105</v>
      </c>
      <c r="AE69" s="100">
        <f>IF(U$37&lt;$T$9,(1.16*(1.328/SQRT(U69))*'2'!$K73*$T$12*$T$20*$AL$13),IF(U69&lt;1000000,((1.328/SQRT(U69))*'2'!$K73*$T$12*$T$20*$AL$13),(0.455/((LOG(U69)^2.58)*(1+0.144*'2'!$E73^2)^0.65)))*'2'!$K73*$T$12*$T$20*$AL$13)</f>
        <v>2.0518141369458252</v>
      </c>
      <c r="AF69" s="100">
        <f>IF(V$37&lt;$T$9,(1.16*(1.328/SQRT(V69))*'2'!$K73*$T$12*$T$20*$AL$14),IF(V69&lt;1000000,((1.328/SQRT(V69))*'2'!$K73*$T$12*$T$20*$AL$14),(0.455/((LOG(V69)^2.58)*(1+0.144*'2'!$E73^2)^0.65)))*'2'!$K73*$T$12*$T$20*$AL$14)</f>
        <v>1.70944256343403</v>
      </c>
      <c r="AG69" s="100">
        <f>IF(W$37&lt;$T$9,(1.16*(1.328/SQRT(W69))*'2'!$K73*$T$12*$T$20*$AL$15),IF(W69&lt;1000000,((1.328/SQRT(W69))*'2'!$K73*$T$12*$T$20*$AL$15),(0.455/((LOG(W69)^2.58)*(1+0.144*'2'!$E73^2)^0.65)))*'2'!$K73*$T$12*$T$20*$AL$15)</f>
        <v>1.3983714727121628</v>
      </c>
      <c r="AH69" s="100">
        <f>IF(X$37&lt;$T$9,(1.16*(1.328/SQRT(X69))*'2'!$K73*$T$12*$T$20*$AL$16),IF(X69&lt;1000000,((1.328/SQRT(X69))*'2'!$K73*$T$12*$T$20*$AL$16),(0.455/((LOG(X69)^2.58)*(1+0.144*'2'!$E73^2)^0.65)))*'2'!$K73*$T$12*$T$20*$AL$16)</f>
        <v>1.1089286167674315</v>
      </c>
      <c r="AI69" s="100">
        <f>IF(Y$37&lt;$T$9,(1.16*(1.328/SQRT(Y69))*'2'!$K73*$T$12*$T$20*$AL$17),IF(Y69&lt;1000000,((1.328/SQRT(Y69))*'2'!$K73*$T$12*$T$20*$AL$17),(0.455/((LOG(Y69)^2.58)*(1+0.144*'2'!$E73^2)^0.65)))*'2'!$K73*$T$12*$T$20*$AL$17)</f>
        <v>0.83542515611734103</v>
      </c>
      <c r="AJ69" s="100">
        <f>IF(Z$37&lt;$T$9,(1.16*(1.328/SQRT(Z69))*'2'!$K73*$T$12*$T$20*$AL$18),IF(Z69&lt;1000000,((1.328/SQRT(Z69))*'2'!$K73*$T$12*$T$20*$AL$18),(0.455/((LOG(Z69)^2.58)*(1+0.144*'2'!$E73^2)^0.65)))*'2'!$K73*$T$12*$T$20*$AL$18)</f>
        <v>0.57422330015542467</v>
      </c>
      <c r="AK69" s="100">
        <f>IF(AA$37&lt;$T$9,(1.16*(1.328/SQRT(AA69))*'2'!$K73*$T$12*$T$20*$AL$19),IF(AA69&lt;1000000,((1.328/SQRT(AA69))*'2'!$K73*$T$12*$T$20*$AL$19),(0.455/((LOG(AA69)^2.58)*(1+0.144*'2'!$E73^2)^0.65)))*'2'!$K73*$T$12*$T$20*$AL$19)</f>
        <v>0.40356268572221315</v>
      </c>
      <c r="AL69" s="52">
        <f t="shared" si="16"/>
        <v>13.859605195767351</v>
      </c>
      <c r="AM69" s="100">
        <f>IF('2'!E73&lt;1,0,(IF(T$5&lt;4,(((9/2)*T$16*PI()/((SUM(AC$9:AC$19))^2)))*T$16*'2'!K73*T$14*(1-((0.386*(('2'!E73-1.2)^0.57))*(1-(PI()*(('4'!E$16^0.77)/100))))),(IF(T$5=4,((4*T$16/(PI()*((T$15/2)^2)))*T$16*'2'!K73),(((9*PI()/2)*T$16/(((T$15)^2)))*T$16*'2'!K73))))))</f>
        <v>0</v>
      </c>
      <c r="AN69" s="52">
        <f t="shared" si="17"/>
        <v>13.859605195767351</v>
      </c>
      <c r="AO69" s="193">
        <f>AN69/('2'!K73*'4'!$L$15)</f>
        <v>4.1629823461956234E-3</v>
      </c>
      <c r="AP69" s="26"/>
    </row>
    <row r="70" spans="2:42" ht="14.4">
      <c r="B70" s="154" t="s">
        <v>435</v>
      </c>
      <c r="C70" s="141" t="s">
        <v>436</v>
      </c>
      <c r="D70" s="166">
        <f>'2'!S16</f>
        <v>241.68718285986446</v>
      </c>
      <c r="E70" s="150"/>
      <c r="F70" s="140"/>
      <c r="G70" s="145" t="s">
        <v>437</v>
      </c>
      <c r="H70" s="140"/>
      <c r="I70" s="933" t="s">
        <v>434</v>
      </c>
      <c r="J70" s="140"/>
      <c r="K70" s="140"/>
      <c r="L70" s="934"/>
      <c r="M70" s="140"/>
      <c r="N70" s="25"/>
      <c r="O70" s="26"/>
      <c r="Q70" s="291"/>
      <c r="R70" s="1253">
        <f>IF((IF('2'!$E74&lt;1,(38.21*((R$37*$T$15/(0.00001*$T$13))^1.053)),(44.62*((R$37*$T$15/(0.00001*$T$13))^1.053)*('2'!$E74^1.16))))&lt;(R$37*$T$15*'2'!$I74/'4'!$D65),(IF('2'!$E74&lt;1,(38.21*((R$37*$T$15/(0.00001*$T$13))^1.053)),(44.62*((R$37*$T$15/(0.00001*$T$13))^1.053)*('2'!$E74^1.16)))),(R$37*$T$15*'2'!$I74/'4'!$D65))</f>
        <v>2012749.1015740742</v>
      </c>
      <c r="S70" s="1253">
        <f>IF((IF('2'!$E74&lt;1,(38.21*((S$37*$T$15/(0.00001*$T$13))^1.053)),(44.62*((S$37*$T$15/(0.00001*$T$13))^1.053)*('2'!$E74^1.16))))&lt;(S$37*$T$15*'2'!$I74/'4'!$D65),(IF('2'!$E74&lt;1,(38.21*((S$37*$T$15/(0.00001*$T$13))^1.053)),(44.62*((S$37*$T$15/(0.00001*$T$13))^1.053)*('2'!$E74^1.16)))),(S$37*$T$15*'2'!$I74/'4'!$D65))</f>
        <v>4025498.2031481485</v>
      </c>
      <c r="T70" s="1253">
        <f>IF((IF('2'!$E74&lt;1,(38.21*((T$37*$T$15/(0.00001*$T$13))^1.053)),(44.62*((T$37*$T$15/(0.00001*$T$13))^1.053)*('2'!$E74^1.16))))&lt;(T$37*$T$15*'2'!$I74/'4'!$D65),(IF('2'!$E74&lt;1,(38.21*((T$37*$T$15/(0.00001*$T$13))^1.053)),(44.62*((T$37*$T$15/(0.00001*$T$13))^1.053)*('2'!$E74^1.16)))),(T$37*$T$15*'2'!$I74/'4'!$D65))</f>
        <v>6038247.3047222216</v>
      </c>
      <c r="U70" s="1253">
        <f>IF((IF('2'!$E74&lt;1,(38.21*((U$37*$T$15/(0.00001*$T$13))^1.053)),(44.62*((U$37*$T$15/(0.00001*$T$13))^1.053)*('2'!$E74^1.16))))&lt;(U$37*$T$15*'2'!$I74/'4'!$D65),(IF('2'!$E74&lt;1,(38.21*((U$37*$T$15/(0.00001*$T$13))^1.053)),(44.62*((U$37*$T$15/(0.00001*$T$13))^1.053)*('2'!$E74^1.16)))),(U$37*$T$15*'2'!$I74/'4'!$D65))</f>
        <v>8050996.406296297</v>
      </c>
      <c r="V70" s="1253">
        <f>IF((IF('2'!$E74&lt;1,(38.21*((V$37*$T$15/(0.00001*$T$13))^1.053)),(44.62*((V$37*$T$15/(0.00001*$T$13))^1.053)*('2'!$E74^1.16))))&lt;(V$37*$T$15*'2'!$I74/'4'!$D65),(IF('2'!$E74&lt;1,(38.21*((V$37*$T$15/(0.00001*$T$13))^1.053)),(44.62*((V$37*$T$15/(0.00001*$T$13))^1.053)*('2'!$E74^1.16)))),(V$37*$T$15*'2'!$I74/'4'!$D65))</f>
        <v>10063745.507870371</v>
      </c>
      <c r="W70" s="1253">
        <f>IF((IF('2'!$E74&lt;1,(38.21*((W$37*$T$15/(0.00001*$T$13))^1.053)),(44.62*((W$37*$T$15/(0.00001*$T$13))^1.053)*('2'!$E74^1.16))))&lt;(W$37*$T$15*'2'!$I74/'4'!$D65),(IF('2'!$E74&lt;1,(38.21*((W$37*$T$15/(0.00001*$T$13))^1.053)),(44.62*((W$37*$T$15/(0.00001*$T$13))^1.053)*('2'!$E74^1.16)))),(W$37*$T$15*'2'!$I74/'4'!$D65))</f>
        <v>12076494.609444443</v>
      </c>
      <c r="X70" s="1253">
        <f>IF((IF('2'!$E74&lt;1,(38.21*((X$37*$T$15/(0.00001*$T$13))^1.053)),(44.62*((X$37*$T$15/(0.00001*$T$13))^1.053)*('2'!$E74^1.16))))&lt;(X$37*$T$15*'2'!$I74/'4'!$D65),(IF('2'!$E74&lt;1,(38.21*((X$37*$T$15/(0.00001*$T$13))^1.053)),(44.62*((X$37*$T$15/(0.00001*$T$13))^1.053)*('2'!$E74^1.16)))),(X$37*$T$15*'2'!$I74/'4'!$D65))</f>
        <v>14089243.711018519</v>
      </c>
      <c r="Y70" s="1253">
        <f>IF((IF('2'!$E74&lt;1,(38.21*((Y$37*$T$15/(0.00001*$T$13))^1.053)),(44.62*((Y$37*$T$15/(0.00001*$T$13))^1.053)*('2'!$E74^1.16))))&lt;(Y$37*$T$15*'2'!$I74/'4'!$D65),(IF('2'!$E74&lt;1,(38.21*((Y$37*$T$15/(0.00001*$T$13))^1.053)),(44.62*((Y$37*$T$15/(0.00001*$T$13))^1.053)*('2'!$E74^1.16)))),(Y$37*$T$15*'2'!$I74/'4'!$D65))</f>
        <v>16101992.812592594</v>
      </c>
      <c r="Z70" s="1253">
        <f>IF((IF('2'!$E74&lt;1,(38.21*((Z$37*$T$15/(0.00001*$T$13))^1.053)),(44.62*((Z$37*$T$15/(0.00001*$T$13))^1.053)*('2'!$E74^1.16))))&lt;(Z$37*$T$15*'2'!$I74/'4'!$D65),(IF('2'!$E74&lt;1,(38.21*((Z$37*$T$15/(0.00001*$T$13))^1.053)),(44.62*((Z$37*$T$15/(0.00001*$T$13))^1.053)*('2'!$E74^1.16)))),(Z$37*$T$15*'2'!$I74/'4'!$D65))</f>
        <v>18114741.914166667</v>
      </c>
      <c r="AA70" s="1253">
        <f>IF((IF('2'!$E74&lt;1,(38.21*((AA$37*$T$15/(0.00001*$T$13))^1.053)),(44.62*((AA$37*$T$15/(0.00001*$T$13))^1.053)*('2'!$E74^1.16))))&lt;(AA$37*$T$15*'2'!$I74/'4'!$D65),(IF('2'!$E74&lt;1,(38.21*((AA$37*$T$15/(0.00001*$T$13))^1.053)),(44.62*((AA$37*$T$15/(0.00001*$T$13))^1.053)*('2'!$E74^1.16)))),(AA$37*$T$15*'2'!$I74/'4'!$D65))</f>
        <v>20127491.015740741</v>
      </c>
      <c r="AB70" s="100">
        <f>IF(R$37&lt;$T$9,(1.16*(1.328/SQRT(R70))*'2'!$K74*$T$12*$T$20*$AL$10),IF(R70&lt;1000000,((1.328/SQRT(R70))*'2'!$K74*$T$12*$T$20*$AL$10),(0.455/((LOG(R70)^2.58)*(1+0.144*'2'!$E74^2)^0.65)))*'2'!$K74*$T$12*$T$20*$AL$10)</f>
        <v>0.65251197929173721</v>
      </c>
      <c r="AC70" s="100">
        <f>IF(S$37&lt;$T$9,(1.16*(1.328/SQRT(S70))*'2'!$K74*$T$12*$T$20*$AL$11),IF(S70&lt;1000000,((1.328/SQRT(S70))*'2'!$K74*$T$12*$T$20*$AL$11),(0.455/((LOG(S70)^2.58)*(1+0.144*'2'!$E74^2)^0.65)))*'2'!$K74*$T$12*$T$20*$AL$11)</f>
        <v>2.7203674245691767</v>
      </c>
      <c r="AD70" s="100">
        <f>IF(T$37&lt;$T$9,(1.16*(1.328/SQRT(T70))*'2'!$K74*$T$12*$T$20*$AL$12),IF(T70&lt;1000000,((1.328/SQRT(T70))*'2'!$K74*$T$12*$T$20*$AL$12),(0.455/((LOG(T70)^2.58)*(1+0.144*'2'!$E74^2)^0.65)))*'2'!$K74*$T$12*$T$20*$AL$12)</f>
        <v>2.4049578600520105</v>
      </c>
      <c r="AE70" s="100">
        <f>IF(U$37&lt;$T$9,(1.16*(1.328/SQRT(U70))*'2'!$K74*$T$12*$T$20*$AL$13),IF(U70&lt;1000000,((1.328/SQRT(U70))*'2'!$K74*$T$12*$T$20*$AL$13),(0.455/((LOG(U70)^2.58)*(1+0.144*'2'!$E74^2)^0.65)))*'2'!$K74*$T$12*$T$20*$AL$13)</f>
        <v>2.0518141369458252</v>
      </c>
      <c r="AF70" s="100">
        <f>IF(V$37&lt;$T$9,(1.16*(1.328/SQRT(V70))*'2'!$K74*$T$12*$T$20*$AL$14),IF(V70&lt;1000000,((1.328/SQRT(V70))*'2'!$K74*$T$12*$T$20*$AL$14),(0.455/((LOG(V70)^2.58)*(1+0.144*'2'!$E74^2)^0.65)))*'2'!$K74*$T$12*$T$20*$AL$14)</f>
        <v>1.70944256343403</v>
      </c>
      <c r="AG70" s="100">
        <f>IF(W$37&lt;$T$9,(1.16*(1.328/SQRT(W70))*'2'!$K74*$T$12*$T$20*$AL$15),IF(W70&lt;1000000,((1.328/SQRT(W70))*'2'!$K74*$T$12*$T$20*$AL$15),(0.455/((LOG(W70)^2.58)*(1+0.144*'2'!$E74^2)^0.65)))*'2'!$K74*$T$12*$T$20*$AL$15)</f>
        <v>1.3983714727121628</v>
      </c>
      <c r="AH70" s="100">
        <f>IF(X$37&lt;$T$9,(1.16*(1.328/SQRT(X70))*'2'!$K74*$T$12*$T$20*$AL$16),IF(X70&lt;1000000,((1.328/SQRT(X70))*'2'!$K74*$T$12*$T$20*$AL$16),(0.455/((LOG(X70)^2.58)*(1+0.144*'2'!$E74^2)^0.65)))*'2'!$K74*$T$12*$T$20*$AL$16)</f>
        <v>1.1089286167674315</v>
      </c>
      <c r="AI70" s="100">
        <f>IF(Y$37&lt;$T$9,(1.16*(1.328/SQRT(Y70))*'2'!$K74*$T$12*$T$20*$AL$17),IF(Y70&lt;1000000,((1.328/SQRT(Y70))*'2'!$K74*$T$12*$T$20*$AL$17),(0.455/((LOG(Y70)^2.58)*(1+0.144*'2'!$E74^2)^0.65)))*'2'!$K74*$T$12*$T$20*$AL$17)</f>
        <v>0.83542515611734103</v>
      </c>
      <c r="AJ70" s="100">
        <f>IF(Z$37&lt;$T$9,(1.16*(1.328/SQRT(Z70))*'2'!$K74*$T$12*$T$20*$AL$18),IF(Z70&lt;1000000,((1.328/SQRT(Z70))*'2'!$K74*$T$12*$T$20*$AL$18),(0.455/((LOG(Z70)^2.58)*(1+0.144*'2'!$E74^2)^0.65)))*'2'!$K74*$T$12*$T$20*$AL$18)</f>
        <v>0.57422330015542467</v>
      </c>
      <c r="AK70" s="100">
        <f>IF(AA$37&lt;$T$9,(1.16*(1.328/SQRT(AA70))*'2'!$K74*$T$12*$T$20*$AL$19),IF(AA70&lt;1000000,((1.328/SQRT(AA70))*'2'!$K74*$T$12*$T$20*$AL$19),(0.455/((LOG(AA70)^2.58)*(1+0.144*'2'!$E74^2)^0.65)))*'2'!$K74*$T$12*$T$20*$AL$19)</f>
        <v>0.40356268572221315</v>
      </c>
      <c r="AL70" s="52">
        <f t="shared" si="16"/>
        <v>13.859605195767351</v>
      </c>
      <c r="AM70" s="100">
        <f>IF('2'!E74&lt;1,0,(IF(T$5&lt;4,(((9/2)*T$16*PI()/((SUM(AC$9:AC$19))^2)))*T$16*'2'!K74*T$14*(1-((0.386*(('2'!E74-1.2)^0.57))*(1-(PI()*(('4'!E$16^0.77)/100))))),(IF(T$5=4,((4*T$16/(PI()*((T$15/2)^2)))*T$16*'2'!K74),(((9*PI()/2)*T$16/(((T$15)^2)))*T$16*'2'!K74))))))</f>
        <v>0</v>
      </c>
      <c r="AN70" s="52">
        <f t="shared" si="17"/>
        <v>13.859605195767351</v>
      </c>
      <c r="AO70" s="193">
        <f>AN70/('2'!K74*'4'!$L$15)</f>
        <v>4.1629823461956234E-3</v>
      </c>
      <c r="AP70" s="26"/>
    </row>
    <row r="71" spans="2:42" ht="27">
      <c r="B71" s="154" t="s">
        <v>441</v>
      </c>
      <c r="C71" s="141" t="s">
        <v>336</v>
      </c>
      <c r="D71" s="163">
        <f>D69*D70</f>
        <v>5.6796487972068146</v>
      </c>
      <c r="E71" s="344"/>
      <c r="F71" s="140"/>
      <c r="G71" s="145" t="s">
        <v>441</v>
      </c>
      <c r="H71" s="140"/>
      <c r="I71" s="935"/>
      <c r="J71" s="147" t="s">
        <v>438</v>
      </c>
      <c r="K71" s="147" t="s">
        <v>439</v>
      </c>
      <c r="L71" s="938" t="s">
        <v>440</v>
      </c>
      <c r="M71" s="140"/>
      <c r="N71" s="25"/>
      <c r="O71" s="26"/>
      <c r="Q71" s="291"/>
      <c r="R71" s="1253">
        <f>IF((IF('2'!$E75&lt;1,(38.21*((R$37*$T$15/(0.00001*$T$13))^1.053)),(44.62*((R$37*$T$15/(0.00001*$T$13))^1.053)*('2'!$E75^1.16))))&lt;(R$37*$T$15*'2'!$I75/'4'!$D66),(IF('2'!$E75&lt;1,(38.21*((R$37*$T$15/(0.00001*$T$13))^1.053)),(44.62*((R$37*$T$15/(0.00001*$T$13))^1.053)*('2'!$E75^1.16)))),(R$37*$T$15*'2'!$I75/'4'!$D66))</f>
        <v>1498787.8570130779</v>
      </c>
      <c r="S71" s="1253">
        <f>IF((IF('2'!$E75&lt;1,(38.21*((S$37*$T$15/(0.00001*$T$13))^1.053)),(44.62*((S$37*$T$15/(0.00001*$T$13))^1.053)*('2'!$E75^1.16))))&lt;(S$37*$T$15*'2'!$I75/'4'!$D66),(IF('2'!$E75&lt;1,(38.21*((S$37*$T$15/(0.00001*$T$13))^1.053)),(44.62*((S$37*$T$15/(0.00001*$T$13))^1.053)*('2'!$E75^1.16)))),(S$37*$T$15*'2'!$I75/'4'!$D66))</f>
        <v>2997575.7140261559</v>
      </c>
      <c r="T71" s="1253">
        <f>IF((IF('2'!$E75&lt;1,(38.21*((T$37*$T$15/(0.00001*$T$13))^1.053)),(44.62*((T$37*$T$15/(0.00001*$T$13))^1.053)*('2'!$E75^1.16))))&lt;(T$37*$T$15*'2'!$I75/'4'!$D66),(IF('2'!$E75&lt;1,(38.21*((T$37*$T$15/(0.00001*$T$13))^1.053)),(44.62*((T$37*$T$15/(0.00001*$T$13))^1.053)*('2'!$E75^1.16)))),(T$37*$T$15*'2'!$I75/'4'!$D66))</f>
        <v>4496363.5710392334</v>
      </c>
      <c r="U71" s="1253">
        <f>IF((IF('2'!$E75&lt;1,(38.21*((U$37*$T$15/(0.00001*$T$13))^1.053)),(44.62*((U$37*$T$15/(0.00001*$T$13))^1.053)*('2'!$E75^1.16))))&lt;(U$37*$T$15*'2'!$I75/'4'!$D66),(IF('2'!$E75&lt;1,(38.21*((U$37*$T$15/(0.00001*$T$13))^1.053)),(44.62*((U$37*$T$15/(0.00001*$T$13))^1.053)*('2'!$E75^1.16)))),(U$37*$T$15*'2'!$I75/'4'!$D66))</f>
        <v>5995151.4280523118</v>
      </c>
      <c r="V71" s="1253">
        <f>IF((IF('2'!$E75&lt;1,(38.21*((V$37*$T$15/(0.00001*$T$13))^1.053)),(44.62*((V$37*$T$15/(0.00001*$T$13))^1.053)*('2'!$E75^1.16))))&lt;(V$37*$T$15*'2'!$I75/'4'!$D66),(IF('2'!$E75&lt;1,(38.21*((V$37*$T$15/(0.00001*$T$13))^1.053)),(44.62*((V$37*$T$15/(0.00001*$T$13))^1.053)*('2'!$E75^1.16)))),(V$37*$T$15*'2'!$I75/'4'!$D66))</f>
        <v>7493939.2850653902</v>
      </c>
      <c r="W71" s="1253">
        <f>IF((IF('2'!$E75&lt;1,(38.21*((W$37*$T$15/(0.00001*$T$13))^1.053)),(44.62*((W$37*$T$15/(0.00001*$T$13))^1.053)*('2'!$E75^1.16))))&lt;(W$37*$T$15*'2'!$I75/'4'!$D66),(IF('2'!$E75&lt;1,(38.21*((W$37*$T$15/(0.00001*$T$13))^1.053)),(44.62*((W$37*$T$15/(0.00001*$T$13))^1.053)*('2'!$E75^1.16)))),(W$37*$T$15*'2'!$I75/'4'!$D66))</f>
        <v>8992727.1420784667</v>
      </c>
      <c r="X71" s="1253">
        <f>IF((IF('2'!$E75&lt;1,(38.21*((X$37*$T$15/(0.00001*$T$13))^1.053)),(44.62*((X$37*$T$15/(0.00001*$T$13))^1.053)*('2'!$E75^1.16))))&lt;(X$37*$T$15*'2'!$I75/'4'!$D66),(IF('2'!$E75&lt;1,(38.21*((X$37*$T$15/(0.00001*$T$13))^1.053)),(44.62*((X$37*$T$15/(0.00001*$T$13))^1.053)*('2'!$E75^1.16)))),(X$37*$T$15*'2'!$I75/'4'!$D66))</f>
        <v>10491514.999091545</v>
      </c>
      <c r="Y71" s="1253">
        <f>IF((IF('2'!$E75&lt;1,(38.21*((Y$37*$T$15/(0.00001*$T$13))^1.053)),(44.62*((Y$37*$T$15/(0.00001*$T$13))^1.053)*('2'!$E75^1.16))))&lt;(Y$37*$T$15*'2'!$I75/'4'!$D66),(IF('2'!$E75&lt;1,(38.21*((Y$37*$T$15/(0.00001*$T$13))^1.053)),(44.62*((Y$37*$T$15/(0.00001*$T$13))^1.053)*('2'!$E75^1.16)))),(Y$37*$T$15*'2'!$I75/'4'!$D66))</f>
        <v>11990302.856104624</v>
      </c>
      <c r="Z71" s="1253">
        <f>IF((IF('2'!$E75&lt;1,(38.21*((Z$37*$T$15/(0.00001*$T$13))^1.053)),(44.62*((Z$37*$T$15/(0.00001*$T$13))^1.053)*('2'!$E75^1.16))))&lt;(Z$37*$T$15*'2'!$I75/'4'!$D66),(IF('2'!$E75&lt;1,(38.21*((Z$37*$T$15/(0.00001*$T$13))^1.053)),(44.62*((Z$37*$T$15/(0.00001*$T$13))^1.053)*('2'!$E75^1.16)))),(Z$37*$T$15*'2'!$I75/'4'!$D66))</f>
        <v>13489090.7131177</v>
      </c>
      <c r="AA71" s="1253">
        <f>IF((IF('2'!$E75&lt;1,(38.21*((AA$37*$T$15/(0.00001*$T$13))^1.053)),(44.62*((AA$37*$T$15/(0.00001*$T$13))^1.053)*('2'!$E75^1.16))))&lt;(AA$37*$T$15*'2'!$I75/'4'!$D66),(IF('2'!$E75&lt;1,(38.21*((AA$37*$T$15/(0.00001*$T$13))^1.053)),(44.62*((AA$37*$T$15/(0.00001*$T$13))^1.053)*('2'!$E75^1.16)))),(AA$37*$T$15*'2'!$I75/'4'!$D66))</f>
        <v>14987878.57013078</v>
      </c>
      <c r="AB71" s="100">
        <f>IF(R$37&lt;$T$9,(1.16*(1.328/SQRT(R71))*'2'!$K75*$T$12*$T$20*$AL$10),IF(R71&lt;1000000,((1.328/SQRT(R71))*'2'!$K75*$T$12*$T$20*$AL$10),(0.455/((LOG(R71)^2.58)*(1+0.144*'2'!$E75^2)^0.65)))*'2'!$K75*$T$12*$T$20*$AL$10)</f>
        <v>0.38395074104945781</v>
      </c>
      <c r="AC71" s="100">
        <f>IF(S$37&lt;$T$9,(1.16*(1.328/SQRT(S71))*'2'!$K75*$T$12*$T$20*$AL$11),IF(S71&lt;1000000,((1.328/SQRT(S71))*'2'!$K75*$T$12*$T$20*$AL$11),(0.455/((LOG(S71)^2.58)*(1+0.144*'2'!$E75^2)^0.65)))*'2'!$K75*$T$12*$T$20*$AL$11)</f>
        <v>1.4545651478449564</v>
      </c>
      <c r="AD71" s="100">
        <f>IF(T$37&lt;$T$9,(1.16*(1.328/SQRT(T71))*'2'!$K75*$T$12*$T$20*$AL$12),IF(T71&lt;1000000,((1.328/SQRT(T71))*'2'!$K75*$T$12*$T$20*$AL$12),(0.455/((LOG(T71)^2.58)*(1+0.144*'2'!$E75^2)^0.65)))*'2'!$K75*$T$12*$T$20*$AL$12)</f>
        <v>1.2842156513852792</v>
      </c>
      <c r="AE71" s="100">
        <f>IF(U$37&lt;$T$9,(1.16*(1.328/SQRT(U71))*'2'!$K75*$T$12*$T$20*$AL$13),IF(U71&lt;1000000,((1.328/SQRT(U71))*'2'!$K75*$T$12*$T$20*$AL$13),(0.455/((LOG(U71)^2.58)*(1+0.144*'2'!$E75^2)^0.65)))*'2'!$K75*$T$12*$T$20*$AL$13)</f>
        <v>1.0946578699341332</v>
      </c>
      <c r="AF71" s="100">
        <f>IF(V$37&lt;$T$9,(1.16*(1.328/SQRT(V71))*'2'!$K75*$T$12*$T$20*$AL$14),IF(V71&lt;1000000,((1.328/SQRT(V71))*'2'!$K75*$T$12*$T$20*$AL$14),(0.455/((LOG(V71)^2.58)*(1+0.144*'2'!$E75^2)^0.65)))*'2'!$K75*$T$12*$T$20*$AL$14)</f>
        <v>0.91138523442118347</v>
      </c>
      <c r="AG71" s="100">
        <f>IF(W$37&lt;$T$9,(1.16*(1.328/SQRT(W71))*'2'!$K75*$T$12*$T$20*$AL$15),IF(W71&lt;1000000,((1.328/SQRT(W71))*'2'!$K75*$T$12*$T$20*$AL$15),(0.455/((LOG(W71)^2.58)*(1+0.144*'2'!$E75^2)^0.65)))*'2'!$K75*$T$12*$T$20*$AL$15)</f>
        <v>0.74513799760093913</v>
      </c>
      <c r="AH71" s="100">
        <f>IF(X$37&lt;$T$9,(1.16*(1.328/SQRT(X71))*'2'!$K75*$T$12*$T$20*$AL$16),IF(X71&lt;1000000,((1.328/SQRT(X71))*'2'!$K75*$T$12*$T$20*$AL$16),(0.455/((LOG(X71)^2.58)*(1+0.144*'2'!$E75^2)^0.65)))*'2'!$K75*$T$12*$T$20*$AL$16)</f>
        <v>0.5906422984162667</v>
      </c>
      <c r="AI71" s="100">
        <f>IF(Y$37&lt;$T$9,(1.16*(1.328/SQRT(Y71))*'2'!$K75*$T$12*$T$20*$AL$17),IF(Y71&lt;1000000,((1.328/SQRT(Y71))*'2'!$K75*$T$12*$T$20*$AL$17),(0.455/((LOG(Y71)^2.58)*(1+0.144*'2'!$E75^2)^0.65)))*'2'!$K75*$T$12*$T$20*$AL$17)</f>
        <v>0.44479927721398438</v>
      </c>
      <c r="AJ71" s="100">
        <f>IF(Z$37&lt;$T$9,(1.16*(1.328/SQRT(Z71))*'2'!$K75*$T$12*$T$20*$AL$18),IF(Z71&lt;1000000,((1.328/SQRT(Z71))*'2'!$K75*$T$12*$T$20*$AL$18),(0.455/((LOG(Z71)^2.58)*(1+0.144*'2'!$E75^2)^0.65)))*'2'!$K75*$T$12*$T$20*$AL$18)</f>
        <v>0.30562895615111846</v>
      </c>
      <c r="AK71" s="100">
        <f>IF(AA$37&lt;$T$9,(1.16*(1.328/SQRT(AA71))*'2'!$K75*$T$12*$T$20*$AL$19),IF(AA71&lt;1000000,((1.328/SQRT(AA71))*'2'!$K75*$T$12*$T$20*$AL$19),(0.455/((LOG(AA71)^2.58)*(1+0.144*'2'!$E75^2)^0.65)))*'2'!$K75*$T$12*$T$20*$AL$19)</f>
        <v>0.21473291976835027</v>
      </c>
      <c r="AL71" s="52">
        <f>SUM(AB71:AK71)</f>
        <v>7.429716093785669</v>
      </c>
      <c r="AM71" s="100">
        <f>IF('2'!E75&lt;1,0,(IF(T$5&lt;4,(((9/2)*T$16*PI()/((SUM(AC$9:AC$19))^2)))*T$16*'2'!K75*T$14*(1-((0.386*(('2'!E75-1.2)^0.57))*(1-(PI()*(('4'!E$16^0.77)/100))))),(IF(T$5=4,((4*T$16/(PI()*((T$15/2)^2)))*T$16*'2'!K75),(((9*PI()/2)*T$16/(((T$15)^2)))*T$16*'2'!K75))))))</f>
        <v>0</v>
      </c>
      <c r="AN71" s="52">
        <f>AL71+AM71</f>
        <v>7.429716093785669</v>
      </c>
      <c r="AO71" s="193">
        <f>AN71/('2'!K75*'4'!$L$15)</f>
        <v>4.3950482333817136E-3</v>
      </c>
      <c r="AP71" s="26"/>
    </row>
    <row r="72" spans="2:42" ht="14.4">
      <c r="B72" s="154" t="s">
        <v>443</v>
      </c>
      <c r="C72" s="141" t="s">
        <v>87</v>
      </c>
      <c r="D72" s="163">
        <f>'4'!L10</f>
        <v>0.21</v>
      </c>
      <c r="E72" s="150"/>
      <c r="F72" s="140"/>
      <c r="G72" s="145" t="s">
        <v>444</v>
      </c>
      <c r="H72" s="140"/>
      <c r="I72" s="935" t="s">
        <v>442</v>
      </c>
      <c r="J72" s="350">
        <v>2.1899999999999999E-2</v>
      </c>
      <c r="K72" s="350">
        <v>2.35E-2</v>
      </c>
      <c r="L72" s="934">
        <v>2.23E-2</v>
      </c>
      <c r="M72" s="140"/>
      <c r="N72" s="25"/>
      <c r="O72" s="26"/>
      <c r="Q72" s="249"/>
      <c r="R72" s="25"/>
      <c r="S72" s="25"/>
      <c r="T72" s="25"/>
      <c r="U72" s="25"/>
      <c r="V72" s="25"/>
      <c r="W72" s="25"/>
      <c r="X72" s="25"/>
      <c r="Y72" s="25"/>
      <c r="Z72" s="25"/>
      <c r="AA72" s="288"/>
      <c r="AB72" s="25"/>
      <c r="AC72" s="25"/>
      <c r="AD72" s="25"/>
      <c r="AE72" s="25"/>
      <c r="AF72" s="25"/>
      <c r="AG72" s="25"/>
      <c r="AH72" s="25"/>
      <c r="AI72" s="25"/>
      <c r="AJ72" s="25"/>
      <c r="AK72" s="25"/>
      <c r="AL72" s="25"/>
      <c r="AM72" s="25"/>
      <c r="AN72" s="25"/>
      <c r="AO72" s="25"/>
      <c r="AP72" s="26"/>
    </row>
    <row r="73" spans="2:42" ht="14.4">
      <c r="B73" s="154" t="s">
        <v>446</v>
      </c>
      <c r="C73" s="141" t="s">
        <v>87</v>
      </c>
      <c r="D73" s="163">
        <f>D72</f>
        <v>0.21</v>
      </c>
      <c r="E73" s="150"/>
      <c r="F73" s="140"/>
      <c r="G73" s="145" t="s">
        <v>444</v>
      </c>
      <c r="H73" s="140"/>
      <c r="I73" s="935" t="s">
        <v>445</v>
      </c>
      <c r="J73" s="352">
        <v>1.9900000000000001E-2</v>
      </c>
      <c r="K73" s="350">
        <v>2.0799999999999999E-2</v>
      </c>
      <c r="L73" s="934">
        <v>2.06E-2</v>
      </c>
      <c r="M73" s="140"/>
      <c r="N73" s="25"/>
      <c r="O73" s="26"/>
      <c r="Q73" s="287"/>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6"/>
    </row>
    <row r="74" spans="2:42" ht="14.4">
      <c r="B74" s="154" t="s">
        <v>448</v>
      </c>
      <c r="C74" s="141" t="s">
        <v>188</v>
      </c>
      <c r="D74" s="166">
        <f>'4'!L18</f>
        <v>4.3859408576370313</v>
      </c>
      <c r="E74" s="150"/>
      <c r="F74" s="140"/>
      <c r="G74" s="145" t="s">
        <v>444</v>
      </c>
      <c r="H74" s="140"/>
      <c r="I74" s="935" t="s">
        <v>447</v>
      </c>
      <c r="J74" s="350">
        <v>1.8599999999999998E-2</v>
      </c>
      <c r="K74" s="350">
        <v>1.9599999999999999E-2</v>
      </c>
      <c r="L74" s="934">
        <v>1.9699999999999999E-2</v>
      </c>
      <c r="M74" s="140"/>
      <c r="N74" s="25"/>
      <c r="O74" s="26"/>
      <c r="Q74" s="249"/>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6"/>
    </row>
    <row r="75" spans="2:42" ht="15" thickBot="1">
      <c r="B75" s="154" t="s">
        <v>450</v>
      </c>
      <c r="C75" s="141" t="s">
        <v>188</v>
      </c>
      <c r="D75" s="167">
        <f>'4'!L19</f>
        <v>4.3859408576370313</v>
      </c>
      <c r="E75" s="150"/>
      <c r="F75" s="140"/>
      <c r="G75" s="145" t="s">
        <v>444</v>
      </c>
      <c r="H75" s="140"/>
      <c r="I75" s="936" t="s">
        <v>449</v>
      </c>
      <c r="J75" s="930" t="s">
        <v>87</v>
      </c>
      <c r="K75" s="930" t="s">
        <v>87</v>
      </c>
      <c r="L75" s="937">
        <v>1.9900000000000001E-2</v>
      </c>
      <c r="M75" s="140"/>
      <c r="N75" s="25"/>
      <c r="O75" s="26"/>
      <c r="Q75" s="249"/>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6"/>
    </row>
    <row r="76" spans="2:42" ht="14.4">
      <c r="B76" s="154" t="s">
        <v>451</v>
      </c>
      <c r="C76" s="141" t="s">
        <v>188</v>
      </c>
      <c r="D76" s="166">
        <f>'4'!L17</f>
        <v>25.877051060058488</v>
      </c>
      <c r="E76" s="150"/>
      <c r="F76" s="140"/>
      <c r="G76" s="145" t="s">
        <v>444</v>
      </c>
      <c r="H76" s="140"/>
      <c r="I76" s="140"/>
      <c r="J76" s="140"/>
      <c r="K76" s="140"/>
      <c r="L76" s="140"/>
      <c r="M76" s="140"/>
      <c r="N76" s="25"/>
      <c r="O76" s="26"/>
      <c r="Q76" s="249"/>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6"/>
    </row>
    <row r="77" spans="2:42" ht="27">
      <c r="B77" s="154" t="s">
        <v>452</v>
      </c>
      <c r="C77" s="141" t="s">
        <v>87</v>
      </c>
      <c r="D77" s="159">
        <v>0.5</v>
      </c>
      <c r="E77" s="150"/>
      <c r="F77" s="140"/>
      <c r="G77" s="145" t="s">
        <v>453</v>
      </c>
      <c r="H77" s="140"/>
      <c r="I77" s="140"/>
      <c r="J77" s="140"/>
      <c r="K77" s="140"/>
      <c r="L77" s="140"/>
      <c r="M77" s="140"/>
      <c r="N77" s="25"/>
      <c r="O77" s="26"/>
      <c r="Q77" s="24"/>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6"/>
    </row>
    <row r="78" spans="2:42" ht="27">
      <c r="B78" s="154" t="s">
        <v>454</v>
      </c>
      <c r="C78" s="141" t="s">
        <v>87</v>
      </c>
      <c r="D78" s="159">
        <v>0.3</v>
      </c>
      <c r="E78" s="150"/>
      <c r="F78" s="140"/>
      <c r="G78" s="145" t="s">
        <v>455</v>
      </c>
      <c r="H78" s="140"/>
      <c r="I78" s="140"/>
      <c r="J78" s="140"/>
      <c r="K78" s="140"/>
      <c r="L78" s="140"/>
      <c r="M78" s="140"/>
      <c r="N78" s="25"/>
      <c r="O78" s="26"/>
      <c r="Q78" s="24"/>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6"/>
    </row>
    <row r="79" spans="2:42" ht="27">
      <c r="B79" s="154" t="s">
        <v>456</v>
      </c>
      <c r="C79" s="141" t="s">
        <v>336</v>
      </c>
      <c r="D79" s="163">
        <f>0.333*D78*D77*(D76)*((D72*D74*D74) + (D73*D75*D75) + (((D72*D74*D74)*(D73*D75*D75))^0.5))</f>
        <v>15.664493867093555</v>
      </c>
      <c r="E79" s="344"/>
      <c r="F79" s="140"/>
      <c r="G79" s="145" t="s">
        <v>457</v>
      </c>
      <c r="H79" s="140"/>
      <c r="I79" s="140"/>
      <c r="J79" s="140"/>
      <c r="K79" s="140"/>
      <c r="L79" s="140"/>
      <c r="M79" s="140"/>
      <c r="N79" s="25"/>
      <c r="O79" s="26"/>
      <c r="Q79" s="24"/>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6"/>
    </row>
    <row r="80" spans="2:42" ht="27">
      <c r="B80" s="154" t="s">
        <v>458</v>
      </c>
      <c r="C80" s="141" t="s">
        <v>87</v>
      </c>
      <c r="D80" s="159">
        <v>1</v>
      </c>
      <c r="E80" s="150"/>
      <c r="F80" s="140"/>
      <c r="G80" s="145" t="s">
        <v>459</v>
      </c>
      <c r="H80" s="140"/>
      <c r="I80" s="140"/>
      <c r="J80" s="140"/>
      <c r="K80" s="140"/>
      <c r="L80" s="140"/>
      <c r="M80" s="140"/>
      <c r="N80" s="25"/>
      <c r="O80" s="26"/>
      <c r="Q80" s="24"/>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6"/>
    </row>
    <row r="81" spans="2:42" ht="14.4">
      <c r="B81" s="154" t="s">
        <v>460</v>
      </c>
      <c r="C81" s="141" t="s">
        <v>87</v>
      </c>
      <c r="D81" s="159">
        <v>0.95</v>
      </c>
      <c r="E81" s="150"/>
      <c r="F81" s="140"/>
      <c r="G81" s="145" t="s">
        <v>461</v>
      </c>
      <c r="H81" s="140"/>
      <c r="I81" s="140"/>
      <c r="J81" s="140"/>
      <c r="K81" s="140"/>
      <c r="L81" s="140"/>
      <c r="M81" s="140"/>
      <c r="N81" s="25"/>
      <c r="O81" s="26"/>
      <c r="Q81" s="24"/>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6"/>
    </row>
    <row r="82" spans="2:42" ht="14.4">
      <c r="B82" s="154" t="s">
        <v>462</v>
      </c>
      <c r="C82" s="141" t="s">
        <v>336</v>
      </c>
      <c r="D82" s="163">
        <f>D79*D81</f>
        <v>14.881269173738875</v>
      </c>
      <c r="E82" s="344"/>
      <c r="F82" s="140"/>
      <c r="G82" s="145"/>
      <c r="H82" s="140"/>
      <c r="I82" s="140"/>
      <c r="J82" s="140"/>
      <c r="K82" s="140"/>
      <c r="L82" s="140"/>
      <c r="M82" s="140"/>
      <c r="N82" s="25"/>
      <c r="O82" s="26"/>
      <c r="Q82" s="24"/>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6"/>
    </row>
    <row r="83" spans="2:42" ht="15" thickBot="1">
      <c r="B83" s="154" t="s">
        <v>463</v>
      </c>
      <c r="C83" s="141" t="s">
        <v>87</v>
      </c>
      <c r="D83" s="163">
        <f>D82/D71</f>
        <v>2.6201037608271327</v>
      </c>
      <c r="E83" s="344"/>
      <c r="F83" s="140"/>
      <c r="G83" s="145"/>
      <c r="H83" s="140"/>
      <c r="I83" s="140"/>
      <c r="J83" s="140"/>
      <c r="K83" s="140"/>
      <c r="L83" s="140"/>
      <c r="M83" s="140"/>
      <c r="N83" s="25"/>
      <c r="O83" s="26"/>
      <c r="Q83" s="60"/>
      <c r="R83" s="62"/>
      <c r="S83" s="62"/>
      <c r="T83" s="62"/>
      <c r="U83" s="62"/>
      <c r="V83" s="62"/>
      <c r="W83" s="62"/>
      <c r="X83" s="62"/>
      <c r="Y83" s="62"/>
      <c r="Z83" s="62"/>
      <c r="AA83" s="62"/>
      <c r="AB83" s="62"/>
      <c r="AC83" s="62"/>
      <c r="AD83" s="62"/>
      <c r="AE83" s="62"/>
      <c r="AF83" s="62"/>
      <c r="AG83" s="62"/>
      <c r="AH83" s="62"/>
      <c r="AI83" s="62"/>
      <c r="AJ83" s="62"/>
      <c r="AK83" s="62"/>
      <c r="AL83" s="62"/>
      <c r="AM83" s="62"/>
      <c r="AN83" s="62"/>
      <c r="AO83" s="62"/>
      <c r="AP83" s="63"/>
    </row>
    <row r="84" spans="2:42" ht="27">
      <c r="B84" s="154" t="s">
        <v>464</v>
      </c>
      <c r="C84" s="141" t="s">
        <v>87</v>
      </c>
      <c r="D84" s="162">
        <v>0.1</v>
      </c>
      <c r="E84" s="344"/>
      <c r="F84" s="140"/>
      <c r="G84" s="145" t="s">
        <v>465</v>
      </c>
      <c r="H84" s="140"/>
      <c r="I84" s="140"/>
      <c r="J84" s="140"/>
      <c r="K84" s="140"/>
      <c r="L84" s="140"/>
      <c r="M84" s="140"/>
      <c r="N84" s="25"/>
      <c r="O84" s="26"/>
    </row>
    <row r="85" spans="2:42" ht="14.4">
      <c r="B85" s="154" t="s">
        <v>466</v>
      </c>
      <c r="C85" s="141" t="s">
        <v>87</v>
      </c>
      <c r="D85" s="163">
        <f>IF(D84&gt;1,0,1-D84)</f>
        <v>0.9</v>
      </c>
      <c r="E85" s="344"/>
      <c r="F85" s="140"/>
      <c r="G85" s="145"/>
      <c r="H85" s="140"/>
      <c r="I85" s="140"/>
      <c r="J85" s="140"/>
      <c r="K85" s="140"/>
      <c r="L85" s="140"/>
      <c r="M85" s="140"/>
      <c r="N85" s="25"/>
      <c r="O85" s="26"/>
    </row>
    <row r="86" spans="2:42" ht="14.4">
      <c r="B86" s="154" t="s">
        <v>467</v>
      </c>
      <c r="C86" s="141" t="s">
        <v>436</v>
      </c>
      <c r="D86" s="160">
        <f>D85*D70</f>
        <v>217.51846457387802</v>
      </c>
      <c r="E86" s="151"/>
      <c r="F86" s="140"/>
      <c r="G86" s="145"/>
      <c r="H86" s="140"/>
      <c r="I86" s="140"/>
      <c r="J86" s="140"/>
      <c r="K86" s="140"/>
      <c r="L86" s="140"/>
      <c r="M86" s="140"/>
      <c r="N86" s="25"/>
      <c r="O86" s="26"/>
    </row>
    <row r="87" spans="2:42" ht="14.4">
      <c r="B87" s="154" t="s">
        <v>468</v>
      </c>
      <c r="C87" s="141" t="s">
        <v>336</v>
      </c>
      <c r="D87" s="160">
        <f>D86*D69</f>
        <v>5.1116839174861335</v>
      </c>
      <c r="E87" s="151"/>
      <c r="F87" s="140"/>
      <c r="G87" s="145"/>
      <c r="H87" s="140"/>
      <c r="I87" s="140"/>
      <c r="J87" s="140"/>
      <c r="K87" s="140"/>
      <c r="L87" s="140"/>
      <c r="M87" s="140"/>
      <c r="N87" s="25"/>
      <c r="O87" s="26"/>
    </row>
    <row r="88" spans="2:42" ht="27">
      <c r="B88" s="154" t="s">
        <v>469</v>
      </c>
      <c r="C88" s="141" t="s">
        <v>87</v>
      </c>
      <c r="D88" s="159">
        <v>0.95</v>
      </c>
      <c r="E88" s="150"/>
      <c r="F88" s="140"/>
      <c r="G88" s="145" t="s">
        <v>459</v>
      </c>
      <c r="H88" s="140"/>
      <c r="I88" s="140"/>
      <c r="J88" s="140"/>
      <c r="K88" s="140"/>
      <c r="L88" s="140"/>
      <c r="M88" s="140"/>
      <c r="N88" s="25"/>
      <c r="O88" s="26"/>
    </row>
    <row r="89" spans="2:42" ht="14.4">
      <c r="B89" s="154" t="s">
        <v>470</v>
      </c>
      <c r="C89" s="141" t="s">
        <v>336</v>
      </c>
      <c r="D89" s="160">
        <f>D87/D88</f>
        <v>5.3807199131432988</v>
      </c>
      <c r="E89" s="151"/>
      <c r="F89" s="140"/>
      <c r="G89" s="145"/>
      <c r="H89" s="140"/>
      <c r="I89" s="140"/>
      <c r="J89" s="140"/>
      <c r="K89" s="140"/>
      <c r="L89" s="140"/>
      <c r="M89" s="140"/>
      <c r="N89" s="25"/>
      <c r="O89" s="26"/>
    </row>
    <row r="90" spans="2:42" ht="14.4">
      <c r="B90" s="154" t="s">
        <v>471</v>
      </c>
      <c r="C90" s="141" t="s">
        <v>87</v>
      </c>
      <c r="D90" s="165">
        <v>0.4</v>
      </c>
      <c r="E90" s="151"/>
      <c r="F90" s="140"/>
      <c r="G90" s="145" t="s">
        <v>472</v>
      </c>
      <c r="H90" s="140"/>
      <c r="I90" s="140"/>
      <c r="J90" s="140"/>
      <c r="K90" s="140"/>
      <c r="L90" s="140"/>
      <c r="M90" s="140"/>
      <c r="N90" s="25"/>
      <c r="O90" s="26"/>
    </row>
    <row r="91" spans="2:42" ht="14.4">
      <c r="B91" s="154" t="s">
        <v>473</v>
      </c>
      <c r="C91" s="141" t="s">
        <v>188</v>
      </c>
      <c r="D91" s="157">
        <f>D89/(D90*(PI()/4)*(F44^2))</f>
        <v>1.6616442350802458</v>
      </c>
      <c r="E91" s="345"/>
      <c r="F91" s="140"/>
      <c r="G91" s="145"/>
      <c r="H91" s="140"/>
      <c r="I91" s="140"/>
      <c r="J91" s="140"/>
      <c r="K91" s="140"/>
      <c r="L91" s="140"/>
      <c r="M91" s="140"/>
      <c r="N91" s="25"/>
      <c r="O91" s="26"/>
    </row>
    <row r="92" spans="2:42" ht="14.4">
      <c r="B92" s="154"/>
      <c r="C92" s="141"/>
      <c r="D92" s="168"/>
      <c r="E92" s="141"/>
      <c r="F92" s="140"/>
      <c r="G92" s="158"/>
      <c r="H92" s="140"/>
      <c r="I92" s="140"/>
      <c r="J92" s="140"/>
      <c r="K92" s="140"/>
      <c r="L92" s="140"/>
      <c r="M92" s="140"/>
      <c r="N92" s="25"/>
      <c r="O92" s="26"/>
    </row>
    <row r="93" spans="2:42" ht="13.8">
      <c r="B93" s="154"/>
      <c r="C93" s="140"/>
      <c r="D93" s="140"/>
      <c r="E93" s="140"/>
      <c r="F93" s="140"/>
      <c r="G93" s="145"/>
      <c r="H93" s="140"/>
      <c r="I93" s="140"/>
      <c r="J93" s="140"/>
      <c r="K93" s="140"/>
      <c r="L93" s="140"/>
      <c r="M93" s="140"/>
      <c r="N93" s="25"/>
      <c r="O93" s="26"/>
    </row>
    <row r="94" spans="2:42" ht="13.8">
      <c r="B94" s="283" t="s">
        <v>474</v>
      </c>
      <c r="C94" s="147" t="s">
        <v>90</v>
      </c>
      <c r="D94" s="147" t="s">
        <v>91</v>
      </c>
      <c r="E94" s="147"/>
      <c r="F94" s="140"/>
      <c r="G94" s="145"/>
      <c r="H94" s="140"/>
      <c r="I94" s="140"/>
      <c r="J94" s="140"/>
      <c r="K94" s="140"/>
      <c r="L94" s="140"/>
      <c r="M94" s="140"/>
      <c r="N94" s="25"/>
      <c r="O94" s="26"/>
    </row>
    <row r="95" spans="2:42" ht="13.8">
      <c r="B95" s="154" t="s">
        <v>475</v>
      </c>
      <c r="C95" s="150" t="s">
        <v>87</v>
      </c>
      <c r="D95" s="169">
        <v>1</v>
      </c>
      <c r="E95" s="346"/>
      <c r="F95" s="140"/>
      <c r="G95" s="145"/>
      <c r="H95" s="140"/>
      <c r="I95" s="140"/>
      <c r="J95" s="140"/>
      <c r="K95" s="140"/>
      <c r="L95" s="140"/>
      <c r="M95" s="140"/>
      <c r="N95" s="25"/>
      <c r="O95" s="26"/>
    </row>
    <row r="96" spans="2:42" ht="13.8">
      <c r="B96" s="154" t="s">
        <v>476</v>
      </c>
      <c r="C96" s="150" t="s">
        <v>188</v>
      </c>
      <c r="D96" s="1352">
        <f>IF('2'!F21=1,'7a'!Q22/12,IF('2'!F21=2,'7b'!Q22/12,IF('2'!F21=3,'7a'!Q22/12,IF('2'!F21=4,'7b'!Q22/12,IF('2'!F21=5,'7a'!Q22/12,'7b'!Q22/12)))))</f>
        <v>3.2782467881210557</v>
      </c>
      <c r="E96" s="150"/>
      <c r="F96" s="140"/>
      <c r="G96" s="145" t="s">
        <v>477</v>
      </c>
      <c r="H96" s="140"/>
      <c r="I96" s="140"/>
      <c r="J96" s="140"/>
      <c r="K96" s="140"/>
      <c r="L96" s="140"/>
      <c r="M96" s="140"/>
      <c r="N96" s="25"/>
      <c r="O96" s="26"/>
    </row>
    <row r="97" spans="2:15" ht="13.8">
      <c r="B97" s="154" t="s">
        <v>478</v>
      </c>
      <c r="C97" s="150" t="s">
        <v>188</v>
      </c>
      <c r="D97" s="1352">
        <f>IF('2'!F21=1,'7a'!Q21/12,IF('2'!F21=2,'7b'!Q21/12,IF('2'!F21=3,'7a'!Q21/12,IF('2'!F21=4,'7b'!Q21/12,IF('2'!F21=5,'7a'!Q22/12,'7b'!Q22/12)))))</f>
        <v>2.5607344085300747</v>
      </c>
      <c r="E97" s="150"/>
      <c r="F97" s="140"/>
      <c r="G97" s="145" t="s">
        <v>477</v>
      </c>
      <c r="H97" s="140"/>
      <c r="I97" s="140"/>
      <c r="J97" s="140"/>
      <c r="K97" s="140"/>
      <c r="L97" s="140"/>
      <c r="M97" s="140"/>
      <c r="N97" s="25"/>
      <c r="O97" s="26"/>
    </row>
    <row r="98" spans="2:15" ht="26.4">
      <c r="B98" s="154" t="s">
        <v>479</v>
      </c>
      <c r="C98" s="150" t="s">
        <v>87</v>
      </c>
      <c r="D98" s="159">
        <v>1</v>
      </c>
      <c r="E98" s="150"/>
      <c r="F98" s="140"/>
      <c r="G98" s="145" t="s">
        <v>1435</v>
      </c>
      <c r="H98" s="140"/>
      <c r="I98" s="140"/>
      <c r="J98" s="140"/>
      <c r="K98" s="140"/>
      <c r="L98" s="140"/>
      <c r="M98" s="140"/>
      <c r="N98" s="25"/>
      <c r="O98" s="26"/>
    </row>
    <row r="99" spans="2:15" ht="26.4">
      <c r="B99" s="154" t="s">
        <v>480</v>
      </c>
      <c r="C99" s="150"/>
      <c r="D99" s="165">
        <v>0.1</v>
      </c>
      <c r="E99" s="151"/>
      <c r="F99" s="140"/>
      <c r="G99" s="145" t="s">
        <v>481</v>
      </c>
      <c r="H99" s="140"/>
      <c r="I99" s="140"/>
      <c r="J99" s="140"/>
      <c r="K99" s="140"/>
      <c r="L99" s="140"/>
      <c r="M99" s="140"/>
      <c r="N99" s="25"/>
      <c r="O99" s="26"/>
    </row>
    <row r="100" spans="2:15" ht="13.8">
      <c r="B100" s="154" t="s">
        <v>482</v>
      </c>
      <c r="C100" s="150" t="s">
        <v>336</v>
      </c>
      <c r="D100" s="160">
        <f>D95*PI()*D96*(D97+D99)*D98</f>
        <v>27.402680241513259</v>
      </c>
      <c r="E100" s="151"/>
      <c r="F100" s="140"/>
      <c r="G100" s="145"/>
      <c r="H100" s="140"/>
      <c r="I100" s="140"/>
      <c r="J100" s="140"/>
      <c r="K100" s="140"/>
      <c r="L100" s="140"/>
      <c r="M100" s="140"/>
      <c r="N100" s="25"/>
      <c r="O100" s="26"/>
    </row>
    <row r="101" spans="2:15" ht="13.8">
      <c r="B101" s="154"/>
      <c r="C101" s="140"/>
      <c r="D101" s="140"/>
      <c r="E101" s="140"/>
      <c r="F101" s="140"/>
      <c r="G101" s="145"/>
      <c r="H101" s="140"/>
      <c r="I101" s="140"/>
      <c r="J101" s="140"/>
      <c r="K101" s="140"/>
      <c r="L101" s="140"/>
      <c r="M101" s="140"/>
      <c r="N101" s="25"/>
      <c r="O101" s="26"/>
    </row>
    <row r="102" spans="2:15" ht="13.8">
      <c r="B102" s="154"/>
      <c r="C102" s="140"/>
      <c r="D102" s="140"/>
      <c r="E102" s="140"/>
      <c r="F102" s="140"/>
      <c r="G102" s="145"/>
      <c r="H102" s="140"/>
      <c r="I102" s="140"/>
      <c r="J102" s="140"/>
      <c r="K102" s="140"/>
      <c r="L102" s="140"/>
      <c r="M102" s="140"/>
      <c r="N102" s="25"/>
      <c r="O102" s="26"/>
    </row>
    <row r="103" spans="2:15" ht="13.8">
      <c r="B103" s="283" t="s">
        <v>483</v>
      </c>
      <c r="C103" s="147" t="s">
        <v>90</v>
      </c>
      <c r="D103" s="147" t="s">
        <v>91</v>
      </c>
      <c r="E103" s="147"/>
      <c r="F103" s="140"/>
      <c r="G103" s="140"/>
      <c r="H103" s="140"/>
      <c r="I103" s="140"/>
      <c r="J103" s="140"/>
      <c r="K103" s="140"/>
      <c r="L103" s="140"/>
      <c r="M103" s="140"/>
      <c r="N103" s="25"/>
      <c r="O103" s="26"/>
    </row>
    <row r="104" spans="2:15" ht="13.8">
      <c r="B104" s="154" t="s">
        <v>484</v>
      </c>
      <c r="C104" s="150" t="s">
        <v>188</v>
      </c>
      <c r="D104" s="157">
        <f>'4'!L18</f>
        <v>4.3859408576370313</v>
      </c>
      <c r="E104" s="157"/>
      <c r="F104" s="140"/>
      <c r="G104" s="145" t="s">
        <v>485</v>
      </c>
      <c r="H104" s="140"/>
      <c r="I104" s="140"/>
      <c r="J104" s="140"/>
      <c r="K104" s="140"/>
      <c r="L104" s="140"/>
      <c r="M104" s="140"/>
      <c r="N104" s="25"/>
      <c r="O104" s="26"/>
    </row>
    <row r="105" spans="2:15" ht="13.8">
      <c r="B105" s="154" t="s">
        <v>486</v>
      </c>
      <c r="C105" s="150" t="s">
        <v>87</v>
      </c>
      <c r="D105" s="163">
        <f>'4'!L10</f>
        <v>0.21</v>
      </c>
      <c r="E105" s="140"/>
      <c r="F105" s="140"/>
      <c r="G105" s="145" t="s">
        <v>444</v>
      </c>
      <c r="H105" s="140"/>
      <c r="I105" s="140"/>
      <c r="J105" s="140"/>
      <c r="K105" s="140"/>
      <c r="L105" s="140"/>
      <c r="M105" s="140"/>
      <c r="N105" s="25"/>
      <c r="O105" s="26"/>
    </row>
    <row r="106" spans="2:15" ht="39.6">
      <c r="B106" s="154" t="s">
        <v>487</v>
      </c>
      <c r="C106" s="150" t="s">
        <v>188</v>
      </c>
      <c r="D106" s="157">
        <f>F44</f>
        <v>3.2105263157894735</v>
      </c>
      <c r="E106" s="157"/>
      <c r="F106" s="140"/>
      <c r="G106" s="145" t="s">
        <v>488</v>
      </c>
      <c r="H106" s="140"/>
      <c r="I106" s="140"/>
      <c r="J106" s="140"/>
      <c r="K106" s="140"/>
      <c r="L106" s="140"/>
      <c r="M106" s="140"/>
      <c r="N106" s="25"/>
      <c r="O106" s="26"/>
    </row>
    <row r="107" spans="2:15" ht="13.8">
      <c r="B107" s="154" t="s">
        <v>489</v>
      </c>
      <c r="C107" s="150" t="s">
        <v>336</v>
      </c>
      <c r="D107" s="160">
        <f>D104*D106*(D105*D104)</f>
        <v>12.969435421984056</v>
      </c>
      <c r="E107" s="160"/>
      <c r="F107" s="140"/>
      <c r="G107" s="145"/>
      <c r="H107" s="140"/>
      <c r="I107" s="140"/>
      <c r="J107" s="140"/>
      <c r="K107" s="140"/>
      <c r="L107" s="140"/>
      <c r="M107" s="140"/>
      <c r="N107" s="25"/>
      <c r="O107" s="26"/>
    </row>
    <row r="108" spans="2:15" ht="13.8">
      <c r="B108" s="154"/>
      <c r="C108" s="140"/>
      <c r="D108" s="140"/>
      <c r="E108" s="140"/>
      <c r="F108" s="140"/>
      <c r="G108" s="145"/>
      <c r="H108" s="140"/>
      <c r="I108" s="140"/>
      <c r="J108" s="140"/>
      <c r="K108" s="140"/>
      <c r="L108" s="140"/>
      <c r="M108" s="140"/>
      <c r="N108" s="25"/>
      <c r="O108" s="26"/>
    </row>
    <row r="109" spans="2:15" ht="13.8">
      <c r="B109" s="154"/>
      <c r="C109" s="140"/>
      <c r="D109" s="140"/>
      <c r="E109" s="140"/>
      <c r="F109" s="140"/>
      <c r="G109" s="145"/>
      <c r="H109" s="140"/>
      <c r="I109" s="140"/>
      <c r="J109" s="140"/>
      <c r="K109" s="140"/>
      <c r="L109" s="140"/>
      <c r="M109" s="140"/>
      <c r="N109" s="25"/>
      <c r="O109" s="26"/>
    </row>
    <row r="110" spans="2:15" ht="14.4" thickBot="1">
      <c r="B110" s="283" t="s">
        <v>490</v>
      </c>
      <c r="C110" s="147" t="s">
        <v>90</v>
      </c>
      <c r="D110" s="147" t="s">
        <v>91</v>
      </c>
      <c r="E110" s="147"/>
      <c r="F110" s="140"/>
      <c r="G110" s="145"/>
      <c r="H110" s="140"/>
      <c r="I110" s="140"/>
      <c r="J110" s="140"/>
      <c r="K110" s="140"/>
      <c r="L110" s="140"/>
      <c r="M110" s="140"/>
      <c r="N110" s="25"/>
      <c r="O110" s="26"/>
    </row>
    <row r="111" spans="2:15" ht="13.8">
      <c r="B111" s="154" t="s">
        <v>492</v>
      </c>
      <c r="C111" s="150" t="s">
        <v>87</v>
      </c>
      <c r="D111" s="156" t="s">
        <v>2764</v>
      </c>
      <c r="E111" s="347"/>
      <c r="F111" s="140"/>
      <c r="G111" s="145" t="s">
        <v>493</v>
      </c>
      <c r="H111" s="140"/>
      <c r="I111" s="932" t="s">
        <v>491</v>
      </c>
      <c r="J111" s="922"/>
      <c r="K111" s="922"/>
      <c r="L111" s="922"/>
      <c r="M111" s="923"/>
      <c r="N111" s="25"/>
      <c r="O111" s="26"/>
    </row>
    <row r="112" spans="2:15" ht="13.8">
      <c r="B112" s="154" t="s">
        <v>495</v>
      </c>
      <c r="C112" s="150" t="s">
        <v>87</v>
      </c>
      <c r="D112" s="159">
        <v>1</v>
      </c>
      <c r="E112" s="150"/>
      <c r="F112" s="140"/>
      <c r="G112" s="145" t="s">
        <v>493</v>
      </c>
      <c r="H112" s="140"/>
      <c r="I112" s="933" t="s">
        <v>494</v>
      </c>
      <c r="J112" s="140"/>
      <c r="K112" s="140"/>
      <c r="L112" s="140"/>
      <c r="M112" s="934"/>
      <c r="N112" s="25"/>
      <c r="O112" s="26"/>
    </row>
    <row r="113" spans="2:15" ht="13.8">
      <c r="B113" s="154" t="s">
        <v>496</v>
      </c>
      <c r="C113" s="150" t="s">
        <v>87</v>
      </c>
      <c r="D113" s="159">
        <v>2</v>
      </c>
      <c r="E113" s="150"/>
      <c r="F113" s="140"/>
      <c r="G113" s="145" t="s">
        <v>493</v>
      </c>
      <c r="H113" s="140"/>
      <c r="I113" s="935"/>
      <c r="J113" s="147"/>
      <c r="K113" s="147"/>
      <c r="L113" s="147"/>
      <c r="M113" s="934"/>
      <c r="N113" s="25"/>
      <c r="O113" s="26"/>
    </row>
    <row r="114" spans="2:15" ht="14.4">
      <c r="B114" s="154" t="s">
        <v>497</v>
      </c>
      <c r="C114" s="150" t="s">
        <v>87</v>
      </c>
      <c r="D114" s="159">
        <v>1</v>
      </c>
      <c r="E114" s="150"/>
      <c r="F114" s="140"/>
      <c r="G114" s="145" t="s">
        <v>493</v>
      </c>
      <c r="H114" s="140"/>
      <c r="I114" s="935"/>
      <c r="J114" s="1369" t="s">
        <v>318</v>
      </c>
      <c r="K114" s="1370"/>
      <c r="L114" s="896" t="s">
        <v>264</v>
      </c>
      <c r="M114" s="939"/>
      <c r="N114" s="25"/>
      <c r="O114" s="26"/>
    </row>
    <row r="115" spans="2:15" ht="13.8">
      <c r="B115" s="154" t="s">
        <v>499</v>
      </c>
      <c r="C115" s="150" t="s">
        <v>87</v>
      </c>
      <c r="D115" s="162">
        <v>1.51</v>
      </c>
      <c r="E115" s="344"/>
      <c r="F115" s="140"/>
      <c r="G115" s="145" t="s">
        <v>500</v>
      </c>
      <c r="H115" s="140"/>
      <c r="I115" s="935"/>
      <c r="J115" s="161" t="s">
        <v>93</v>
      </c>
      <c r="K115" s="896" t="s">
        <v>498</v>
      </c>
      <c r="L115" s="896" t="s">
        <v>93</v>
      </c>
      <c r="M115" s="940" t="s">
        <v>498</v>
      </c>
      <c r="N115" s="25"/>
      <c r="O115" s="26"/>
    </row>
    <row r="116" spans="2:15" ht="13.8">
      <c r="B116" s="154" t="s">
        <v>501</v>
      </c>
      <c r="C116" s="150" t="s">
        <v>87</v>
      </c>
      <c r="D116" s="159">
        <v>0.71499999999999997</v>
      </c>
      <c r="E116" s="150"/>
      <c r="F116" s="140"/>
      <c r="G116" s="145" t="s">
        <v>500</v>
      </c>
      <c r="H116" s="140"/>
      <c r="I116" s="935" t="s">
        <v>420</v>
      </c>
      <c r="J116" s="353">
        <v>1.51</v>
      </c>
      <c r="K116" s="353">
        <v>0.34899999999999998</v>
      </c>
      <c r="L116" s="163">
        <v>0.71499999999999997</v>
      </c>
      <c r="M116" s="941">
        <v>0.312</v>
      </c>
      <c r="N116" s="25"/>
      <c r="O116" s="26"/>
    </row>
    <row r="117" spans="2:15" ht="13.8">
      <c r="B117" s="154" t="s">
        <v>503</v>
      </c>
      <c r="C117" s="150" t="s">
        <v>87</v>
      </c>
      <c r="D117" s="159">
        <v>0.34899999999999998</v>
      </c>
      <c r="E117" s="150"/>
      <c r="F117" s="140"/>
      <c r="G117" s="145" t="s">
        <v>500</v>
      </c>
      <c r="H117" s="140"/>
      <c r="I117" s="935" t="s">
        <v>502</v>
      </c>
      <c r="J117" s="353">
        <v>2.69</v>
      </c>
      <c r="K117" s="353">
        <v>0.251</v>
      </c>
      <c r="L117" s="163">
        <v>1.17</v>
      </c>
      <c r="M117" s="941">
        <v>0.216</v>
      </c>
      <c r="N117" s="25"/>
      <c r="O117" s="26"/>
    </row>
    <row r="118" spans="2:15" ht="13.8">
      <c r="B118" s="154" t="s">
        <v>505</v>
      </c>
      <c r="C118" s="150" t="s">
        <v>87</v>
      </c>
      <c r="D118" s="162">
        <v>0.312</v>
      </c>
      <c r="E118" s="344"/>
      <c r="F118" s="140"/>
      <c r="G118" s="145" t="s">
        <v>500</v>
      </c>
      <c r="H118" s="140"/>
      <c r="I118" s="935" t="s">
        <v>504</v>
      </c>
      <c r="J118" s="163">
        <v>1.63</v>
      </c>
      <c r="K118" s="163">
        <v>0.315</v>
      </c>
      <c r="L118" s="163">
        <v>0.104</v>
      </c>
      <c r="M118" s="941">
        <v>0.48</v>
      </c>
      <c r="N118" s="25"/>
      <c r="O118" s="26"/>
    </row>
    <row r="119" spans="2:15" ht="14.4" thickBot="1">
      <c r="B119" s="154" t="s">
        <v>507</v>
      </c>
      <c r="C119" s="150" t="s">
        <v>508</v>
      </c>
      <c r="D119" s="166">
        <f>'2'!P44</f>
        <v>1248.4473707141719</v>
      </c>
      <c r="E119" s="150"/>
      <c r="F119" s="140"/>
      <c r="G119" s="145" t="s">
        <v>509</v>
      </c>
      <c r="H119" s="140"/>
      <c r="I119" s="936" t="s">
        <v>506</v>
      </c>
      <c r="J119" s="942">
        <v>1.59</v>
      </c>
      <c r="K119" s="942">
        <v>0.30199999999999999</v>
      </c>
      <c r="L119" s="942">
        <v>9.8000000000000004E-2</v>
      </c>
      <c r="M119" s="943">
        <v>0.46700000000000003</v>
      </c>
      <c r="N119" s="25"/>
      <c r="O119" s="26"/>
    </row>
    <row r="120" spans="2:15" ht="13.8">
      <c r="B120" s="154" t="s">
        <v>510</v>
      </c>
      <c r="C120" s="150" t="s">
        <v>508</v>
      </c>
      <c r="D120" s="160">
        <f>0.9*D119/(D112*D113)</f>
        <v>561.80131682137744</v>
      </c>
      <c r="E120" s="151"/>
      <c r="F120" s="140"/>
      <c r="G120" s="145"/>
      <c r="H120" s="140"/>
      <c r="I120" s="140"/>
      <c r="J120" s="140"/>
      <c r="K120" s="140"/>
      <c r="L120" s="140"/>
      <c r="M120" s="140"/>
      <c r="N120" s="25"/>
      <c r="O120" s="26"/>
    </row>
    <row r="121" spans="2:15" ht="13.8">
      <c r="B121" s="154" t="s">
        <v>511</v>
      </c>
      <c r="C121" s="150" t="s">
        <v>512</v>
      </c>
      <c r="D121" s="160">
        <f>D115*(D120^D117)</f>
        <v>13.758824403707161</v>
      </c>
      <c r="E121" s="151"/>
      <c r="F121" s="140"/>
      <c r="G121" s="145"/>
      <c r="H121" s="140"/>
      <c r="I121" s="140"/>
      <c r="J121" s="140"/>
      <c r="K121" s="140"/>
      <c r="L121" s="140"/>
      <c r="M121" s="25"/>
      <c r="N121" s="25"/>
      <c r="O121" s="26"/>
    </row>
    <row r="122" spans="2:15" ht="13.8">
      <c r="B122" s="154" t="s">
        <v>513</v>
      </c>
      <c r="C122" s="150" t="s">
        <v>512</v>
      </c>
      <c r="D122" s="160">
        <f>D116*(D120^D118)</f>
        <v>5.1543732051933855</v>
      </c>
      <c r="E122" s="151"/>
      <c r="F122" s="140"/>
      <c r="G122" s="145"/>
      <c r="H122" s="140"/>
      <c r="I122" s="140"/>
      <c r="J122" s="140"/>
      <c r="K122" s="140"/>
      <c r="L122" s="140"/>
      <c r="M122" s="25"/>
      <c r="N122" s="25"/>
      <c r="O122" s="26"/>
    </row>
    <row r="123" spans="2:15" ht="13.8">
      <c r="B123" s="154" t="s">
        <v>514</v>
      </c>
      <c r="C123" s="150" t="s">
        <v>512</v>
      </c>
      <c r="D123" s="160">
        <f>D121*0.6</f>
        <v>8.2552946422242961</v>
      </c>
      <c r="E123" s="151"/>
      <c r="F123" s="140"/>
      <c r="G123" s="145"/>
      <c r="H123" s="140"/>
      <c r="I123" s="140"/>
      <c r="J123" s="140"/>
      <c r="K123" s="140"/>
      <c r="L123" s="140"/>
      <c r="M123" s="25"/>
      <c r="N123" s="25"/>
      <c r="O123" s="26"/>
    </row>
    <row r="124" spans="2:15" ht="13.8">
      <c r="B124" s="154" t="s">
        <v>515</v>
      </c>
      <c r="C124" s="150" t="s">
        <v>512</v>
      </c>
      <c r="D124" s="160">
        <f>D122*0.6</f>
        <v>3.0926239231160313</v>
      </c>
      <c r="E124" s="151"/>
      <c r="F124" s="140"/>
      <c r="G124" s="145"/>
      <c r="H124" s="140"/>
      <c r="I124" s="140"/>
      <c r="J124" s="140"/>
      <c r="K124" s="140"/>
      <c r="L124" s="140"/>
      <c r="M124" s="25"/>
      <c r="N124" s="25"/>
      <c r="O124" s="26"/>
    </row>
    <row r="125" spans="2:15" ht="13.8">
      <c r="B125" s="154" t="s">
        <v>516</v>
      </c>
      <c r="C125" s="150" t="s">
        <v>87</v>
      </c>
      <c r="D125" s="159">
        <v>0.8</v>
      </c>
      <c r="E125" s="150"/>
      <c r="F125" s="140"/>
      <c r="G125" s="145" t="s">
        <v>517</v>
      </c>
      <c r="H125" s="140"/>
      <c r="I125" s="140"/>
      <c r="J125" s="140"/>
      <c r="K125" s="140"/>
      <c r="L125" s="140"/>
      <c r="M125" s="25"/>
      <c r="N125" s="25"/>
      <c r="O125" s="26"/>
    </row>
    <row r="126" spans="2:15" ht="13.8">
      <c r="B126" s="154" t="s">
        <v>518</v>
      </c>
      <c r="C126" s="150" t="s">
        <v>336</v>
      </c>
      <c r="D126" s="160">
        <f>(D121^2)*D122*(1/(12^3))*D112*D113/D125</f>
        <v>1.4116752067476639</v>
      </c>
      <c r="E126" s="151"/>
      <c r="F126" s="140"/>
      <c r="G126" s="145"/>
      <c r="H126" s="140"/>
      <c r="I126" s="140"/>
      <c r="J126" s="140"/>
      <c r="K126" s="140"/>
      <c r="L126" s="140"/>
      <c r="M126" s="25"/>
      <c r="N126" s="25"/>
      <c r="O126" s="26"/>
    </row>
    <row r="127" spans="2:15" ht="13.8">
      <c r="B127" s="154" t="s">
        <v>519</v>
      </c>
      <c r="C127" s="150" t="s">
        <v>336</v>
      </c>
      <c r="D127" s="160">
        <f>0.4*D126/D125</f>
        <v>0.70583760337383195</v>
      </c>
      <c r="E127" s="151"/>
      <c r="F127" s="140"/>
      <c r="G127" s="145"/>
      <c r="H127" s="140"/>
      <c r="I127" s="140"/>
      <c r="J127" s="140"/>
      <c r="K127" s="140"/>
      <c r="L127" s="140"/>
      <c r="M127" s="25"/>
      <c r="N127" s="25"/>
      <c r="O127" s="26"/>
    </row>
    <row r="128" spans="2:15" ht="13.8">
      <c r="B128" s="154" t="s">
        <v>520</v>
      </c>
      <c r="C128" s="150" t="s">
        <v>87</v>
      </c>
      <c r="D128" s="165">
        <v>0</v>
      </c>
      <c r="E128" s="151"/>
      <c r="F128" s="140"/>
      <c r="G128" s="145"/>
      <c r="H128" s="140"/>
      <c r="I128" s="140"/>
      <c r="J128" s="140"/>
      <c r="K128" s="140"/>
      <c r="L128" s="140"/>
      <c r="M128" s="25"/>
      <c r="N128" s="25"/>
      <c r="O128" s="26"/>
    </row>
    <row r="129" spans="2:15" ht="13.8">
      <c r="B129" s="154" t="s">
        <v>521</v>
      </c>
      <c r="C129" s="150" t="s">
        <v>336</v>
      </c>
      <c r="D129" s="160">
        <f>D127</f>
        <v>0.70583760337383195</v>
      </c>
      <c r="E129" s="151"/>
      <c r="F129" s="140"/>
      <c r="G129" s="145"/>
      <c r="H129" s="140"/>
      <c r="I129" s="140"/>
      <c r="J129" s="140"/>
      <c r="K129" s="140"/>
      <c r="L129" s="140"/>
      <c r="M129" s="25"/>
      <c r="N129" s="25"/>
      <c r="O129" s="26"/>
    </row>
    <row r="130" spans="2:15" ht="26.4">
      <c r="B130" s="154" t="s">
        <v>522</v>
      </c>
      <c r="C130" s="150" t="s">
        <v>336</v>
      </c>
      <c r="D130" s="160">
        <f>D126*D128</f>
        <v>0</v>
      </c>
      <c r="E130" s="151"/>
      <c r="F130" s="140"/>
      <c r="G130" s="145" t="s">
        <v>523</v>
      </c>
      <c r="H130" s="140"/>
      <c r="I130" s="140"/>
      <c r="J130" s="140"/>
      <c r="K130" s="140"/>
      <c r="L130" s="140"/>
      <c r="M130" s="140"/>
      <c r="N130" s="25"/>
      <c r="O130" s="26"/>
    </row>
    <row r="131" spans="2:15" ht="13.8">
      <c r="B131" s="154" t="s">
        <v>524</v>
      </c>
      <c r="C131" s="140" t="s">
        <v>221</v>
      </c>
      <c r="D131" s="163">
        <f>(((D112*D113*D121*D122)/D114) + (D123*D124))/144</f>
        <v>1.1622691207345315</v>
      </c>
      <c r="E131" s="163"/>
      <c r="F131" s="140"/>
      <c r="G131" s="145"/>
      <c r="H131" s="140"/>
      <c r="I131" s="140"/>
      <c r="J131" s="140"/>
      <c r="K131" s="140"/>
      <c r="L131" s="140"/>
      <c r="M131" s="140"/>
      <c r="N131" s="25"/>
      <c r="O131" s="26"/>
    </row>
    <row r="132" spans="2:15" ht="13.8">
      <c r="B132" s="154" t="s">
        <v>525</v>
      </c>
      <c r="C132" s="140" t="s">
        <v>87</v>
      </c>
      <c r="D132" s="162">
        <v>1</v>
      </c>
      <c r="E132" s="163"/>
      <c r="F132" s="140"/>
      <c r="G132" s="145"/>
      <c r="H132" s="140"/>
      <c r="I132" s="140"/>
      <c r="J132" s="140"/>
      <c r="K132" s="140"/>
      <c r="L132" s="140"/>
      <c r="M132" s="140"/>
      <c r="N132" s="25"/>
      <c r="O132" s="26"/>
    </row>
    <row r="133" spans="2:15" ht="13.8">
      <c r="B133" s="154" t="s">
        <v>526</v>
      </c>
      <c r="C133" s="140" t="s">
        <v>188</v>
      </c>
      <c r="D133" s="163">
        <f>D123*(1+D132)/12</f>
        <v>1.3758824403707159</v>
      </c>
      <c r="E133" s="163"/>
      <c r="F133" s="140"/>
      <c r="G133" s="145"/>
      <c r="H133" s="140"/>
      <c r="I133" s="140"/>
      <c r="J133" s="140"/>
      <c r="K133" s="140"/>
      <c r="L133" s="140"/>
      <c r="M133" s="140"/>
      <c r="N133" s="25"/>
      <c r="O133" s="26"/>
    </row>
    <row r="134" spans="2:15" ht="13.8">
      <c r="B134" s="154" t="s">
        <v>527</v>
      </c>
      <c r="C134" s="140" t="s">
        <v>188</v>
      </c>
      <c r="D134" s="163">
        <f>D121*D114*(1+D132)/12</f>
        <v>2.29313740061786</v>
      </c>
      <c r="E134" s="163"/>
      <c r="F134" s="140"/>
      <c r="G134" s="145"/>
      <c r="H134" s="140"/>
      <c r="I134" s="140"/>
      <c r="J134" s="140"/>
      <c r="K134" s="140"/>
      <c r="L134" s="140"/>
      <c r="M134" s="140"/>
      <c r="N134" s="25"/>
      <c r="O134" s="26"/>
    </row>
    <row r="135" spans="2:15" ht="13.8">
      <c r="B135" s="154"/>
      <c r="C135" s="140"/>
      <c r="D135" s="140"/>
      <c r="E135" s="140"/>
      <c r="F135" s="140"/>
      <c r="G135" s="145"/>
      <c r="H135" s="140"/>
      <c r="I135" s="140"/>
      <c r="J135" s="140"/>
      <c r="K135" s="140"/>
      <c r="L135" s="140"/>
      <c r="M135" s="140"/>
      <c r="N135" s="25"/>
      <c r="O135" s="26"/>
    </row>
    <row r="136" spans="2:15" ht="13.8">
      <c r="B136" s="283" t="s">
        <v>528</v>
      </c>
      <c r="C136" s="147" t="s">
        <v>90</v>
      </c>
      <c r="D136" s="147" t="s">
        <v>91</v>
      </c>
      <c r="E136" s="147"/>
      <c r="F136" s="140"/>
      <c r="G136" s="145"/>
      <c r="H136" s="140"/>
      <c r="I136" s="140"/>
      <c r="J136" s="140"/>
      <c r="K136" s="140"/>
      <c r="L136" s="140"/>
      <c r="M136" s="140"/>
      <c r="N136" s="25"/>
      <c r="O136" s="26"/>
    </row>
    <row r="137" spans="2:15" ht="27.6">
      <c r="B137" s="945" t="s">
        <v>529</v>
      </c>
      <c r="C137" s="140" t="s">
        <v>87</v>
      </c>
      <c r="D137" s="159">
        <v>0</v>
      </c>
      <c r="E137" s="140"/>
      <c r="F137" s="140"/>
      <c r="G137" s="145"/>
      <c r="H137" s="140"/>
      <c r="I137" s="140"/>
      <c r="J137" s="140"/>
      <c r="K137" s="140"/>
      <c r="L137" s="140"/>
      <c r="M137" s="140"/>
      <c r="N137" s="25"/>
      <c r="O137" s="26"/>
    </row>
    <row r="138" spans="2:15" ht="13.8">
      <c r="B138" s="154" t="s">
        <v>530</v>
      </c>
      <c r="C138" s="150" t="s">
        <v>336</v>
      </c>
      <c r="D138" s="140">
        <v>0</v>
      </c>
      <c r="E138" s="150"/>
      <c r="F138" s="140"/>
      <c r="G138" s="145"/>
      <c r="H138" s="140"/>
      <c r="I138" s="140"/>
      <c r="J138" s="140"/>
      <c r="K138" s="140"/>
      <c r="L138" s="140"/>
      <c r="M138" s="140"/>
      <c r="N138" s="25"/>
      <c r="O138" s="26"/>
    </row>
    <row r="139" spans="2:15" ht="14.4" thickBot="1">
      <c r="B139" s="928"/>
      <c r="C139" s="297"/>
      <c r="D139" s="297"/>
      <c r="E139" s="297"/>
      <c r="F139" s="297"/>
      <c r="G139" s="944"/>
      <c r="H139" s="297"/>
      <c r="I139" s="297"/>
      <c r="J139" s="297"/>
      <c r="K139" s="297"/>
      <c r="L139" s="297"/>
      <c r="M139" s="297"/>
      <c r="N139" s="62"/>
      <c r="O139" s="63"/>
    </row>
  </sheetData>
  <mergeCells count="1">
    <mergeCell ref="J114:K114"/>
  </mergeCell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AA101"/>
  <sheetViews>
    <sheetView zoomScale="70" zoomScaleNormal="70" workbookViewId="0">
      <selection activeCell="N13" sqref="N13"/>
    </sheetView>
  </sheetViews>
  <sheetFormatPr defaultColWidth="8.77734375" defaultRowHeight="13.2"/>
  <cols>
    <col min="1" max="1" width="4.44140625" customWidth="1"/>
    <col min="2" max="2" width="36.44140625" customWidth="1"/>
    <col min="3" max="3" width="15.6640625" bestFit="1" customWidth="1"/>
    <col min="4" max="4" width="10" bestFit="1" customWidth="1"/>
    <col min="5" max="5" width="13.44140625" customWidth="1"/>
    <col min="6" max="6" width="13.109375" bestFit="1" customWidth="1"/>
    <col min="7" max="7" width="6.33203125" customWidth="1"/>
    <col min="9" max="9" width="10.33203125" bestFit="1" customWidth="1"/>
    <col min="10" max="10" width="11.109375" customWidth="1"/>
    <col min="13" max="13" width="9.33203125" customWidth="1"/>
    <col min="14" max="14" width="12.6640625" customWidth="1"/>
    <col min="15" max="15" width="10.33203125" bestFit="1" customWidth="1"/>
    <col min="16" max="16" width="10.44140625" bestFit="1" customWidth="1"/>
  </cols>
  <sheetData>
    <row r="2" spans="2:26" ht="22.8">
      <c r="B2" s="882" t="s">
        <v>537</v>
      </c>
      <c r="C2" s="25"/>
      <c r="D2" s="25"/>
      <c r="E2" s="25"/>
      <c r="F2" s="25"/>
      <c r="G2" s="25"/>
      <c r="H2" s="25"/>
      <c r="I2" s="25"/>
      <c r="J2" s="25"/>
      <c r="K2" s="25"/>
      <c r="L2" s="25"/>
      <c r="M2" s="25"/>
      <c r="N2" s="25"/>
      <c r="O2" s="25"/>
      <c r="P2" s="1351" t="s">
        <v>2761</v>
      </c>
      <c r="Q2" s="25"/>
      <c r="R2" s="25"/>
      <c r="S2" s="25"/>
      <c r="T2" s="25"/>
      <c r="U2" s="25"/>
      <c r="V2" s="25"/>
      <c r="W2" s="25"/>
      <c r="X2" s="25"/>
      <c r="Y2" s="25"/>
      <c r="Z2" s="25"/>
    </row>
    <row r="3" spans="2:26" ht="13.8" thickBot="1">
      <c r="B3" s="25"/>
      <c r="C3" s="25"/>
      <c r="D3" s="25"/>
      <c r="E3" s="25"/>
      <c r="F3" s="25"/>
      <c r="G3" s="25"/>
      <c r="H3" s="25"/>
      <c r="I3" s="25"/>
      <c r="J3" s="25"/>
      <c r="K3" s="25"/>
      <c r="L3" s="25"/>
      <c r="M3" s="25"/>
      <c r="N3" s="25"/>
      <c r="O3" s="25"/>
      <c r="P3" s="25"/>
      <c r="Q3" s="25"/>
      <c r="R3" s="25"/>
      <c r="S3" s="25"/>
      <c r="T3" s="25"/>
      <c r="U3" s="25"/>
      <c r="V3" s="25"/>
      <c r="W3" s="25"/>
      <c r="X3" s="25"/>
      <c r="Y3" s="25"/>
      <c r="Z3" s="25"/>
    </row>
    <row r="4" spans="2:26" ht="15.6">
      <c r="B4" s="85" t="s">
        <v>167</v>
      </c>
      <c r="C4" s="31" t="s">
        <v>89</v>
      </c>
      <c r="D4" s="31" t="s">
        <v>90</v>
      </c>
      <c r="E4" s="31" t="s">
        <v>549</v>
      </c>
      <c r="F4" s="39" t="s">
        <v>550</v>
      </c>
      <c r="G4" s="25"/>
      <c r="H4" s="946" t="s">
        <v>546</v>
      </c>
      <c r="I4" s="106"/>
      <c r="J4" s="106"/>
      <c r="K4" s="106"/>
      <c r="L4" s="106"/>
      <c r="M4" s="947" t="s">
        <v>538</v>
      </c>
      <c r="N4" s="948" t="s">
        <v>324</v>
      </c>
      <c r="O4" s="25"/>
      <c r="P4" s="25"/>
      <c r="Q4" s="25"/>
      <c r="R4" s="25"/>
      <c r="S4" s="25"/>
      <c r="T4" s="25"/>
      <c r="U4" s="25"/>
      <c r="V4" s="25"/>
      <c r="W4" s="25"/>
      <c r="X4" s="25"/>
      <c r="Y4" s="25"/>
      <c r="Z4" s="25"/>
    </row>
    <row r="5" spans="2:26" ht="15.6">
      <c r="B5" s="27" t="s">
        <v>171</v>
      </c>
      <c r="C5" s="27" t="s">
        <v>87</v>
      </c>
      <c r="D5" s="73" t="s">
        <v>87</v>
      </c>
      <c r="E5" s="181" t="s">
        <v>2754</v>
      </c>
      <c r="F5" s="181" t="s">
        <v>2754</v>
      </c>
      <c r="G5" s="25"/>
      <c r="H5" s="109"/>
      <c r="I5" s="68"/>
      <c r="J5" s="68"/>
      <c r="K5" s="68"/>
      <c r="L5" s="68"/>
      <c r="M5" s="178" t="s">
        <v>539</v>
      </c>
      <c r="N5" s="949" t="s">
        <v>539</v>
      </c>
      <c r="O5" s="25"/>
      <c r="P5" s="25"/>
      <c r="Q5" s="25"/>
      <c r="R5" s="25"/>
      <c r="S5" s="25"/>
      <c r="T5" s="25"/>
      <c r="U5" s="25"/>
      <c r="V5" s="25"/>
      <c r="W5" s="25"/>
      <c r="X5" s="25"/>
      <c r="Y5" s="25"/>
      <c r="Z5" s="25"/>
    </row>
    <row r="6" spans="2:26">
      <c r="B6" s="27" t="s">
        <v>552</v>
      </c>
      <c r="C6" s="27" t="s">
        <v>551</v>
      </c>
      <c r="D6" s="27" t="s">
        <v>87</v>
      </c>
      <c r="E6" s="37">
        <v>1.2</v>
      </c>
      <c r="F6" s="37">
        <v>1.2</v>
      </c>
      <c r="G6" s="25"/>
      <c r="H6" s="109"/>
      <c r="I6" s="68"/>
      <c r="J6" s="68"/>
      <c r="K6" s="68"/>
      <c r="L6" s="68"/>
      <c r="M6" s="68"/>
      <c r="N6" s="950"/>
      <c r="O6" s="25"/>
      <c r="P6" s="25"/>
      <c r="Q6" s="25"/>
      <c r="R6" s="25"/>
      <c r="S6" s="25"/>
      <c r="T6" s="25"/>
      <c r="U6" s="25"/>
      <c r="V6" s="25"/>
      <c r="W6" s="25"/>
      <c r="X6" s="25"/>
      <c r="Y6" s="25"/>
      <c r="Z6" s="25"/>
    </row>
    <row r="7" spans="2:26">
      <c r="B7" s="27" t="s">
        <v>168</v>
      </c>
      <c r="C7" s="27" t="s">
        <v>169</v>
      </c>
      <c r="D7" s="27" t="s">
        <v>105</v>
      </c>
      <c r="E7" s="37">
        <v>0.11600000000000001</v>
      </c>
      <c r="F7" s="37">
        <v>0.11600000000000001</v>
      </c>
      <c r="G7" s="25"/>
      <c r="H7" s="14" t="s">
        <v>545</v>
      </c>
      <c r="I7" s="12"/>
      <c r="J7" s="12"/>
      <c r="K7" s="15" t="s">
        <v>89</v>
      </c>
      <c r="L7" s="15" t="s">
        <v>90</v>
      </c>
      <c r="M7" s="15" t="s">
        <v>91</v>
      </c>
      <c r="N7" s="951" t="s">
        <v>91</v>
      </c>
      <c r="O7" s="25"/>
      <c r="P7" s="25"/>
      <c r="Q7" s="25"/>
      <c r="R7" s="25"/>
      <c r="S7" s="25"/>
      <c r="T7" s="25"/>
      <c r="U7" s="25"/>
      <c r="V7" s="25"/>
      <c r="W7" s="25"/>
      <c r="X7" s="25"/>
      <c r="Y7" s="25"/>
      <c r="Z7" s="25"/>
    </row>
    <row r="8" spans="2:26">
      <c r="B8" s="27" t="s">
        <v>172</v>
      </c>
      <c r="C8" s="27" t="s">
        <v>163</v>
      </c>
      <c r="D8" s="27" t="s">
        <v>164</v>
      </c>
      <c r="E8" s="37">
        <v>0.27</v>
      </c>
      <c r="F8" s="37">
        <v>0.27</v>
      </c>
      <c r="G8" s="25"/>
      <c r="H8" s="112" t="s">
        <v>333</v>
      </c>
      <c r="I8" s="104"/>
      <c r="J8" s="68"/>
      <c r="K8" s="104" t="s">
        <v>87</v>
      </c>
      <c r="L8" s="104" t="s">
        <v>87</v>
      </c>
      <c r="M8" s="7">
        <v>1</v>
      </c>
      <c r="N8" s="952">
        <v>1</v>
      </c>
      <c r="O8" s="25"/>
      <c r="P8" s="25"/>
      <c r="Q8" s="25"/>
      <c r="R8" s="25"/>
      <c r="S8" s="25"/>
      <c r="T8" s="25"/>
      <c r="U8" s="25"/>
      <c r="V8" s="25"/>
      <c r="W8" s="25"/>
      <c r="X8" s="25"/>
      <c r="Y8" s="25"/>
      <c r="Z8" s="25"/>
    </row>
    <row r="9" spans="2:26" ht="15.6">
      <c r="B9" s="6" t="s">
        <v>173</v>
      </c>
      <c r="C9" s="6" t="s">
        <v>174</v>
      </c>
      <c r="D9" s="6" t="s">
        <v>165</v>
      </c>
      <c r="E9" s="38">
        <v>0</v>
      </c>
      <c r="F9" s="38">
        <v>0</v>
      </c>
      <c r="G9" s="25"/>
      <c r="H9" s="11" t="s">
        <v>184</v>
      </c>
      <c r="I9" s="12"/>
      <c r="J9" s="12"/>
      <c r="K9" s="176" t="s">
        <v>182</v>
      </c>
      <c r="L9" s="12" t="s">
        <v>87</v>
      </c>
      <c r="M9" s="177">
        <v>0.6</v>
      </c>
      <c r="N9" s="953">
        <v>0.6</v>
      </c>
      <c r="O9" s="25"/>
      <c r="P9" s="25"/>
      <c r="Q9" s="25"/>
      <c r="R9" s="25"/>
      <c r="S9" s="25"/>
      <c r="T9" s="25"/>
      <c r="U9" s="25"/>
      <c r="V9" s="25"/>
      <c r="W9" s="25"/>
      <c r="X9" s="25"/>
      <c r="Y9" s="25"/>
      <c r="Z9" s="25"/>
    </row>
    <row r="10" spans="2:26" ht="14.4">
      <c r="B10" s="6" t="s">
        <v>175</v>
      </c>
      <c r="C10" s="6" t="s">
        <v>86</v>
      </c>
      <c r="D10" s="6" t="s">
        <v>87</v>
      </c>
      <c r="E10" s="8">
        <v>5.0000000000000001E-3</v>
      </c>
      <c r="F10" s="8">
        <v>5.0000000000000001E-3</v>
      </c>
      <c r="G10" s="25"/>
      <c r="H10" s="11" t="s">
        <v>185</v>
      </c>
      <c r="I10" s="12"/>
      <c r="J10" s="12"/>
      <c r="K10" s="176" t="s">
        <v>187</v>
      </c>
      <c r="L10" s="12" t="s">
        <v>165</v>
      </c>
      <c r="M10" s="177">
        <v>2</v>
      </c>
      <c r="N10" s="953">
        <v>15</v>
      </c>
      <c r="O10" s="25"/>
      <c r="P10" s="25"/>
      <c r="Q10" s="25"/>
      <c r="R10" s="25"/>
      <c r="S10" s="25"/>
      <c r="T10" s="25"/>
      <c r="U10" s="25"/>
      <c r="V10" s="25"/>
      <c r="W10" s="25"/>
      <c r="X10" s="25"/>
      <c r="Y10" s="25"/>
      <c r="Z10" s="25"/>
    </row>
    <row r="11" spans="2:26">
      <c r="B11" s="6" t="s">
        <v>176</v>
      </c>
      <c r="C11" s="6" t="s">
        <v>166</v>
      </c>
      <c r="D11" s="6" t="s">
        <v>164</v>
      </c>
      <c r="E11" s="37">
        <v>2.3999999999999998E-3</v>
      </c>
      <c r="F11" s="37">
        <v>2.3999999999999998E-3</v>
      </c>
      <c r="G11" s="25"/>
      <c r="H11" s="11" t="s">
        <v>186</v>
      </c>
      <c r="I11" s="12"/>
      <c r="J11" s="12"/>
      <c r="K11" s="12" t="s">
        <v>181</v>
      </c>
      <c r="L11" s="12" t="s">
        <v>87</v>
      </c>
      <c r="M11" s="177">
        <v>0.18</v>
      </c>
      <c r="N11" s="953">
        <v>0.18</v>
      </c>
      <c r="O11" s="87"/>
      <c r="P11" s="25"/>
      <c r="Q11" s="25"/>
      <c r="R11" s="25"/>
      <c r="S11" s="25"/>
      <c r="T11" s="25"/>
      <c r="U11" s="25"/>
      <c r="V11" s="25"/>
      <c r="W11" s="25"/>
      <c r="X11" s="25"/>
      <c r="Y11" s="25"/>
      <c r="Z11" s="25"/>
    </row>
    <row r="12" spans="2:26" ht="15.6">
      <c r="B12" s="6" t="s">
        <v>177</v>
      </c>
      <c r="C12" s="6" t="s">
        <v>178</v>
      </c>
      <c r="D12" s="6" t="s">
        <v>87</v>
      </c>
      <c r="E12" s="74">
        <v>0.8</v>
      </c>
      <c r="F12" s="74">
        <v>0.8</v>
      </c>
      <c r="G12" s="25"/>
      <c r="H12" s="11" t="s">
        <v>0</v>
      </c>
      <c r="I12" s="12"/>
      <c r="J12" s="12"/>
      <c r="K12" s="12" t="s">
        <v>541</v>
      </c>
      <c r="L12" s="12" t="s">
        <v>87</v>
      </c>
      <c r="M12" s="38">
        <v>3.5</v>
      </c>
      <c r="N12" s="954">
        <v>1.3</v>
      </c>
      <c r="O12" s="25"/>
      <c r="P12" s="25"/>
      <c r="Q12" s="25"/>
      <c r="R12" s="25"/>
      <c r="S12" s="25"/>
      <c r="T12" s="25"/>
      <c r="U12" s="25"/>
      <c r="V12" s="25"/>
      <c r="W12" s="25"/>
      <c r="X12" s="25"/>
      <c r="Y12" s="25"/>
      <c r="Z12" s="25"/>
    </row>
    <row r="13" spans="2:26" ht="15.6">
      <c r="B13" s="6" t="s">
        <v>179</v>
      </c>
      <c r="C13" s="75" t="s">
        <v>180</v>
      </c>
      <c r="D13" s="25"/>
      <c r="E13" s="37">
        <v>0.35</v>
      </c>
      <c r="F13" s="37">
        <v>0.35</v>
      </c>
      <c r="G13" s="25"/>
      <c r="H13" s="11" t="s">
        <v>542</v>
      </c>
      <c r="I13" s="12"/>
      <c r="J13" s="12"/>
      <c r="K13" s="12" t="s">
        <v>547</v>
      </c>
      <c r="L13" s="12" t="s">
        <v>87</v>
      </c>
      <c r="M13" s="177">
        <v>0.7</v>
      </c>
      <c r="N13" s="1358">
        <v>0.08</v>
      </c>
      <c r="O13" s="25"/>
      <c r="P13" s="25"/>
      <c r="Q13" s="25"/>
      <c r="R13" s="25"/>
      <c r="S13" s="25"/>
      <c r="T13" s="25"/>
      <c r="U13" s="25"/>
      <c r="V13" s="25"/>
      <c r="W13" s="25"/>
      <c r="X13" s="25"/>
      <c r="Y13" s="25"/>
      <c r="Z13" s="25"/>
    </row>
    <row r="14" spans="2:26" ht="15.6">
      <c r="B14" s="25"/>
      <c r="C14" s="25"/>
      <c r="D14" s="25"/>
      <c r="E14" s="25"/>
      <c r="F14" s="25"/>
      <c r="G14" s="25"/>
      <c r="H14" s="11" t="s">
        <v>548</v>
      </c>
      <c r="I14" s="12"/>
      <c r="J14" s="12"/>
      <c r="K14" s="12" t="s">
        <v>585</v>
      </c>
      <c r="L14" s="12" t="s">
        <v>87</v>
      </c>
      <c r="M14" s="177">
        <v>0.6</v>
      </c>
      <c r="N14" s="953">
        <v>0.6</v>
      </c>
      <c r="O14" s="25"/>
      <c r="P14" s="25"/>
      <c r="Q14" s="25"/>
      <c r="R14" s="25"/>
      <c r="S14" s="25"/>
      <c r="T14" s="25"/>
      <c r="U14" s="25"/>
      <c r="V14" s="25"/>
      <c r="W14" s="25"/>
      <c r="X14" s="25"/>
      <c r="Y14" s="25"/>
      <c r="Z14" s="25"/>
    </row>
    <row r="15" spans="2:26">
      <c r="B15" s="25"/>
      <c r="C15" s="27" t="s">
        <v>549</v>
      </c>
      <c r="D15" s="27" t="s">
        <v>549</v>
      </c>
      <c r="E15" s="6" t="s">
        <v>550</v>
      </c>
      <c r="F15" s="6" t="s">
        <v>550</v>
      </c>
      <c r="G15" s="25"/>
      <c r="H15" s="112" t="s">
        <v>555</v>
      </c>
      <c r="I15" s="104"/>
      <c r="J15" s="104"/>
      <c r="K15" s="104" t="s">
        <v>87</v>
      </c>
      <c r="L15" s="104" t="s">
        <v>87</v>
      </c>
      <c r="M15" s="184">
        <v>1.05</v>
      </c>
      <c r="N15" s="955">
        <v>1.05</v>
      </c>
      <c r="O15" s="25"/>
      <c r="P15" s="25"/>
      <c r="Q15" s="25"/>
      <c r="R15" s="25"/>
      <c r="S15" s="25"/>
      <c r="T15" s="25"/>
      <c r="U15" s="25"/>
      <c r="V15" s="25"/>
      <c r="W15" s="25"/>
      <c r="X15" s="25"/>
      <c r="Y15" s="25"/>
      <c r="Z15" s="25"/>
    </row>
    <row r="16" spans="2:26" ht="20.399999999999999" thickBot="1">
      <c r="B16" s="66" t="s">
        <v>224</v>
      </c>
      <c r="C16" s="182" t="s">
        <v>190</v>
      </c>
      <c r="D16" s="183" t="s">
        <v>554</v>
      </c>
      <c r="E16" s="182" t="s">
        <v>190</v>
      </c>
      <c r="F16" s="183" t="s">
        <v>554</v>
      </c>
      <c r="G16" s="25"/>
      <c r="H16" s="115" t="s">
        <v>568</v>
      </c>
      <c r="I16" s="69"/>
      <c r="J16" s="69"/>
      <c r="K16" s="956" t="s">
        <v>1001</v>
      </c>
      <c r="L16" s="116" t="s">
        <v>188</v>
      </c>
      <c r="M16" s="957">
        <v>0</v>
      </c>
      <c r="N16" s="958">
        <v>0</v>
      </c>
      <c r="O16" s="25"/>
      <c r="P16" s="25"/>
      <c r="Q16" s="25"/>
      <c r="R16" s="25"/>
      <c r="S16" s="25"/>
      <c r="T16" s="25"/>
      <c r="U16" s="25"/>
      <c r="V16" s="25"/>
      <c r="W16" s="25"/>
      <c r="X16" s="25"/>
      <c r="Y16" s="25"/>
      <c r="Z16" s="25"/>
    </row>
    <row r="17" spans="2:26" ht="13.8" thickBot="1">
      <c r="B17" s="6" t="s">
        <v>209</v>
      </c>
      <c r="C17" s="88">
        <v>0</v>
      </c>
      <c r="D17" s="65">
        <f>180*ATAN(TAN(M$10*PI()/180)-C17*(2*M$26*(1-M$9)/M$25))/PI()</f>
        <v>2</v>
      </c>
      <c r="E17" s="88">
        <v>0</v>
      </c>
      <c r="F17" s="65">
        <f>180*ATAN(TAN(N$10*PI()/180)-C17*(2*N$26*(1-N$9)/(2*N$25)))/PI()</f>
        <v>14.999999999999998</v>
      </c>
      <c r="G17" s="25"/>
      <c r="H17" s="25"/>
      <c r="I17" s="25"/>
      <c r="J17" s="25"/>
      <c r="K17" s="25"/>
      <c r="L17" s="25"/>
      <c r="M17" s="25"/>
      <c r="N17" s="25"/>
      <c r="O17" s="25"/>
      <c r="P17" s="25"/>
      <c r="Q17" s="25"/>
      <c r="R17" s="25"/>
      <c r="S17" s="25"/>
      <c r="T17" s="25"/>
      <c r="U17" s="25"/>
      <c r="V17" s="25"/>
      <c r="W17" s="25"/>
      <c r="X17" s="25"/>
      <c r="Y17" s="25"/>
      <c r="Z17" s="25"/>
    </row>
    <row r="18" spans="2:26">
      <c r="B18" s="75" t="s">
        <v>210</v>
      </c>
      <c r="C18" s="88">
        <v>0.25</v>
      </c>
      <c r="D18" s="65">
        <f>180*ATAN(TAN(M$10*PI()/180)-C18*(2*M$26*(1-M$9)/M$25))/PI()</f>
        <v>-2.090814407386036</v>
      </c>
      <c r="E18" s="88">
        <v>0.25</v>
      </c>
      <c r="F18" s="65">
        <f>180*ATAN(TAN(N$10*PI()/180)-C18*(2*N$26*(1-N$9)/(2*N$25)))/PI()</f>
        <v>9.7479920120811503</v>
      </c>
      <c r="G18" s="25"/>
      <c r="H18" s="959" t="s">
        <v>544</v>
      </c>
      <c r="I18" s="10"/>
      <c r="J18" s="10"/>
      <c r="K18" s="10"/>
      <c r="L18" s="10"/>
      <c r="M18" s="10"/>
      <c r="N18" s="960"/>
      <c r="O18" s="25"/>
      <c r="P18" s="25"/>
      <c r="Q18" s="25"/>
      <c r="R18" s="25"/>
      <c r="S18" s="25"/>
      <c r="T18" s="25"/>
      <c r="U18" s="25"/>
      <c r="V18" s="25"/>
      <c r="W18" s="25"/>
      <c r="X18" s="25"/>
      <c r="Y18" s="25"/>
      <c r="Z18" s="25"/>
    </row>
    <row r="19" spans="2:26">
      <c r="B19" s="6" t="s">
        <v>170</v>
      </c>
      <c r="C19" s="88">
        <f>E8</f>
        <v>0.27</v>
      </c>
      <c r="D19" s="65">
        <f>180*ATAN(TAN(M$10*PI()/180)-C19*(2*M$26*(1-M$9)/M$25))/PI()</f>
        <v>-2.4177114184959079</v>
      </c>
      <c r="E19" s="88">
        <f>F8</f>
        <v>0.27</v>
      </c>
      <c r="F19" s="65">
        <f>180*ATAN(TAN(N$10*PI()/180)-C19*(2*N$26*(1-N$9)/(2*N$25)))/PI()</f>
        <v>9.3193478642899166</v>
      </c>
      <c r="G19" s="25"/>
      <c r="H19" s="112" t="s">
        <v>558</v>
      </c>
      <c r="I19" s="68"/>
      <c r="J19" s="68"/>
      <c r="K19" s="104" t="s">
        <v>87</v>
      </c>
      <c r="L19" s="104" t="s">
        <v>87</v>
      </c>
      <c r="M19" s="187" t="str">
        <f>IF(M$8=1,"Conventional",IF(M$8=2,"T-Tail",IF(M$8=3,"Cruciform",IF(M$8=4,"H-Tail",IF(M$8=5,"V-Tail",IF(M$8=6,"Inverted V-Tail",IF(M$8=7,"Y-Tail",IF(M$8=8,"Twin Tail",IF(M$8=9,"Control Canard",IF(M$8=10,"Lifting Canard"))))))))))</f>
        <v>Conventional</v>
      </c>
      <c r="N19" s="292" t="str">
        <f>IF(N$8=1,"Conventional",IF(N$8=2,"T-Tail",IF(N$8=3,"Cruciform",IF(N$8=4,"H-Tail",IF(N$8=5,"V-Tail",IF(N$8=6,"Inverted V-Tail",IF(N$8=7,"Y-Tail",IF(N$8=8,"Twin Tail",IF(N$8=9,"Control Canard",IF(N$8=10,"Lifting Canard"))))))))))</f>
        <v>Conventional</v>
      </c>
      <c r="O19" s="25"/>
      <c r="P19" s="25"/>
      <c r="Q19" s="25"/>
      <c r="R19" s="25"/>
      <c r="S19" s="25"/>
      <c r="T19" s="25"/>
      <c r="U19" s="25"/>
      <c r="V19" s="25"/>
      <c r="W19" s="25"/>
      <c r="X19" s="25"/>
      <c r="Y19" s="25"/>
      <c r="Z19" s="25"/>
    </row>
    <row r="20" spans="2:26">
      <c r="B20" s="6" t="s">
        <v>181</v>
      </c>
      <c r="C20" s="88">
        <f>E13</f>
        <v>0.35</v>
      </c>
      <c r="D20" s="65">
        <f>180*ATAN(TAN(M$10*PI()/180)-C20*(2*M$26*(1-M$9)/M$25))/PI()</f>
        <v>-3.7235144246921736</v>
      </c>
      <c r="E20" s="88">
        <f>F13</f>
        <v>0.35</v>
      </c>
      <c r="F20" s="65">
        <f>180*ATAN(TAN(N$10*PI()/180)-C20*(2*N$26*(1-N$9)/(2*N$25)))/PI()</f>
        <v>7.5946700795672113</v>
      </c>
      <c r="G20" s="25"/>
      <c r="H20" s="112" t="s">
        <v>559</v>
      </c>
      <c r="I20" s="68"/>
      <c r="J20" s="68"/>
      <c r="K20" s="104" t="s">
        <v>87</v>
      </c>
      <c r="L20" s="104" t="s">
        <v>87</v>
      </c>
      <c r="M20" s="186">
        <f>IF(M$8=1,1,IF(M$8=2,1,IF(M$8=3,1,IF(M$8=4,1,IF(M$8=5,1,IF(M$8=6,1,IF(M$8=7,1,IF(M$8=8,1,IF(M$8=9,1,IF(M$8=10,1))))))))))</f>
        <v>1</v>
      </c>
      <c r="N20" s="961">
        <f>IF(N$8=1,1,IF(N$8=2,1,IF(N$8=3,1,IF(N$8=4,2,IF(N$8=5,1,IF(N$8=6,1,IF(N$8=7,1,IF(N$8=8,2,IF(N$8=9,1,IF(N$8=10,1))))))))))</f>
        <v>1</v>
      </c>
      <c r="O20" s="25"/>
      <c r="P20" s="25"/>
      <c r="Q20" s="25"/>
      <c r="R20" s="25"/>
      <c r="S20" s="25"/>
      <c r="T20" s="25"/>
      <c r="U20" s="25"/>
      <c r="V20" s="25"/>
      <c r="W20" s="25"/>
      <c r="X20" s="25"/>
      <c r="Y20" s="25"/>
      <c r="Z20" s="25"/>
    </row>
    <row r="21" spans="2:26" ht="15.6">
      <c r="B21" s="6" t="s">
        <v>211</v>
      </c>
      <c r="C21" s="88">
        <v>1</v>
      </c>
      <c r="D21" s="65">
        <f>180*ATAN(TAN(M$10*PI()/180)-C21*(2*M$26*(1-M$9)/M$25))/PI()</f>
        <v>-14.079026183109644</v>
      </c>
      <c r="E21" s="88">
        <v>1</v>
      </c>
      <c r="F21" s="65">
        <f>180*ATAN(TAN(N$10*PI()/180)-C21*(2*N$26*(1-N$9)/(2*N$25)))/PI()</f>
        <v>-6.6543982252264851</v>
      </c>
      <c r="G21" s="25"/>
      <c r="H21" s="11" t="s">
        <v>202</v>
      </c>
      <c r="I21" s="12"/>
      <c r="J21" s="12"/>
      <c r="K21" s="12" t="s">
        <v>540</v>
      </c>
      <c r="L21" s="12" t="s">
        <v>87</v>
      </c>
      <c r="M21" s="185">
        <f>IF(M$8=1,1.05,IF(M$8=2,1.04,IF(M$8=3,1.045,IF(M$8=4,1.08,IF(M$8=5,1.03,IF(M$8=6,1.03,IF(M$8=7,1.03,IF(M$8=8,1.08,IF(M$8=9,1.02,IF(M$8=10,1.02))))))))))</f>
        <v>1.05</v>
      </c>
      <c r="N21" s="962">
        <f>IF(N$8=1,1.05,IF(N$8=2,1.04,IF(N$8=3,1.045,IF(N$8=4,1.08,IF(N$8=5,1.03,IF(N$8=6,1.03,IF(N$8=7,1.03,IF(N$8=8,1.08,IF(N$8=9,1.02,IF(N$8=10,1.02))))))))))</f>
        <v>1.05</v>
      </c>
      <c r="O21" s="25"/>
      <c r="P21" s="25"/>
      <c r="Q21" s="25"/>
      <c r="R21" s="25"/>
      <c r="S21" s="25"/>
      <c r="T21" s="25"/>
      <c r="U21" s="25"/>
      <c r="V21" s="25"/>
      <c r="W21" s="25"/>
      <c r="X21" s="25"/>
      <c r="Y21" s="25"/>
      <c r="Z21" s="25"/>
    </row>
    <row r="22" spans="2:26" ht="15.6">
      <c r="B22" s="6"/>
      <c r="C22" s="43"/>
      <c r="D22" s="88"/>
      <c r="E22" s="65"/>
      <c r="F22" s="25"/>
      <c r="G22" s="25"/>
      <c r="H22" s="11" t="s">
        <v>543</v>
      </c>
      <c r="I22" s="12"/>
      <c r="J22" s="12"/>
      <c r="K22" s="12"/>
      <c r="L22" s="12" t="s">
        <v>87</v>
      </c>
      <c r="M22" s="185">
        <f>IF(M$8=1,1,IF(M$8=2,0.95,IF(M$8=3,0.975,IF(M$8=4,0.95,IF(M$8=5,1,IF(M$8=6,1,IF(M$8=7,1,IF(M$8=8,0.5,IF(M$8=9,1,IF(M$8=10,1))))))))))</f>
        <v>1</v>
      </c>
      <c r="N22" s="962">
        <f>IF(N$8=1,1,IF(N$8=2,0.95,IF(N$8=3,0.975,IF(N$8=4,0.5,IF(N$8=5,1,IF(N$8=6,1,IF(N$8=7,1,IF(N$8=8,0.5,IF(N$8=9,1,IF(N$8=10,1))))))))))</f>
        <v>1</v>
      </c>
      <c r="O22" s="25"/>
      <c r="P22" s="25"/>
      <c r="Q22" s="25"/>
      <c r="R22" s="25"/>
      <c r="S22" s="25"/>
      <c r="T22" s="25"/>
      <c r="U22" s="25"/>
      <c r="V22" s="25"/>
      <c r="W22" s="25"/>
      <c r="X22" s="25"/>
      <c r="Y22" s="25"/>
      <c r="Z22" s="25"/>
    </row>
    <row r="23" spans="2:26">
      <c r="B23" s="6"/>
      <c r="C23" s="43"/>
      <c r="D23" s="88"/>
      <c r="E23" s="65"/>
      <c r="F23" s="25"/>
      <c r="G23" s="6"/>
      <c r="H23" s="11" t="s">
        <v>207</v>
      </c>
      <c r="I23" s="12"/>
      <c r="J23" s="12"/>
      <c r="K23" s="12" t="s">
        <v>152</v>
      </c>
      <c r="L23" s="12" t="s">
        <v>221</v>
      </c>
      <c r="M23" s="16">
        <f>M13*M22*'4'!$L$20*'4'!$L$15/(ABS(M14)*'5'!$T$15)</f>
        <v>27.490991086801998</v>
      </c>
      <c r="N23" s="70">
        <f>N13*N22*'4'!$L$17*'4'!$L$15/(N14*'5'!$T$15)</f>
        <v>18.536782561386495</v>
      </c>
      <c r="O23" s="25"/>
      <c r="P23" s="25"/>
      <c r="Q23" s="25"/>
      <c r="R23" s="25"/>
      <c r="S23" s="25"/>
      <c r="T23" s="25"/>
      <c r="U23" s="25"/>
      <c r="V23" s="25"/>
      <c r="W23" s="25"/>
      <c r="X23" s="25"/>
      <c r="Y23" s="25"/>
      <c r="Z23" s="25"/>
    </row>
    <row r="24" spans="2:26">
      <c r="B24" s="6"/>
      <c r="C24" s="43"/>
      <c r="D24" s="88"/>
      <c r="E24" s="65"/>
      <c r="F24" s="25"/>
      <c r="G24" s="6"/>
      <c r="H24" s="11" t="s">
        <v>243</v>
      </c>
      <c r="I24" s="12"/>
      <c r="J24" s="12"/>
      <c r="K24" s="12" t="s">
        <v>244</v>
      </c>
      <c r="L24" s="12" t="s">
        <v>221</v>
      </c>
      <c r="M24" s="179">
        <f>IF(M11&lt;=0.05,2.003*M23, (1.977+0.52*M11)*M23)</f>
        <v>56.922846144332226</v>
      </c>
      <c r="N24" s="71">
        <f>IF(N11&lt;=0.05,2.003*N23, (1.977+0.52*N11)*N23)</f>
        <v>38.38226197160688</v>
      </c>
      <c r="O24" s="25"/>
      <c r="P24" s="25"/>
      <c r="Q24" s="25"/>
      <c r="R24" s="25"/>
      <c r="S24" s="25"/>
      <c r="T24" s="25"/>
      <c r="U24" s="25"/>
      <c r="V24" s="25"/>
      <c r="W24" s="25"/>
      <c r="X24" s="25"/>
      <c r="Y24" s="25"/>
      <c r="Z24" s="25"/>
    </row>
    <row r="25" spans="2:26">
      <c r="B25" s="6"/>
      <c r="C25" s="43"/>
      <c r="D25" s="88"/>
      <c r="E25" s="65"/>
      <c r="F25" s="25"/>
      <c r="G25" s="6"/>
      <c r="H25" s="963" t="s">
        <v>204</v>
      </c>
      <c r="I25" s="12"/>
      <c r="J25" s="12"/>
      <c r="K25" s="12" t="s">
        <v>189</v>
      </c>
      <c r="L25" s="12" t="s">
        <v>222</v>
      </c>
      <c r="M25" s="180">
        <f>SQRT(M12*M23)</f>
        <v>9.8091013249842103</v>
      </c>
      <c r="N25" s="114">
        <f>SQRT(N12*N23)</f>
        <v>4.908952773229994</v>
      </c>
      <c r="O25" s="25"/>
      <c r="P25" s="25"/>
      <c r="Q25" s="25"/>
      <c r="R25" s="25"/>
      <c r="S25" s="25"/>
      <c r="T25" s="25"/>
      <c r="U25" s="25"/>
      <c r="V25" s="25"/>
      <c r="W25" s="25"/>
      <c r="X25" s="25"/>
      <c r="Y25" s="25"/>
      <c r="Z25" s="25"/>
    </row>
    <row r="26" spans="2:26">
      <c r="B26" s="6"/>
      <c r="C26" s="43"/>
      <c r="D26" s="88"/>
      <c r="E26" s="65"/>
      <c r="F26" s="25"/>
      <c r="G26" s="6"/>
      <c r="H26" s="11" t="s">
        <v>205</v>
      </c>
      <c r="I26" s="12"/>
      <c r="J26" s="12"/>
      <c r="K26" s="12" t="s">
        <v>219</v>
      </c>
      <c r="L26" s="12" t="s">
        <v>188</v>
      </c>
      <c r="M26" s="180">
        <f>2*M25/(M12*(1+M9))</f>
        <v>3.503250473208646</v>
      </c>
      <c r="N26" s="114">
        <f>2*N25/(N12*(1+N9))</f>
        <v>4.7201468973365328</v>
      </c>
      <c r="O26" s="25"/>
      <c r="P26" s="25"/>
      <c r="Q26" s="25"/>
      <c r="R26" s="25"/>
      <c r="S26" s="25"/>
      <c r="T26" s="25"/>
      <c r="U26" s="25"/>
      <c r="V26" s="25"/>
      <c r="W26" s="25"/>
      <c r="X26" s="25"/>
      <c r="Y26" s="25"/>
      <c r="Z26" s="25"/>
    </row>
    <row r="27" spans="2:26">
      <c r="B27" s="6"/>
      <c r="C27" s="43"/>
      <c r="D27" s="88"/>
      <c r="E27" s="65"/>
      <c r="F27" s="25"/>
      <c r="G27" s="6"/>
      <c r="H27" s="11" t="s">
        <v>206</v>
      </c>
      <c r="I27" s="12"/>
      <c r="J27" s="12"/>
      <c r="K27" s="12" t="s">
        <v>67</v>
      </c>
      <c r="L27" s="12" t="s">
        <v>188</v>
      </c>
      <c r="M27" s="180">
        <f>M26*M9</f>
        <v>2.1019502839251873</v>
      </c>
      <c r="N27" s="114">
        <f>N26*N9</f>
        <v>2.8320881384019194</v>
      </c>
      <c r="O27" s="25"/>
      <c r="P27" s="25"/>
      <c r="Q27" s="25"/>
      <c r="R27" s="25"/>
      <c r="S27" s="25"/>
      <c r="T27" s="25"/>
      <c r="U27" s="25"/>
      <c r="V27" s="25"/>
      <c r="W27" s="25"/>
      <c r="X27" s="25"/>
      <c r="Y27" s="25"/>
      <c r="Z27" s="25"/>
    </row>
    <row r="28" spans="2:26" ht="13.8" thickBot="1">
      <c r="B28" s="6"/>
      <c r="C28" s="43"/>
      <c r="D28" s="88"/>
      <c r="E28" s="65"/>
      <c r="F28" s="25"/>
      <c r="G28" s="6"/>
      <c r="H28" s="18" t="s">
        <v>223</v>
      </c>
      <c r="I28" s="19"/>
      <c r="J28" s="19"/>
      <c r="K28" s="19" t="s">
        <v>220</v>
      </c>
      <c r="L28" s="19" t="s">
        <v>188</v>
      </c>
      <c r="M28" s="964">
        <f>(2*M26/3)*(1+M9+M9^2)/(1+M9)</f>
        <v>2.8609878864537275</v>
      </c>
      <c r="N28" s="965">
        <f>(2*N26/3)*(1+N9+N9^2)/(1+N9)</f>
        <v>3.8547866328248346</v>
      </c>
      <c r="O28" s="25"/>
      <c r="P28" s="25"/>
      <c r="Q28" s="25"/>
      <c r="R28" s="25"/>
      <c r="S28" s="25"/>
      <c r="T28" s="25"/>
      <c r="U28" s="25"/>
      <c r="V28" s="25"/>
      <c r="W28" s="25"/>
      <c r="X28" s="25"/>
      <c r="Y28" s="25"/>
      <c r="Z28" s="25"/>
    </row>
    <row r="29" spans="2:26">
      <c r="B29" s="6"/>
      <c r="C29" s="43"/>
      <c r="D29" s="88"/>
      <c r="E29" s="65"/>
      <c r="F29" s="25"/>
      <c r="G29" s="6"/>
      <c r="H29" s="25"/>
      <c r="I29" s="25"/>
      <c r="J29" s="25"/>
      <c r="K29" s="25"/>
      <c r="L29" s="25"/>
      <c r="M29" s="25"/>
      <c r="N29" s="25"/>
      <c r="O29" s="25"/>
      <c r="P29" s="25"/>
      <c r="Q29" s="25"/>
      <c r="R29" s="25"/>
      <c r="S29" s="25"/>
      <c r="T29" s="25"/>
      <c r="U29" s="25"/>
      <c r="V29" s="25"/>
      <c r="W29" s="25"/>
      <c r="X29" s="25"/>
      <c r="Y29" s="25"/>
      <c r="Z29" s="25"/>
    </row>
    <row r="30" spans="2:26">
      <c r="B30" s="6"/>
      <c r="C30" s="43"/>
      <c r="D30" s="88"/>
      <c r="E30" s="65"/>
      <c r="F30" s="25"/>
      <c r="G30" s="6"/>
      <c r="H30" s="25"/>
      <c r="I30" s="25"/>
      <c r="J30" s="25"/>
      <c r="K30" s="25"/>
      <c r="L30" s="25"/>
      <c r="M30" s="25"/>
      <c r="N30" s="25"/>
      <c r="O30" s="25"/>
      <c r="P30" s="25"/>
      <c r="Q30" s="25"/>
      <c r="R30" s="25"/>
      <c r="S30" s="25"/>
      <c r="T30" s="25"/>
      <c r="U30" s="25"/>
      <c r="V30" s="25"/>
      <c r="W30" s="25"/>
      <c r="X30" s="25"/>
      <c r="Y30" s="25"/>
      <c r="Z30" s="25"/>
    </row>
    <row r="31" spans="2:26">
      <c r="B31" s="6"/>
      <c r="C31" s="43"/>
      <c r="D31" s="88"/>
      <c r="E31" s="65"/>
      <c r="F31" s="25"/>
      <c r="G31" s="6"/>
      <c r="H31" s="25"/>
      <c r="I31" s="25"/>
      <c r="J31" s="25"/>
      <c r="K31" s="25"/>
      <c r="L31" s="25"/>
      <c r="M31" s="25"/>
      <c r="N31" s="25"/>
      <c r="O31" s="25"/>
      <c r="P31" s="25"/>
      <c r="Q31" s="25"/>
      <c r="R31" s="25"/>
      <c r="S31" s="25"/>
      <c r="T31" s="25"/>
      <c r="U31" s="25"/>
      <c r="V31" s="25"/>
      <c r="W31" s="25"/>
      <c r="X31" s="25"/>
      <c r="Y31" s="25"/>
      <c r="Z31" s="25"/>
    </row>
    <row r="32" spans="2:26">
      <c r="B32" s="27"/>
      <c r="C32" s="25"/>
      <c r="D32" s="25"/>
      <c r="E32" s="25"/>
      <c r="F32" s="25"/>
      <c r="G32" s="25"/>
      <c r="H32" s="25"/>
      <c r="I32" s="25"/>
      <c r="J32" s="25"/>
      <c r="K32" s="25"/>
      <c r="L32" s="25"/>
      <c r="M32" s="25"/>
      <c r="N32" s="25"/>
      <c r="O32" s="25"/>
      <c r="P32" s="25"/>
      <c r="Q32" s="25"/>
      <c r="R32" s="25"/>
      <c r="S32" s="25"/>
      <c r="T32" s="25"/>
      <c r="U32" s="25"/>
      <c r="V32" s="25"/>
      <c r="W32" s="25"/>
      <c r="X32" s="25"/>
      <c r="Y32" s="25"/>
      <c r="Z32" s="25"/>
    </row>
    <row r="33" spans="2:27" ht="17.399999999999999">
      <c r="C33" s="25"/>
      <c r="D33" s="25"/>
      <c r="E33" s="25"/>
      <c r="F33" s="25"/>
      <c r="G33" s="25"/>
      <c r="H33" s="25"/>
      <c r="I33" s="25"/>
      <c r="J33" s="25"/>
      <c r="K33" s="188" t="s">
        <v>556</v>
      </c>
      <c r="L33" s="25"/>
      <c r="M33" s="25"/>
      <c r="N33" s="25"/>
      <c r="O33" s="25"/>
      <c r="P33" s="25"/>
      <c r="Q33" s="188" t="s">
        <v>557</v>
      </c>
      <c r="R33" s="25"/>
      <c r="S33" s="25"/>
      <c r="T33" s="25"/>
      <c r="U33" s="25"/>
      <c r="V33" s="27"/>
      <c r="W33" s="25"/>
      <c r="X33" s="25"/>
      <c r="Y33" s="25"/>
      <c r="Z33" s="25"/>
      <c r="AA33" s="25"/>
    </row>
    <row r="34" spans="2:27">
      <c r="C34" s="25"/>
      <c r="D34" s="25"/>
      <c r="E34" s="25"/>
      <c r="F34" s="27"/>
      <c r="G34" s="27"/>
      <c r="H34" s="25"/>
      <c r="I34" s="27"/>
      <c r="J34" s="25"/>
      <c r="K34" s="25"/>
      <c r="L34" s="27" t="s">
        <v>37</v>
      </c>
      <c r="M34" s="25"/>
      <c r="N34" s="25"/>
      <c r="O34" s="27"/>
      <c r="P34" s="25"/>
      <c r="Q34" s="25"/>
      <c r="R34" s="27" t="s">
        <v>37</v>
      </c>
      <c r="S34" s="25"/>
      <c r="T34" s="27"/>
      <c r="U34" s="25"/>
      <c r="V34" s="25"/>
      <c r="W34" s="25"/>
      <c r="X34" s="25"/>
      <c r="Y34" s="27"/>
      <c r="Z34" s="27"/>
      <c r="AA34" s="25"/>
    </row>
    <row r="35" spans="2:27">
      <c r="C35" s="27" t="s">
        <v>217</v>
      </c>
      <c r="D35" s="29" t="s">
        <v>216</v>
      </c>
      <c r="E35" s="25" t="s">
        <v>37</v>
      </c>
      <c r="F35" s="25" t="s">
        <v>37</v>
      </c>
      <c r="G35" s="82" t="s">
        <v>46</v>
      </c>
      <c r="H35" s="25"/>
      <c r="I35" s="25"/>
      <c r="J35" s="27" t="s">
        <v>37</v>
      </c>
      <c r="K35" s="25"/>
      <c r="L35" s="27" t="s">
        <v>549</v>
      </c>
      <c r="M35" s="27"/>
      <c r="N35" s="6"/>
      <c r="O35" s="25"/>
      <c r="P35" s="27" t="s">
        <v>37</v>
      </c>
      <c r="Q35" s="25"/>
      <c r="R35" s="27" t="s">
        <v>550</v>
      </c>
      <c r="S35" s="27"/>
      <c r="T35" s="27"/>
      <c r="U35" s="27"/>
      <c r="V35" s="6"/>
      <c r="W35" s="6"/>
      <c r="X35" s="6"/>
      <c r="Y35" s="27"/>
      <c r="Z35" s="27"/>
      <c r="AA35" s="27"/>
    </row>
    <row r="36" spans="2:27">
      <c r="C36" s="6" t="s">
        <v>215</v>
      </c>
      <c r="D36" s="6" t="s">
        <v>215</v>
      </c>
      <c r="E36" s="6" t="s">
        <v>225</v>
      </c>
      <c r="F36" s="6" t="s">
        <v>225</v>
      </c>
      <c r="G36" s="6" t="s">
        <v>225</v>
      </c>
      <c r="H36" s="25"/>
      <c r="I36" s="6" t="s">
        <v>37</v>
      </c>
      <c r="J36" s="6" t="s">
        <v>241</v>
      </c>
      <c r="K36" s="6" t="s">
        <v>37</v>
      </c>
      <c r="L36" s="6" t="s">
        <v>143</v>
      </c>
      <c r="M36" s="27"/>
      <c r="N36" s="6"/>
      <c r="O36" s="6" t="s">
        <v>37</v>
      </c>
      <c r="P36" s="6" t="s">
        <v>241</v>
      </c>
      <c r="Q36" s="6" t="s">
        <v>37</v>
      </c>
      <c r="R36" s="6" t="s">
        <v>143</v>
      </c>
      <c r="S36" s="27"/>
      <c r="T36" s="6"/>
      <c r="U36" s="6"/>
      <c r="V36" s="6"/>
      <c r="W36" s="6"/>
      <c r="X36" s="6"/>
      <c r="Y36" s="6"/>
      <c r="Z36" s="6"/>
      <c r="AA36" s="6"/>
    </row>
    <row r="37" spans="2:27">
      <c r="C37" s="6" t="s">
        <v>45</v>
      </c>
      <c r="D37" s="73" t="s">
        <v>213</v>
      </c>
      <c r="E37" s="27" t="s">
        <v>35</v>
      </c>
      <c r="F37" s="27" t="s">
        <v>235</v>
      </c>
      <c r="G37" s="6" t="s">
        <v>45</v>
      </c>
      <c r="H37" s="25"/>
      <c r="I37" s="6" t="s">
        <v>239</v>
      </c>
      <c r="J37" s="6" t="s">
        <v>242</v>
      </c>
      <c r="K37" s="6" t="s">
        <v>245</v>
      </c>
      <c r="L37" s="78" t="s">
        <v>59</v>
      </c>
      <c r="M37" s="31" t="s">
        <v>82</v>
      </c>
      <c r="N37" s="27"/>
      <c r="O37" s="6" t="s">
        <v>239</v>
      </c>
      <c r="P37" s="6" t="s">
        <v>242</v>
      </c>
      <c r="Q37" s="6" t="s">
        <v>245</v>
      </c>
      <c r="R37" s="78" t="s">
        <v>59</v>
      </c>
      <c r="S37" s="31" t="s">
        <v>82</v>
      </c>
      <c r="T37" s="78"/>
      <c r="U37" s="6"/>
      <c r="V37" s="6"/>
      <c r="W37" s="6"/>
      <c r="X37" s="6"/>
      <c r="Y37" s="78"/>
      <c r="Z37" s="78"/>
      <c r="AA37" s="6"/>
    </row>
    <row r="38" spans="2:27">
      <c r="C38" s="6" t="s">
        <v>212</v>
      </c>
      <c r="D38" s="73" t="s">
        <v>212</v>
      </c>
      <c r="E38" s="27" t="s">
        <v>36</v>
      </c>
      <c r="F38" s="27" t="s">
        <v>233</v>
      </c>
      <c r="G38" s="6" t="s">
        <v>32</v>
      </c>
      <c r="H38" s="25"/>
      <c r="I38" s="6" t="s">
        <v>36</v>
      </c>
      <c r="J38" s="6" t="s">
        <v>142</v>
      </c>
      <c r="K38" s="6" t="s">
        <v>145</v>
      </c>
      <c r="L38" s="6" t="s">
        <v>142</v>
      </c>
      <c r="M38" s="6" t="s">
        <v>143</v>
      </c>
      <c r="N38" s="6"/>
      <c r="O38" s="6" t="s">
        <v>36</v>
      </c>
      <c r="P38" s="6" t="s">
        <v>142</v>
      </c>
      <c r="Q38" s="6" t="s">
        <v>145</v>
      </c>
      <c r="R38" s="6" t="s">
        <v>142</v>
      </c>
      <c r="S38" s="6" t="s">
        <v>143</v>
      </c>
      <c r="T38" s="6"/>
      <c r="U38" s="6"/>
      <c r="V38" s="6"/>
      <c r="W38" s="6"/>
      <c r="X38" s="6"/>
      <c r="Y38" s="6"/>
      <c r="Z38" s="6"/>
      <c r="AA38" s="6"/>
    </row>
    <row r="39" spans="2:27">
      <c r="B39" t="str">
        <f>'2'!C43</f>
        <v>Mission Segment</v>
      </c>
      <c r="C39" s="79" t="s">
        <v>218</v>
      </c>
      <c r="D39" s="79" t="s">
        <v>214</v>
      </c>
      <c r="E39" s="31" t="s">
        <v>226</v>
      </c>
      <c r="F39" s="39" t="s">
        <v>234</v>
      </c>
      <c r="G39" s="39" t="s">
        <v>236</v>
      </c>
      <c r="H39" s="25"/>
      <c r="I39" s="39" t="s">
        <v>553</v>
      </c>
      <c r="J39" s="39" t="s">
        <v>192</v>
      </c>
      <c r="K39" s="39" t="s">
        <v>193</v>
      </c>
      <c r="L39" s="39" t="s">
        <v>583</v>
      </c>
      <c r="M39" s="39" t="s">
        <v>59</v>
      </c>
      <c r="N39" s="39"/>
      <c r="O39" s="39" t="s">
        <v>553</v>
      </c>
      <c r="P39" s="39" t="s">
        <v>192</v>
      </c>
      <c r="Q39" s="39" t="s">
        <v>193</v>
      </c>
      <c r="R39" s="39" t="s">
        <v>584</v>
      </c>
      <c r="S39" s="39" t="s">
        <v>59</v>
      </c>
      <c r="T39" s="39"/>
      <c r="U39" s="39"/>
      <c r="V39" s="83"/>
      <c r="W39" s="39"/>
      <c r="X39" s="39"/>
      <c r="Y39" s="39"/>
      <c r="Z39" s="39"/>
      <c r="AA39" s="39"/>
    </row>
    <row r="40" spans="2:27">
      <c r="B40" t="str">
        <f>'2'!C44</f>
        <v>Start-up &amp; Takeoff</v>
      </c>
      <c r="C40" s="189">
        <f>((-2.949115E-35*('2'!D44^6)) + (1.361403E-29*('2'!D44^5)) - (2.309923E-24*('2'!D44^4)) + (1.762239E-19*('2'!D44^3)) - (5.221998E-15*('2'!D44^2)) - (0.00000000001696421*'2'!D44) + 0.00001208327)/32.174</f>
        <v>3.7556007956735249E-7</v>
      </c>
      <c r="D40" s="91">
        <f>'4'!C35/'2'!H44</f>
        <v>1.5757767780136161E-4</v>
      </c>
      <c r="E40" s="77">
        <f>'2'!E44*COS('4'!L$9*PI()/180)</f>
        <v>8.1522808931001889E-2</v>
      </c>
      <c r="F40" s="50">
        <f>'2'!I44*COS(PI()*'4'!L$9/180)</f>
        <v>91.141732439999998</v>
      </c>
      <c r="G40" s="50">
        <f>0.5*'2'!H44*('4'!F35^2)</f>
        <v>9.8989536245268521</v>
      </c>
      <c r="H40" s="25"/>
      <c r="I40" s="91">
        <f t="shared" ref="I40:I71" si="0">F40*M$28/D40</f>
        <v>1654773.6716233902</v>
      </c>
      <c r="J40" s="91">
        <f t="shared" ref="J40:J71" si="1">IF(I40&lt;1000000,1.328/SQRT(I40), 0.455/( (LOG(I40)^2.58)*(1+0.144*E40^2)^0.65))</f>
        <v>4.0737036109292218E-3</v>
      </c>
      <c r="K40" s="36">
        <f>M$15*(1+(0.6/C$20)*M$11+100*M$11^4)*(1.34*('2'!E44^0.18)*(COS(D$20*PI()/180))^0.28)</f>
        <v>1.2658369207959348</v>
      </c>
      <c r="L40" s="193">
        <f>J40*M$24*K40*M$21/'4'!$L$15</f>
        <v>2.7155983649108039E-3</v>
      </c>
      <c r="M40" s="50">
        <f>M$20*L40*'2'!K44*'3'!E$44</f>
        <v>3.0509309740430393</v>
      </c>
      <c r="N40" s="67"/>
      <c r="O40" s="91">
        <f t="shared" ref="O40:O71" si="2">F40*N$28/D40</f>
        <v>2229579.3211592422</v>
      </c>
      <c r="P40" s="91">
        <f t="shared" ref="P40:P71" si="3">IF(O40&lt;1000000,1.328/SQRT(O40), 0.455/( (LOG(O40)^2.58)*(1+0.144*E40^2)^0.65))</f>
        <v>3.8627692966115069E-3</v>
      </c>
      <c r="Q40" s="36">
        <f>N$15*(1+(0.6/E$20)*N$11+100*N$11^4)*(1.34*('2'!E44^0.18)*(COS(F$20*PI()/180))^0.28)</f>
        <v>1.2634652570183766</v>
      </c>
      <c r="R40" s="193">
        <f>P40*N$24*Q40*N$21/'4'!$L$15</f>
        <v>1.7330232346943252E-3</v>
      </c>
      <c r="S40" s="50">
        <f>N$20*R40*'2'!K44*'3'!E$44</f>
        <v>1.9470236592364583</v>
      </c>
      <c r="T40" s="57"/>
      <c r="U40" s="57"/>
      <c r="V40" s="57"/>
      <c r="W40" s="57"/>
      <c r="X40" s="57"/>
      <c r="Y40" s="57"/>
      <c r="Z40" s="57"/>
      <c r="AA40" s="57"/>
    </row>
    <row r="41" spans="2:27">
      <c r="B41" t="str">
        <f>'2'!C45</f>
        <v>Climb+Accel1</v>
      </c>
      <c r="C41" s="189">
        <f>((-2.949115E-35*('2'!D45^6)) + (1.361403E-29*('2'!D45^5)) - (2.309923E-24*('2'!D45^4)) + (1.762239E-19*('2'!D45^3)) - (5.221998E-15*('2'!D45^2)) - (0.00000000001696421*'2'!D45) + 0.00001208327)/32.174</f>
        <v>3.6562959663003988E-7</v>
      </c>
      <c r="D41" s="91">
        <f>'4'!C36/'2'!H45</f>
        <v>1.9010108590259195E-4</v>
      </c>
      <c r="E41" s="77">
        <f>'2'!E45*COS('4'!L$9*PI()/180)</f>
        <v>0.16</v>
      </c>
      <c r="F41" s="50">
        <f>'2'!I45*COS(PI()*'4'!L$9/180)</f>
        <v>174.28771794559998</v>
      </c>
      <c r="G41" s="50">
        <f>0.5*'2'!H45*('4'!F36^2)</f>
        <v>29.211934415292436</v>
      </c>
      <c r="H41" s="25"/>
      <c r="I41" s="91">
        <f t="shared" si="0"/>
        <v>2622999.4817363997</v>
      </c>
      <c r="J41" s="91">
        <f t="shared" si="1"/>
        <v>3.7475036714549304E-3</v>
      </c>
      <c r="K41" s="36">
        <f>M$15*(1+(0.6/C$20)*M$11+100*M$11^4)*(1.34*('2'!E45^0.18)*(COS(D$20*PI()/180))^0.28)</f>
        <v>1.4291871777221092</v>
      </c>
      <c r="L41" s="193">
        <f>J41*M$24*K41*M$21/'4'!$L$15</f>
        <v>2.8205222500000699E-3</v>
      </c>
      <c r="M41" s="50">
        <f>M$20*L41*'2'!K45*'3'!E$44</f>
        <v>9.3512011893914249</v>
      </c>
      <c r="N41" s="67"/>
      <c r="O41" s="91">
        <f t="shared" si="2"/>
        <v>3534130.0772289992</v>
      </c>
      <c r="P41" s="91">
        <f t="shared" si="3"/>
        <v>3.5592947629201465E-3</v>
      </c>
      <c r="Q41" s="36">
        <f>N$15*(1+(0.6/E$20)*N$11+100*N$11^4)*(1.34*('2'!E45^0.18)*(COS(F$20*PI()/180))^0.28)</f>
        <v>1.4265094619713137</v>
      </c>
      <c r="R41" s="193">
        <f>P41*N$24*Q41*N$21/'4'!$L$15</f>
        <v>1.8029385413959413E-3</v>
      </c>
      <c r="S41" s="50">
        <f>N$20*R41*'2'!K45*'3'!E$44</f>
        <v>5.9774891095792455</v>
      </c>
      <c r="T41" s="57"/>
      <c r="U41" s="57"/>
      <c r="V41" s="34"/>
      <c r="W41" s="35"/>
      <c r="X41" s="57"/>
      <c r="Y41" s="57"/>
      <c r="Z41" s="57"/>
      <c r="AA41" s="57"/>
    </row>
    <row r="42" spans="2:27">
      <c r="B42" t="str">
        <f>'2'!C46</f>
        <v>Cruise 1a</v>
      </c>
      <c r="C42" s="189">
        <f>((-2.949115E-35*('2'!D46^6)) + (1.361403E-29*('2'!D46^5)) - (2.309923E-24*('2'!D46^4)) + (1.762239E-19*('2'!D46^3)) - (5.221998E-15*('2'!D46^2)) - (0.00000000001696421*'2'!D46) + 0.00001208327)/32.174</f>
        <v>3.6562959663003988E-7</v>
      </c>
      <c r="D42" s="91">
        <f>'4'!C37/'2'!H46</f>
        <v>1.9010108590259195E-4</v>
      </c>
      <c r="E42" s="77">
        <f>'2'!E46*COS('4'!L$9*PI()/180)</f>
        <v>0.16</v>
      </c>
      <c r="F42" s="50">
        <f>'2'!I46*COS(PI()*'4'!L$9/180)</f>
        <v>174.28771794559998</v>
      </c>
      <c r="G42" s="50">
        <f>0.5*'2'!H46*('4'!F37^2)</f>
        <v>29.211934415292436</v>
      </c>
      <c r="H42" s="25"/>
      <c r="I42" s="91">
        <f t="shared" si="0"/>
        <v>2622999.4817363997</v>
      </c>
      <c r="J42" s="91">
        <f t="shared" si="1"/>
        <v>3.7475036714549304E-3</v>
      </c>
      <c r="K42" s="36">
        <f>M$15*(1+(0.6/C$20)*M$11+100*M$11^4)*(1.34*('2'!E46^0.18)*(COS(D$20*PI()/180))^0.28)</f>
        <v>1.4291871777221092</v>
      </c>
      <c r="L42" s="193">
        <f>J42*M$24*K42*M$21/'4'!$L$15</f>
        <v>2.8205222500000699E-3</v>
      </c>
      <c r="M42" s="50">
        <f>M$20*L42*'2'!K46*'3'!E$44</f>
        <v>9.3512011893914249</v>
      </c>
      <c r="N42" s="67"/>
      <c r="O42" s="91">
        <f t="shared" si="2"/>
        <v>3534130.0772289992</v>
      </c>
      <c r="P42" s="91">
        <f t="shared" si="3"/>
        <v>3.5592947629201465E-3</v>
      </c>
      <c r="Q42" s="36">
        <f>N$15*(1+(0.6/E$20)*N$11+100*N$11^4)*(1.34*('2'!E46^0.18)*(COS(F$20*PI()/180))^0.28)</f>
        <v>1.4265094619713137</v>
      </c>
      <c r="R42" s="193">
        <f>P42*N$24*Q42*N$21/'4'!$L$15</f>
        <v>1.8029385413959413E-3</v>
      </c>
      <c r="S42" s="50">
        <f>N$20*R42*'2'!K46*'3'!E$44</f>
        <v>5.9774891095792455</v>
      </c>
      <c r="T42" s="34"/>
      <c r="U42" s="175"/>
      <c r="V42" s="34"/>
      <c r="W42" s="35"/>
      <c r="X42" s="34"/>
      <c r="Y42" s="34"/>
      <c r="Z42" s="34"/>
      <c r="AA42" s="175"/>
    </row>
    <row r="43" spans="2:27">
      <c r="B43" t="str">
        <f>'2'!C47</f>
        <v>Cruise 1b</v>
      </c>
      <c r="C43" s="189">
        <f>((-2.949115E-35*('2'!D47^6)) + (1.361403E-29*('2'!D47^5)) - (2.309923E-24*('2'!D47^4)) + (1.762239E-19*('2'!D47^3)) - (5.221998E-15*('2'!D47^2)) - (0.00000000001696421*'2'!D47) + 0.00001208327)/32.174</f>
        <v>3.6562959663003988E-7</v>
      </c>
      <c r="D43" s="91">
        <f>'4'!C38/'2'!H47</f>
        <v>1.9010108590259195E-4</v>
      </c>
      <c r="E43" s="77">
        <f>'2'!E47*COS('4'!L$9*PI()/180)</f>
        <v>0.16</v>
      </c>
      <c r="F43" s="50">
        <f>'2'!I47*COS(PI()*'4'!L$9/180)</f>
        <v>174.28771794559998</v>
      </c>
      <c r="G43" s="50">
        <f>0.5*'2'!H47*('4'!F38^2)</f>
        <v>29.211934415292436</v>
      </c>
      <c r="H43" s="25"/>
      <c r="I43" s="91">
        <f t="shared" si="0"/>
        <v>2622999.4817363997</v>
      </c>
      <c r="J43" s="91">
        <f t="shared" si="1"/>
        <v>3.7475036714549304E-3</v>
      </c>
      <c r="K43" s="36">
        <f>M$15*(1+(0.6/C$20)*M$11+100*M$11^4)*(1.34*('2'!E47^0.18)*(COS(D$20*PI()/180))^0.28)</f>
        <v>1.4291871777221092</v>
      </c>
      <c r="L43" s="193">
        <f>J43*M$24*K43*M$21/'4'!$L$15</f>
        <v>2.8205222500000699E-3</v>
      </c>
      <c r="M43" s="50">
        <f>M$20*L43*'2'!K47*'3'!E$44</f>
        <v>9.3512011893914249</v>
      </c>
      <c r="N43" s="25"/>
      <c r="O43" s="91">
        <f t="shared" si="2"/>
        <v>3534130.0772289992</v>
      </c>
      <c r="P43" s="91">
        <f t="shared" si="3"/>
        <v>3.5592947629201465E-3</v>
      </c>
      <c r="Q43" s="36">
        <f>N$15*(1+(0.6/E$20)*N$11+100*N$11^4)*(1.34*('2'!E47^0.18)*(COS(F$20*PI()/180))^0.28)</f>
        <v>1.4265094619713137</v>
      </c>
      <c r="R43" s="193">
        <f>P43*N$24*Q43*N$21/'4'!$L$15</f>
        <v>1.8029385413959413E-3</v>
      </c>
      <c r="S43" s="50">
        <f>N$20*R43*'2'!K47*'3'!E$44</f>
        <v>5.9774891095792455</v>
      </c>
      <c r="T43" s="25"/>
      <c r="U43" s="25"/>
      <c r="V43" s="25"/>
      <c r="W43" s="25"/>
      <c r="X43" s="25"/>
      <c r="Y43" s="25"/>
      <c r="Z43" s="25"/>
      <c r="AA43" s="25"/>
    </row>
    <row r="44" spans="2:27">
      <c r="B44" t="str">
        <f>'2'!C48</f>
        <v>Cruise 1c</v>
      </c>
      <c r="C44" s="189">
        <f>((-2.949115E-35*('2'!D48^6)) + (1.361403E-29*('2'!D48^5)) - (2.309923E-24*('2'!D48^4)) + (1.762239E-19*('2'!D48^3)) - (5.221998E-15*('2'!D48^2)) - (0.00000000001696421*'2'!D48) + 0.00001208327)/32.174</f>
        <v>3.6562959663003988E-7</v>
      </c>
      <c r="D44" s="91">
        <f>'4'!C39/'2'!H48</f>
        <v>1.9010108590259195E-4</v>
      </c>
      <c r="E44" s="77">
        <f>'2'!E48*COS('4'!L$9*PI()/180)</f>
        <v>0.16</v>
      </c>
      <c r="F44" s="50">
        <f>'2'!I48*COS(PI()*'4'!L$9/180)</f>
        <v>174.28771794559998</v>
      </c>
      <c r="G44" s="50">
        <f>0.5*'2'!H48*('4'!F39^2)</f>
        <v>29.211934415292436</v>
      </c>
      <c r="H44" s="25"/>
      <c r="I44" s="91">
        <f t="shared" si="0"/>
        <v>2622999.4817363997</v>
      </c>
      <c r="J44" s="91">
        <f t="shared" si="1"/>
        <v>3.7475036714549304E-3</v>
      </c>
      <c r="K44" s="36">
        <f>M$15*(1+(0.6/C$20)*M$11+100*M$11^4)*(1.34*('2'!E48^0.18)*(COS(D$20*PI()/180))^0.28)</f>
        <v>1.4291871777221092</v>
      </c>
      <c r="L44" s="193">
        <f>J44*M$24*K44*M$21/'4'!$L$15</f>
        <v>2.8205222500000699E-3</v>
      </c>
      <c r="M44" s="50">
        <f>M$20*L44*'2'!K48*'3'!E$44</f>
        <v>9.3512011893914249</v>
      </c>
      <c r="N44" s="25"/>
      <c r="O44" s="91">
        <f t="shared" si="2"/>
        <v>3534130.0772289992</v>
      </c>
      <c r="P44" s="91">
        <f t="shared" si="3"/>
        <v>3.5592947629201465E-3</v>
      </c>
      <c r="Q44" s="36">
        <f>N$15*(1+(0.6/E$20)*N$11+100*N$11^4)*(1.34*('2'!E48^0.18)*(COS(F$20*PI()/180))^0.28)</f>
        <v>1.4265094619713137</v>
      </c>
      <c r="R44" s="193">
        <f>P44*N$24*Q44*N$21/'4'!$L$15</f>
        <v>1.8029385413959413E-3</v>
      </c>
      <c r="S44" s="50">
        <f>N$20*R44*'2'!K48*'3'!E$44</f>
        <v>5.9774891095792455</v>
      </c>
      <c r="T44" s="25"/>
      <c r="U44" s="25"/>
      <c r="V44" s="25"/>
      <c r="W44" s="25"/>
      <c r="X44" s="25"/>
      <c r="Y44" s="25"/>
      <c r="Z44" s="25"/>
      <c r="AA44" s="25"/>
    </row>
    <row r="45" spans="2:27">
      <c r="B45" t="str">
        <f>'2'!C49</f>
        <v>Cruise 1d</v>
      </c>
      <c r="C45" s="189">
        <f>((-2.949115E-35*('2'!D49^6)) + (1.361403E-29*('2'!D49^5)) - (2.309923E-24*('2'!D49^4)) + (1.762239E-19*('2'!D49^3)) - (5.221998E-15*('2'!D49^2)) - (0.00000000001696421*'2'!D49) + 0.00001208327)/32.174</f>
        <v>3.6562959663003988E-7</v>
      </c>
      <c r="D45" s="91">
        <f>'4'!C40/'2'!H49</f>
        <v>1.9010108590259195E-4</v>
      </c>
      <c r="E45" s="77">
        <f>'2'!E49*COS('4'!L$9*PI()/180)</f>
        <v>0.16</v>
      </c>
      <c r="F45" s="50">
        <f>'2'!I49*COS(PI()*'4'!L$9/180)</f>
        <v>174.28771794559998</v>
      </c>
      <c r="G45" s="50">
        <f>0.5*'2'!H49*('4'!F40^2)</f>
        <v>29.211934415292436</v>
      </c>
      <c r="H45" s="25"/>
      <c r="I45" s="91">
        <f t="shared" si="0"/>
        <v>2622999.4817363997</v>
      </c>
      <c r="J45" s="91">
        <f t="shared" si="1"/>
        <v>3.7475036714549304E-3</v>
      </c>
      <c r="K45" s="36">
        <f>M$15*(1+(0.6/C$20)*M$11+100*M$11^4)*(1.34*('2'!E49^0.18)*(COS(D$20*PI()/180))^0.28)</f>
        <v>1.4291871777221092</v>
      </c>
      <c r="L45" s="193">
        <f>J45*M$24*K45*M$21/'4'!$L$15</f>
        <v>2.8205222500000699E-3</v>
      </c>
      <c r="M45" s="50">
        <f>M$20*L45*'2'!K49*'3'!E$44</f>
        <v>9.3512011893914249</v>
      </c>
      <c r="N45" s="25"/>
      <c r="O45" s="91">
        <f t="shared" si="2"/>
        <v>3534130.0772289992</v>
      </c>
      <c r="P45" s="91">
        <f t="shared" si="3"/>
        <v>3.5592947629201465E-3</v>
      </c>
      <c r="Q45" s="36">
        <f>N$15*(1+(0.6/E$20)*N$11+100*N$11^4)*(1.34*('2'!E49^0.18)*(COS(F$20*PI()/180))^0.28)</f>
        <v>1.4265094619713137</v>
      </c>
      <c r="R45" s="193">
        <f>P45*N$24*Q45*N$21/'4'!$L$15</f>
        <v>1.8029385413959413E-3</v>
      </c>
      <c r="S45" s="50">
        <f>N$20*R45*'2'!K49*'3'!E$44</f>
        <v>5.9774891095792455</v>
      </c>
      <c r="T45" s="25"/>
      <c r="U45" s="25"/>
      <c r="V45" s="25"/>
      <c r="W45" s="25"/>
      <c r="X45" s="25"/>
      <c r="Y45" s="25"/>
      <c r="Z45" s="25"/>
      <c r="AA45" s="25"/>
    </row>
    <row r="46" spans="2:27">
      <c r="B46" t="str">
        <f>'2'!C50</f>
        <v>Cruise 1e</v>
      </c>
      <c r="C46" s="189">
        <f>((-2.949115E-35*('2'!D50^6)) + (1.361403E-29*('2'!D50^5)) - (2.309923E-24*('2'!D50^4)) + (1.762239E-19*('2'!D50^3)) - (5.221998E-15*('2'!D50^2)) - (0.00000000001696421*'2'!D50) + 0.00001208327)/32.174</f>
        <v>3.6562959663003988E-7</v>
      </c>
      <c r="D46" s="91">
        <f>'4'!C41/'2'!H50</f>
        <v>1.9010108590259195E-4</v>
      </c>
      <c r="E46" s="77">
        <f>'2'!E50*COS('4'!L$9*PI()/180)</f>
        <v>0.16</v>
      </c>
      <c r="F46" s="50">
        <f>'2'!I50*COS(PI()*'4'!L$9/180)</f>
        <v>174.28771794559998</v>
      </c>
      <c r="G46" s="50">
        <f>0.5*'2'!H50*('4'!F41^2)</f>
        <v>29.211934415292436</v>
      </c>
      <c r="H46" s="25"/>
      <c r="I46" s="91">
        <f t="shared" si="0"/>
        <v>2622999.4817363997</v>
      </c>
      <c r="J46" s="91">
        <f t="shared" si="1"/>
        <v>3.7475036714549304E-3</v>
      </c>
      <c r="K46" s="36">
        <f>M$15*(1+(0.6/C$20)*M$11+100*M$11^4)*(1.34*('2'!E50^0.18)*(COS(D$20*PI()/180))^0.28)</f>
        <v>1.4291871777221092</v>
      </c>
      <c r="L46" s="193">
        <f>J46*M$24*K46*M$21/'4'!$L$15</f>
        <v>2.8205222500000699E-3</v>
      </c>
      <c r="M46" s="50">
        <f>M$20*L46*'2'!K50*'3'!E$44</f>
        <v>9.3512011893914249</v>
      </c>
      <c r="N46" s="25"/>
      <c r="O46" s="91">
        <f t="shared" si="2"/>
        <v>3534130.0772289992</v>
      </c>
      <c r="P46" s="91">
        <f t="shared" si="3"/>
        <v>3.5592947629201465E-3</v>
      </c>
      <c r="Q46" s="36">
        <f>N$15*(1+(0.6/E$20)*N$11+100*N$11^4)*(1.34*('2'!E50^0.18)*(COS(F$20*PI()/180))^0.28)</f>
        <v>1.4265094619713137</v>
      </c>
      <c r="R46" s="193">
        <f>P46*N$24*Q46*N$21/'4'!$L$15</f>
        <v>1.8029385413959413E-3</v>
      </c>
      <c r="S46" s="50">
        <f>N$20*R46*'2'!K50*'3'!E$44</f>
        <v>5.9774891095792455</v>
      </c>
      <c r="T46" s="25"/>
      <c r="U46" s="25"/>
      <c r="V46" s="25"/>
      <c r="W46" s="25"/>
      <c r="X46" s="25"/>
      <c r="Y46" s="25"/>
      <c r="Z46" s="25"/>
      <c r="AA46" s="25"/>
    </row>
    <row r="47" spans="2:27">
      <c r="B47" t="str">
        <f>'2'!C51</f>
        <v>Loiter 1a</v>
      </c>
      <c r="C47" s="189">
        <f>((-2.949115E-35*('2'!D51^6)) + (1.361403E-29*('2'!D51^5)) - (2.309923E-24*('2'!D51^4)) + (1.762239E-19*('2'!D51^3)) - (5.221998E-15*('2'!D51^2)) - (0.00000000001696421*'2'!D51) + 0.00001208327)/32.174</f>
        <v>3.7195070095491899E-7</v>
      </c>
      <c r="D47" s="91">
        <f>'4'!C42/'2'!H51</f>
        <v>1.737510759265973E-4</v>
      </c>
      <c r="E47" s="77">
        <f>'2'!E51*COS('4'!L$9*PI()/180)</f>
        <v>0.15</v>
      </c>
      <c r="F47" s="50">
        <f>'2'!I51*COS(PI()*'4'!L$9/180)</f>
        <v>165.54666128699998</v>
      </c>
      <c r="G47" s="50">
        <f>0.5*'2'!H51*('4'!F42^2)</f>
        <v>29.333827656839404</v>
      </c>
      <c r="H47" s="25"/>
      <c r="I47" s="91">
        <f t="shared" si="0"/>
        <v>2725893.8689107927</v>
      </c>
      <c r="J47" s="91">
        <f t="shared" si="1"/>
        <v>3.7235258547585058E-3</v>
      </c>
      <c r="K47" s="36">
        <f>M$15*(1+(0.6/C$20)*M$11+100*M$11^4)*(1.34*('2'!E51^0.18)*(COS(D$20*PI()/180))^0.28)</f>
        <v>1.4126804691896839</v>
      </c>
      <c r="L47" s="193">
        <f>J47*M$24*K47*M$21/'4'!$L$15</f>
        <v>2.7701077771138134E-3</v>
      </c>
      <c r="M47" s="50">
        <f>M$20*L47*'2'!K51*'3'!E$44</f>
        <v>9.2223788014877268</v>
      </c>
      <c r="N47" s="25"/>
      <c r="O47" s="91">
        <f t="shared" si="2"/>
        <v>3672766.0743090818</v>
      </c>
      <c r="P47" s="91">
        <f t="shared" si="3"/>
        <v>3.5369897025998441E-3</v>
      </c>
      <c r="Q47" s="36">
        <f>N$15*(1+(0.6/E$20)*N$11+100*N$11^4)*(1.34*('2'!E51^0.18)*(COS(F$20*PI()/180))^0.28)</f>
        <v>1.4100336803000579</v>
      </c>
      <c r="R47" s="193">
        <f>P47*N$24*Q47*N$21/'4'!$L$15</f>
        <v>1.7709471154052337E-3</v>
      </c>
      <c r="S47" s="50">
        <f>N$20*R47*'2'!K51*'3'!E$44</f>
        <v>5.8959240758082716</v>
      </c>
      <c r="T47" s="25"/>
      <c r="U47" s="25"/>
      <c r="V47" s="25"/>
      <c r="W47" s="25"/>
      <c r="X47" s="25"/>
      <c r="Y47" s="25"/>
      <c r="Z47" s="25"/>
      <c r="AA47" s="25"/>
    </row>
    <row r="48" spans="2:27">
      <c r="B48" t="str">
        <f>'2'!C52</f>
        <v>Loiter 1b</v>
      </c>
      <c r="C48" s="189">
        <f>((-2.949115E-35*('2'!D52^6)) + (1.361403E-29*('2'!D52^5)) - (2.309923E-24*('2'!D52^4)) + (1.762239E-19*('2'!D52^3)) - (5.221998E-15*('2'!D52^2)) - (0.00000000001696421*'2'!D52) + 0.00001208327)/32.174</f>
        <v>3.7195070095491899E-7</v>
      </c>
      <c r="D48" s="91">
        <f>'4'!C43/'2'!H52</f>
        <v>1.737510759265973E-4</v>
      </c>
      <c r="E48" s="77">
        <f>'2'!E52*COS('4'!L$9*PI()/180)</f>
        <v>0.15</v>
      </c>
      <c r="F48" s="50">
        <f>'2'!I52*COS(PI()*'4'!L$9/180)</f>
        <v>165.54666128699998</v>
      </c>
      <c r="G48" s="50">
        <f>0.5*'2'!H52*('4'!F43^2)</f>
        <v>29.333827656839404</v>
      </c>
      <c r="H48" s="25"/>
      <c r="I48" s="91">
        <f t="shared" si="0"/>
        <v>2725893.8689107927</v>
      </c>
      <c r="J48" s="91">
        <f t="shared" si="1"/>
        <v>3.7235258547585058E-3</v>
      </c>
      <c r="K48" s="36">
        <f>M$15*(1+(0.6/C$20)*M$11+100*M$11^4)*(1.34*('2'!E52^0.18)*(COS(D$20*PI()/180))^0.28)</f>
        <v>1.4126804691896839</v>
      </c>
      <c r="L48" s="193">
        <f>J48*M$24*K48*M$21/'4'!$L$15</f>
        <v>2.7701077771138134E-3</v>
      </c>
      <c r="M48" s="50">
        <f>M$20*L48*'2'!K52*'3'!E$44</f>
        <v>9.2223788014877268</v>
      </c>
      <c r="N48" s="25"/>
      <c r="O48" s="91">
        <f t="shared" si="2"/>
        <v>3672766.0743090818</v>
      </c>
      <c r="P48" s="91">
        <f t="shared" si="3"/>
        <v>3.5369897025998441E-3</v>
      </c>
      <c r="Q48" s="36">
        <f>N$15*(1+(0.6/E$20)*N$11+100*N$11^4)*(1.34*('2'!E52^0.18)*(COS(F$20*PI()/180))^0.28)</f>
        <v>1.4100336803000579</v>
      </c>
      <c r="R48" s="193">
        <f>P48*N$24*Q48*N$21/'4'!$L$15</f>
        <v>1.7709471154052337E-3</v>
      </c>
      <c r="S48" s="50">
        <f>N$20*R48*'2'!K52*'3'!E$44</f>
        <v>5.8959240758082716</v>
      </c>
      <c r="T48" s="25"/>
      <c r="U48" s="25"/>
      <c r="V48" s="25"/>
      <c r="W48" s="25"/>
      <c r="X48" s="25"/>
      <c r="Y48" s="25"/>
      <c r="Z48" s="25"/>
      <c r="AA48" s="25"/>
    </row>
    <row r="49" spans="2:27">
      <c r="B49" t="str">
        <f>'2'!C53</f>
        <v>Loiter 1c</v>
      </c>
      <c r="C49" s="189">
        <f>((-2.949115E-35*('2'!D53^6)) + (1.361403E-29*('2'!D53^5)) - (2.309923E-24*('2'!D53^4)) + (1.762239E-19*('2'!D53^3)) - (5.221998E-15*('2'!D53^2)) - (0.00000000001696421*'2'!D53) + 0.00001208327)/32.174</f>
        <v>3.7195070095491899E-7</v>
      </c>
      <c r="D49" s="91">
        <f>'4'!C44/'2'!H53</f>
        <v>1.737510759265973E-4</v>
      </c>
      <c r="E49" s="77">
        <f>'2'!E53*COS('4'!L$9*PI()/180)</f>
        <v>0.15</v>
      </c>
      <c r="F49" s="50">
        <f>'2'!I53*COS(PI()*'4'!L$9/180)</f>
        <v>165.54666128699998</v>
      </c>
      <c r="G49" s="50">
        <f>0.5*'2'!H53*('4'!F44^2)</f>
        <v>29.333827656839404</v>
      </c>
      <c r="H49" s="25"/>
      <c r="I49" s="91">
        <f t="shared" si="0"/>
        <v>2725893.8689107927</v>
      </c>
      <c r="J49" s="91">
        <f t="shared" si="1"/>
        <v>3.7235258547585058E-3</v>
      </c>
      <c r="K49" s="36">
        <f>M$15*(1+(0.6/C$20)*M$11+100*M$11^4)*(1.34*('2'!E53^0.18)*(COS(D$20*PI()/180))^0.28)</f>
        <v>1.4126804691896839</v>
      </c>
      <c r="L49" s="193">
        <f>J49*M$24*K49*M$21/'4'!$L$15</f>
        <v>2.7701077771138134E-3</v>
      </c>
      <c r="M49" s="50">
        <f>M$20*L49*'2'!K53*'3'!E$44</f>
        <v>9.2223788014877268</v>
      </c>
      <c r="N49" s="25"/>
      <c r="O49" s="91">
        <f t="shared" si="2"/>
        <v>3672766.0743090818</v>
      </c>
      <c r="P49" s="91">
        <f t="shared" si="3"/>
        <v>3.5369897025998441E-3</v>
      </c>
      <c r="Q49" s="36">
        <f>N$15*(1+(0.6/E$20)*N$11+100*N$11^4)*(1.34*('2'!E53^0.18)*(COS(F$20*PI()/180))^0.28)</f>
        <v>1.4100336803000579</v>
      </c>
      <c r="R49" s="193">
        <f>P49*N$24*Q49*N$21/'4'!$L$15</f>
        <v>1.7709471154052337E-3</v>
      </c>
      <c r="S49" s="50">
        <f>N$20*R49*'2'!K53*'3'!E$44</f>
        <v>5.8959240758082716</v>
      </c>
      <c r="T49" s="25"/>
      <c r="U49" s="25"/>
      <c r="V49" s="25"/>
      <c r="W49" s="25"/>
      <c r="X49" s="25"/>
      <c r="Y49" s="25"/>
      <c r="Z49" s="25"/>
      <c r="AA49" s="25"/>
    </row>
    <row r="50" spans="2:27">
      <c r="B50" t="str">
        <f>'2'!C54</f>
        <v>Loiter 1d</v>
      </c>
      <c r="C50" s="189">
        <f>((-2.949115E-35*('2'!D54^6)) + (1.361403E-29*('2'!D54^5)) - (2.309923E-24*('2'!D54^4)) + (1.762239E-19*('2'!D54^3)) - (5.221998E-15*('2'!D54^2)) - (0.00000000001696421*'2'!D54) + 0.00001208327)/32.174</f>
        <v>3.7195070095491899E-7</v>
      </c>
      <c r="D50" s="91">
        <f>'4'!C45/'2'!H54</f>
        <v>1.737510759265973E-4</v>
      </c>
      <c r="E50" s="77">
        <f>'2'!E54*COS('4'!L$9*PI()/180)</f>
        <v>0.15</v>
      </c>
      <c r="F50" s="50">
        <f>'2'!I54*COS(PI()*'4'!L$9/180)</f>
        <v>165.54666128699998</v>
      </c>
      <c r="G50" s="50">
        <f>0.5*'2'!H54*('4'!F45^2)</f>
        <v>29.333827656839404</v>
      </c>
      <c r="H50" s="25"/>
      <c r="I50" s="91">
        <f t="shared" si="0"/>
        <v>2725893.8689107927</v>
      </c>
      <c r="J50" s="91">
        <f t="shared" si="1"/>
        <v>3.7235258547585058E-3</v>
      </c>
      <c r="K50" s="36">
        <f>M$15*(1+(0.6/C$20)*M$11+100*M$11^4)*(1.34*('2'!E54^0.18)*(COS(D$20*PI()/180))^0.28)</f>
        <v>1.4126804691896839</v>
      </c>
      <c r="L50" s="193">
        <f>J50*M$24*K50*M$21/'4'!$L$15</f>
        <v>2.7701077771138134E-3</v>
      </c>
      <c r="M50" s="50">
        <f>M$20*L50*'2'!K54*'3'!E$44</f>
        <v>9.2223788014877268</v>
      </c>
      <c r="N50" s="25"/>
      <c r="O50" s="91">
        <f t="shared" si="2"/>
        <v>3672766.0743090818</v>
      </c>
      <c r="P50" s="91">
        <f t="shared" si="3"/>
        <v>3.5369897025998441E-3</v>
      </c>
      <c r="Q50" s="36">
        <f>N$15*(1+(0.6/E$20)*N$11+100*N$11^4)*(1.34*('2'!E54^0.18)*(COS(F$20*PI()/180))^0.28)</f>
        <v>1.4100336803000579</v>
      </c>
      <c r="R50" s="193">
        <f>P50*N$24*Q50*N$21/'4'!$L$15</f>
        <v>1.7709471154052337E-3</v>
      </c>
      <c r="S50" s="50">
        <f>N$20*R50*'2'!K54*'3'!E$44</f>
        <v>5.8959240758082716</v>
      </c>
      <c r="T50" s="25"/>
      <c r="U50" s="25"/>
      <c r="V50" s="25"/>
      <c r="W50" s="25"/>
      <c r="X50" s="25"/>
      <c r="Y50" s="25"/>
      <c r="Z50" s="25"/>
      <c r="AA50" s="25"/>
    </row>
    <row r="51" spans="2:27">
      <c r="B51" t="str">
        <f>'2'!C55</f>
        <v>Loiter 1e</v>
      </c>
      <c r="C51" s="189">
        <f>((-2.949115E-35*('2'!D55^6)) + (1.361403E-29*('2'!D55^5)) - (2.309923E-24*('2'!D55^4)) + (1.762239E-19*('2'!D55^3)) - (5.221998E-15*('2'!D55^2)) - (0.00000000001696421*'2'!D55) + 0.00001208327)/32.174</f>
        <v>3.7195070095491899E-7</v>
      </c>
      <c r="D51" s="91">
        <f>'4'!C46/'2'!H55</f>
        <v>1.737510759265973E-4</v>
      </c>
      <c r="E51" s="77">
        <f>'2'!E55*COS('4'!L$9*PI()/180)</f>
        <v>0.15</v>
      </c>
      <c r="F51" s="50">
        <f>'2'!I55*COS(PI()*'4'!L$9/180)</f>
        <v>165.54666128699998</v>
      </c>
      <c r="G51" s="50">
        <f>0.5*'2'!H55*('4'!F46^2)</f>
        <v>29.333827656839404</v>
      </c>
      <c r="H51" s="25"/>
      <c r="I51" s="91">
        <f t="shared" si="0"/>
        <v>2725893.8689107927</v>
      </c>
      <c r="J51" s="91">
        <f t="shared" si="1"/>
        <v>3.7235258547585058E-3</v>
      </c>
      <c r="K51" s="36">
        <f>M$15*(1+(0.6/C$20)*M$11+100*M$11^4)*(1.34*('2'!E55^0.18)*(COS(D$20*PI()/180))^0.28)</f>
        <v>1.4126804691896839</v>
      </c>
      <c r="L51" s="193">
        <f>J51*M$24*K51*M$21/'4'!$L$15</f>
        <v>2.7701077771138134E-3</v>
      </c>
      <c r="M51" s="50">
        <f>M$20*L51*'2'!K55*'3'!E$44</f>
        <v>9.2223788014877268</v>
      </c>
      <c r="N51" s="25"/>
      <c r="O51" s="91">
        <f t="shared" si="2"/>
        <v>3672766.0743090818</v>
      </c>
      <c r="P51" s="91">
        <f t="shared" si="3"/>
        <v>3.5369897025998441E-3</v>
      </c>
      <c r="Q51" s="36">
        <f>N$15*(1+(0.6/E$20)*N$11+100*N$11^4)*(1.34*('2'!E55^0.18)*(COS(F$20*PI()/180))^0.28)</f>
        <v>1.4100336803000579</v>
      </c>
      <c r="R51" s="193">
        <f>P51*N$24*Q51*N$21/'4'!$L$15</f>
        <v>1.7709471154052337E-3</v>
      </c>
      <c r="S51" s="50">
        <f>N$20*R51*'2'!K55*'3'!E$44</f>
        <v>5.8959240758082716</v>
      </c>
      <c r="T51" s="25"/>
      <c r="U51" s="25"/>
      <c r="V51" s="25"/>
      <c r="W51" s="25"/>
      <c r="X51" s="25"/>
      <c r="Y51" s="25"/>
      <c r="Z51" s="25"/>
      <c r="AA51" s="25"/>
    </row>
    <row r="52" spans="2:27">
      <c r="B52" t="str">
        <f>'2'!C56</f>
        <v>Climb+Accel2</v>
      </c>
      <c r="C52" s="189">
        <f>((-2.949115E-35*('2'!D56^6)) + (1.361403E-29*('2'!D56^5)) - (2.309923E-24*('2'!D56^4)) + (1.762239E-19*('2'!D56^3)) - (5.221998E-15*('2'!D56^2)) - (0.00000000001696421*'2'!D56) + 0.00001208327)/32.174</f>
        <v>3.7195070095491899E-7</v>
      </c>
      <c r="D52" s="91">
        <f>'4'!C47/'2'!H56</f>
        <v>1.737510759265973E-4</v>
      </c>
      <c r="E52" s="77">
        <f>'2'!E56*COS('4'!L$9*PI()/180)</f>
        <v>0.16</v>
      </c>
      <c r="F52" s="50">
        <f>'2'!I56*COS(PI()*'4'!L$9/180)</f>
        <v>176.58310537279999</v>
      </c>
      <c r="G52" s="50">
        <f>0.5*'2'!H56*('4'!F47^2)</f>
        <v>33.375377245115061</v>
      </c>
      <c r="H52" s="25"/>
      <c r="I52" s="91">
        <f t="shared" si="0"/>
        <v>2907620.1268381793</v>
      </c>
      <c r="J52" s="91">
        <f t="shared" si="1"/>
        <v>3.6809450838661221E-3</v>
      </c>
      <c r="K52" s="36">
        <f>M$15*(1+(0.6/C$20)*M$11+100*M$11^4)*(1.34*('2'!E56^0.18)*(COS(D$20*PI()/180))^0.28)</f>
        <v>1.4291871777221092</v>
      </c>
      <c r="L52" s="193">
        <f>J52*M$24*K52*M$21/'4'!$L$15</f>
        <v>2.7704275753363005E-3</v>
      </c>
      <c r="M52" s="50">
        <f>M$20*L52*'2'!K56*'3'!E$44</f>
        <v>10.494229036862057</v>
      </c>
      <c r="N52" s="25"/>
      <c r="O52" s="91">
        <f t="shared" si="2"/>
        <v>3917617.1459296881</v>
      </c>
      <c r="P52" s="91">
        <f t="shared" si="3"/>
        <v>3.4973137719735326E-3</v>
      </c>
      <c r="Q52" s="36">
        <f>N$15*(1+(0.6/E$20)*N$11+100*N$11^4)*(1.34*('2'!E56^0.18)*(COS(F$20*PI()/180))^0.28)</f>
        <v>1.4265094619713137</v>
      </c>
      <c r="R52" s="193">
        <f>P52*N$24*Q52*N$21/'4'!$L$15</f>
        <v>1.7715424573807241E-3</v>
      </c>
      <c r="S52" s="50">
        <f>N$20*R52*'2'!K56*'3'!E$44</f>
        <v>6.7105065159561201</v>
      </c>
      <c r="T52" s="25"/>
      <c r="U52" s="25"/>
      <c r="V52" s="25"/>
      <c r="W52" s="25"/>
      <c r="X52" s="25"/>
      <c r="Y52" s="25"/>
      <c r="Z52" s="25"/>
      <c r="AA52" s="25"/>
    </row>
    <row r="53" spans="2:27">
      <c r="B53" t="str">
        <f>'2'!C57</f>
        <v>Combat</v>
      </c>
      <c r="C53" s="189">
        <f>((-2.949115E-35*('2'!D57^6)) + (1.361403E-29*('2'!D57^5)) - (2.309923E-24*('2'!D57^4)) + (1.762239E-19*('2'!D57^3)) - (5.221998E-15*('2'!D57^2)) - (0.00000000001696421*'2'!D57) + 0.00001208327)/32.174</f>
        <v>3.7195070095491899E-7</v>
      </c>
      <c r="D53" s="91">
        <f>'4'!C48/'2'!H57</f>
        <v>1.737510759265973E-4</v>
      </c>
      <c r="E53" s="77">
        <f>'2'!E57*COS('4'!L$9*PI()/180)</f>
        <v>0.15</v>
      </c>
      <c r="F53" s="50">
        <f>'2'!I57*COS(PI()*'4'!L$9/180)</f>
        <v>165.54666128699998</v>
      </c>
      <c r="G53" s="50">
        <f>0.5*'2'!H57*('4'!F48^2)</f>
        <v>29.333827656839404</v>
      </c>
      <c r="H53" s="25"/>
      <c r="I53" s="91">
        <f t="shared" si="0"/>
        <v>2725893.8689107927</v>
      </c>
      <c r="J53" s="91">
        <f t="shared" si="1"/>
        <v>3.7235258547585058E-3</v>
      </c>
      <c r="K53" s="36">
        <f>M$15*(1+(0.6/C$20)*M$11+100*M$11^4)*(1.34*('2'!E57^0.18)*(COS(D$20*PI()/180))^0.28)</f>
        <v>1.4126804691896839</v>
      </c>
      <c r="L53" s="193">
        <f>J53*M$24*K53*M$21/'4'!$L$15</f>
        <v>2.7701077771138134E-3</v>
      </c>
      <c r="M53" s="50">
        <f>M$20*L53*'2'!K57*'3'!E$44</f>
        <v>9.2223788014877268</v>
      </c>
      <c r="N53" s="25"/>
      <c r="O53" s="91">
        <f t="shared" si="2"/>
        <v>3672766.0743090818</v>
      </c>
      <c r="P53" s="91">
        <f t="shared" si="3"/>
        <v>3.5369897025998441E-3</v>
      </c>
      <c r="Q53" s="36">
        <f>N$15*(1+(0.6/E$20)*N$11+100*N$11^4)*(1.34*('2'!E57^0.18)*(COS(F$20*PI()/180))^0.28)</f>
        <v>1.4100336803000579</v>
      </c>
      <c r="R53" s="193">
        <f>P53*N$24*Q53*N$21/'4'!$L$15</f>
        <v>1.7709471154052337E-3</v>
      </c>
      <c r="S53" s="50">
        <f>N$20*R53*'2'!K57*'3'!E$44</f>
        <v>5.8959240758082716</v>
      </c>
      <c r="T53" s="25"/>
      <c r="U53" s="25"/>
      <c r="V53" s="25"/>
      <c r="W53" s="25"/>
      <c r="X53" s="25"/>
      <c r="Y53" s="25"/>
      <c r="Z53" s="25"/>
      <c r="AA53" s="25"/>
    </row>
    <row r="54" spans="2:27">
      <c r="B54" t="str">
        <f>'2'!C58</f>
        <v>Drop Expendable Payload</v>
      </c>
      <c r="C54" s="189">
        <f>((-2.949115E-35*('2'!D58^6)) + (1.361403E-29*('2'!D58^5)) - (2.309923E-24*('2'!D58^4)) + (1.762239E-19*('2'!D58^3)) - (5.221998E-15*('2'!D58^2)) - (0.00000000001696421*'2'!D58) + 0.00001208327)/32.174</f>
        <v>3.7195070095491899E-7</v>
      </c>
      <c r="D54" s="91">
        <f>'4'!C49/'2'!H58</f>
        <v>1.737510759265973E-4</v>
      </c>
      <c r="E54" s="77">
        <f>'2'!E58*COS('4'!L$9*PI()/180)</f>
        <v>0.15</v>
      </c>
      <c r="F54" s="50">
        <f>'2'!I58*COS(PI()*'4'!L$9/180)</f>
        <v>165.54666128699998</v>
      </c>
      <c r="G54" s="50">
        <f>0.5*'2'!H58*('4'!F49^2)</f>
        <v>29.333827656839404</v>
      </c>
      <c r="H54" s="25"/>
      <c r="I54" s="91">
        <f t="shared" si="0"/>
        <v>2725893.8689107927</v>
      </c>
      <c r="J54" s="91">
        <f t="shared" si="1"/>
        <v>3.7235258547585058E-3</v>
      </c>
      <c r="K54" s="36">
        <f>M$15*(1+(0.6/C$20)*M$11+100*M$11^4)*(1.34*('2'!E58^0.18)*(COS(D$20*PI()/180))^0.28)</f>
        <v>1.4126804691896839</v>
      </c>
      <c r="L54" s="193">
        <f>J54*M$24*K54*M$21/'4'!$L$15</f>
        <v>2.7701077771138134E-3</v>
      </c>
      <c r="M54" s="50">
        <f>M$20*L54*'2'!K58*'3'!E$44</f>
        <v>9.2223788014877268</v>
      </c>
      <c r="N54" s="25"/>
      <c r="O54" s="91">
        <f t="shared" si="2"/>
        <v>3672766.0743090818</v>
      </c>
      <c r="P54" s="91">
        <f t="shared" si="3"/>
        <v>3.5369897025998441E-3</v>
      </c>
      <c r="Q54" s="36">
        <f>N$15*(1+(0.6/E$20)*N$11+100*N$11^4)*(1.34*('2'!E58^0.18)*(COS(F$20*PI()/180))^0.28)</f>
        <v>1.4100336803000579</v>
      </c>
      <c r="R54" s="193">
        <f>P54*N$24*Q54*N$21/'4'!$L$15</f>
        <v>1.7709471154052337E-3</v>
      </c>
      <c r="S54" s="50">
        <f>N$20*R54*'2'!K58*'3'!E$44</f>
        <v>5.8959240758082716</v>
      </c>
      <c r="T54" s="25"/>
      <c r="U54" s="25"/>
      <c r="V54" s="25"/>
      <c r="W54" s="25"/>
      <c r="X54" s="25"/>
      <c r="Y54" s="25"/>
      <c r="Z54" s="25"/>
      <c r="AA54" s="25"/>
    </row>
    <row r="55" spans="2:27">
      <c r="B55" t="str">
        <f>'2'!C59</f>
        <v>Loiter 2a</v>
      </c>
      <c r="C55" s="189">
        <f>((-2.949115E-35*('2'!D59^6)) + (1.361403E-29*('2'!D59^5)) - (2.309923E-24*('2'!D59^4)) + (1.762239E-19*('2'!D59^3)) - (5.221998E-15*('2'!D59^2)) - (0.00000000001696421*'2'!D59) + 0.00001208327)/32.174</f>
        <v>3.7195070095491899E-7</v>
      </c>
      <c r="D55" s="91">
        <f>'4'!C50/'2'!H59</f>
        <v>1.737510759265973E-4</v>
      </c>
      <c r="E55" s="77">
        <f>'2'!E59*COS('4'!L$9*PI()/180)</f>
        <v>0.14000000000000001</v>
      </c>
      <c r="F55" s="50">
        <f>'2'!I59*COS(PI()*'4'!L$9/180)</f>
        <v>154.51021720119999</v>
      </c>
      <c r="G55" s="50">
        <f>0.5*'2'!H59*('4'!F50^2)</f>
        <v>25.553023203291218</v>
      </c>
      <c r="H55" s="25"/>
      <c r="I55" s="91">
        <f t="shared" si="0"/>
        <v>2544167.6109834067</v>
      </c>
      <c r="J55" s="91">
        <f t="shared" si="1"/>
        <v>3.7696493169945538E-3</v>
      </c>
      <c r="K55" s="36">
        <f>M$15*(1+(0.6/C$20)*M$11+100*M$11^4)*(1.34*('2'!E59^0.18)*(COS(D$20*PI()/180))^0.28)</f>
        <v>1.3952452758603977</v>
      </c>
      <c r="L55" s="193">
        <f>J55*M$24*K55*M$21/'4'!$L$15</f>
        <v>2.769809261691332E-3</v>
      </c>
      <c r="M55" s="50">
        <f>M$20*L55*'2'!K59*'3'!E$44</f>
        <v>8.0328509065802098</v>
      </c>
      <c r="N55" s="25"/>
      <c r="O55" s="91">
        <f t="shared" si="2"/>
        <v>3427915.0026884773</v>
      </c>
      <c r="P55" s="91">
        <f t="shared" si="3"/>
        <v>3.5799503299313749E-3</v>
      </c>
      <c r="Q55" s="36">
        <f>N$15*(1+(0.6/E$20)*N$11+100*N$11^4)*(1.34*('2'!E59^0.18)*(COS(F$20*PI()/180))^0.28)</f>
        <v>1.3926311534349856</v>
      </c>
      <c r="R55" s="193">
        <f>P55*N$24*Q55*N$21/'4'!$L$15</f>
        <v>1.7703348459023772E-3</v>
      </c>
      <c r="S55" s="50">
        <f>N$20*R55*'2'!K59*'3'!E$44</f>
        <v>5.1342293018306107</v>
      </c>
      <c r="T55" s="25"/>
      <c r="U55" s="25"/>
      <c r="V55" s="25"/>
      <c r="W55" s="25"/>
      <c r="X55" s="25"/>
      <c r="Y55" s="25"/>
      <c r="Z55" s="25"/>
      <c r="AA55" s="25"/>
    </row>
    <row r="56" spans="2:27">
      <c r="B56" t="str">
        <f>'2'!C60</f>
        <v>Loiter 2b</v>
      </c>
      <c r="C56" s="189">
        <f>((-2.949115E-35*('2'!D60^6)) + (1.361403E-29*('2'!D60^5)) - (2.309923E-24*('2'!D60^4)) + (1.762239E-19*('2'!D60^3)) - (5.221998E-15*('2'!D60^2)) - (0.00000000001696421*'2'!D60) + 0.00001208327)/32.174</f>
        <v>3.7195070095491899E-7</v>
      </c>
      <c r="D56" s="91">
        <f>'4'!C51/'2'!H60</f>
        <v>1.737510759265973E-4</v>
      </c>
      <c r="E56" s="77">
        <f>'2'!E60*COS('4'!L$9*PI()/180)</f>
        <v>0.14000000000000001</v>
      </c>
      <c r="F56" s="50">
        <f>'2'!I60*COS(PI()*'4'!L$9/180)</f>
        <v>154.51021720119999</v>
      </c>
      <c r="G56" s="50">
        <f>0.5*'2'!H60*('4'!F51^2)</f>
        <v>25.553023203291218</v>
      </c>
      <c r="H56" s="25"/>
      <c r="I56" s="91">
        <f t="shared" si="0"/>
        <v>2544167.6109834067</v>
      </c>
      <c r="J56" s="91">
        <f t="shared" si="1"/>
        <v>3.7696493169945538E-3</v>
      </c>
      <c r="K56" s="36">
        <f>M$15*(1+(0.6/C$20)*M$11+100*M$11^4)*(1.34*('2'!E60^0.18)*(COS(D$20*PI()/180))^0.28)</f>
        <v>1.3952452758603977</v>
      </c>
      <c r="L56" s="193">
        <f>J56*M$24*K56*M$21/'4'!$L$15</f>
        <v>2.769809261691332E-3</v>
      </c>
      <c r="M56" s="50">
        <f>M$20*L56*'2'!K60*'3'!E$44</f>
        <v>8.0328509065802098</v>
      </c>
      <c r="N56" s="25"/>
      <c r="O56" s="91">
        <f t="shared" si="2"/>
        <v>3427915.0026884773</v>
      </c>
      <c r="P56" s="91">
        <f t="shared" si="3"/>
        <v>3.5799503299313749E-3</v>
      </c>
      <c r="Q56" s="36">
        <f>N$15*(1+(0.6/E$20)*N$11+100*N$11^4)*(1.34*('2'!E60^0.18)*(COS(F$20*PI()/180))^0.28)</f>
        <v>1.3926311534349856</v>
      </c>
      <c r="R56" s="193">
        <f>P56*N$24*Q56*N$21/'4'!$L$15</f>
        <v>1.7703348459023772E-3</v>
      </c>
      <c r="S56" s="50">
        <f>N$20*R56*'2'!K60*'3'!E$44</f>
        <v>5.1342293018306107</v>
      </c>
      <c r="T56" s="25"/>
      <c r="U56" s="25"/>
      <c r="V56" s="25"/>
      <c r="W56" s="25"/>
      <c r="X56" s="25"/>
      <c r="Y56" s="25"/>
      <c r="Z56" s="25"/>
      <c r="AA56" s="25"/>
    </row>
    <row r="57" spans="2:27">
      <c r="B57" t="str">
        <f>'2'!C61</f>
        <v>Loiter 2c</v>
      </c>
      <c r="C57" s="189">
        <f>((-2.949115E-35*('2'!D61^6)) + (1.361403E-29*('2'!D61^5)) - (2.309923E-24*('2'!D61^4)) + (1.762239E-19*('2'!D61^3)) - (5.221998E-15*('2'!D61^2)) - (0.00000000001696421*'2'!D61) + 0.00001208327)/32.174</f>
        <v>3.7195070095491899E-7</v>
      </c>
      <c r="D57" s="91">
        <f>'4'!C52/'2'!H61</f>
        <v>1.737510759265973E-4</v>
      </c>
      <c r="E57" s="77">
        <f>'2'!E61*COS('4'!L$9*PI()/180)</f>
        <v>0.14000000000000001</v>
      </c>
      <c r="F57" s="50">
        <f>'2'!I61*COS(PI()*'4'!L$9/180)</f>
        <v>154.51021720119999</v>
      </c>
      <c r="G57" s="50">
        <f>0.5*'2'!H61*('4'!F52^2)</f>
        <v>25.553023203291218</v>
      </c>
      <c r="H57" s="25"/>
      <c r="I57" s="91">
        <f t="shared" si="0"/>
        <v>2544167.6109834067</v>
      </c>
      <c r="J57" s="91">
        <f t="shared" si="1"/>
        <v>3.7696493169945538E-3</v>
      </c>
      <c r="K57" s="36">
        <f>M$15*(1+(0.6/C$20)*M$11+100*M$11^4)*(1.34*('2'!E61^0.18)*(COS(D$20*PI()/180))^0.28)</f>
        <v>1.3952452758603977</v>
      </c>
      <c r="L57" s="193">
        <f>J57*M$24*K57*M$21/'4'!$L$15</f>
        <v>2.769809261691332E-3</v>
      </c>
      <c r="M57" s="50">
        <f>M$20*L57*'2'!K61*'3'!E$44</f>
        <v>8.0328509065802098</v>
      </c>
      <c r="N57" s="25"/>
      <c r="O57" s="91">
        <f t="shared" si="2"/>
        <v>3427915.0026884773</v>
      </c>
      <c r="P57" s="91">
        <f t="shared" si="3"/>
        <v>3.5799503299313749E-3</v>
      </c>
      <c r="Q57" s="36">
        <f>N$15*(1+(0.6/E$20)*N$11+100*N$11^4)*(1.34*('2'!E61^0.18)*(COS(F$20*PI()/180))^0.28)</f>
        <v>1.3926311534349856</v>
      </c>
      <c r="R57" s="193">
        <f>P57*N$24*Q57*N$21/'4'!$L$15</f>
        <v>1.7703348459023772E-3</v>
      </c>
      <c r="S57" s="50">
        <f>N$20*R57*'2'!K61*'3'!E$44</f>
        <v>5.1342293018306107</v>
      </c>
      <c r="T57" s="25"/>
      <c r="U57" s="25"/>
      <c r="V57" s="25"/>
      <c r="W57" s="25"/>
      <c r="X57" s="25"/>
      <c r="Y57" s="25"/>
      <c r="Z57" s="25"/>
      <c r="AA57" s="25"/>
    </row>
    <row r="58" spans="2:27">
      <c r="B58" t="str">
        <f>'2'!C62</f>
        <v>Loiter 2d</v>
      </c>
      <c r="C58" s="189">
        <f>((-2.949115E-35*('2'!D62^6)) + (1.361403E-29*('2'!D62^5)) - (2.309923E-24*('2'!D62^4)) + (1.762239E-19*('2'!D62^3)) - (5.221998E-15*('2'!D62^2)) - (0.00000000001696421*'2'!D62) + 0.00001208327)/32.174</f>
        <v>3.7195070095491899E-7</v>
      </c>
      <c r="D58" s="91">
        <f>'4'!C53/'2'!H62</f>
        <v>1.737510759265973E-4</v>
      </c>
      <c r="E58" s="77">
        <f>'2'!E62*COS('4'!L$9*PI()/180)</f>
        <v>0.14000000000000001</v>
      </c>
      <c r="F58" s="50">
        <f>'2'!I62*COS(PI()*'4'!L$9/180)</f>
        <v>154.51021720119999</v>
      </c>
      <c r="G58" s="50">
        <f>0.5*'2'!H62*('4'!F53^2)</f>
        <v>25.553023203291218</v>
      </c>
      <c r="H58" s="25"/>
      <c r="I58" s="91">
        <f t="shared" si="0"/>
        <v>2544167.6109834067</v>
      </c>
      <c r="J58" s="91">
        <f t="shared" si="1"/>
        <v>3.7696493169945538E-3</v>
      </c>
      <c r="K58" s="36">
        <f>M$15*(1+(0.6/C$20)*M$11+100*M$11^4)*(1.34*('2'!E62^0.18)*(COS(D$20*PI()/180))^0.28)</f>
        <v>1.3952452758603977</v>
      </c>
      <c r="L58" s="193">
        <f>J58*M$24*K58*M$21/'4'!$L$15</f>
        <v>2.769809261691332E-3</v>
      </c>
      <c r="M58" s="50">
        <f>M$20*L58*'2'!K62*'3'!E$44</f>
        <v>8.0328509065802098</v>
      </c>
      <c r="N58" s="25"/>
      <c r="O58" s="91">
        <f t="shared" si="2"/>
        <v>3427915.0026884773</v>
      </c>
      <c r="P58" s="91">
        <f t="shared" si="3"/>
        <v>3.5799503299313749E-3</v>
      </c>
      <c r="Q58" s="36">
        <f>N$15*(1+(0.6/E$20)*N$11+100*N$11^4)*(1.34*('2'!E62^0.18)*(COS(F$20*PI()/180))^0.28)</f>
        <v>1.3926311534349856</v>
      </c>
      <c r="R58" s="193">
        <f>P58*N$24*Q58*N$21/'4'!$L$15</f>
        <v>1.7703348459023772E-3</v>
      </c>
      <c r="S58" s="50">
        <f>N$20*R58*'2'!K62*'3'!E$44</f>
        <v>5.1342293018306107</v>
      </c>
      <c r="T58" s="25"/>
      <c r="U58" s="25"/>
      <c r="V58" s="25"/>
      <c r="W58" s="25"/>
      <c r="X58" s="25"/>
      <c r="Y58" s="25"/>
      <c r="Z58" s="25"/>
      <c r="AA58" s="25"/>
    </row>
    <row r="59" spans="2:27">
      <c r="B59" t="str">
        <f>'2'!C63</f>
        <v>Loiter 2e</v>
      </c>
      <c r="C59" s="189">
        <f>((-2.949115E-35*('2'!D63^6)) + (1.361403E-29*('2'!D63^5)) - (2.309923E-24*('2'!D63^4)) + (1.762239E-19*('2'!D63^3)) - (5.221998E-15*('2'!D63^2)) - (0.00000000001696421*'2'!D63) + 0.00001208327)/32.174</f>
        <v>3.7195070095491899E-7</v>
      </c>
      <c r="D59" s="91">
        <f>'4'!C54/'2'!H63</f>
        <v>1.737510759265973E-4</v>
      </c>
      <c r="E59" s="77">
        <f>'2'!E63*COS('4'!L$9*PI()/180)</f>
        <v>0.14000000000000001</v>
      </c>
      <c r="F59" s="50">
        <f>'2'!I63*COS(PI()*'4'!L$9/180)</f>
        <v>154.51021720119999</v>
      </c>
      <c r="G59" s="50">
        <f>0.5*'2'!H63*('4'!F54^2)</f>
        <v>25.553023203291218</v>
      </c>
      <c r="H59" s="25"/>
      <c r="I59" s="91">
        <f t="shared" si="0"/>
        <v>2544167.6109834067</v>
      </c>
      <c r="J59" s="91">
        <f t="shared" si="1"/>
        <v>3.7696493169945538E-3</v>
      </c>
      <c r="K59" s="36">
        <f>M$15*(1+(0.6/C$20)*M$11+100*M$11^4)*(1.34*('2'!E63^0.18)*(COS(D$20*PI()/180))^0.28)</f>
        <v>1.3952452758603977</v>
      </c>
      <c r="L59" s="193">
        <f>J59*M$24*K59*M$21/'4'!$L$15</f>
        <v>2.769809261691332E-3</v>
      </c>
      <c r="M59" s="50">
        <f>M$20*L59*'2'!K63*'3'!E$44</f>
        <v>8.0328509065802098</v>
      </c>
      <c r="N59" s="25"/>
      <c r="O59" s="91">
        <f t="shared" si="2"/>
        <v>3427915.0026884773</v>
      </c>
      <c r="P59" s="91">
        <f t="shared" si="3"/>
        <v>3.5799503299313749E-3</v>
      </c>
      <c r="Q59" s="36">
        <f>N$15*(1+(0.6/E$20)*N$11+100*N$11^4)*(1.34*('2'!E63^0.18)*(COS(F$20*PI()/180))^0.28)</f>
        <v>1.3926311534349856</v>
      </c>
      <c r="R59" s="193">
        <f>P59*N$24*Q59*N$21/'4'!$L$15</f>
        <v>1.7703348459023772E-3</v>
      </c>
      <c r="S59" s="50">
        <f>N$20*R59*'2'!K63*'3'!E$44</f>
        <v>5.1342293018306107</v>
      </c>
      <c r="T59" s="25"/>
      <c r="U59" s="25"/>
      <c r="V59" s="25"/>
      <c r="W59" s="25"/>
      <c r="X59" s="25"/>
      <c r="Y59" s="25"/>
      <c r="Z59" s="25"/>
      <c r="AA59" s="25"/>
    </row>
    <row r="60" spans="2:27">
      <c r="B60" t="str">
        <f>'2'!C64</f>
        <v>Climb+Accel3</v>
      </c>
      <c r="C60" s="189">
        <f>((-2.949115E-35*('2'!D64^6)) + (1.361403E-29*('2'!D64^5)) - (2.309923E-24*('2'!D64^4)) + (1.762239E-19*('2'!D64^3)) - (5.221998E-15*('2'!D64^2)) - (0.00000000001696421*'2'!D64) + 0.00001208327)/32.174</f>
        <v>3.5885760806396468E-7</v>
      </c>
      <c r="D60" s="91">
        <f>'4'!C55/'2'!H64</f>
        <v>2.0464834222967882E-4</v>
      </c>
      <c r="E60" s="77">
        <f>'2'!E64*COS('4'!L$9*PI()/180)</f>
        <v>0.16</v>
      </c>
      <c r="F60" s="50">
        <f>'2'!I64*COS(PI()*'4'!L$9/180)</f>
        <v>172.32024300800001</v>
      </c>
      <c r="G60" s="50">
        <f>0.5*'2'!H64*('4'!F55^2)</f>
        <v>26.034936828281378</v>
      </c>
      <c r="H60" s="25"/>
      <c r="I60" s="91">
        <f t="shared" si="0"/>
        <v>2409040.417651393</v>
      </c>
      <c r="J60" s="91">
        <f t="shared" si="1"/>
        <v>3.8037459350497463E-3</v>
      </c>
      <c r="K60" s="36">
        <f>M$15*(1+(0.6/C$20)*M$11+100*M$11^4)*(1.34*('2'!E64^0.18)*(COS(D$20*PI()/180))^0.28)</f>
        <v>1.4291871777221092</v>
      </c>
      <c r="L60" s="193">
        <f>J60*M$24*K60*M$21/'4'!$L$15</f>
        <v>2.8628524435814302E-3</v>
      </c>
      <c r="M60" s="50">
        <f>M$20*L60*'2'!K64*'3'!E$44</f>
        <v>8.4592731083722938</v>
      </c>
      <c r="N60" s="25"/>
      <c r="O60" s="91">
        <f t="shared" si="2"/>
        <v>3245849.7443720438</v>
      </c>
      <c r="P60" s="91">
        <f t="shared" si="3"/>
        <v>3.6116453858238951E-3</v>
      </c>
      <c r="Q60" s="36">
        <f>N$15*(1+(0.6/E$20)*N$11+100*N$11^4)*(1.34*('2'!E64^0.18)*(COS(F$20*PI()/180))^0.28)</f>
        <v>1.4265094619713137</v>
      </c>
      <c r="R60" s="193">
        <f>P60*N$24*Q60*N$21/'4'!$L$15</f>
        <v>1.8294564226016598E-3</v>
      </c>
      <c r="S60" s="50">
        <f>N$20*R60*'2'!K64*'3'!E$44</f>
        <v>5.4057524177854148</v>
      </c>
      <c r="T60" s="25"/>
      <c r="U60" s="25"/>
      <c r="V60" s="25"/>
      <c r="W60" s="25"/>
      <c r="X60" s="25"/>
      <c r="Y60" s="25"/>
      <c r="Z60" s="25"/>
      <c r="AA60" s="25"/>
    </row>
    <row r="61" spans="2:27">
      <c r="B61" t="str">
        <f>'2'!C65</f>
        <v>Cruise 2a</v>
      </c>
      <c r="C61" s="189">
        <f>((-2.949115E-35*('2'!D65^6)) + (1.361403E-29*('2'!D65^5)) - (2.309923E-24*('2'!D65^4)) + (1.762239E-19*('2'!D65^3)) - (5.221998E-15*('2'!D65^2)) - (0.00000000001696421*'2'!D65) + 0.00001208327)/32.174</f>
        <v>3.5885760806396468E-7</v>
      </c>
      <c r="D61" s="91">
        <f>'4'!C56/'2'!H65</f>
        <v>2.0464834222967882E-4</v>
      </c>
      <c r="E61" s="77">
        <f>'2'!E65*COS('4'!L$9*PI()/180)</f>
        <v>0.16</v>
      </c>
      <c r="F61" s="50">
        <f>'2'!I65*COS(PI()*'4'!L$9/180)</f>
        <v>172.32024300800001</v>
      </c>
      <c r="G61" s="50">
        <f>0.5*'2'!H65*('4'!F56^2)</f>
        <v>26.034936828281378</v>
      </c>
      <c r="H61" s="25"/>
      <c r="I61" s="91">
        <f t="shared" si="0"/>
        <v>2409040.417651393</v>
      </c>
      <c r="J61" s="91">
        <f t="shared" si="1"/>
        <v>3.8037459350497463E-3</v>
      </c>
      <c r="K61" s="36">
        <f>M$15*(1+(0.6/C$20)*M$11+100*M$11^4)*(1.34*('2'!E65^0.18)*(COS(D$20*PI()/180))^0.28)</f>
        <v>1.4291871777221092</v>
      </c>
      <c r="L61" s="193">
        <f>J61*M$24*K61*M$21/'4'!$L$15</f>
        <v>2.8628524435814302E-3</v>
      </c>
      <c r="M61" s="50">
        <f>M$20*L61*'2'!K65*'3'!E$44</f>
        <v>8.4592731083722938</v>
      </c>
      <c r="N61" s="25"/>
      <c r="O61" s="91">
        <f t="shared" si="2"/>
        <v>3245849.7443720438</v>
      </c>
      <c r="P61" s="91">
        <f t="shared" si="3"/>
        <v>3.6116453858238951E-3</v>
      </c>
      <c r="Q61" s="36">
        <f>N$15*(1+(0.6/E$20)*N$11+100*N$11^4)*(1.34*('2'!E65^0.18)*(COS(F$20*PI()/180))^0.28)</f>
        <v>1.4265094619713137</v>
      </c>
      <c r="R61" s="193">
        <f>P61*N$24*Q61*N$21/'4'!$L$15</f>
        <v>1.8294564226016598E-3</v>
      </c>
      <c r="S61" s="50">
        <f>N$20*R61*'2'!K65*'3'!E$44</f>
        <v>5.4057524177854148</v>
      </c>
      <c r="T61" s="25"/>
      <c r="U61" s="25"/>
      <c r="V61" s="25"/>
      <c r="W61" s="25"/>
      <c r="X61" s="25"/>
      <c r="Y61" s="25"/>
      <c r="Z61" s="25"/>
      <c r="AA61" s="25"/>
    </row>
    <row r="62" spans="2:27">
      <c r="B62" t="str">
        <f>'2'!C66</f>
        <v>Cruise 2b</v>
      </c>
      <c r="C62" s="189">
        <f>((-2.949115E-35*('2'!D66^6)) + (1.361403E-29*('2'!D66^5)) - (2.309923E-24*('2'!D66^4)) + (1.762239E-19*('2'!D66^3)) - (5.221998E-15*('2'!D66^2)) - (0.00000000001696421*'2'!D66) + 0.00001208327)/32.174</f>
        <v>3.5885760806396468E-7</v>
      </c>
      <c r="D62" s="91">
        <f>'4'!C57/'2'!H66</f>
        <v>2.0464834222967882E-4</v>
      </c>
      <c r="E62" s="77">
        <f>'2'!E66*COS('4'!L$9*PI()/180)</f>
        <v>0.16</v>
      </c>
      <c r="F62" s="50">
        <f>'2'!I66*COS(PI()*'4'!L$9/180)</f>
        <v>172.32024300800001</v>
      </c>
      <c r="G62" s="50">
        <f>0.5*'2'!H66*('4'!F57^2)</f>
        <v>26.034936828281378</v>
      </c>
      <c r="H62" s="25"/>
      <c r="I62" s="91">
        <f t="shared" si="0"/>
        <v>2409040.417651393</v>
      </c>
      <c r="J62" s="91">
        <f t="shared" si="1"/>
        <v>3.8037459350497463E-3</v>
      </c>
      <c r="K62" s="36">
        <f>M$15*(1+(0.6/C$20)*M$11+100*M$11^4)*(1.34*('2'!E66^0.18)*(COS(D$20*PI()/180))^0.28)</f>
        <v>1.4291871777221092</v>
      </c>
      <c r="L62" s="193">
        <f>J62*M$24*K62*M$21/'4'!$L$15</f>
        <v>2.8628524435814302E-3</v>
      </c>
      <c r="M62" s="50">
        <f>M$20*L62*'2'!K66*'3'!E$44</f>
        <v>8.4592731083722938</v>
      </c>
      <c r="N62" s="25"/>
      <c r="O62" s="91">
        <f t="shared" si="2"/>
        <v>3245849.7443720438</v>
      </c>
      <c r="P62" s="91">
        <f t="shared" si="3"/>
        <v>3.6116453858238951E-3</v>
      </c>
      <c r="Q62" s="36">
        <f>N$15*(1+(0.6/E$20)*N$11+100*N$11^4)*(1.34*('2'!E66^0.18)*(COS(F$20*PI()/180))^0.28)</f>
        <v>1.4265094619713137</v>
      </c>
      <c r="R62" s="193">
        <f>P62*N$24*Q62*N$21/'4'!$L$15</f>
        <v>1.8294564226016598E-3</v>
      </c>
      <c r="S62" s="50">
        <f>N$20*R62*'2'!K66*'3'!E$44</f>
        <v>5.4057524177854148</v>
      </c>
      <c r="T62" s="25"/>
      <c r="U62" s="25"/>
      <c r="V62" s="25"/>
      <c r="W62" s="25"/>
      <c r="X62" s="25"/>
      <c r="Y62" s="25"/>
      <c r="Z62" s="25"/>
      <c r="AA62" s="25"/>
    </row>
    <row r="63" spans="2:27">
      <c r="B63" t="str">
        <f>'2'!C67</f>
        <v>Cruise 2c</v>
      </c>
      <c r="C63" s="189">
        <f>((-2.949115E-35*('2'!D67^6)) + (1.361403E-29*('2'!D67^5)) - (2.309923E-24*('2'!D67^4)) + (1.762239E-19*('2'!D67^3)) - (5.221998E-15*('2'!D67^2)) - (0.00000000001696421*'2'!D67) + 0.00001208327)/32.174</f>
        <v>3.5885760806396468E-7</v>
      </c>
      <c r="D63" s="91">
        <f>'4'!C58/'2'!H67</f>
        <v>2.0464834222967882E-4</v>
      </c>
      <c r="E63" s="77">
        <f>'2'!E67*COS('4'!L$9*PI()/180)</f>
        <v>0.16</v>
      </c>
      <c r="F63" s="50">
        <f>'2'!I67*COS(PI()*'4'!L$9/180)</f>
        <v>172.32024300800001</v>
      </c>
      <c r="G63" s="50">
        <f>0.5*'2'!H67*('4'!F58^2)</f>
        <v>26.034936828281378</v>
      </c>
      <c r="H63" s="25"/>
      <c r="I63" s="91">
        <f t="shared" si="0"/>
        <v>2409040.417651393</v>
      </c>
      <c r="J63" s="91">
        <f t="shared" si="1"/>
        <v>3.8037459350497463E-3</v>
      </c>
      <c r="K63" s="36">
        <f>M$15*(1+(0.6/C$20)*M$11+100*M$11^4)*(1.34*('2'!E67^0.18)*(COS(D$20*PI()/180))^0.28)</f>
        <v>1.4291871777221092</v>
      </c>
      <c r="L63" s="193">
        <f>J63*M$24*K63*M$21/'4'!$L$15</f>
        <v>2.8628524435814302E-3</v>
      </c>
      <c r="M63" s="50">
        <f>M$20*L63*'2'!K67*'3'!E$44</f>
        <v>8.4592731083722938</v>
      </c>
      <c r="N63" s="25"/>
      <c r="O63" s="91">
        <f t="shared" si="2"/>
        <v>3245849.7443720438</v>
      </c>
      <c r="P63" s="91">
        <f t="shared" si="3"/>
        <v>3.6116453858238951E-3</v>
      </c>
      <c r="Q63" s="36">
        <f>N$15*(1+(0.6/E$20)*N$11+100*N$11^4)*(1.34*('2'!E67^0.18)*(COS(F$20*PI()/180))^0.28)</f>
        <v>1.4265094619713137</v>
      </c>
      <c r="R63" s="193">
        <f>P63*N$24*Q63*N$21/'4'!$L$15</f>
        <v>1.8294564226016598E-3</v>
      </c>
      <c r="S63" s="50">
        <f>N$20*R63*'2'!K67*'3'!E$44</f>
        <v>5.4057524177854148</v>
      </c>
      <c r="T63" s="25"/>
      <c r="U63" s="25"/>
      <c r="V63" s="25"/>
      <c r="W63" s="25"/>
      <c r="X63" s="25"/>
      <c r="Y63" s="25"/>
      <c r="Z63" s="25"/>
      <c r="AA63" s="25"/>
    </row>
    <row r="64" spans="2:27">
      <c r="B64" t="str">
        <f>'2'!C68</f>
        <v>Cruise 2d</v>
      </c>
      <c r="C64" s="189">
        <f>((-2.949115E-35*('2'!D68^6)) + (1.361403E-29*('2'!D68^5)) - (2.309923E-24*('2'!D68^4)) + (1.762239E-19*('2'!D68^3)) - (5.221998E-15*('2'!D68^2)) - (0.00000000001696421*'2'!D68) + 0.00001208327)/32.174</f>
        <v>3.5885760806396468E-7</v>
      </c>
      <c r="D64" s="91">
        <f>'4'!C59/'2'!H68</f>
        <v>2.0464834222967882E-4</v>
      </c>
      <c r="E64" s="77">
        <f>'2'!E68*COS('4'!L$9*PI()/180)</f>
        <v>0.16</v>
      </c>
      <c r="F64" s="50">
        <f>'2'!I68*COS(PI()*'4'!L$9/180)</f>
        <v>172.32024300800001</v>
      </c>
      <c r="G64" s="50">
        <f>0.5*'2'!H68*('4'!F59^2)</f>
        <v>26.034936828281378</v>
      </c>
      <c r="H64" s="25"/>
      <c r="I64" s="91">
        <f t="shared" si="0"/>
        <v>2409040.417651393</v>
      </c>
      <c r="J64" s="91">
        <f t="shared" si="1"/>
        <v>3.8037459350497463E-3</v>
      </c>
      <c r="K64" s="36">
        <f>M$15*(1+(0.6/C$20)*M$11+100*M$11^4)*(1.34*('2'!E68^0.18)*(COS(D$20*PI()/180))^0.28)</f>
        <v>1.4291871777221092</v>
      </c>
      <c r="L64" s="193">
        <f>J64*M$24*K64*M$21/'4'!$L$15</f>
        <v>2.8628524435814302E-3</v>
      </c>
      <c r="M64" s="50">
        <f>M$20*L64*'2'!K68*'3'!E$44</f>
        <v>8.4592731083722938</v>
      </c>
      <c r="N64" s="25"/>
      <c r="O64" s="91">
        <f t="shared" si="2"/>
        <v>3245849.7443720438</v>
      </c>
      <c r="P64" s="91">
        <f t="shared" si="3"/>
        <v>3.6116453858238951E-3</v>
      </c>
      <c r="Q64" s="36">
        <f>N$15*(1+(0.6/E$20)*N$11+100*N$11^4)*(1.34*('2'!E68^0.18)*(COS(F$20*PI()/180))^0.28)</f>
        <v>1.4265094619713137</v>
      </c>
      <c r="R64" s="193">
        <f>P64*N$24*Q64*N$21/'4'!$L$15</f>
        <v>1.8294564226016598E-3</v>
      </c>
      <c r="S64" s="50">
        <f>N$20*R64*'2'!K68*'3'!E$44</f>
        <v>5.4057524177854148</v>
      </c>
      <c r="T64" s="25"/>
      <c r="U64" s="25"/>
      <c r="V64" s="25"/>
      <c r="W64" s="25"/>
      <c r="X64" s="25"/>
      <c r="Y64" s="25"/>
      <c r="Z64" s="25"/>
      <c r="AA64" s="25"/>
    </row>
    <row r="65" spans="2:27">
      <c r="B65" t="str">
        <f>'2'!C69</f>
        <v>Cruise 2e</v>
      </c>
      <c r="C65" s="189">
        <f>((-2.949115E-35*('2'!D69^6)) + (1.361403E-29*('2'!D69^5)) - (2.309923E-24*('2'!D69^4)) + (1.762239E-19*('2'!D69^3)) - (5.221998E-15*('2'!D69^2)) - (0.00000000001696421*'2'!D69) + 0.00001208327)/32.174</f>
        <v>3.5885760806396468E-7</v>
      </c>
      <c r="D65" s="91">
        <f>'4'!C60/'2'!H69</f>
        <v>2.0464834222967882E-4</v>
      </c>
      <c r="E65" s="77">
        <f>'2'!E69*COS('4'!L$9*PI()/180)</f>
        <v>0.16</v>
      </c>
      <c r="F65" s="50">
        <f>'2'!I69*COS(PI()*'4'!L$9/180)</f>
        <v>172.32024300800001</v>
      </c>
      <c r="G65" s="50">
        <f>0.5*'2'!H69*('4'!F60^2)</f>
        <v>26.034936828281378</v>
      </c>
      <c r="H65" s="25"/>
      <c r="I65" s="91">
        <f t="shared" si="0"/>
        <v>2409040.417651393</v>
      </c>
      <c r="J65" s="91">
        <f t="shared" si="1"/>
        <v>3.8037459350497463E-3</v>
      </c>
      <c r="K65" s="36">
        <f>M$15*(1+(0.6/C$20)*M$11+100*M$11^4)*(1.34*('2'!E69^0.18)*(COS(D$20*PI()/180))^0.28)</f>
        <v>1.4291871777221092</v>
      </c>
      <c r="L65" s="193">
        <f>J65*M$24*K65*M$21/'4'!$L$15</f>
        <v>2.8628524435814302E-3</v>
      </c>
      <c r="M65" s="50">
        <f>M$20*L65*'2'!K69*'3'!E$44</f>
        <v>8.4592731083722938</v>
      </c>
      <c r="N65" s="25"/>
      <c r="O65" s="91">
        <f t="shared" si="2"/>
        <v>3245849.7443720438</v>
      </c>
      <c r="P65" s="91">
        <f t="shared" si="3"/>
        <v>3.6116453858238951E-3</v>
      </c>
      <c r="Q65" s="36">
        <f>N$15*(1+(0.6/E$20)*N$11+100*N$11^4)*(1.34*('2'!E69^0.18)*(COS(F$20*PI()/180))^0.28)</f>
        <v>1.4265094619713137</v>
      </c>
      <c r="R65" s="193">
        <f>P65*N$24*Q65*N$21/'4'!$L$15</f>
        <v>1.8294564226016598E-3</v>
      </c>
      <c r="S65" s="50">
        <f>N$20*R65*'2'!K69*'3'!E$44</f>
        <v>5.4057524177854148</v>
      </c>
      <c r="T65" s="25"/>
      <c r="U65" s="25"/>
      <c r="V65" s="25"/>
      <c r="W65" s="25"/>
      <c r="X65" s="25"/>
      <c r="Y65" s="25"/>
      <c r="Z65" s="25"/>
      <c r="AA65" s="25"/>
    </row>
    <row r="66" spans="2:27">
      <c r="B66" t="str">
        <f>'2'!C70</f>
        <v>Loiter 3a</v>
      </c>
      <c r="C66" s="189">
        <f>((-2.949115E-35*('2'!D70^6)) + (1.361403E-29*('2'!D70^5)) - (2.309923E-24*('2'!D70^4)) + (1.762239E-19*('2'!D70^3)) - (5.221998E-15*('2'!D70^2)) - (0.00000000001696421*'2'!D70) + 0.00001208327)/32.174</f>
        <v>3.7195070095491899E-7</v>
      </c>
      <c r="D66" s="91">
        <f>'4'!C61/'2'!H70</f>
        <v>1.737510759265973E-4</v>
      </c>
      <c r="E66" s="77">
        <f>'2'!E70*COS('4'!L$9*PI()/180)</f>
        <v>0.15</v>
      </c>
      <c r="F66" s="50">
        <f>'2'!I70*COS(PI()*'4'!L$9/180)</f>
        <v>165.54666128699998</v>
      </c>
      <c r="G66" s="50">
        <f>0.5*'2'!H70*('4'!F61^2)</f>
        <v>29.333827656839404</v>
      </c>
      <c r="H66" s="25"/>
      <c r="I66" s="91">
        <f t="shared" si="0"/>
        <v>2725893.8689107927</v>
      </c>
      <c r="J66" s="91">
        <f t="shared" si="1"/>
        <v>3.7235258547585058E-3</v>
      </c>
      <c r="K66" s="36">
        <f>M$15*(1+(0.6/C$20)*M$11+100*M$11^4)*(1.34*('2'!E70^0.18)*(COS(D$20*PI()/180))^0.28)</f>
        <v>1.4126804691896839</v>
      </c>
      <c r="L66" s="193">
        <f>J66*M$24*K66*M$21/'4'!$L$15</f>
        <v>2.7701077771138134E-3</v>
      </c>
      <c r="M66" s="50">
        <f>M$20*L66*'2'!K70*'3'!E$44</f>
        <v>9.2223788014877268</v>
      </c>
      <c r="N66" s="25"/>
      <c r="O66" s="91">
        <f t="shared" si="2"/>
        <v>3672766.0743090818</v>
      </c>
      <c r="P66" s="91">
        <f t="shared" si="3"/>
        <v>3.5369897025998441E-3</v>
      </c>
      <c r="Q66" s="36">
        <f>N$15*(1+(0.6/E$20)*N$11+100*N$11^4)*(1.34*('2'!E70^0.18)*(COS(F$20*PI()/180))^0.28)</f>
        <v>1.4100336803000579</v>
      </c>
      <c r="R66" s="193">
        <f>P66*N$24*Q66*N$21/'4'!$L$15</f>
        <v>1.7709471154052337E-3</v>
      </c>
      <c r="S66" s="50">
        <f>N$20*R66*'2'!K70*'3'!E$44</f>
        <v>5.8959240758082716</v>
      </c>
      <c r="T66" s="25"/>
      <c r="U66" s="25"/>
      <c r="V66" s="25"/>
      <c r="W66" s="25"/>
      <c r="X66" s="25"/>
      <c r="Y66" s="25"/>
      <c r="Z66" s="25"/>
      <c r="AA66" s="25"/>
    </row>
    <row r="67" spans="2:27">
      <c r="B67" t="str">
        <f>'2'!C71</f>
        <v>Loiter 3b</v>
      </c>
      <c r="C67" s="189">
        <f>((-2.949115E-35*('2'!D71^6)) + (1.361403E-29*('2'!D71^5)) - (2.309923E-24*('2'!D71^4)) + (1.762239E-19*('2'!D71^3)) - (5.221998E-15*('2'!D71^2)) - (0.00000000001696421*'2'!D71) + 0.00001208327)/32.174</f>
        <v>3.7195070095491899E-7</v>
      </c>
      <c r="D67" s="91">
        <f>'4'!C62/'2'!H71</f>
        <v>1.737510759265973E-4</v>
      </c>
      <c r="E67" s="77">
        <f>'2'!E71*COS('4'!L$9*PI()/180)</f>
        <v>0.15</v>
      </c>
      <c r="F67" s="50">
        <f>'2'!I71*COS(PI()*'4'!L$9/180)</f>
        <v>165.54666128699998</v>
      </c>
      <c r="G67" s="50">
        <f>0.5*'2'!H71*('4'!F62^2)</f>
        <v>29.333827656839404</v>
      </c>
      <c r="H67" s="25"/>
      <c r="I67" s="91">
        <f t="shared" si="0"/>
        <v>2725893.8689107927</v>
      </c>
      <c r="J67" s="91">
        <f t="shared" si="1"/>
        <v>3.7235258547585058E-3</v>
      </c>
      <c r="K67" s="36">
        <f>M$15*(1+(0.6/C$20)*M$11+100*M$11^4)*(1.34*('2'!E71^0.18)*(COS(D$20*PI()/180))^0.28)</f>
        <v>1.4126804691896839</v>
      </c>
      <c r="L67" s="193">
        <f>J67*M$24*K67*M$21/'4'!$L$15</f>
        <v>2.7701077771138134E-3</v>
      </c>
      <c r="M67" s="50">
        <f>M$20*L67*'2'!K71*'3'!E$44</f>
        <v>9.2223788014877268</v>
      </c>
      <c r="N67" s="25"/>
      <c r="O67" s="91">
        <f t="shared" si="2"/>
        <v>3672766.0743090818</v>
      </c>
      <c r="P67" s="91">
        <f t="shared" si="3"/>
        <v>3.5369897025998441E-3</v>
      </c>
      <c r="Q67" s="36">
        <f>N$15*(1+(0.6/E$20)*N$11+100*N$11^4)*(1.34*('2'!E71^0.18)*(COS(F$20*PI()/180))^0.28)</f>
        <v>1.4100336803000579</v>
      </c>
      <c r="R67" s="193">
        <f>P67*N$24*Q67*N$21/'4'!$L$15</f>
        <v>1.7709471154052337E-3</v>
      </c>
      <c r="S67" s="50">
        <f>N$20*R67*'2'!K71*'3'!E$44</f>
        <v>5.8959240758082716</v>
      </c>
      <c r="T67" s="25"/>
      <c r="U67" s="25"/>
      <c r="V67" s="25"/>
      <c r="W67" s="25"/>
      <c r="X67" s="25"/>
      <c r="Y67" s="25"/>
      <c r="Z67" s="25"/>
      <c r="AA67" s="25"/>
    </row>
    <row r="68" spans="2:27">
      <c r="B68" t="str">
        <f>'2'!C72</f>
        <v>Loiter 3c</v>
      </c>
      <c r="C68" s="189">
        <f>((-2.949115E-35*('2'!D72^6)) + (1.361403E-29*('2'!D72^5)) - (2.309923E-24*('2'!D72^4)) + (1.762239E-19*('2'!D72^3)) - (5.221998E-15*('2'!D72^2)) - (0.00000000001696421*'2'!D72) + 0.00001208327)/32.174</f>
        <v>3.7195070095491899E-7</v>
      </c>
      <c r="D68" s="91">
        <f>'4'!C63/'2'!H72</f>
        <v>1.737510759265973E-4</v>
      </c>
      <c r="E68" s="77">
        <f>'2'!E72*COS('4'!L$9*PI()/180)</f>
        <v>0.15</v>
      </c>
      <c r="F68" s="50">
        <f>'2'!I72*COS(PI()*'4'!L$9/180)</f>
        <v>165.54666128699998</v>
      </c>
      <c r="G68" s="50">
        <f>0.5*'2'!H72*('4'!F63^2)</f>
        <v>29.333827656839404</v>
      </c>
      <c r="H68" s="25"/>
      <c r="I68" s="91">
        <f t="shared" si="0"/>
        <v>2725893.8689107927</v>
      </c>
      <c r="J68" s="91">
        <f t="shared" si="1"/>
        <v>3.7235258547585058E-3</v>
      </c>
      <c r="K68" s="36">
        <f>M$15*(1+(0.6/C$20)*M$11+100*M$11^4)*(1.34*('2'!E72^0.18)*(COS(D$20*PI()/180))^0.28)</f>
        <v>1.4126804691896839</v>
      </c>
      <c r="L68" s="193">
        <f>J68*M$24*K68*M$21/'4'!$L$15</f>
        <v>2.7701077771138134E-3</v>
      </c>
      <c r="M68" s="50">
        <f>M$20*L68*'2'!K72*'3'!E$44</f>
        <v>9.2223788014877268</v>
      </c>
      <c r="N68" s="25"/>
      <c r="O68" s="91">
        <f t="shared" si="2"/>
        <v>3672766.0743090818</v>
      </c>
      <c r="P68" s="91">
        <f t="shared" si="3"/>
        <v>3.5369897025998441E-3</v>
      </c>
      <c r="Q68" s="36">
        <f>N$15*(1+(0.6/E$20)*N$11+100*N$11^4)*(1.34*('2'!E72^0.18)*(COS(F$20*PI()/180))^0.28)</f>
        <v>1.4100336803000579</v>
      </c>
      <c r="R68" s="193">
        <f>P68*N$24*Q68*N$21/'4'!$L$15</f>
        <v>1.7709471154052337E-3</v>
      </c>
      <c r="S68" s="50">
        <f>N$20*R68*'2'!K72*'3'!E$44</f>
        <v>5.8959240758082716</v>
      </c>
      <c r="T68" s="25"/>
      <c r="U68" s="25"/>
      <c r="V68" s="25"/>
      <c r="W68" s="25"/>
      <c r="X68" s="25"/>
      <c r="Y68" s="25"/>
      <c r="Z68" s="25"/>
      <c r="AA68" s="25"/>
    </row>
    <row r="69" spans="2:27">
      <c r="B69" t="str">
        <f>'2'!C73</f>
        <v>Loiter 3d</v>
      </c>
      <c r="C69" s="189">
        <f>((-2.949115E-35*('2'!D73^6)) + (1.361403E-29*('2'!D73^5)) - (2.309923E-24*('2'!D73^4)) + (1.762239E-19*('2'!D73^3)) - (5.221998E-15*('2'!D73^2)) - (0.00000000001696421*'2'!D73) + 0.00001208327)/32.174</f>
        <v>3.7195070095491899E-7</v>
      </c>
      <c r="D69" s="91">
        <f>'4'!C64/'2'!H73</f>
        <v>1.737510759265973E-4</v>
      </c>
      <c r="E69" s="77">
        <f>'2'!E73*COS('4'!L$9*PI()/180)</f>
        <v>0.15</v>
      </c>
      <c r="F69" s="50">
        <f>'2'!I73*COS(PI()*'4'!L$9/180)</f>
        <v>165.54666128699998</v>
      </c>
      <c r="G69" s="50">
        <f>0.5*'2'!H73*('4'!F64^2)</f>
        <v>29.333827656839404</v>
      </c>
      <c r="H69" s="25"/>
      <c r="I69" s="91">
        <f t="shared" si="0"/>
        <v>2725893.8689107927</v>
      </c>
      <c r="J69" s="91">
        <f t="shared" si="1"/>
        <v>3.7235258547585058E-3</v>
      </c>
      <c r="K69" s="36">
        <f>M$15*(1+(0.6/C$20)*M$11+100*M$11^4)*(1.34*('2'!E73^0.18)*(COS(D$20*PI()/180))^0.28)</f>
        <v>1.4126804691896839</v>
      </c>
      <c r="L69" s="193">
        <f>J69*M$24*K69*M$21/'4'!$L$15</f>
        <v>2.7701077771138134E-3</v>
      </c>
      <c r="M69" s="50">
        <f>M$20*L69*'2'!K73*'3'!E$44</f>
        <v>9.2223788014877268</v>
      </c>
      <c r="N69" s="25"/>
      <c r="O69" s="91">
        <f t="shared" si="2"/>
        <v>3672766.0743090818</v>
      </c>
      <c r="P69" s="91">
        <f t="shared" si="3"/>
        <v>3.5369897025998441E-3</v>
      </c>
      <c r="Q69" s="36">
        <f>N$15*(1+(0.6/E$20)*N$11+100*N$11^4)*(1.34*('2'!E73^0.18)*(COS(F$20*PI()/180))^0.28)</f>
        <v>1.4100336803000579</v>
      </c>
      <c r="R69" s="193">
        <f>P69*N$24*Q69*N$21/'4'!$L$15</f>
        <v>1.7709471154052337E-3</v>
      </c>
      <c r="S69" s="50">
        <f>N$20*R69*'2'!K73*'3'!E$44</f>
        <v>5.8959240758082716</v>
      </c>
      <c r="T69" s="25"/>
      <c r="U69" s="25"/>
      <c r="V69" s="25"/>
      <c r="W69" s="25"/>
      <c r="X69" s="25"/>
      <c r="Y69" s="25"/>
      <c r="Z69" s="25"/>
      <c r="AA69" s="25"/>
    </row>
    <row r="70" spans="2:27">
      <c r="B70" t="str">
        <f>'2'!C74</f>
        <v>Loiter 3e</v>
      </c>
      <c r="C70" s="189">
        <f>((-2.949115E-35*('2'!D74^6)) + (1.361403E-29*('2'!D74^5)) - (2.309923E-24*('2'!D74^4)) + (1.762239E-19*('2'!D74^3)) - (5.221998E-15*('2'!D74^2)) - (0.00000000001696421*'2'!D74) + 0.00001208327)/32.174</f>
        <v>3.7195070095491899E-7</v>
      </c>
      <c r="D70" s="91">
        <f>'4'!C65/'2'!H74</f>
        <v>1.737510759265973E-4</v>
      </c>
      <c r="E70" s="77">
        <f>'2'!E74*COS('4'!L$9*PI()/180)</f>
        <v>0.15</v>
      </c>
      <c r="F70" s="50">
        <f>'2'!I74*COS(PI()*'4'!L$9/180)</f>
        <v>165.54666128699998</v>
      </c>
      <c r="G70" s="50">
        <f>0.5*'2'!H74*('4'!F65^2)</f>
        <v>29.333827656839404</v>
      </c>
      <c r="H70" s="25"/>
      <c r="I70" s="91">
        <f t="shared" si="0"/>
        <v>2725893.8689107927</v>
      </c>
      <c r="J70" s="91">
        <f t="shared" si="1"/>
        <v>3.7235258547585058E-3</v>
      </c>
      <c r="K70" s="36">
        <f>M$15*(1+(0.6/C$20)*M$11+100*M$11^4)*(1.34*('2'!E74^0.18)*(COS(D$20*PI()/180))^0.28)</f>
        <v>1.4126804691896839</v>
      </c>
      <c r="L70" s="193">
        <f>J70*M$24*K70*M$21/'4'!$L$15</f>
        <v>2.7701077771138134E-3</v>
      </c>
      <c r="M70" s="50">
        <f>M$20*L70*'2'!K74*'3'!E$44</f>
        <v>9.2223788014877268</v>
      </c>
      <c r="N70" s="25"/>
      <c r="O70" s="91">
        <f t="shared" si="2"/>
        <v>3672766.0743090818</v>
      </c>
      <c r="P70" s="91">
        <f t="shared" si="3"/>
        <v>3.5369897025998441E-3</v>
      </c>
      <c r="Q70" s="36">
        <f>N$15*(1+(0.6/E$20)*N$11+100*N$11^4)*(1.34*('2'!E74^0.18)*(COS(F$20*PI()/180))^0.28)</f>
        <v>1.4100336803000579</v>
      </c>
      <c r="R70" s="193">
        <f>P70*N$24*Q70*N$21/'4'!$L$15</f>
        <v>1.7709471154052337E-3</v>
      </c>
      <c r="S70" s="50">
        <f>N$20*R70*'2'!K74*'3'!E$44</f>
        <v>5.8959240758082716</v>
      </c>
      <c r="T70" s="25"/>
      <c r="U70" s="25"/>
      <c r="V70" s="25"/>
      <c r="W70" s="25"/>
      <c r="X70" s="25"/>
      <c r="Y70" s="25"/>
      <c r="Z70" s="25"/>
      <c r="AA70" s="25"/>
    </row>
    <row r="71" spans="2:27">
      <c r="B71" t="str">
        <f>'2'!C75</f>
        <v>Land and Taxi In</v>
      </c>
      <c r="C71" s="189">
        <f>((-2.949115E-35*('2'!D75^6)) + (1.361403E-29*('2'!D75^5)) - (2.309923E-24*('2'!D75^4)) + (1.762239E-19*('2'!D75^3)) - (5.221998E-15*('2'!D75^2)) - (0.00000000001696421*'2'!D75) + 0.00001208327)/32.174</f>
        <v>3.7556007956735249E-7</v>
      </c>
      <c r="D71" s="91">
        <f>'4'!C66/'2'!H75</f>
        <v>1.5757767780136161E-4</v>
      </c>
      <c r="E71" s="77">
        <f>'2'!E75*COS('4'!L$9*PI()/180)</f>
        <v>0.1</v>
      </c>
      <c r="F71" s="50">
        <f>'2'!I75*COS(PI()*'4'!L$9/180)</f>
        <v>111.79905800000002</v>
      </c>
      <c r="G71" s="50">
        <f>0.5*'2'!H75*('4'!F66^2)</f>
        <v>14.894674582372549</v>
      </c>
      <c r="H71" s="25"/>
      <c r="I71" s="91">
        <f t="shared" si="0"/>
        <v>2029829.0666406427</v>
      </c>
      <c r="J71" s="91">
        <f t="shared" si="1"/>
        <v>3.9262745150305759E-3</v>
      </c>
      <c r="K71" s="36">
        <f>(1+(0.6/C$20)*M$11+100*M$11^4)*(1.34*('2'!E75^0.18)*(COS(D$20*PI()/180))^0.28)</f>
        <v>1.2507145875913588</v>
      </c>
      <c r="L71" s="193">
        <f>J71*M$24*K71*M$21/'4'!$L$15</f>
        <v>2.5860518500374452E-3</v>
      </c>
      <c r="M71" s="50">
        <f>M$20*L71*'2'!K75*'3'!E$44</f>
        <v>4.3716541956591284</v>
      </c>
      <c r="N71" s="25"/>
      <c r="O71" s="91">
        <f t="shared" si="2"/>
        <v>2734914.743978316</v>
      </c>
      <c r="P71" s="91">
        <f t="shared" si="3"/>
        <v>3.7257312101452084E-3</v>
      </c>
      <c r="Q71" s="36">
        <f>N$15*(1+(0.6/E$20)*N$11+100*N$11^4)*(1.34*('2'!E75^0.18)*(COS(F$20*PI()/180))^0.28)</f>
        <v>1.3107898197643291</v>
      </c>
      <c r="R71" s="193">
        <f>P71*N$24*Q71*N$21/'4'!$L$15</f>
        <v>1.7341509180040639E-3</v>
      </c>
      <c r="S71" s="50">
        <f>N$20*R71*'2'!K75*'3'!E$44</f>
        <v>2.931537562361259</v>
      </c>
      <c r="T71" s="25"/>
      <c r="U71" s="25"/>
      <c r="V71" s="25"/>
      <c r="W71" s="25"/>
      <c r="X71" s="25"/>
      <c r="Y71" s="25"/>
      <c r="Z71" s="25"/>
      <c r="AA71" s="25"/>
    </row>
    <row r="72" spans="2:27">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spans="2:27" ht="13.8" thickBot="1">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spans="2:27">
      <c r="B74" s="886" t="s">
        <v>194</v>
      </c>
      <c r="C74" s="22"/>
      <c r="D74" s="22"/>
      <c r="E74" s="22"/>
      <c r="F74" s="22"/>
      <c r="G74" s="22"/>
      <c r="H74" s="22"/>
      <c r="I74" s="22"/>
      <c r="J74" s="22"/>
      <c r="K74" s="22"/>
      <c r="L74" s="22"/>
      <c r="M74" s="22"/>
      <c r="N74" s="22"/>
      <c r="O74" s="22"/>
      <c r="P74" s="22"/>
      <c r="Q74" s="22"/>
      <c r="R74" s="22"/>
      <c r="S74" s="23"/>
      <c r="T74" s="25"/>
      <c r="U74" s="25"/>
      <c r="V74" s="25"/>
      <c r="W74" s="25"/>
      <c r="X74" s="25"/>
      <c r="Y74" s="25"/>
      <c r="Z74" s="25"/>
    </row>
    <row r="75" spans="2:27">
      <c r="B75" s="24"/>
      <c r="C75" s="25"/>
      <c r="D75" s="25"/>
      <c r="E75" s="25"/>
      <c r="F75" s="25"/>
      <c r="G75" s="25"/>
      <c r="H75" s="25"/>
      <c r="I75" s="25"/>
      <c r="J75" s="25"/>
      <c r="K75" s="25"/>
      <c r="L75" s="25"/>
      <c r="M75" s="25"/>
      <c r="N75" s="25"/>
      <c r="O75" s="25"/>
      <c r="P75" s="25"/>
      <c r="Q75" s="25"/>
      <c r="R75" s="25"/>
      <c r="S75" s="26"/>
      <c r="T75" s="25"/>
      <c r="U75" s="25"/>
      <c r="V75" s="25"/>
      <c r="W75" s="25"/>
      <c r="X75" s="25"/>
      <c r="Y75" s="25"/>
      <c r="Z75" s="25"/>
    </row>
    <row r="76" spans="2:27">
      <c r="B76" s="84" t="s">
        <v>576</v>
      </c>
      <c r="C76" s="25"/>
      <c r="D76" s="25"/>
      <c r="E76" s="85" t="s">
        <v>574</v>
      </c>
      <c r="F76" s="25"/>
      <c r="G76" s="25"/>
      <c r="H76" s="85" t="s">
        <v>577</v>
      </c>
      <c r="I76" s="25"/>
      <c r="J76" s="25"/>
      <c r="K76" s="85" t="s">
        <v>573</v>
      </c>
      <c r="L76" s="25"/>
      <c r="M76" s="25"/>
      <c r="N76" s="85" t="s">
        <v>1002</v>
      </c>
      <c r="O76" s="25"/>
      <c r="P76" s="25"/>
      <c r="Q76" s="96" t="s">
        <v>1003</v>
      </c>
      <c r="R76" s="94"/>
      <c r="S76" s="651"/>
      <c r="T76" s="25"/>
      <c r="U76" s="25"/>
      <c r="V76" s="25"/>
      <c r="W76" s="25"/>
      <c r="X76" s="25"/>
      <c r="Y76" s="25"/>
      <c r="Z76" s="25"/>
    </row>
    <row r="77" spans="2:27">
      <c r="B77" s="887" t="s">
        <v>196</v>
      </c>
      <c r="C77" s="182" t="s">
        <v>197</v>
      </c>
      <c r="D77" s="25"/>
      <c r="E77" s="25" t="s">
        <v>196</v>
      </c>
      <c r="F77" s="25" t="s">
        <v>197</v>
      </c>
      <c r="G77" s="25"/>
      <c r="H77" s="182" t="s">
        <v>196</v>
      </c>
      <c r="I77" s="182" t="s">
        <v>197</v>
      </c>
      <c r="J77" s="25"/>
      <c r="K77" s="25" t="s">
        <v>196</v>
      </c>
      <c r="L77" s="25" t="s">
        <v>197</v>
      </c>
      <c r="M77" s="25"/>
      <c r="N77" s="82" t="s">
        <v>196</v>
      </c>
      <c r="O77" s="82" t="s">
        <v>197</v>
      </c>
      <c r="P77" s="25"/>
      <c r="Q77" s="94"/>
      <c r="R77" s="94" t="s">
        <v>196</v>
      </c>
      <c r="S77" s="651" t="s">
        <v>197</v>
      </c>
      <c r="T77" s="25"/>
      <c r="U77" s="25"/>
      <c r="V77" s="25"/>
      <c r="W77" s="25"/>
      <c r="X77" s="25"/>
      <c r="Y77" s="25"/>
      <c r="Z77" s="25"/>
    </row>
    <row r="78" spans="2:27">
      <c r="B78" s="888">
        <v>0</v>
      </c>
      <c r="C78" s="194">
        <v>0</v>
      </c>
      <c r="D78" s="25"/>
      <c r="E78" s="25">
        <f>F78*TAN(D17*(PI()/180))</f>
        <v>7.8499063108347478E-2</v>
      </c>
      <c r="F78" s="88">
        <f>(M25/6)*(1+(2*M9))/(1+M9)</f>
        <v>2.2479190536422147</v>
      </c>
      <c r="G78" s="25"/>
      <c r="H78" s="25">
        <f>E88-(L78*TAN(F17*(PI()/180)))</f>
        <v>-0.77281934198294899</v>
      </c>
      <c r="I78" s="194">
        <v>0</v>
      </c>
      <c r="J78" s="25"/>
      <c r="K78" s="25">
        <f>E88</f>
        <v>-0.16995062348442946</v>
      </c>
      <c r="L78" s="88">
        <f>(N25/3)*(1+(2*N9))/(1+N9)</f>
        <v>2.2499366877304139</v>
      </c>
      <c r="M78" s="25"/>
      <c r="N78" s="191">
        <v>0</v>
      </c>
      <c r="O78" s="195">
        <v>0</v>
      </c>
      <c r="P78" s="25"/>
      <c r="Q78" s="94" t="s">
        <v>324</v>
      </c>
      <c r="R78" s="94">
        <f>S78*TAN(F17*(PI()/180))</f>
        <v>0.60286871849851953</v>
      </c>
      <c r="S78" s="647">
        <f>(N25/3)*(1+(2*N9))/(1+N9)</f>
        <v>2.2499366877304139</v>
      </c>
      <c r="T78" s="25"/>
      <c r="U78" s="25"/>
      <c r="V78" s="25"/>
      <c r="W78" s="25"/>
      <c r="X78" s="25"/>
      <c r="Y78" s="25"/>
      <c r="Z78" s="25"/>
    </row>
    <row r="79" spans="2:27">
      <c r="B79" s="888">
        <f>M26</f>
        <v>3.503250473208646</v>
      </c>
      <c r="C79" s="194">
        <v>0</v>
      </c>
      <c r="D79" s="25"/>
      <c r="E79" s="25">
        <f>M26+(F79*TAN(D21*(PI()/180)))</f>
        <v>2.9394869495620748</v>
      </c>
      <c r="F79" s="88">
        <f>F78</f>
        <v>2.2479190536422147</v>
      </c>
      <c r="G79" s="25"/>
      <c r="H79" s="194">
        <f>H78+N26</f>
        <v>3.947327555353584</v>
      </c>
      <c r="I79" s="194">
        <v>0</v>
      </c>
      <c r="J79" s="25"/>
      <c r="K79" s="25">
        <f>E89</f>
        <v>3.6848360093404056</v>
      </c>
      <c r="L79" s="88">
        <f>L78</f>
        <v>2.2499366877304139</v>
      </c>
      <c r="M79" s="25"/>
      <c r="N79" s="191">
        <f>N26</f>
        <v>4.7201468973365328</v>
      </c>
      <c r="O79" s="195">
        <v>0</v>
      </c>
      <c r="P79" s="25"/>
      <c r="Q79" s="94"/>
      <c r="R79" s="94">
        <f>N26+(S79*TAN(F21*(PI()/180)))</f>
        <v>4.4576553513233543</v>
      </c>
      <c r="S79" s="647">
        <f>S78</f>
        <v>2.2499366877304139</v>
      </c>
      <c r="T79" s="25"/>
      <c r="U79" s="25"/>
      <c r="V79" s="25"/>
      <c r="W79" s="25"/>
      <c r="X79" s="25"/>
      <c r="Y79" s="25"/>
      <c r="Z79" s="25"/>
    </row>
    <row r="80" spans="2:27">
      <c r="B80" s="888">
        <f>M26+(M25/2)*TAN(PI()*D21/180)</f>
        <v>2.2732209670706727</v>
      </c>
      <c r="C80" s="194">
        <f>M25/2</f>
        <v>4.9045506624921051</v>
      </c>
      <c r="D80" s="25"/>
      <c r="E80" s="25"/>
      <c r="F80" s="25"/>
      <c r="G80" s="25"/>
      <c r="H80" s="194">
        <f>H78+N26+(N25/1)*TAN(PI()*F21/180)</f>
        <v>3.374618727688468</v>
      </c>
      <c r="I80" s="194">
        <f>N25/1</f>
        <v>4.908952773229994</v>
      </c>
      <c r="J80" s="25"/>
      <c r="K80" s="25"/>
      <c r="L80" s="25"/>
      <c r="M80" s="25"/>
      <c r="N80" s="191">
        <f>N26+(N25*TAN(PI()*F21/180))</f>
        <v>4.1474380696714164</v>
      </c>
      <c r="O80" s="195">
        <f>N25</f>
        <v>4.908952773229994</v>
      </c>
      <c r="P80" s="25"/>
      <c r="Q80" s="94" t="s">
        <v>538</v>
      </c>
      <c r="R80" s="94">
        <f>S80*TAN(D17*(PI()/180))</f>
        <v>7.8499063108347478E-2</v>
      </c>
      <c r="S80" s="647">
        <f>(M25/6)*(1+(2*M9))/(1+M9)</f>
        <v>2.2479190536422147</v>
      </c>
      <c r="T80" s="25"/>
      <c r="U80" s="25"/>
      <c r="V80" s="25"/>
      <c r="W80" s="25"/>
      <c r="X80" s="25"/>
      <c r="Y80" s="25"/>
      <c r="Z80" s="25"/>
    </row>
    <row r="81" spans="2:26">
      <c r="B81" s="888">
        <f>M25/2*TAN(PI()*D17/180)</f>
        <v>0.17127068314548544</v>
      </c>
      <c r="C81" s="194">
        <f>M25/2</f>
        <v>4.9045506624921051</v>
      </c>
      <c r="D81" s="25"/>
      <c r="E81" s="85" t="s">
        <v>575</v>
      </c>
      <c r="F81" s="25"/>
      <c r="G81" s="25"/>
      <c r="H81" s="194">
        <f>H78+((N25/1)*TAN(PI()*F17/180))</f>
        <v>0.54253058928654818</v>
      </c>
      <c r="I81" s="194">
        <f>N25/1</f>
        <v>4.908952773229994</v>
      </c>
      <c r="J81" s="25"/>
      <c r="K81" s="25"/>
      <c r="L81" s="25"/>
      <c r="M81" s="25"/>
      <c r="N81" s="191">
        <f>N25*TAN(PI()*F17/180)</f>
        <v>1.3153499312694972</v>
      </c>
      <c r="O81" s="195">
        <f>N25</f>
        <v>4.908952773229994</v>
      </c>
      <c r="P81" s="25"/>
      <c r="Q81" s="94"/>
      <c r="R81" s="94">
        <f>M26+(S81*TAN(D21*(PI()/180)))</f>
        <v>2.9394869495620748</v>
      </c>
      <c r="S81" s="647">
        <f>S80</f>
        <v>2.2479190536422147</v>
      </c>
      <c r="T81" s="25"/>
      <c r="U81" s="25"/>
      <c r="V81" s="25"/>
      <c r="W81" s="25"/>
      <c r="X81" s="25"/>
      <c r="Y81" s="25"/>
      <c r="Z81" s="25"/>
    </row>
    <row r="82" spans="2:26">
      <c r="B82" s="888">
        <v>0</v>
      </c>
      <c r="C82" s="194">
        <v>0</v>
      </c>
      <c r="D82" s="25"/>
      <c r="E82" s="25" t="s">
        <v>196</v>
      </c>
      <c r="F82" s="25" t="s">
        <v>197</v>
      </c>
      <c r="G82" s="25"/>
      <c r="H82" s="194">
        <f>H78</f>
        <v>-0.77281934198294899</v>
      </c>
      <c r="I82" s="194">
        <v>0</v>
      </c>
      <c r="J82" s="25"/>
      <c r="K82" s="85" t="s">
        <v>579</v>
      </c>
      <c r="L82" s="25"/>
      <c r="M82" s="25"/>
      <c r="N82" s="191">
        <v>0</v>
      </c>
      <c r="O82" s="195">
        <v>0</v>
      </c>
      <c r="P82" s="25"/>
      <c r="Q82" s="25"/>
      <c r="R82" s="25"/>
      <c r="S82" s="26"/>
      <c r="T82" s="25"/>
      <c r="U82" s="25"/>
      <c r="V82" s="25"/>
      <c r="W82" s="25"/>
      <c r="X82" s="25"/>
      <c r="Y82" s="25"/>
      <c r="Z82" s="25"/>
    </row>
    <row r="83" spans="2:26">
      <c r="B83" s="257">
        <f>B78</f>
        <v>0</v>
      </c>
      <c r="C83" s="35">
        <f>C78</f>
        <v>0</v>
      </c>
      <c r="D83" s="25"/>
      <c r="E83" s="25">
        <f>E78</f>
        <v>7.8499063108347478E-2</v>
      </c>
      <c r="F83" s="88">
        <f>-F78</f>
        <v>-2.2479190536422147</v>
      </c>
      <c r="G83" s="25"/>
      <c r="H83" s="25"/>
      <c r="I83" s="25"/>
      <c r="J83" s="25"/>
      <c r="K83" s="25" t="s">
        <v>196</v>
      </c>
      <c r="L83" s="25" t="s">
        <v>197</v>
      </c>
      <c r="M83" s="25"/>
      <c r="N83" s="25"/>
      <c r="O83" s="25"/>
      <c r="P83" s="25"/>
      <c r="Q83" s="25"/>
      <c r="R83" s="25"/>
      <c r="S83" s="26"/>
      <c r="T83" s="25"/>
      <c r="U83" s="25"/>
      <c r="V83" s="25"/>
      <c r="W83" s="25"/>
      <c r="X83" s="25"/>
      <c r="Y83" s="25"/>
      <c r="Z83" s="25"/>
    </row>
    <row r="84" spans="2:26">
      <c r="B84" s="257">
        <f>B79</f>
        <v>3.503250473208646</v>
      </c>
      <c r="C84" s="35">
        <f>C79</f>
        <v>0</v>
      </c>
      <c r="D84" s="25"/>
      <c r="E84" s="25">
        <f>E79</f>
        <v>2.9394869495620748</v>
      </c>
      <c r="F84" s="88">
        <f>F83</f>
        <v>-2.2479190536422147</v>
      </c>
      <c r="G84" s="25"/>
      <c r="H84" s="25"/>
      <c r="I84" s="25"/>
      <c r="J84" s="25"/>
      <c r="K84" s="25">
        <f>E78</f>
        <v>7.8499063108347478E-2</v>
      </c>
      <c r="L84" s="88">
        <f>M16</f>
        <v>0</v>
      </c>
      <c r="M84" s="25"/>
      <c r="N84" s="25"/>
      <c r="O84" s="25"/>
      <c r="P84" s="25"/>
      <c r="Q84" s="25"/>
      <c r="R84" s="25"/>
      <c r="S84" s="26"/>
      <c r="T84" s="25"/>
      <c r="U84" s="25"/>
      <c r="V84" s="25"/>
      <c r="W84" s="25"/>
      <c r="X84" s="25"/>
      <c r="Y84" s="25"/>
      <c r="Z84" s="25"/>
    </row>
    <row r="85" spans="2:26">
      <c r="B85" s="257">
        <f>B80</f>
        <v>2.2732209670706727</v>
      </c>
      <c r="C85" s="35">
        <f>-C80</f>
        <v>-4.9045506624921051</v>
      </c>
      <c r="D85" s="25"/>
      <c r="E85" s="25"/>
      <c r="F85" s="25"/>
      <c r="G85" s="25"/>
      <c r="H85" s="25"/>
      <c r="I85" s="25"/>
      <c r="J85" s="25"/>
      <c r="K85" s="25">
        <f>E79</f>
        <v>2.9394869495620748</v>
      </c>
      <c r="L85" s="88">
        <f>M16</f>
        <v>0</v>
      </c>
      <c r="M85" s="25"/>
      <c r="N85" s="25"/>
      <c r="O85" s="25"/>
      <c r="P85" s="25"/>
      <c r="Q85" s="25"/>
      <c r="R85" s="25"/>
      <c r="S85" s="26"/>
      <c r="T85" s="25"/>
      <c r="U85" s="25"/>
      <c r="V85" s="25"/>
      <c r="W85" s="25"/>
      <c r="X85" s="25"/>
      <c r="Y85" s="25"/>
      <c r="Z85" s="25"/>
    </row>
    <row r="86" spans="2:26">
      <c r="B86" s="257">
        <f>B81</f>
        <v>0.17127068314548544</v>
      </c>
      <c r="C86" s="35">
        <f>-C81</f>
        <v>-4.9045506624921051</v>
      </c>
      <c r="D86" s="25"/>
      <c r="E86" s="85" t="s">
        <v>578</v>
      </c>
      <c r="F86" s="25"/>
      <c r="G86" s="25"/>
      <c r="H86" s="25"/>
      <c r="I86" s="25"/>
      <c r="J86" s="25"/>
      <c r="K86" s="25"/>
      <c r="L86" s="25"/>
      <c r="M86" s="25"/>
      <c r="N86" s="25"/>
      <c r="O86" s="25"/>
      <c r="P86" s="25"/>
      <c r="Q86" s="25"/>
      <c r="R86" s="25"/>
      <c r="S86" s="26"/>
      <c r="T86" s="25"/>
      <c r="U86" s="25"/>
      <c r="V86" s="25"/>
      <c r="W86" s="25"/>
      <c r="X86" s="25"/>
      <c r="Y86" s="25"/>
      <c r="Z86" s="25"/>
    </row>
    <row r="87" spans="2:26">
      <c r="B87" s="257">
        <f>B82</f>
        <v>0</v>
      </c>
      <c r="C87" s="35">
        <f>C82</f>
        <v>0</v>
      </c>
      <c r="D87" s="25"/>
      <c r="E87" s="25" t="s">
        <v>196</v>
      </c>
      <c r="F87" s="25" t="s">
        <v>197</v>
      </c>
      <c r="G87" s="25"/>
      <c r="H87" s="25"/>
      <c r="I87" s="25"/>
      <c r="J87" s="25"/>
      <c r="K87" s="25"/>
      <c r="L87" s="25"/>
      <c r="M87" s="25"/>
      <c r="N87" s="25"/>
      <c r="O87" s="25"/>
      <c r="P87" s="25"/>
      <c r="Q87" s="25"/>
      <c r="R87" s="25"/>
      <c r="S87" s="26"/>
      <c r="T87" s="25"/>
      <c r="U87" s="25"/>
      <c r="V87" s="25"/>
      <c r="W87" s="25"/>
      <c r="X87" s="25"/>
      <c r="Y87" s="25"/>
      <c r="Z87" s="25"/>
    </row>
    <row r="88" spans="2:26">
      <c r="B88" s="257"/>
      <c r="C88" s="35"/>
      <c r="D88" s="25"/>
      <c r="E88" s="25">
        <f>$E$78+(0.25*($E$79-E$78))+(($N$14-$M$14)*'5'!$T$15)-(0.25*((N26+(L79*TAN(F21*(PI()/180))))-(L78*TAN(F17*(PI()/180)))))</f>
        <v>-0.16995062348442946</v>
      </c>
      <c r="F88" s="88">
        <v>0</v>
      </c>
      <c r="G88" s="25"/>
      <c r="H88" s="25"/>
      <c r="I88" s="25"/>
      <c r="J88" s="25"/>
      <c r="K88" s="25"/>
      <c r="L88" s="25"/>
      <c r="M88" s="25"/>
      <c r="N88" s="25"/>
      <c r="O88" s="25"/>
      <c r="P88" s="25"/>
      <c r="Q88" s="25"/>
      <c r="R88" s="25"/>
      <c r="S88" s="26"/>
      <c r="T88" s="25"/>
      <c r="U88" s="25"/>
      <c r="V88" s="25"/>
      <c r="W88" s="25"/>
      <c r="X88" s="25"/>
      <c r="Y88" s="25"/>
      <c r="Z88" s="25"/>
    </row>
    <row r="89" spans="2:26" ht="13.8" thickBot="1">
      <c r="B89" s="966"/>
      <c r="C89" s="967"/>
      <c r="D89" s="62"/>
      <c r="E89" s="62">
        <f>E88+((N26+(L79*TAN(F21*(PI()/180))))-(L78*TAN(F17*(PI()/180))))</f>
        <v>3.6848360093404056</v>
      </c>
      <c r="F89" s="893">
        <v>0</v>
      </c>
      <c r="G89" s="62"/>
      <c r="H89" s="62"/>
      <c r="I89" s="62"/>
      <c r="J89" s="62"/>
      <c r="K89" s="62"/>
      <c r="L89" s="62"/>
      <c r="M89" s="62"/>
      <c r="N89" s="62"/>
      <c r="O89" s="62"/>
      <c r="P89" s="62"/>
      <c r="Q89" s="62"/>
      <c r="R89" s="62"/>
      <c r="S89" s="63"/>
      <c r="T89" s="25"/>
      <c r="U89" s="25"/>
      <c r="V89" s="25"/>
      <c r="W89" s="25"/>
      <c r="X89" s="25"/>
      <c r="Y89" s="25"/>
      <c r="Z89" s="25"/>
    </row>
    <row r="90" spans="2:26">
      <c r="B90" s="35"/>
      <c r="C90" s="35"/>
      <c r="D90" s="25"/>
      <c r="E90" s="25"/>
      <c r="F90" s="25"/>
      <c r="G90" s="25"/>
      <c r="H90" s="25"/>
      <c r="I90" s="25"/>
      <c r="J90" s="25"/>
      <c r="K90" s="25"/>
      <c r="L90" s="25"/>
      <c r="M90" s="25"/>
      <c r="N90" s="25"/>
      <c r="O90" s="25"/>
      <c r="P90" s="25"/>
      <c r="Q90" s="25"/>
      <c r="R90" s="25"/>
      <c r="S90" s="25"/>
      <c r="T90" s="25"/>
      <c r="U90" s="25"/>
      <c r="V90" s="25"/>
      <c r="W90" s="25"/>
      <c r="X90" s="25"/>
      <c r="Y90" s="25"/>
      <c r="Z90" s="25"/>
    </row>
    <row r="91" spans="2:26">
      <c r="B91" s="35"/>
      <c r="C91" s="35"/>
      <c r="D91" s="25"/>
      <c r="E91" s="25"/>
      <c r="F91" s="25"/>
      <c r="G91" s="25"/>
      <c r="H91" s="25"/>
      <c r="I91" s="25"/>
      <c r="J91" s="25"/>
      <c r="K91" s="25"/>
      <c r="L91" s="25"/>
      <c r="M91" s="25"/>
      <c r="N91" s="25"/>
      <c r="O91" s="25"/>
      <c r="P91" s="25"/>
      <c r="Q91" s="25"/>
      <c r="R91" s="25"/>
      <c r="S91" s="25"/>
      <c r="T91" s="25"/>
      <c r="U91" s="25"/>
      <c r="V91" s="25"/>
      <c r="W91" s="25"/>
      <c r="X91" s="25"/>
      <c r="Y91" s="25"/>
      <c r="Z91" s="25"/>
    </row>
    <row r="92" spans="2:26" ht="13.8" thickBot="1">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spans="2:26">
      <c r="B93" s="968" t="s">
        <v>562</v>
      </c>
      <c r="C93" s="274"/>
      <c r="D93" s="274"/>
      <c r="E93" s="687"/>
      <c r="F93" s="25"/>
      <c r="G93" s="96" t="s">
        <v>570</v>
      </c>
      <c r="H93" s="94"/>
      <c r="I93" s="25"/>
      <c r="J93" s="96" t="s">
        <v>580</v>
      </c>
      <c r="K93" s="94"/>
      <c r="L93" s="25"/>
      <c r="M93" s="25"/>
      <c r="N93" s="25"/>
      <c r="O93" s="25"/>
      <c r="P93" s="25"/>
      <c r="Q93" s="25"/>
      <c r="R93" s="25"/>
      <c r="S93" s="25"/>
      <c r="T93" s="25"/>
      <c r="U93" s="25"/>
      <c r="V93" s="25"/>
      <c r="W93" s="25"/>
      <c r="X93" s="25"/>
      <c r="Y93" s="25"/>
      <c r="Z93" s="25"/>
    </row>
    <row r="94" spans="2:26">
      <c r="B94" s="249"/>
      <c r="C94" s="94" t="s">
        <v>563</v>
      </c>
      <c r="D94" s="94" t="s">
        <v>564</v>
      </c>
      <c r="E94" s="651" t="s">
        <v>565</v>
      </c>
      <c r="F94" s="25"/>
      <c r="G94" s="94" t="s">
        <v>571</v>
      </c>
      <c r="H94" s="94" t="s">
        <v>572</v>
      </c>
      <c r="I94" s="25"/>
      <c r="J94" s="191">
        <f>K84</f>
        <v>7.8499063108347478E-2</v>
      </c>
      <c r="K94" s="195">
        <f>Q12</f>
        <v>0</v>
      </c>
      <c r="L94" s="25"/>
      <c r="M94" s="25"/>
      <c r="N94" s="25"/>
      <c r="O94" s="25"/>
      <c r="P94" s="25"/>
      <c r="Q94" s="25"/>
      <c r="R94" s="25"/>
      <c r="S94" s="25"/>
      <c r="T94" s="25"/>
      <c r="U94" s="25"/>
      <c r="V94" s="25"/>
      <c r="W94" s="25"/>
      <c r="X94" s="25"/>
      <c r="Y94" s="25"/>
      <c r="Z94" s="25"/>
    </row>
    <row r="95" spans="2:26">
      <c r="B95" s="249" t="s">
        <v>566</v>
      </c>
      <c r="C95" s="94" t="s">
        <v>567</v>
      </c>
      <c r="D95" s="94" t="s">
        <v>567</v>
      </c>
      <c r="E95" s="651" t="s">
        <v>567</v>
      </c>
      <c r="F95" s="25"/>
      <c r="G95" s="94">
        <f>(M14*'5'!T15)/'4'!L20</f>
        <v>2.8899158496242876</v>
      </c>
      <c r="H95" s="195">
        <f>M16/'4'!L20</f>
        <v>0</v>
      </c>
      <c r="I95" s="25"/>
      <c r="J95" s="191">
        <f>J94+(2*I80*TAN((PI()/180)*30))</f>
        <v>5.7468694732353409</v>
      </c>
      <c r="K95" s="195">
        <f>2*I80</f>
        <v>9.817905546459988</v>
      </c>
      <c r="L95" s="25"/>
      <c r="M95" s="25"/>
      <c r="N95" s="25"/>
      <c r="O95" s="25"/>
      <c r="P95" s="25"/>
      <c r="Q95" s="25"/>
      <c r="R95" s="25"/>
      <c r="S95" s="25"/>
      <c r="T95" s="25"/>
      <c r="U95" s="25"/>
      <c r="V95" s="25"/>
      <c r="W95" s="25"/>
      <c r="X95" s="25"/>
      <c r="Y95" s="25"/>
      <c r="Z95" s="25"/>
    </row>
    <row r="96" spans="2:26">
      <c r="B96" s="249">
        <v>1.2</v>
      </c>
      <c r="C96" s="195">
        <v>-8.3000000000000004E-2</v>
      </c>
      <c r="D96" s="195">
        <v>0.11700000000000001</v>
      </c>
      <c r="E96" s="647">
        <v>0.61699999999999999</v>
      </c>
      <c r="F96" s="25"/>
      <c r="G96" s="25"/>
      <c r="H96" s="25"/>
      <c r="I96" s="25"/>
      <c r="J96" s="191"/>
      <c r="K96" s="94"/>
      <c r="L96" s="25"/>
      <c r="M96" s="25"/>
      <c r="N96" s="25"/>
      <c r="O96" s="25"/>
      <c r="P96" s="25"/>
      <c r="Q96" s="25"/>
      <c r="R96" s="25"/>
      <c r="S96" s="25"/>
      <c r="T96" s="25"/>
      <c r="U96" s="25"/>
      <c r="V96" s="25"/>
      <c r="W96" s="25"/>
      <c r="X96" s="25"/>
      <c r="Y96" s="25"/>
      <c r="Z96" s="25"/>
    </row>
    <row r="97" spans="2:26">
      <c r="B97" s="249">
        <v>2</v>
      </c>
      <c r="C97" s="195">
        <v>-0.15</v>
      </c>
      <c r="D97" s="195">
        <v>0.25</v>
      </c>
      <c r="E97" s="647">
        <v>0.98299999999999998</v>
      </c>
      <c r="F97" s="25"/>
      <c r="G97" s="25"/>
      <c r="H97" s="25"/>
      <c r="I97" s="25"/>
      <c r="J97" s="191">
        <f>K85</f>
        <v>2.9394869495620748</v>
      </c>
      <c r="K97" s="195">
        <f>Q12</f>
        <v>0</v>
      </c>
      <c r="L97" s="25"/>
      <c r="M97" s="25"/>
      <c r="N97" s="25"/>
      <c r="O97" s="25"/>
      <c r="P97" s="25"/>
      <c r="Q97" s="25"/>
      <c r="R97" s="25"/>
      <c r="S97" s="25"/>
      <c r="T97" s="25"/>
      <c r="U97" s="25"/>
      <c r="V97" s="25"/>
      <c r="W97" s="25"/>
      <c r="X97" s="25"/>
      <c r="Y97" s="25"/>
      <c r="Z97" s="25"/>
    </row>
    <row r="98" spans="2:26">
      <c r="B98" s="249">
        <v>3</v>
      </c>
      <c r="C98" s="195">
        <v>-0.2</v>
      </c>
      <c r="D98" s="195">
        <v>0.41699999999999998</v>
      </c>
      <c r="E98" s="647">
        <v>1.333</v>
      </c>
      <c r="F98" s="25"/>
      <c r="G98" s="25"/>
      <c r="H98" s="25"/>
      <c r="I98" s="25"/>
      <c r="J98" s="191">
        <f>J97+(2*I80*TAN((PI()/180)*60))</f>
        <v>19.94459817994305</v>
      </c>
      <c r="K98" s="195">
        <f>2*I80</f>
        <v>9.817905546459988</v>
      </c>
      <c r="L98" s="25"/>
      <c r="M98" s="25"/>
      <c r="N98" s="25"/>
      <c r="O98" s="25"/>
      <c r="P98" s="25"/>
      <c r="Q98" s="25"/>
      <c r="R98" s="25"/>
      <c r="S98" s="25"/>
      <c r="T98" s="25"/>
      <c r="U98" s="25"/>
      <c r="V98" s="25"/>
      <c r="W98" s="25"/>
      <c r="X98" s="25"/>
      <c r="Y98" s="25"/>
      <c r="Z98" s="25"/>
    </row>
    <row r="99" spans="2:26">
      <c r="B99" s="249">
        <v>4</v>
      </c>
      <c r="C99" s="195">
        <v>-0.22500000000000001</v>
      </c>
      <c r="D99" s="195">
        <v>0.56699999999999995</v>
      </c>
      <c r="E99" s="647">
        <v>1.6</v>
      </c>
      <c r="F99" s="25"/>
      <c r="G99" s="25"/>
      <c r="H99" s="25"/>
      <c r="I99" s="25"/>
      <c r="J99" s="25"/>
      <c r="K99" s="25"/>
      <c r="L99" s="25"/>
      <c r="M99" s="25"/>
      <c r="N99" s="25"/>
      <c r="O99" s="25"/>
      <c r="P99" s="25"/>
      <c r="Q99" s="25"/>
      <c r="R99" s="25"/>
      <c r="S99" s="25"/>
      <c r="T99" s="25"/>
      <c r="U99" s="25"/>
      <c r="V99" s="25"/>
      <c r="W99" s="25"/>
      <c r="X99" s="25"/>
      <c r="Y99" s="25"/>
      <c r="Z99" s="25"/>
    </row>
    <row r="100" spans="2:26" ht="13.8" thickBot="1">
      <c r="B100" s="653">
        <v>5</v>
      </c>
      <c r="C100" s="969">
        <v>-0.25</v>
      </c>
      <c r="D100" s="969">
        <v>0.68300000000000005</v>
      </c>
      <c r="E100" s="970">
        <v>1.8080000000000001</v>
      </c>
      <c r="F100" s="25"/>
      <c r="G100" s="25"/>
      <c r="H100" s="25"/>
      <c r="I100" s="25"/>
      <c r="J100" s="25"/>
      <c r="K100" s="25"/>
      <c r="L100" s="25"/>
      <c r="M100" s="25"/>
      <c r="N100" s="25"/>
      <c r="O100" s="25"/>
      <c r="P100" s="25"/>
      <c r="Q100" s="25"/>
      <c r="R100" s="25"/>
      <c r="S100" s="25"/>
      <c r="T100" s="25"/>
      <c r="U100" s="25"/>
      <c r="V100" s="25"/>
      <c r="W100" s="25"/>
      <c r="X100" s="25"/>
      <c r="Y100" s="25"/>
      <c r="Z100" s="25"/>
    </row>
    <row r="101" spans="2:26">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sheetData>
  <phoneticPr fontId="123" type="noConversion"/>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AO200"/>
  <sheetViews>
    <sheetView topLeftCell="E9" zoomScale="115" zoomScaleNormal="70" workbookViewId="0">
      <selection activeCell="F7" sqref="F7"/>
    </sheetView>
  </sheetViews>
  <sheetFormatPr defaultColWidth="8.77734375" defaultRowHeight="13.2"/>
  <cols>
    <col min="1" max="1" width="4.44140625" customWidth="1"/>
    <col min="3" max="3" width="62.44140625" bestFit="1" customWidth="1"/>
    <col min="4" max="4" width="10.44140625" customWidth="1"/>
    <col min="5" max="5" width="15.44140625" customWidth="1"/>
    <col min="6" max="6" width="15" bestFit="1" customWidth="1"/>
    <col min="10" max="10" width="11.109375" customWidth="1"/>
    <col min="16" max="16" width="9.77734375" customWidth="1"/>
    <col min="18" max="18" width="10.44140625" bestFit="1" customWidth="1"/>
    <col min="20" max="21" width="12" bestFit="1" customWidth="1"/>
    <col min="22" max="22" width="11" customWidth="1"/>
    <col min="23" max="23" width="10.6640625" bestFit="1" customWidth="1"/>
    <col min="26" max="26" width="14.44140625" bestFit="1" customWidth="1"/>
    <col min="27" max="27" width="10.44140625" bestFit="1" customWidth="1"/>
    <col min="28" max="28" width="15" customWidth="1"/>
    <col min="29" max="29" width="12.44140625" bestFit="1" customWidth="1"/>
    <col min="30" max="31" width="9.44140625" customWidth="1"/>
    <col min="33" max="33" width="9.109375" customWidth="1"/>
  </cols>
  <sheetData>
    <row r="2" spans="2:41" ht="17.399999999999999">
      <c r="B2" s="882" t="s">
        <v>2733</v>
      </c>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row>
    <row r="3" spans="2:41" ht="13.8" thickBot="1">
      <c r="B3" s="25"/>
      <c r="C3" s="25"/>
      <c r="D3" s="25"/>
      <c r="E3" s="25"/>
      <c r="F3" s="27"/>
      <c r="G3" s="27"/>
      <c r="H3" s="25"/>
      <c r="I3" s="25"/>
      <c r="J3" s="25"/>
      <c r="K3" s="25"/>
      <c r="L3" s="25"/>
      <c r="M3" s="25"/>
      <c r="N3" s="25"/>
      <c r="O3" s="25"/>
      <c r="P3" s="25"/>
      <c r="Q3" s="25"/>
      <c r="R3" s="25"/>
      <c r="S3" s="25"/>
      <c r="T3" s="25"/>
      <c r="U3" s="25"/>
      <c r="AA3" s="25"/>
      <c r="AB3" s="25"/>
      <c r="AC3" s="25"/>
      <c r="AD3" s="25"/>
      <c r="AE3" s="25"/>
      <c r="AF3" s="25"/>
      <c r="AG3" s="25"/>
      <c r="AH3" s="25"/>
      <c r="AI3" s="25"/>
      <c r="AJ3" s="25"/>
      <c r="AK3" s="25"/>
      <c r="AL3" s="25"/>
      <c r="AM3" s="25"/>
      <c r="AN3" s="25"/>
      <c r="AO3" s="25"/>
    </row>
    <row r="4" spans="2:41" ht="15.6">
      <c r="B4" s="25"/>
      <c r="C4" s="66" t="s">
        <v>2666</v>
      </c>
      <c r="D4" s="31" t="s">
        <v>89</v>
      </c>
      <c r="E4" s="31" t="s">
        <v>90</v>
      </c>
      <c r="F4" s="31" t="s">
        <v>91</v>
      </c>
      <c r="G4" s="25"/>
      <c r="H4" s="25"/>
      <c r="I4" s="9" t="s">
        <v>2732</v>
      </c>
      <c r="J4" s="106"/>
      <c r="K4" s="106"/>
      <c r="L4" s="106"/>
      <c r="M4" s="106"/>
      <c r="N4" s="106"/>
      <c r="O4" s="106"/>
      <c r="P4" s="106"/>
      <c r="Q4" s="107"/>
      <c r="AD4" s="25"/>
      <c r="AE4" s="25"/>
      <c r="AF4" s="25"/>
      <c r="AG4" s="25"/>
      <c r="AH4" s="25"/>
      <c r="AI4" s="25"/>
      <c r="AJ4" s="25"/>
      <c r="AK4" s="25"/>
      <c r="AL4" s="25"/>
      <c r="AM4" s="25"/>
      <c r="AN4" s="25"/>
      <c r="AO4" s="25"/>
    </row>
    <row r="5" spans="2:41">
      <c r="B5" s="25"/>
      <c r="C5" s="6" t="s">
        <v>588</v>
      </c>
      <c r="D5" s="27" t="s">
        <v>87</v>
      </c>
      <c r="E5" s="27" t="s">
        <v>87</v>
      </c>
      <c r="F5" s="37" t="s">
        <v>2787</v>
      </c>
      <c r="G5" s="25"/>
      <c r="H5" s="25"/>
      <c r="I5" s="14" t="s">
        <v>739</v>
      </c>
      <c r="J5" s="68"/>
      <c r="K5" s="68"/>
      <c r="L5" s="68"/>
      <c r="M5" s="68"/>
      <c r="N5" s="68"/>
      <c r="O5" s="68"/>
      <c r="P5" s="68"/>
      <c r="Q5" s="108"/>
      <c r="AD5" s="25"/>
      <c r="AE5" s="25"/>
      <c r="AF5" s="25"/>
      <c r="AG5" s="25"/>
      <c r="AH5" s="25"/>
      <c r="AI5" s="25"/>
      <c r="AJ5" s="25"/>
      <c r="AK5" s="25"/>
      <c r="AL5" s="25"/>
      <c r="AM5" s="25"/>
      <c r="AN5" s="25"/>
      <c r="AO5" s="25"/>
    </row>
    <row r="6" spans="2:41">
      <c r="B6" s="25"/>
      <c r="C6" s="6" t="s">
        <v>589</v>
      </c>
      <c r="D6" s="27" t="s">
        <v>87</v>
      </c>
      <c r="E6" s="6" t="s">
        <v>87</v>
      </c>
      <c r="F6" s="37" t="s">
        <v>2788</v>
      </c>
      <c r="G6" s="25"/>
      <c r="H6" s="25"/>
      <c r="I6" s="1300" t="s">
        <v>778</v>
      </c>
      <c r="J6" s="68"/>
      <c r="K6" s="68"/>
      <c r="L6" s="68"/>
      <c r="M6" s="428"/>
      <c r="N6" s="428"/>
      <c r="O6" s="428"/>
      <c r="P6" s="428"/>
      <c r="Q6" s="1319" t="str">
        <f>IF('3'!J21=1,"TurboJet or Low BPR TurboFan … Subsonic (M&lt;1)",
  IF('3'!J21=2,"TurboJet or Low BPR TurboFan … Supersonic (M&gt;1)",
  IF('3'!J21=3,"High BPR TurboFan … Subsonic (M&lt;1)",
  IF('3'!J21=4,"Turboprop (Gas Turbine Core + Propeller)",
  IF('3'!J21=5,"Reciprocating (Internal Cumbustion + Propeller)",
  "Reciprocating (Internal Cumbustion + Propeller) w/Supercharger")))))</f>
        <v>Reciprocating (Internal Cumbustion + Propeller)</v>
      </c>
      <c r="AD6" s="25"/>
      <c r="AE6" s="25"/>
      <c r="AF6" s="25"/>
      <c r="AG6" s="25"/>
      <c r="AH6" s="25"/>
      <c r="AI6" s="25"/>
      <c r="AJ6" s="25"/>
      <c r="AK6" s="25"/>
      <c r="AL6" s="25"/>
      <c r="AM6" s="25"/>
      <c r="AN6" s="25"/>
      <c r="AO6" s="25"/>
    </row>
    <row r="7" spans="2:41">
      <c r="B7" s="25"/>
      <c r="C7" s="6" t="s">
        <v>599</v>
      </c>
      <c r="D7" s="6" t="s">
        <v>2662</v>
      </c>
      <c r="E7" s="6" t="s">
        <v>590</v>
      </c>
      <c r="F7" s="196">
        <v>329</v>
      </c>
      <c r="G7" s="25"/>
      <c r="H7" s="25"/>
      <c r="I7" s="109"/>
      <c r="J7" s="68"/>
      <c r="K7" s="68"/>
      <c r="L7" s="68"/>
      <c r="M7" s="68"/>
      <c r="N7" s="68"/>
      <c r="O7" s="68"/>
      <c r="P7" s="68"/>
      <c r="Q7" s="108"/>
      <c r="AD7" s="25"/>
      <c r="AE7" s="25"/>
      <c r="AF7" s="25"/>
      <c r="AG7" s="25"/>
      <c r="AH7" s="25"/>
      <c r="AI7" s="25"/>
      <c r="AJ7" s="25"/>
      <c r="AK7" s="25"/>
      <c r="AL7" s="25"/>
      <c r="AM7" s="25"/>
      <c r="AN7" s="25"/>
      <c r="AO7" s="25"/>
    </row>
    <row r="8" spans="2:41">
      <c r="B8" s="25"/>
      <c r="C8" s="6" t="s">
        <v>316</v>
      </c>
      <c r="D8" s="6" t="s">
        <v>591</v>
      </c>
      <c r="E8" s="6" t="s">
        <v>512</v>
      </c>
      <c r="F8" s="37">
        <v>33.65</v>
      </c>
      <c r="G8" s="25"/>
      <c r="H8" s="25"/>
      <c r="I8" s="109"/>
      <c r="J8" s="68"/>
      <c r="K8" s="68"/>
      <c r="L8" s="68"/>
      <c r="M8" s="68"/>
      <c r="N8" s="68"/>
      <c r="O8" s="68"/>
      <c r="P8" s="187" t="s">
        <v>776</v>
      </c>
      <c r="Q8" s="292" t="s">
        <v>2644</v>
      </c>
      <c r="AD8" s="25"/>
      <c r="AE8" s="25"/>
      <c r="AF8" s="25"/>
      <c r="AG8" s="25"/>
      <c r="AH8" s="25"/>
      <c r="AI8" s="25"/>
      <c r="AJ8" s="25"/>
      <c r="AK8" s="25"/>
      <c r="AL8" s="25"/>
      <c r="AM8" s="25"/>
      <c r="AN8" s="25"/>
      <c r="AO8" s="25"/>
    </row>
    <row r="9" spans="2:41">
      <c r="B9" s="25"/>
      <c r="C9" s="6" t="s">
        <v>318</v>
      </c>
      <c r="D9" s="6" t="s">
        <v>592</v>
      </c>
      <c r="E9" s="6" t="s">
        <v>512</v>
      </c>
      <c r="F9" s="37">
        <v>34.25</v>
      </c>
      <c r="G9" s="25"/>
      <c r="H9" s="25"/>
      <c r="I9" s="109"/>
      <c r="J9" s="68"/>
      <c r="K9" s="68"/>
      <c r="L9" s="68"/>
      <c r="M9" s="68"/>
      <c r="N9" s="68"/>
      <c r="O9" s="68"/>
      <c r="P9" s="187" t="s">
        <v>753</v>
      </c>
      <c r="Q9" s="292" t="s">
        <v>777</v>
      </c>
      <c r="AD9" s="25"/>
      <c r="AE9" s="25"/>
      <c r="AF9" s="25"/>
      <c r="AG9" s="25"/>
      <c r="AH9" s="25"/>
      <c r="AI9" s="25"/>
      <c r="AJ9" s="25"/>
      <c r="AK9" s="25"/>
      <c r="AL9" s="25"/>
      <c r="AM9" s="25"/>
      <c r="AN9" s="25"/>
      <c r="AO9" s="25"/>
    </row>
    <row r="10" spans="2:41">
      <c r="B10" s="25"/>
      <c r="C10" s="6" t="s">
        <v>593</v>
      </c>
      <c r="D10" s="6" t="s">
        <v>598</v>
      </c>
      <c r="E10" s="6" t="s">
        <v>594</v>
      </c>
      <c r="F10" s="258">
        <v>200</v>
      </c>
      <c r="G10" s="25"/>
      <c r="H10" s="25"/>
      <c r="I10" s="109"/>
      <c r="J10" s="68"/>
      <c r="K10" s="68"/>
      <c r="L10" s="68"/>
      <c r="M10" s="68"/>
      <c r="N10" s="103" t="s">
        <v>89</v>
      </c>
      <c r="O10" s="103" t="s">
        <v>90</v>
      </c>
      <c r="P10" s="269" t="s">
        <v>91</v>
      </c>
      <c r="Q10" s="1302" t="s">
        <v>91</v>
      </c>
      <c r="AD10" s="25"/>
      <c r="AE10" s="25"/>
      <c r="AF10" s="25"/>
      <c r="AG10" s="25"/>
      <c r="AH10" s="25"/>
      <c r="AI10" s="25"/>
      <c r="AJ10" s="25"/>
      <c r="AK10" s="25"/>
      <c r="AL10" s="25"/>
      <c r="AM10" s="25"/>
      <c r="AN10" s="25"/>
      <c r="AO10" s="25"/>
    </row>
    <row r="11" spans="2:41">
      <c r="B11" s="25"/>
      <c r="C11" s="6" t="s">
        <v>2675</v>
      </c>
      <c r="D11" s="6" t="s">
        <v>67</v>
      </c>
      <c r="E11" s="6" t="s">
        <v>595</v>
      </c>
      <c r="F11" s="1312">
        <v>0.9</v>
      </c>
      <c r="G11" s="25"/>
      <c r="H11" s="25"/>
      <c r="I11" s="112" t="s">
        <v>586</v>
      </c>
      <c r="J11" s="104"/>
      <c r="K11" s="68"/>
      <c r="L11" s="68"/>
      <c r="M11" s="68"/>
      <c r="N11" s="104" t="s">
        <v>587</v>
      </c>
      <c r="O11" s="1194" t="s">
        <v>87</v>
      </c>
      <c r="P11" s="187" t="s">
        <v>87</v>
      </c>
      <c r="Q11" s="1303">
        <f>'3'!J22</f>
        <v>1</v>
      </c>
      <c r="AD11" s="25"/>
      <c r="AE11" s="25"/>
      <c r="AF11" s="25"/>
      <c r="AG11" s="25"/>
      <c r="AH11" s="25"/>
      <c r="AI11" s="25"/>
      <c r="AJ11" s="25"/>
      <c r="AK11" s="25"/>
      <c r="AL11" s="25"/>
      <c r="AM11" s="25"/>
      <c r="AN11" s="25"/>
      <c r="AO11" s="25"/>
    </row>
    <row r="12" spans="2:41">
      <c r="B12" s="25"/>
      <c r="C12" s="6" t="s">
        <v>596</v>
      </c>
      <c r="D12" s="6" t="s">
        <v>600</v>
      </c>
      <c r="E12" s="27" t="s">
        <v>87</v>
      </c>
      <c r="F12" s="37">
        <v>1.02</v>
      </c>
      <c r="H12" s="25"/>
      <c r="I12" s="112" t="s">
        <v>2608</v>
      </c>
      <c r="J12" s="68"/>
      <c r="K12" s="68"/>
      <c r="L12" s="68"/>
      <c r="M12" s="68"/>
      <c r="N12" s="104" t="s">
        <v>87</v>
      </c>
      <c r="O12" s="104" t="s">
        <v>87</v>
      </c>
      <c r="P12" s="104"/>
      <c r="Q12" s="1301" t="str">
        <f>F5</f>
        <v>Lycoming</v>
      </c>
      <c r="AD12" s="25"/>
      <c r="AE12" s="25"/>
      <c r="AF12" s="25"/>
      <c r="AG12" s="25"/>
      <c r="AH12" s="25"/>
      <c r="AI12" s="25"/>
      <c r="AJ12" s="25"/>
      <c r="AK12" s="25"/>
      <c r="AL12" s="25"/>
      <c r="AM12" s="25"/>
      <c r="AN12" s="25"/>
      <c r="AO12" s="25"/>
    </row>
    <row r="13" spans="2:41">
      <c r="B13" s="25"/>
      <c r="C13" s="6" t="s">
        <v>597</v>
      </c>
      <c r="D13" s="6" t="s">
        <v>601</v>
      </c>
      <c r="E13" s="27" t="s">
        <v>87</v>
      </c>
      <c r="F13" s="37">
        <v>0.01</v>
      </c>
      <c r="G13" s="25"/>
      <c r="H13" s="25"/>
      <c r="I13" s="112" t="s">
        <v>2607</v>
      </c>
      <c r="J13" s="68"/>
      <c r="K13" s="68"/>
      <c r="L13" s="68"/>
      <c r="M13" s="68"/>
      <c r="N13" s="104" t="s">
        <v>87</v>
      </c>
      <c r="O13" s="104" t="s">
        <v>87</v>
      </c>
      <c r="P13" s="104"/>
      <c r="Q13" s="1301" t="str">
        <f>F6</f>
        <v>IO-360-C1C6</v>
      </c>
      <c r="AD13" s="25"/>
      <c r="AE13" s="25"/>
      <c r="AF13" s="25"/>
      <c r="AG13" s="25"/>
      <c r="AH13" s="25"/>
      <c r="AI13" s="25"/>
      <c r="AJ13" s="25"/>
      <c r="AK13" s="25"/>
      <c r="AL13" s="25"/>
      <c r="AM13" s="25"/>
      <c r="AN13" s="25"/>
      <c r="AO13" s="25"/>
    </row>
    <row r="14" spans="2:41">
      <c r="B14" s="25"/>
      <c r="C14" s="6" t="s">
        <v>759</v>
      </c>
      <c r="D14" s="6" t="s">
        <v>199</v>
      </c>
      <c r="E14" s="27" t="s">
        <v>87</v>
      </c>
      <c r="F14" s="263">
        <v>1</v>
      </c>
      <c r="G14" s="25"/>
      <c r="H14" s="25"/>
      <c r="I14" s="109" t="s">
        <v>2641</v>
      </c>
      <c r="J14" s="68"/>
      <c r="K14" s="68"/>
      <c r="L14" s="68"/>
      <c r="M14" s="68"/>
      <c r="N14" s="104" t="s">
        <v>602</v>
      </c>
      <c r="O14" s="104" t="s">
        <v>87</v>
      </c>
      <c r="P14" s="187" t="s">
        <v>87</v>
      </c>
      <c r="Q14" s="1304">
        <f>'3'!E42</f>
        <v>0.13500000000000001</v>
      </c>
      <c r="AD14" s="25"/>
      <c r="AE14" s="25"/>
      <c r="AF14" s="25"/>
      <c r="AG14" s="25"/>
      <c r="AH14" s="25"/>
      <c r="AI14" s="25"/>
      <c r="AJ14" s="25"/>
      <c r="AK14" s="25"/>
      <c r="AL14" s="25"/>
      <c r="AM14" s="25"/>
      <c r="AN14" s="25"/>
      <c r="AO14" s="25"/>
    </row>
    <row r="15" spans="2:41">
      <c r="B15" s="25"/>
      <c r="C15" s="6"/>
      <c r="D15" s="6"/>
      <c r="E15" s="6"/>
      <c r="F15" s="1311"/>
      <c r="G15" s="25"/>
      <c r="H15" s="25"/>
      <c r="I15" s="109" t="s">
        <v>2642</v>
      </c>
      <c r="J15" s="68"/>
      <c r="K15" s="68"/>
      <c r="L15" s="68"/>
      <c r="M15" s="68"/>
      <c r="N15" s="104" t="s">
        <v>87</v>
      </c>
      <c r="O15" s="68" t="s">
        <v>740</v>
      </c>
      <c r="P15" s="187" t="s">
        <v>87</v>
      </c>
      <c r="Q15" s="71">
        <f>Q14*'2'!P44</f>
        <v>168.54039504641321</v>
      </c>
      <c r="AD15" s="25"/>
      <c r="AE15" s="25"/>
      <c r="AF15" s="25"/>
      <c r="AG15" s="25"/>
      <c r="AH15" s="25"/>
      <c r="AI15" s="25"/>
      <c r="AJ15" s="25"/>
      <c r="AK15" s="25"/>
      <c r="AL15" s="25"/>
      <c r="AM15" s="25"/>
      <c r="AN15" s="25"/>
      <c r="AO15" s="25"/>
    </row>
    <row r="16" spans="2:41">
      <c r="B16" s="25"/>
      <c r="C16" s="1280" t="s">
        <v>2658</v>
      </c>
      <c r="D16" s="31" t="s">
        <v>89</v>
      </c>
      <c r="E16" s="31" t="s">
        <v>90</v>
      </c>
      <c r="F16" s="31" t="s">
        <v>91</v>
      </c>
      <c r="H16" s="25"/>
      <c r="I16" s="109" t="s">
        <v>2643</v>
      </c>
      <c r="J16" s="68"/>
      <c r="K16" s="68"/>
      <c r="L16" s="68"/>
      <c r="M16" s="68"/>
      <c r="N16" s="104" t="s">
        <v>741</v>
      </c>
      <c r="O16" s="68" t="s">
        <v>590</v>
      </c>
      <c r="P16" s="179">
        <f>F10</f>
        <v>200</v>
      </c>
      <c r="Q16" s="71">
        <f>Q15/Q11</f>
        <v>168.54039504641321</v>
      </c>
      <c r="AD16" s="25"/>
      <c r="AE16" s="25"/>
      <c r="AF16" s="25"/>
      <c r="AG16" s="25"/>
      <c r="AH16" s="25"/>
      <c r="AI16" s="25"/>
      <c r="AJ16" s="25"/>
      <c r="AK16" s="25"/>
      <c r="AL16" s="25"/>
      <c r="AM16" s="25"/>
      <c r="AN16" s="25"/>
      <c r="AO16" s="25"/>
    </row>
    <row r="17" spans="2:41">
      <c r="B17" s="25"/>
      <c r="C17" s="6" t="s">
        <v>2659</v>
      </c>
      <c r="D17" s="27" t="s">
        <v>87</v>
      </c>
      <c r="E17" s="27" t="s">
        <v>87</v>
      </c>
      <c r="F17" s="74" t="s">
        <v>97</v>
      </c>
      <c r="H17" s="25"/>
      <c r="I17" s="112" t="s">
        <v>2738</v>
      </c>
      <c r="J17" s="68"/>
      <c r="K17" s="68"/>
      <c r="L17" s="68"/>
      <c r="M17" s="68"/>
      <c r="N17" s="104" t="s">
        <v>2671</v>
      </c>
      <c r="O17" s="104" t="s">
        <v>2739</v>
      </c>
      <c r="P17" s="68"/>
      <c r="Q17" s="71">
        <f>Q16/F39</f>
        <v>84.270197523206605</v>
      </c>
      <c r="AD17" s="25"/>
      <c r="AE17" s="25"/>
      <c r="AF17" s="25"/>
      <c r="AG17" s="25"/>
      <c r="AH17" s="25"/>
      <c r="AI17" s="25"/>
      <c r="AJ17" s="25"/>
      <c r="AK17" s="25"/>
      <c r="AL17" s="25"/>
      <c r="AM17" s="25"/>
      <c r="AN17" s="25"/>
      <c r="AO17" s="25"/>
    </row>
    <row r="18" spans="2:41">
      <c r="B18" s="25"/>
      <c r="C18" s="6" t="s">
        <v>2660</v>
      </c>
      <c r="D18" s="27" t="s">
        <v>87</v>
      </c>
      <c r="E18" s="6" t="s">
        <v>87</v>
      </c>
      <c r="F18" s="74" t="s">
        <v>97</v>
      </c>
      <c r="H18" s="25"/>
      <c r="I18" s="110" t="s">
        <v>774</v>
      </c>
      <c r="J18" s="68"/>
      <c r="K18" s="68"/>
      <c r="L18" s="68"/>
      <c r="M18" s="68"/>
      <c r="N18" s="104" t="s">
        <v>775</v>
      </c>
      <c r="O18" s="104" t="s">
        <v>87</v>
      </c>
      <c r="P18" s="187" t="s">
        <v>87</v>
      </c>
      <c r="Q18" s="1305">
        <f>Q16/P16</f>
        <v>0.84270197523206603</v>
      </c>
      <c r="AD18" s="25"/>
      <c r="AE18" s="25"/>
      <c r="AF18" s="25"/>
      <c r="AG18" s="25"/>
      <c r="AH18" s="25"/>
      <c r="AI18" s="25"/>
      <c r="AJ18" s="25"/>
      <c r="AK18" s="25"/>
      <c r="AL18" s="25"/>
      <c r="AM18" s="25"/>
      <c r="AN18" s="25"/>
      <c r="AO18" s="25"/>
    </row>
    <row r="19" spans="2:41">
      <c r="B19" s="25"/>
      <c r="C19" s="6" t="s">
        <v>2661</v>
      </c>
      <c r="D19" s="6" t="s">
        <v>2663</v>
      </c>
      <c r="E19" s="6" t="s">
        <v>2649</v>
      </c>
      <c r="F19" s="271">
        <v>100</v>
      </c>
      <c r="H19" s="25"/>
      <c r="I19" s="112" t="s">
        <v>773</v>
      </c>
      <c r="J19" s="68"/>
      <c r="K19" s="68"/>
      <c r="L19" s="68"/>
      <c r="M19" s="68"/>
      <c r="N19" s="104" t="s">
        <v>67</v>
      </c>
      <c r="O19" s="104" t="s">
        <v>595</v>
      </c>
      <c r="P19" s="266">
        <f>F11</f>
        <v>0.9</v>
      </c>
      <c r="Q19" s="1308">
        <f>F40</f>
        <v>0.90048179103139891</v>
      </c>
      <c r="T19" s="25"/>
      <c r="U19" s="25"/>
      <c r="AA19" s="25"/>
      <c r="AB19" s="25"/>
      <c r="AC19" s="25"/>
      <c r="AD19" s="25"/>
      <c r="AE19" s="25"/>
      <c r="AF19" s="25"/>
      <c r="AG19" s="25"/>
      <c r="AH19" s="25"/>
      <c r="AI19" s="25"/>
      <c r="AJ19" s="25"/>
      <c r="AK19" s="25"/>
      <c r="AL19" s="25"/>
      <c r="AM19" s="25"/>
      <c r="AN19" s="25"/>
      <c r="AO19" s="25"/>
    </row>
    <row r="20" spans="2:41">
      <c r="B20" s="25"/>
      <c r="C20" s="6" t="s">
        <v>2664</v>
      </c>
      <c r="D20" s="6" t="s">
        <v>782</v>
      </c>
      <c r="E20" s="6" t="s">
        <v>2743</v>
      </c>
      <c r="F20" s="271">
        <v>125</v>
      </c>
      <c r="H20" s="25"/>
      <c r="I20" s="112" t="s">
        <v>760</v>
      </c>
      <c r="J20" s="68"/>
      <c r="K20" s="68"/>
      <c r="L20" s="68"/>
      <c r="M20" s="68"/>
      <c r="N20" s="68" t="s">
        <v>761</v>
      </c>
      <c r="O20" s="68" t="s">
        <v>590</v>
      </c>
      <c r="P20" s="293">
        <f>F7</f>
        <v>329</v>
      </c>
      <c r="Q20" s="1309">
        <f>IF('2'!F21&gt;4,0,IF('3'!$J$21=1,($Q$18^$F$14)*$F$7,
  IF('3'!$J$21=2,($Q$18^$F$14)*$F$7,
  IF('3'!$J$21=3,($Q$18^$F$14)*$F$7,
  IF('3'!$J$21=4,1.67*((Q16)^0.803),
  IF('3'!$J$21=5,((4.9*((Q16)^0.809))+F65),
                            ((4.9*((Q16)^0.809))+F65)))))))</f>
        <v>310.16988007516414</v>
      </c>
      <c r="AB20" s="25"/>
      <c r="AC20" s="25"/>
      <c r="AD20" s="25"/>
      <c r="AE20" s="25"/>
      <c r="AF20" s="25"/>
      <c r="AG20" s="25"/>
      <c r="AH20" s="25"/>
      <c r="AI20" s="25"/>
      <c r="AJ20" s="25"/>
      <c r="AK20" s="25"/>
      <c r="AL20" s="25"/>
      <c r="AM20" s="25"/>
      <c r="AN20" s="25"/>
      <c r="AO20" s="25"/>
    </row>
    <row r="21" spans="2:41">
      <c r="B21" s="25"/>
      <c r="C21" s="6" t="s">
        <v>2664</v>
      </c>
      <c r="D21" s="6" t="s">
        <v>782</v>
      </c>
      <c r="E21" s="6" t="s">
        <v>2742</v>
      </c>
      <c r="F21" s="1272">
        <f>F20*1.34102209</f>
        <v>167.62776125000002</v>
      </c>
      <c r="H21" s="25"/>
      <c r="I21" s="112" t="s">
        <v>478</v>
      </c>
      <c r="J21" s="68"/>
      <c r="K21" s="68"/>
      <c r="L21" s="68"/>
      <c r="M21" s="68"/>
      <c r="N21" s="265" t="s">
        <v>762</v>
      </c>
      <c r="O21" s="265" t="s">
        <v>359</v>
      </c>
      <c r="P21" s="68">
        <f>F8</f>
        <v>33.65</v>
      </c>
      <c r="Q21" s="1309">
        <f>IF('2'!F21&gt;4,0,IF('3'!$J$21=1,($Q$18^(((2*$F$14)-1)/2))*$F$8,
  IF('3'!$J$21=2,($Q$18^(((2*$F$14)-1)/2))*$F$8,
  IF('3'!$J$21=3,($Q$18^$F$14)*$F$8,
  IF('3'!$J$21=4,4.14*((Q16)^0.373),
  IF('3'!$J$21=5,((6.27*((Q16)^0.31))),
                            ((6.27*((Q16)^0.31)))))))))</f>
        <v>30.728812902360897</v>
      </c>
      <c r="AG21" s="25"/>
      <c r="AH21" s="25"/>
      <c r="AI21" s="25"/>
      <c r="AJ21" s="25"/>
      <c r="AK21" s="25"/>
      <c r="AL21" s="25"/>
      <c r="AM21" s="25"/>
      <c r="AN21" s="25"/>
      <c r="AO21" s="25"/>
    </row>
    <row r="22" spans="2:41">
      <c r="B22" s="25"/>
      <c r="C22" s="6" t="s">
        <v>2667</v>
      </c>
      <c r="D22" s="6" t="s">
        <v>2677</v>
      </c>
      <c r="E22" s="6" t="s">
        <v>2617</v>
      </c>
      <c r="F22" s="1293">
        <v>150</v>
      </c>
      <c r="H22" s="25"/>
      <c r="I22" s="112" t="s">
        <v>763</v>
      </c>
      <c r="J22" s="68"/>
      <c r="K22" s="68"/>
      <c r="L22" s="68"/>
      <c r="M22" s="68"/>
      <c r="N22" s="265" t="s">
        <v>764</v>
      </c>
      <c r="O22" s="265" t="s">
        <v>359</v>
      </c>
      <c r="P22" s="68">
        <f>F9</f>
        <v>34.25</v>
      </c>
      <c r="Q22" s="1309">
        <f>IF('2'!F21&gt;4,0,IF('3'!$J$21=1,($Q$18^0.5)*$F$9,
  IF('3'!$J$21=2,($Q$18^0.5)*$F$9,
  IF('3'!$J$21=3,($Q$18^0.5)*$F$9,
  IF('3'!$J$21=4,9.48*((Q16)^0.12),
  IF('3'!$J$21=5,((20.2*((Q16)^0.13))+F66),
                            ((20.2*((Q16)^0.13))+F66)))))))</f>
        <v>39.338961457452669</v>
      </c>
      <c r="AG22" s="25"/>
      <c r="AH22" s="25"/>
      <c r="AI22" s="25"/>
      <c r="AJ22" s="25"/>
      <c r="AK22" s="25"/>
      <c r="AL22" s="25"/>
      <c r="AM22" s="25"/>
      <c r="AN22" s="25"/>
      <c r="AO22" s="25"/>
    </row>
    <row r="23" spans="2:41">
      <c r="B23" s="25"/>
      <c r="G23" s="25"/>
      <c r="H23" s="25"/>
      <c r="I23" s="109"/>
      <c r="J23" s="68"/>
      <c r="K23" s="68"/>
      <c r="L23" s="68"/>
      <c r="M23" s="68"/>
      <c r="N23" s="68"/>
      <c r="O23" s="68"/>
      <c r="P23" s="68"/>
      <c r="Q23" s="108"/>
      <c r="AG23" s="25"/>
      <c r="AH23" s="25"/>
      <c r="AI23" s="25"/>
      <c r="AJ23" s="25"/>
      <c r="AK23" s="25"/>
      <c r="AL23" s="25"/>
      <c r="AM23" s="25"/>
      <c r="AN23" s="25"/>
      <c r="AO23" s="25"/>
    </row>
    <row r="24" spans="2:41" ht="15.6">
      <c r="B24" s="25"/>
      <c r="C24" s="1263" t="s">
        <v>2697</v>
      </c>
      <c r="D24" s="2"/>
      <c r="E24" s="2"/>
      <c r="F24" s="2" t="s">
        <v>70</v>
      </c>
      <c r="G24" s="2" t="s">
        <v>70</v>
      </c>
      <c r="H24" s="25"/>
      <c r="I24" s="112" t="s">
        <v>2639</v>
      </c>
      <c r="J24" s="68"/>
      <c r="K24" s="68"/>
      <c r="L24" s="68"/>
      <c r="M24" s="68"/>
      <c r="N24" s="104" t="s">
        <v>2640</v>
      </c>
      <c r="O24" s="1194" t="s">
        <v>87</v>
      </c>
      <c r="P24" s="187" t="s">
        <v>87</v>
      </c>
      <c r="Q24" s="1306">
        <f>'3'!J32</f>
        <v>0</v>
      </c>
      <c r="AG24" s="25"/>
      <c r="AH24" s="25"/>
      <c r="AI24" s="25"/>
      <c r="AJ24" s="25"/>
      <c r="AK24" s="25"/>
      <c r="AL24" s="25"/>
      <c r="AM24" s="25"/>
      <c r="AN24" s="25"/>
      <c r="AO24" s="25"/>
    </row>
    <row r="25" spans="2:41">
      <c r="B25" s="25"/>
      <c r="C25" s="1" t="s">
        <v>641</v>
      </c>
      <c r="D25" s="1" t="s">
        <v>89</v>
      </c>
      <c r="E25" s="1" t="s">
        <v>90</v>
      </c>
      <c r="F25" s="1" t="s">
        <v>2614</v>
      </c>
      <c r="G25" s="1" t="s">
        <v>2615</v>
      </c>
      <c r="H25" s="25"/>
      <c r="I25" s="112" t="s">
        <v>2713</v>
      </c>
      <c r="J25" s="68"/>
      <c r="K25" s="68"/>
      <c r="L25" s="68"/>
      <c r="M25" s="68"/>
      <c r="N25" s="104" t="s">
        <v>87</v>
      </c>
      <c r="O25" s="104" t="s">
        <v>87</v>
      </c>
      <c r="P25" s="68"/>
      <c r="Q25" s="1301" t="str">
        <f>F17</f>
        <v>n/a</v>
      </c>
      <c r="AG25" s="25"/>
      <c r="AH25" s="25"/>
      <c r="AI25" s="25"/>
      <c r="AJ25" s="25"/>
      <c r="AK25" s="25"/>
      <c r="AL25" s="25"/>
      <c r="AM25" s="25"/>
      <c r="AN25" s="25"/>
      <c r="AO25" s="25"/>
    </row>
    <row r="26" spans="2:41">
      <c r="B26" s="25"/>
      <c r="C26" s="2" t="s">
        <v>2575</v>
      </c>
      <c r="D26" s="2" t="s">
        <v>87</v>
      </c>
      <c r="E26" s="2" t="s">
        <v>87</v>
      </c>
      <c r="F26" s="1264" t="s">
        <v>76</v>
      </c>
      <c r="G26" s="1265" t="s">
        <v>2571</v>
      </c>
      <c r="H26" s="25"/>
      <c r="I26" s="112" t="s">
        <v>2714</v>
      </c>
      <c r="J26" s="68"/>
      <c r="K26" s="68"/>
      <c r="L26" s="68"/>
      <c r="M26" s="68"/>
      <c r="N26" s="104" t="s">
        <v>87</v>
      </c>
      <c r="O26" s="104" t="s">
        <v>87</v>
      </c>
      <c r="P26" s="68"/>
      <c r="Q26" s="1301" t="str">
        <f>F18</f>
        <v>n/a</v>
      </c>
      <c r="AG26" s="25"/>
      <c r="AH26" s="25"/>
      <c r="AI26" s="25"/>
      <c r="AJ26" s="25"/>
      <c r="AK26" s="25"/>
      <c r="AL26" s="25"/>
      <c r="AM26" s="25"/>
      <c r="AN26" s="25"/>
      <c r="AO26" s="25"/>
    </row>
    <row r="27" spans="2:41">
      <c r="B27" s="25"/>
      <c r="C27" s="2" t="s">
        <v>2616</v>
      </c>
      <c r="D27" s="2" t="s">
        <v>2679</v>
      </c>
      <c r="E27" s="2" t="s">
        <v>2617</v>
      </c>
      <c r="F27" s="1314">
        <f>F28*2326/3600</f>
        <v>12017.666666666666</v>
      </c>
      <c r="G27" s="1293">
        <v>150</v>
      </c>
      <c r="H27" s="25"/>
      <c r="I27" s="112" t="s">
        <v>2645</v>
      </c>
      <c r="J27" s="68"/>
      <c r="K27" s="68"/>
      <c r="L27" s="68"/>
      <c r="M27" s="68"/>
      <c r="N27" s="104" t="s">
        <v>602</v>
      </c>
      <c r="O27" s="104" t="s">
        <v>87</v>
      </c>
      <c r="P27" s="187" t="s">
        <v>87</v>
      </c>
      <c r="Q27" s="1304">
        <f>'3'!E43</f>
        <v>7.0000000000000001E-3</v>
      </c>
      <c r="AG27" s="25"/>
      <c r="AH27" s="25"/>
      <c r="AI27" s="25"/>
      <c r="AJ27" s="25"/>
      <c r="AK27" s="25"/>
      <c r="AL27" s="25"/>
      <c r="AM27" s="25"/>
      <c r="AN27" s="25"/>
      <c r="AO27" s="25"/>
    </row>
    <row r="28" spans="2:41">
      <c r="B28" s="25"/>
      <c r="C28" s="2" t="s">
        <v>2616</v>
      </c>
      <c r="D28" s="2" t="s">
        <v>2679</v>
      </c>
      <c r="E28" s="2" t="s">
        <v>2618</v>
      </c>
      <c r="F28" s="1313">
        <v>18600</v>
      </c>
      <c r="G28" s="1249">
        <f>G27*3600/2326</f>
        <v>232.15821152192606</v>
      </c>
      <c r="H28" s="25"/>
      <c r="I28" s="112" t="s">
        <v>2646</v>
      </c>
      <c r="J28" s="68"/>
      <c r="K28" s="68"/>
      <c r="L28" s="68"/>
      <c r="M28" s="68"/>
      <c r="N28" s="104" t="s">
        <v>87</v>
      </c>
      <c r="O28" s="68" t="s">
        <v>740</v>
      </c>
      <c r="P28" s="187" t="s">
        <v>87</v>
      </c>
      <c r="Q28" s="71">
        <f>Q27*'2'!P44</f>
        <v>8.7391315949992041</v>
      </c>
      <c r="T28" s="25"/>
      <c r="U28" s="25"/>
      <c r="AA28" s="25"/>
      <c r="AG28" s="25"/>
      <c r="AH28" s="25"/>
      <c r="AI28" s="25"/>
      <c r="AJ28" s="25"/>
      <c r="AK28" s="25"/>
      <c r="AL28" s="25"/>
      <c r="AM28" s="25"/>
      <c r="AN28" s="25"/>
      <c r="AO28" s="25"/>
    </row>
    <row r="29" spans="2:41" ht="18.600000000000001">
      <c r="B29" s="25"/>
      <c r="C29" s="2" t="s">
        <v>2620</v>
      </c>
      <c r="D29" s="1295" t="s">
        <v>2681</v>
      </c>
      <c r="E29" s="2" t="s">
        <v>87</v>
      </c>
      <c r="F29" s="1268">
        <v>0.41337621416546416</v>
      </c>
      <c r="G29" s="1269">
        <v>1</v>
      </c>
      <c r="H29" s="25"/>
      <c r="I29" s="112" t="s">
        <v>2647</v>
      </c>
      <c r="J29" s="68"/>
      <c r="K29" s="68"/>
      <c r="L29" s="68"/>
      <c r="M29" s="68"/>
      <c r="N29" s="104" t="s">
        <v>741</v>
      </c>
      <c r="O29" s="104" t="s">
        <v>2649</v>
      </c>
      <c r="P29" s="1033">
        <f>P30*G39</f>
        <v>335.25552250000004</v>
      </c>
      <c r="Q29" s="1307">
        <f>IF(Q24=0,0,Q28/Q24)</f>
        <v>0</v>
      </c>
      <c r="T29" s="25"/>
      <c r="U29" s="25"/>
      <c r="AA29" s="25"/>
      <c r="AG29" s="25"/>
      <c r="AH29" s="25"/>
      <c r="AI29" s="25"/>
      <c r="AJ29" s="25"/>
      <c r="AK29" s="25"/>
      <c r="AL29" s="25"/>
      <c r="AM29" s="25"/>
      <c r="AN29" s="25"/>
      <c r="AO29" s="25"/>
    </row>
    <row r="30" spans="2:41" ht="18.600000000000001">
      <c r="B30" s="25"/>
      <c r="C30" s="2" t="s">
        <v>2619</v>
      </c>
      <c r="D30" s="1296" t="s">
        <v>2682</v>
      </c>
      <c r="E30" s="2" t="s">
        <v>87</v>
      </c>
      <c r="F30" s="1271">
        <f>PRODUCT(F31:F35)</f>
        <v>0.98</v>
      </c>
      <c r="G30" s="1271">
        <f>PRODUCT(G31:G35)</f>
        <v>0.86676099999999978</v>
      </c>
      <c r="H30" s="25"/>
      <c r="I30" s="112" t="s">
        <v>2670</v>
      </c>
      <c r="J30" s="68"/>
      <c r="K30" s="68"/>
      <c r="L30" s="68"/>
      <c r="M30" s="68"/>
      <c r="N30" s="104" t="s">
        <v>2671</v>
      </c>
      <c r="O30" s="104" t="s">
        <v>2672</v>
      </c>
      <c r="P30" s="1033">
        <f>F21</f>
        <v>167.62776125000002</v>
      </c>
      <c r="Q30" s="1307">
        <f>Q29/G39</f>
        <v>0</v>
      </c>
      <c r="T30" s="25"/>
      <c r="U30" s="25"/>
      <c r="AA30" s="25"/>
      <c r="AG30" s="25"/>
      <c r="AH30" s="25"/>
      <c r="AI30" s="25"/>
      <c r="AJ30" s="25"/>
      <c r="AK30" s="25"/>
      <c r="AL30" s="25"/>
      <c r="AM30" s="25"/>
      <c r="AN30" s="25"/>
      <c r="AO30" s="25"/>
    </row>
    <row r="31" spans="2:41" ht="18.600000000000001">
      <c r="B31" s="25"/>
      <c r="C31" s="2" t="s">
        <v>2690</v>
      </c>
      <c r="D31" s="1295" t="s">
        <v>2683</v>
      </c>
      <c r="E31" s="2" t="s">
        <v>87</v>
      </c>
      <c r="F31" s="1268">
        <v>1</v>
      </c>
      <c r="G31" s="1269">
        <v>1</v>
      </c>
      <c r="H31" s="25"/>
      <c r="I31" s="110" t="s">
        <v>2648</v>
      </c>
      <c r="J31" s="68"/>
      <c r="K31" s="68"/>
      <c r="L31" s="68"/>
      <c r="M31" s="68"/>
      <c r="N31" s="104" t="s">
        <v>775</v>
      </c>
      <c r="O31" s="104" t="s">
        <v>87</v>
      </c>
      <c r="P31" s="187" t="s">
        <v>87</v>
      </c>
      <c r="Q31" s="950">
        <f>Q30/P30</f>
        <v>0</v>
      </c>
      <c r="S31" s="2"/>
      <c r="T31" s="25"/>
      <c r="U31" s="25"/>
      <c r="AA31" s="25"/>
      <c r="AB31" s="25"/>
      <c r="AC31" s="25"/>
      <c r="AD31" s="25"/>
      <c r="AE31" s="25"/>
      <c r="AF31" s="25"/>
      <c r="AG31" s="25"/>
      <c r="AH31" s="25"/>
      <c r="AI31" s="25"/>
      <c r="AJ31" s="25"/>
      <c r="AK31" s="25"/>
      <c r="AL31" s="25"/>
      <c r="AM31" s="25"/>
      <c r="AN31" s="25"/>
      <c r="AO31" s="25"/>
    </row>
    <row r="32" spans="2:41" ht="18.600000000000001">
      <c r="B32" s="25"/>
      <c r="C32" s="2" t="s">
        <v>2689</v>
      </c>
      <c r="D32" s="1295" t="s">
        <v>2684</v>
      </c>
      <c r="E32" s="2" t="s">
        <v>87</v>
      </c>
      <c r="F32" s="1268">
        <v>1</v>
      </c>
      <c r="G32" s="1269">
        <v>0.95</v>
      </c>
      <c r="H32" s="25"/>
      <c r="I32" s="112" t="s">
        <v>2716</v>
      </c>
      <c r="J32" s="68"/>
      <c r="K32" s="68"/>
      <c r="L32" s="68"/>
      <c r="M32" s="68"/>
      <c r="N32" s="104" t="s">
        <v>2677</v>
      </c>
      <c r="O32" s="104" t="s">
        <v>2617</v>
      </c>
      <c r="P32" s="1033">
        <f>F22</f>
        <v>150</v>
      </c>
      <c r="Q32" s="71">
        <f>G27</f>
        <v>150</v>
      </c>
      <c r="T32" s="25"/>
      <c r="U32" s="25"/>
      <c r="AA32" s="25"/>
      <c r="AB32" s="25"/>
      <c r="AC32" s="25"/>
      <c r="AD32" s="25"/>
      <c r="AE32" s="25"/>
      <c r="AF32" s="25"/>
      <c r="AG32" s="25"/>
      <c r="AH32" s="25"/>
      <c r="AI32" s="25"/>
      <c r="AJ32" s="25"/>
      <c r="AK32" s="25"/>
      <c r="AL32" s="25"/>
      <c r="AM32" s="25"/>
      <c r="AN32" s="25"/>
      <c r="AO32" s="25"/>
    </row>
    <row r="33" spans="2:41" ht="18.600000000000001">
      <c r="B33" s="25"/>
      <c r="C33" s="2" t="s">
        <v>2693</v>
      </c>
      <c r="D33" s="1295" t="s">
        <v>2685</v>
      </c>
      <c r="E33" s="2" t="s">
        <v>87</v>
      </c>
      <c r="F33" s="1268">
        <v>1</v>
      </c>
      <c r="G33" s="1269">
        <v>0.98</v>
      </c>
      <c r="H33" s="25"/>
      <c r="I33" s="112" t="s">
        <v>2717</v>
      </c>
      <c r="J33" s="68"/>
      <c r="K33" s="68"/>
      <c r="L33" s="68"/>
      <c r="M33" s="68"/>
      <c r="N33" s="104" t="s">
        <v>2718</v>
      </c>
      <c r="O33" s="104" t="s">
        <v>2649</v>
      </c>
      <c r="P33" s="68">
        <f>F19</f>
        <v>100</v>
      </c>
      <c r="Q33" s="71">
        <f>G60</f>
        <v>0</v>
      </c>
      <c r="T33" s="25"/>
      <c r="U33" s="25"/>
      <c r="AA33" s="25"/>
      <c r="AB33" s="25"/>
      <c r="AC33" s="25"/>
      <c r="AD33" s="25"/>
      <c r="AE33" s="25"/>
      <c r="AF33" s="25"/>
      <c r="AG33" s="25"/>
      <c r="AH33" s="25"/>
      <c r="AI33" s="25"/>
      <c r="AJ33" s="25"/>
      <c r="AK33" s="25"/>
      <c r="AL33" s="25"/>
      <c r="AM33" s="25"/>
      <c r="AN33" s="25"/>
      <c r="AO33" s="25"/>
    </row>
    <row r="34" spans="2:41" ht="18.600000000000001">
      <c r="B34" s="25"/>
      <c r="C34" s="2" t="s">
        <v>2691</v>
      </c>
      <c r="D34" s="1295" t="s">
        <v>2686</v>
      </c>
      <c r="E34" s="2" t="s">
        <v>87</v>
      </c>
      <c r="F34" s="1268">
        <v>1</v>
      </c>
      <c r="G34" s="1269">
        <v>0.95</v>
      </c>
      <c r="H34" s="25"/>
      <c r="I34" s="109"/>
      <c r="J34" s="68"/>
      <c r="K34" s="68"/>
      <c r="L34" s="68"/>
      <c r="M34" s="68"/>
      <c r="N34" s="68"/>
      <c r="O34" s="68"/>
      <c r="P34" s="68"/>
      <c r="Q34" s="108"/>
      <c r="T34" s="25"/>
      <c r="U34" s="25"/>
      <c r="AA34" s="25"/>
      <c r="AB34" s="25"/>
      <c r="AC34" s="25"/>
      <c r="AD34" s="25"/>
      <c r="AE34" s="25"/>
      <c r="AF34" s="25"/>
      <c r="AG34" s="25"/>
      <c r="AH34" s="25"/>
      <c r="AI34" s="25"/>
      <c r="AJ34" s="25"/>
      <c r="AK34" s="25"/>
      <c r="AL34" s="25"/>
      <c r="AM34" s="25"/>
      <c r="AN34" s="25"/>
      <c r="AO34" s="25"/>
    </row>
    <row r="35" spans="2:41" ht="19.2" thickBot="1">
      <c r="B35" s="25"/>
      <c r="C35" s="2" t="s">
        <v>2692</v>
      </c>
      <c r="D35" s="1295" t="s">
        <v>2687</v>
      </c>
      <c r="E35" s="2" t="s">
        <v>87</v>
      </c>
      <c r="F35" s="1268">
        <v>0.98</v>
      </c>
      <c r="G35" s="1269">
        <v>0.98</v>
      </c>
      <c r="H35" s="25"/>
      <c r="I35" s="115" t="s">
        <v>2719</v>
      </c>
      <c r="J35" s="69"/>
      <c r="K35" s="69"/>
      <c r="L35" s="69"/>
      <c r="M35" s="69"/>
      <c r="N35" s="1310" t="s">
        <v>2715</v>
      </c>
      <c r="O35" s="116" t="s">
        <v>740</v>
      </c>
      <c r="P35" s="116"/>
      <c r="Q35" s="1318">
        <f>(Q11*F60)+(Q24*G60)</f>
        <v>310.16988007516414</v>
      </c>
      <c r="T35" s="25"/>
      <c r="U35" s="25"/>
      <c r="AA35" s="25"/>
      <c r="AB35" s="25"/>
      <c r="AC35" s="25"/>
      <c r="AD35" s="25"/>
      <c r="AE35" s="25"/>
      <c r="AF35" s="25"/>
      <c r="AG35" s="25"/>
      <c r="AH35" s="25"/>
      <c r="AI35" s="25"/>
      <c r="AJ35" s="25"/>
      <c r="AK35" s="25"/>
      <c r="AL35" s="25"/>
      <c r="AM35" s="25"/>
      <c r="AN35" s="25"/>
      <c r="AO35" s="25"/>
    </row>
    <row r="36" spans="2:41" ht="18.600000000000001">
      <c r="B36" s="25"/>
      <c r="C36" s="2" t="s">
        <v>2680</v>
      </c>
      <c r="D36" s="1295" t="s">
        <v>2688</v>
      </c>
      <c r="E36" s="2" t="s">
        <v>87</v>
      </c>
      <c r="F36" s="1268">
        <v>0.75</v>
      </c>
      <c r="G36" s="1269">
        <v>0.85</v>
      </c>
      <c r="H36" s="25"/>
      <c r="T36" s="25"/>
      <c r="U36" s="25"/>
      <c r="AA36" s="25"/>
      <c r="AB36" s="25"/>
      <c r="AC36" s="25"/>
      <c r="AD36" s="25"/>
      <c r="AE36" s="25"/>
      <c r="AF36" s="25"/>
      <c r="AG36" s="25"/>
      <c r="AH36" s="25"/>
      <c r="AI36" s="25"/>
      <c r="AJ36" s="25"/>
      <c r="AK36" s="25"/>
      <c r="AL36" s="25"/>
      <c r="AM36" s="25"/>
      <c r="AN36" s="25"/>
      <c r="AO36" s="25"/>
    </row>
    <row r="37" spans="2:41" ht="18.600000000000001">
      <c r="B37" s="25"/>
      <c r="C37" s="27" t="s">
        <v>2678</v>
      </c>
      <c r="D37" s="1297" t="s">
        <v>2694</v>
      </c>
      <c r="E37" s="2" t="s">
        <v>87</v>
      </c>
      <c r="F37" s="34">
        <f>F29*F30*F36</f>
        <v>0.30383151741161618</v>
      </c>
      <c r="G37" s="34">
        <f>G29*G30*G36</f>
        <v>0.73674684999999984</v>
      </c>
      <c r="H37" s="25"/>
      <c r="I37" s="25"/>
      <c r="J37" s="25"/>
      <c r="T37" s="25"/>
      <c r="U37" s="25"/>
      <c r="AA37" s="25"/>
      <c r="AB37" s="25"/>
      <c r="AC37" s="25"/>
      <c r="AD37" s="25"/>
      <c r="AE37" s="25"/>
      <c r="AF37" s="25"/>
      <c r="AG37" s="25"/>
      <c r="AH37" s="25"/>
      <c r="AI37" s="25"/>
      <c r="AJ37" s="25"/>
      <c r="AK37" s="25"/>
      <c r="AL37" s="25"/>
      <c r="AM37" s="25"/>
      <c r="AN37" s="25"/>
      <c r="AO37" s="25"/>
    </row>
    <row r="38" spans="2:41">
      <c r="B38" s="25"/>
      <c r="C38" s="6" t="s">
        <v>2676</v>
      </c>
      <c r="D38" s="6" t="s">
        <v>68</v>
      </c>
      <c r="E38" s="6" t="s">
        <v>2695</v>
      </c>
      <c r="F38" s="34">
        <f>(550*3600/778.17)*(1/(F28*F37))</f>
        <v>0.45024089551569946</v>
      </c>
      <c r="G38" s="34">
        <f>(550*3600/778.17)*(1/(G28*G37))</f>
        <v>14.876075343378403</v>
      </c>
      <c r="H38" s="25"/>
      <c r="I38" s="25"/>
      <c r="J38" s="25"/>
      <c r="T38" s="25"/>
      <c r="U38" s="25"/>
      <c r="AA38" s="25"/>
      <c r="AB38" s="25"/>
      <c r="AC38" s="25"/>
      <c r="AD38" s="25"/>
      <c r="AE38" s="25"/>
      <c r="AF38" s="25"/>
      <c r="AG38" s="25"/>
      <c r="AH38" s="25"/>
      <c r="AI38" s="25"/>
      <c r="AJ38" s="25"/>
      <c r="AK38" s="25"/>
      <c r="AL38" s="25"/>
      <c r="AM38" s="25"/>
      <c r="AN38" s="25"/>
      <c r="AO38" s="25"/>
    </row>
    <row r="39" spans="2:41">
      <c r="B39" s="25"/>
      <c r="C39" s="6" t="s">
        <v>2720</v>
      </c>
      <c r="D39" s="6" t="s">
        <v>2668</v>
      </c>
      <c r="E39" s="6" t="s">
        <v>2669</v>
      </c>
      <c r="F39" s="1292">
        <v>2</v>
      </c>
      <c r="G39" s="1292">
        <v>2</v>
      </c>
      <c r="H39" s="25"/>
      <c r="I39" s="25"/>
      <c r="J39" s="25"/>
      <c r="T39" s="25"/>
      <c r="U39" s="25"/>
      <c r="AA39" s="25"/>
      <c r="AB39" s="25"/>
      <c r="AC39" s="25"/>
      <c r="AD39" s="25"/>
      <c r="AE39" s="25"/>
      <c r="AF39" s="25"/>
      <c r="AG39" s="25"/>
      <c r="AH39" s="25"/>
      <c r="AI39" s="25"/>
      <c r="AJ39" s="25"/>
      <c r="AK39" s="25"/>
      <c r="AL39" s="25"/>
      <c r="AM39" s="25"/>
      <c r="AN39" s="25"/>
      <c r="AO39" s="25"/>
    </row>
    <row r="40" spans="2:41">
      <c r="B40" s="25"/>
      <c r="C40" s="6" t="s">
        <v>2675</v>
      </c>
      <c r="D40" s="6" t="s">
        <v>67</v>
      </c>
      <c r="E40" s="6" t="s">
        <v>2696</v>
      </c>
      <c r="F40" s="34">
        <f>F38*F39</f>
        <v>0.90048179103139891</v>
      </c>
      <c r="G40" s="34">
        <f>G38*G39</f>
        <v>29.752150686756806</v>
      </c>
      <c r="H40" s="25"/>
      <c r="I40" s="25"/>
      <c r="J40" s="25"/>
      <c r="T40" s="25"/>
      <c r="U40" s="25"/>
      <c r="AA40" s="25"/>
      <c r="AB40" s="25"/>
      <c r="AC40" s="25"/>
      <c r="AD40" s="25"/>
      <c r="AE40" s="25"/>
      <c r="AF40" s="25"/>
      <c r="AG40" s="25"/>
      <c r="AH40" s="25"/>
      <c r="AI40" s="25"/>
      <c r="AJ40" s="25"/>
      <c r="AK40" s="25"/>
      <c r="AL40" s="25"/>
      <c r="AM40" s="25"/>
      <c r="AN40" s="25"/>
      <c r="AO40" s="25"/>
    </row>
    <row r="41" spans="2:41">
      <c r="B41" s="25"/>
      <c r="H41" s="25"/>
      <c r="I41" s="25"/>
      <c r="J41" s="25"/>
      <c r="T41" s="25"/>
      <c r="U41" s="25"/>
      <c r="AA41" s="25"/>
      <c r="AB41" s="25"/>
      <c r="AC41" s="25"/>
      <c r="AD41" s="25"/>
      <c r="AE41" s="25"/>
      <c r="AF41" s="25"/>
      <c r="AG41" s="25"/>
      <c r="AH41" s="25"/>
      <c r="AI41" s="25"/>
      <c r="AJ41" s="25"/>
      <c r="AK41" s="25"/>
      <c r="AL41" s="25"/>
      <c r="AM41" s="25"/>
      <c r="AN41" s="25"/>
      <c r="AO41" s="25"/>
    </row>
    <row r="42" spans="2:41" ht="15.6">
      <c r="B42" s="25"/>
      <c r="C42" s="1263" t="s">
        <v>2698</v>
      </c>
      <c r="F42" s="2" t="s">
        <v>70</v>
      </c>
      <c r="G42" s="2" t="s">
        <v>70</v>
      </c>
      <c r="H42" s="25"/>
      <c r="I42" s="25"/>
      <c r="J42" s="25"/>
      <c r="T42" s="25"/>
      <c r="U42" s="25"/>
      <c r="AA42" s="25"/>
      <c r="AB42" s="25"/>
      <c r="AC42" s="25"/>
      <c r="AD42" s="25"/>
      <c r="AE42" s="25"/>
      <c r="AF42" s="25"/>
      <c r="AG42" s="25"/>
      <c r="AH42" s="25"/>
      <c r="AI42" s="25"/>
      <c r="AJ42" s="25"/>
      <c r="AK42" s="25"/>
      <c r="AL42" s="25"/>
      <c r="AM42" s="25"/>
      <c r="AN42" s="25"/>
      <c r="AO42" s="25"/>
    </row>
    <row r="43" spans="2:41">
      <c r="B43" s="25"/>
      <c r="C43" s="1" t="s">
        <v>802</v>
      </c>
      <c r="D43" s="1" t="s">
        <v>89</v>
      </c>
      <c r="E43" s="1" t="s">
        <v>90</v>
      </c>
      <c r="F43" s="1" t="s">
        <v>2614</v>
      </c>
      <c r="G43" s="1" t="s">
        <v>2615</v>
      </c>
      <c r="H43" s="25"/>
      <c r="I43" s="25"/>
      <c r="J43" s="25"/>
      <c r="T43" s="25"/>
      <c r="U43" s="25"/>
      <c r="AA43" s="25"/>
      <c r="AB43" s="25"/>
      <c r="AC43" s="25"/>
      <c r="AD43" s="25"/>
      <c r="AE43" s="25"/>
      <c r="AF43" s="25"/>
      <c r="AG43" s="25"/>
      <c r="AH43" s="25"/>
      <c r="AI43" s="25"/>
      <c r="AJ43" s="25"/>
      <c r="AK43" s="25"/>
      <c r="AL43" s="25"/>
      <c r="AM43" s="25"/>
      <c r="AN43" s="25"/>
      <c r="AO43" s="25"/>
    </row>
    <row r="44" spans="2:41">
      <c r="B44" s="25"/>
      <c r="C44" s="2" t="s">
        <v>753</v>
      </c>
      <c r="E44" s="2" t="s">
        <v>2703</v>
      </c>
      <c r="F44" s="1311">
        <f>Q17/F53</f>
        <v>0.27169046041087297</v>
      </c>
      <c r="G44" s="1298" t="s">
        <v>97</v>
      </c>
      <c r="H44" s="25"/>
      <c r="I44" s="25"/>
      <c r="J44" s="25"/>
      <c r="T44" s="25"/>
      <c r="U44" s="25"/>
      <c r="AA44" s="25"/>
      <c r="AB44" s="25"/>
      <c r="AC44" s="25"/>
      <c r="AD44" s="25"/>
      <c r="AE44" s="25"/>
      <c r="AF44" s="25"/>
      <c r="AG44" s="25"/>
      <c r="AH44" s="25"/>
      <c r="AI44" s="25"/>
      <c r="AM44" s="25"/>
      <c r="AN44" s="25"/>
      <c r="AO44" s="25"/>
    </row>
    <row r="45" spans="2:41">
      <c r="B45" s="25"/>
      <c r="C45" s="2" t="s">
        <v>2574</v>
      </c>
      <c r="E45" s="2" t="s">
        <v>2703</v>
      </c>
      <c r="F45" s="1293">
        <v>0</v>
      </c>
      <c r="G45" s="1293">
        <v>6</v>
      </c>
      <c r="H45" s="25"/>
      <c r="I45" s="25"/>
      <c r="J45" s="25"/>
      <c r="T45" s="25"/>
      <c r="U45" s="25"/>
      <c r="AA45" s="25"/>
      <c r="AB45" s="25"/>
      <c r="AC45" s="25"/>
      <c r="AD45" s="25"/>
      <c r="AE45" s="25"/>
      <c r="AF45" s="25"/>
      <c r="AG45" s="25"/>
      <c r="AH45" s="25"/>
      <c r="AI45" s="25"/>
      <c r="AM45" s="25"/>
      <c r="AN45" s="25"/>
      <c r="AO45" s="25"/>
    </row>
    <row r="46" spans="2:41">
      <c r="B46" s="25"/>
      <c r="C46" s="2" t="s">
        <v>2699</v>
      </c>
      <c r="E46" s="2" t="s">
        <v>2703</v>
      </c>
      <c r="F46" s="1293">
        <v>0</v>
      </c>
      <c r="G46" s="1293">
        <v>6</v>
      </c>
      <c r="H46" s="25"/>
      <c r="I46" s="25"/>
      <c r="J46" s="25"/>
      <c r="T46" s="25"/>
      <c r="U46" s="25"/>
      <c r="AA46" s="25"/>
      <c r="AB46" s="25"/>
      <c r="AC46" s="25"/>
      <c r="AD46" s="25"/>
      <c r="AE46" s="25"/>
      <c r="AF46" s="25"/>
      <c r="AG46" s="25"/>
      <c r="AH46" s="25"/>
      <c r="AI46" s="25"/>
      <c r="AM46" s="25"/>
      <c r="AN46" s="25"/>
      <c r="AO46" s="25"/>
    </row>
    <row r="47" spans="2:41">
      <c r="B47" s="25"/>
      <c r="C47" s="2" t="s">
        <v>2704</v>
      </c>
      <c r="E47" s="2" t="s">
        <v>2703</v>
      </c>
      <c r="F47" s="1293">
        <v>0</v>
      </c>
      <c r="G47" s="1293">
        <v>10</v>
      </c>
      <c r="H47" s="25"/>
      <c r="I47" s="25"/>
      <c r="J47" s="25"/>
      <c r="T47" s="25"/>
      <c r="U47" s="25"/>
      <c r="AA47" s="25"/>
      <c r="AB47" s="25"/>
      <c r="AC47" s="25"/>
      <c r="AD47" s="25"/>
      <c r="AE47" s="25"/>
      <c r="AF47" s="25"/>
      <c r="AG47" s="25"/>
      <c r="AH47" s="25"/>
      <c r="AI47" s="25"/>
      <c r="AM47" s="25"/>
      <c r="AN47" s="25"/>
      <c r="AO47" s="25"/>
    </row>
    <row r="48" spans="2:41">
      <c r="B48" s="25"/>
      <c r="C48" s="2" t="s">
        <v>2700</v>
      </c>
      <c r="E48" s="2" t="s">
        <v>2703</v>
      </c>
      <c r="F48" s="1293">
        <v>0</v>
      </c>
      <c r="G48" s="1293">
        <v>10</v>
      </c>
      <c r="H48" s="25"/>
      <c r="I48" s="25"/>
      <c r="J48" s="25"/>
      <c r="T48" s="25"/>
      <c r="U48" s="25"/>
      <c r="AA48" s="25"/>
      <c r="AB48" s="25"/>
      <c r="AC48" s="25"/>
      <c r="AD48" s="25"/>
      <c r="AE48" s="25"/>
      <c r="AF48" s="25"/>
      <c r="AG48" s="25"/>
      <c r="AH48" s="25"/>
      <c r="AI48" s="25"/>
      <c r="AM48" s="25"/>
      <c r="AN48" s="25"/>
      <c r="AO48" s="25"/>
    </row>
    <row r="49" spans="2:41">
      <c r="B49" s="25"/>
      <c r="C49" s="27" t="s">
        <v>2701</v>
      </c>
      <c r="D49" s="25"/>
      <c r="E49" s="2" t="s">
        <v>2703</v>
      </c>
      <c r="F49" s="46">
        <v>0</v>
      </c>
      <c r="G49" s="46">
        <v>3</v>
      </c>
      <c r="H49" s="25"/>
      <c r="I49" s="25"/>
      <c r="J49" s="25"/>
      <c r="T49" s="25"/>
      <c r="U49" s="25"/>
      <c r="AA49" s="25"/>
      <c r="AB49" s="25"/>
      <c r="AC49" s="25"/>
      <c r="AD49" s="25"/>
      <c r="AE49" s="25"/>
      <c r="AF49" s="25"/>
      <c r="AG49" s="25"/>
      <c r="AH49" s="25"/>
      <c r="AI49" s="25"/>
      <c r="AM49" s="25"/>
      <c r="AN49" s="25"/>
      <c r="AO49" s="25"/>
    </row>
    <row r="50" spans="2:41">
      <c r="C50" s="6" t="s">
        <v>2702</v>
      </c>
      <c r="D50" s="25"/>
      <c r="E50" s="2" t="s">
        <v>2703</v>
      </c>
      <c r="F50" s="46">
        <v>0</v>
      </c>
      <c r="G50" s="46">
        <v>6</v>
      </c>
      <c r="H50" s="25"/>
      <c r="I50" s="25"/>
      <c r="J50" s="25"/>
      <c r="T50" s="25"/>
      <c r="U50" s="25"/>
      <c r="AA50" s="25"/>
      <c r="AB50" s="25"/>
      <c r="AC50" s="25"/>
      <c r="AD50" s="25"/>
      <c r="AE50" s="25"/>
      <c r="AF50" s="25"/>
      <c r="AG50" s="25"/>
      <c r="AH50" s="25"/>
      <c r="AI50" s="25"/>
      <c r="AM50" s="25"/>
      <c r="AN50" s="25"/>
      <c r="AO50" s="25"/>
    </row>
    <row r="51" spans="2:41">
      <c r="C51" s="6"/>
      <c r="D51" s="25"/>
      <c r="E51" s="25"/>
      <c r="F51" s="25"/>
      <c r="G51" s="25"/>
      <c r="H51" s="25"/>
      <c r="I51" s="25"/>
      <c r="J51" s="25"/>
      <c r="T51" s="25"/>
      <c r="U51" s="25"/>
      <c r="AA51" s="25"/>
      <c r="AB51" s="25"/>
      <c r="AC51" s="25"/>
      <c r="AD51" s="25"/>
      <c r="AE51" s="25"/>
      <c r="AF51" s="25"/>
      <c r="AG51" s="25"/>
      <c r="AH51" s="25"/>
      <c r="AI51" s="25"/>
      <c r="AM51" s="25"/>
      <c r="AN51" s="25"/>
      <c r="AO51" s="25"/>
    </row>
    <row r="52" spans="2:41" ht="15.6">
      <c r="C52" s="358" t="s">
        <v>2707</v>
      </c>
      <c r="D52" s="25"/>
      <c r="E52" s="1" t="s">
        <v>90</v>
      </c>
      <c r="F52" s="1" t="s">
        <v>2614</v>
      </c>
      <c r="G52" s="1" t="s">
        <v>2615</v>
      </c>
      <c r="H52" s="25"/>
      <c r="I52" s="25"/>
      <c r="J52" s="25"/>
      <c r="T52" s="25"/>
      <c r="U52" s="25"/>
      <c r="AA52" s="25"/>
      <c r="AB52" s="25"/>
      <c r="AC52" s="25"/>
      <c r="AD52" s="25"/>
      <c r="AE52" s="25"/>
      <c r="AF52" s="25"/>
      <c r="AG52" s="25"/>
      <c r="AH52" s="25"/>
      <c r="AI52" s="25"/>
      <c r="AM52" s="25"/>
      <c r="AN52" s="25"/>
      <c r="AO52" s="25"/>
    </row>
    <row r="53" spans="2:41">
      <c r="C53" s="2" t="s">
        <v>753</v>
      </c>
      <c r="D53" s="25"/>
      <c r="E53" s="2" t="s">
        <v>2705</v>
      </c>
      <c r="F53" s="52">
        <f>Q20</f>
        <v>310.16988007516414</v>
      </c>
      <c r="G53" s="57" t="s">
        <v>97</v>
      </c>
      <c r="H53" s="25"/>
      <c r="I53" s="25"/>
      <c r="J53" s="25"/>
      <c r="T53" s="25"/>
      <c r="U53" s="25"/>
      <c r="AA53" s="25"/>
      <c r="AB53" s="25"/>
      <c r="AC53" s="25"/>
      <c r="AD53" s="25"/>
      <c r="AE53" s="25"/>
      <c r="AF53" s="25"/>
      <c r="AG53" s="25"/>
      <c r="AH53" s="25"/>
      <c r="AI53" s="25"/>
      <c r="AM53" s="25"/>
      <c r="AN53" s="25"/>
      <c r="AO53" s="25"/>
    </row>
    <row r="54" spans="2:41">
      <c r="C54" s="2" t="s">
        <v>2574</v>
      </c>
      <c r="D54" s="25"/>
      <c r="E54" s="2" t="s">
        <v>2705</v>
      </c>
      <c r="F54" s="52">
        <f t="shared" ref="F54:F59" si="0">IF(F45=0,0,Q$17/F45)</f>
        <v>0</v>
      </c>
      <c r="G54" s="52">
        <f t="shared" ref="G54:G59" si="1">IF(G45=0,0,Q$30/G45)</f>
        <v>0</v>
      </c>
      <c r="H54" s="25"/>
      <c r="I54" s="25"/>
      <c r="J54" s="25"/>
      <c r="T54" s="25"/>
      <c r="U54" s="25"/>
      <c r="AA54" s="25"/>
      <c r="AB54" s="25"/>
      <c r="AC54" s="25"/>
      <c r="AD54" s="25"/>
      <c r="AE54" s="25"/>
      <c r="AF54" s="25"/>
      <c r="AG54" s="25"/>
      <c r="AH54" s="25"/>
      <c r="AI54" s="25"/>
      <c r="AM54" s="25"/>
      <c r="AN54" s="25"/>
      <c r="AO54" s="25"/>
    </row>
    <row r="55" spans="2:41">
      <c r="C55" s="2" t="s">
        <v>2699</v>
      </c>
      <c r="D55" s="25"/>
      <c r="E55" s="2" t="s">
        <v>2705</v>
      </c>
      <c r="F55" s="52">
        <f t="shared" si="0"/>
        <v>0</v>
      </c>
      <c r="G55" s="52">
        <f t="shared" si="1"/>
        <v>0</v>
      </c>
      <c r="H55" s="25"/>
      <c r="I55" s="25"/>
      <c r="J55" s="25"/>
      <c r="T55" s="25"/>
      <c r="U55" s="25"/>
      <c r="AA55" s="25"/>
      <c r="AB55" s="25"/>
      <c r="AC55" s="25"/>
      <c r="AD55" s="25"/>
      <c r="AE55" s="25"/>
      <c r="AF55" s="25"/>
      <c r="AG55" s="25"/>
      <c r="AH55" s="25"/>
      <c r="AI55" s="25"/>
      <c r="AM55" s="25"/>
      <c r="AN55" s="25"/>
      <c r="AO55" s="25"/>
    </row>
    <row r="56" spans="2:41">
      <c r="C56" s="2" t="s">
        <v>2704</v>
      </c>
      <c r="D56" s="25"/>
      <c r="E56" s="2" t="s">
        <v>2705</v>
      </c>
      <c r="F56" s="52">
        <f t="shared" si="0"/>
        <v>0</v>
      </c>
      <c r="G56" s="52">
        <f t="shared" si="1"/>
        <v>0</v>
      </c>
      <c r="H56" s="25"/>
      <c r="I56" s="25"/>
      <c r="J56" s="25"/>
      <c r="T56" s="25"/>
      <c r="U56" s="25"/>
      <c r="AA56" s="25"/>
      <c r="AB56" s="25"/>
      <c r="AC56" s="25"/>
      <c r="AD56" s="25"/>
      <c r="AE56" s="25"/>
      <c r="AF56" s="25"/>
      <c r="AG56" s="25"/>
      <c r="AH56" s="25"/>
      <c r="AI56" s="25"/>
      <c r="AM56" s="25"/>
      <c r="AN56" s="25"/>
      <c r="AO56" s="25"/>
    </row>
    <row r="57" spans="2:41">
      <c r="C57" s="2" t="s">
        <v>2700</v>
      </c>
      <c r="D57" s="25"/>
      <c r="E57" s="2" t="s">
        <v>2705</v>
      </c>
      <c r="F57" s="52">
        <f t="shared" si="0"/>
        <v>0</v>
      </c>
      <c r="G57" s="52">
        <f t="shared" si="1"/>
        <v>0</v>
      </c>
      <c r="H57" s="25"/>
      <c r="I57" s="25"/>
      <c r="J57" s="25"/>
      <c r="T57" s="25"/>
      <c r="U57" s="25"/>
      <c r="AA57" s="25"/>
      <c r="AB57" s="25"/>
      <c r="AC57" s="25"/>
      <c r="AD57" s="25"/>
      <c r="AE57" s="25"/>
      <c r="AF57" s="25"/>
      <c r="AG57" s="25"/>
      <c r="AH57" s="25"/>
      <c r="AI57" s="25"/>
      <c r="AM57" s="25"/>
      <c r="AN57" s="25"/>
      <c r="AO57" s="25"/>
    </row>
    <row r="58" spans="2:41">
      <c r="C58" s="27" t="s">
        <v>2701</v>
      </c>
      <c r="D58" s="25"/>
      <c r="E58" s="2" t="s">
        <v>2705</v>
      </c>
      <c r="F58" s="52">
        <f t="shared" si="0"/>
        <v>0</v>
      </c>
      <c r="G58" s="52">
        <f t="shared" si="1"/>
        <v>0</v>
      </c>
      <c r="H58" s="25"/>
      <c r="I58" s="25"/>
      <c r="J58" s="25"/>
      <c r="T58" s="25"/>
      <c r="U58" s="25"/>
      <c r="AA58" s="25"/>
      <c r="AB58" s="25"/>
      <c r="AC58" s="25"/>
      <c r="AD58" s="25"/>
      <c r="AE58" s="25"/>
      <c r="AF58" s="25"/>
      <c r="AG58" s="25"/>
      <c r="AH58" s="25"/>
      <c r="AI58" s="25"/>
      <c r="AM58" s="25"/>
      <c r="AN58" s="25"/>
      <c r="AO58" s="25"/>
    </row>
    <row r="59" spans="2:41">
      <c r="C59" s="6" t="s">
        <v>2702</v>
      </c>
      <c r="E59" s="2" t="s">
        <v>2705</v>
      </c>
      <c r="F59" s="52">
        <f t="shared" si="0"/>
        <v>0</v>
      </c>
      <c r="G59" s="52">
        <f t="shared" si="1"/>
        <v>0</v>
      </c>
      <c r="H59" s="25"/>
      <c r="I59" s="25"/>
      <c r="J59" s="25"/>
      <c r="T59" s="25"/>
      <c r="U59" s="25"/>
      <c r="AA59" s="25"/>
      <c r="AB59" s="25"/>
      <c r="AC59" s="25"/>
      <c r="AD59" s="25"/>
      <c r="AE59" s="25"/>
      <c r="AF59" s="25"/>
      <c r="AG59" s="25"/>
      <c r="AH59" s="25"/>
      <c r="AI59" s="25"/>
      <c r="AM59" s="25"/>
      <c r="AN59" s="25"/>
      <c r="AO59" s="25"/>
    </row>
    <row r="60" spans="2:41">
      <c r="C60" s="6" t="s">
        <v>2706</v>
      </c>
      <c r="D60" s="25"/>
      <c r="E60" s="25"/>
      <c r="F60" s="52">
        <f>SUM(F53:F59)</f>
        <v>310.16988007516414</v>
      </c>
      <c r="G60" s="52">
        <f>IF('2'!F21&lt;3,0,SUM(G53:G59))</f>
        <v>0</v>
      </c>
      <c r="H60" s="25"/>
      <c r="I60" s="25"/>
      <c r="J60" s="25"/>
      <c r="T60" s="25"/>
      <c r="U60" s="25"/>
      <c r="AA60" s="25"/>
      <c r="AB60" s="25"/>
      <c r="AC60" s="25"/>
      <c r="AD60" s="25"/>
      <c r="AE60" s="25"/>
      <c r="AF60" s="25"/>
      <c r="AG60" s="25"/>
      <c r="AH60" s="25"/>
      <c r="AI60" s="25"/>
      <c r="AM60" s="25"/>
      <c r="AN60" s="25"/>
      <c r="AO60" s="25"/>
    </row>
    <row r="61" spans="2:41">
      <c r="H61" s="25"/>
      <c r="I61" s="25"/>
      <c r="J61" s="25"/>
      <c r="T61" s="25"/>
      <c r="U61" s="25"/>
      <c r="AA61" s="25"/>
      <c r="AB61" s="25"/>
      <c r="AC61" s="25"/>
      <c r="AD61" s="25"/>
      <c r="AE61" s="25"/>
      <c r="AF61" s="25"/>
      <c r="AG61" s="25"/>
      <c r="AH61" s="25"/>
      <c r="AI61" s="25"/>
      <c r="AM61" s="25"/>
      <c r="AN61" s="25"/>
      <c r="AO61" s="25"/>
    </row>
    <row r="62" spans="2:41">
      <c r="H62" s="25"/>
      <c r="I62" s="25"/>
      <c r="J62" s="25"/>
      <c r="T62" s="25"/>
      <c r="U62" s="25"/>
      <c r="AA62" s="25"/>
      <c r="AB62" s="25"/>
      <c r="AC62" s="25"/>
      <c r="AD62" s="25"/>
      <c r="AE62" s="25"/>
      <c r="AF62" s="25"/>
      <c r="AG62" s="25"/>
      <c r="AH62" s="25"/>
      <c r="AI62" s="25"/>
      <c r="AM62" s="25"/>
      <c r="AN62" s="25"/>
      <c r="AO62" s="25"/>
    </row>
    <row r="63" spans="2:41">
      <c r="H63" s="25"/>
      <c r="I63" s="25"/>
      <c r="J63" s="25"/>
      <c r="T63" s="25"/>
      <c r="U63" s="25"/>
      <c r="AA63" s="25"/>
      <c r="AB63" s="25"/>
      <c r="AC63" s="25"/>
      <c r="AD63" s="25"/>
      <c r="AE63" s="25"/>
      <c r="AF63" s="25"/>
      <c r="AG63" s="25"/>
      <c r="AH63" s="25"/>
      <c r="AI63" s="25"/>
      <c r="AM63" s="25"/>
      <c r="AN63" s="25"/>
      <c r="AO63" s="25"/>
    </row>
    <row r="64" spans="2:41">
      <c r="D64" s="25"/>
      <c r="E64" s="72"/>
      <c r="F64" s="1190"/>
      <c r="G64" s="1190"/>
      <c r="H64" s="25"/>
      <c r="I64" s="25"/>
      <c r="J64" s="25"/>
      <c r="K64" s="25"/>
      <c r="L64" s="25"/>
      <c r="M64" s="25"/>
      <c r="N64" s="25"/>
      <c r="O64" s="25"/>
      <c r="P64" s="25"/>
      <c r="Q64" s="25"/>
      <c r="R64" s="25"/>
      <c r="S64" s="25"/>
      <c r="T64" s="25"/>
      <c r="U64" s="25"/>
      <c r="AA64" s="25"/>
      <c r="AB64" s="25"/>
      <c r="AC64" s="25"/>
      <c r="AD64" s="25"/>
      <c r="AE64" s="25"/>
      <c r="AF64" s="25"/>
      <c r="AG64" s="25"/>
      <c r="AH64" s="25"/>
      <c r="AI64" s="25"/>
      <c r="AM64" s="25"/>
      <c r="AN64" s="25"/>
      <c r="AO64" s="25"/>
    </row>
    <row r="65" spans="2:41">
      <c r="D65" s="25"/>
      <c r="E65" s="72"/>
      <c r="F65" s="43"/>
      <c r="G65" s="175"/>
      <c r="H65" s="25"/>
      <c r="I65" s="25"/>
      <c r="J65" s="25"/>
      <c r="K65" s="25"/>
      <c r="L65" s="25"/>
      <c r="M65" s="25"/>
      <c r="N65" s="25"/>
      <c r="O65" s="25"/>
      <c r="P65" s="25"/>
      <c r="Q65" s="25"/>
      <c r="R65" s="25"/>
      <c r="S65" s="25"/>
      <c r="T65" s="25"/>
      <c r="U65" s="25"/>
      <c r="AA65" s="25"/>
      <c r="AB65" s="25"/>
      <c r="AC65" s="25"/>
      <c r="AD65" s="25"/>
      <c r="AE65" s="25"/>
      <c r="AF65" s="25"/>
      <c r="AG65" s="25"/>
      <c r="AH65" s="25"/>
      <c r="AI65" s="25"/>
      <c r="AM65" s="25"/>
      <c r="AN65" s="25"/>
      <c r="AO65" s="25"/>
    </row>
    <row r="66" spans="2:41">
      <c r="H66" s="25"/>
      <c r="I66" s="25"/>
      <c r="J66" s="25"/>
      <c r="K66" s="25"/>
      <c r="L66" s="25"/>
      <c r="M66" s="25"/>
      <c r="N66" s="25"/>
      <c r="O66" s="25"/>
      <c r="P66" s="25"/>
      <c r="Q66" s="25"/>
      <c r="R66" s="25"/>
      <c r="S66" s="25"/>
      <c r="T66" s="25"/>
      <c r="U66" s="25"/>
      <c r="AA66" s="25"/>
      <c r="AB66" s="25"/>
      <c r="AC66" s="25"/>
      <c r="AD66" s="25"/>
      <c r="AE66" s="25"/>
      <c r="AF66" s="25"/>
      <c r="AG66" s="25"/>
      <c r="AH66" s="25"/>
      <c r="AI66" s="25"/>
      <c r="AM66" s="25"/>
      <c r="AN66" s="25"/>
      <c r="AO66" s="25"/>
    </row>
    <row r="67" spans="2:41">
      <c r="H67" s="25"/>
      <c r="I67" s="25"/>
      <c r="J67" s="25"/>
      <c r="K67" s="25"/>
      <c r="L67" s="25"/>
      <c r="M67" s="25"/>
      <c r="N67" s="25"/>
      <c r="O67" s="25"/>
      <c r="P67" s="25"/>
      <c r="Q67" s="25"/>
      <c r="R67" s="25"/>
      <c r="S67" s="25"/>
      <c r="T67" s="79"/>
      <c r="U67" s="25"/>
      <c r="AA67" s="25"/>
      <c r="AB67" s="25"/>
      <c r="AC67" s="25"/>
      <c r="AD67" s="25"/>
      <c r="AE67" s="25"/>
      <c r="AF67" s="25"/>
      <c r="AG67" s="25"/>
      <c r="AH67" s="25"/>
      <c r="AI67" s="25"/>
      <c r="AM67" s="25"/>
      <c r="AN67" s="25"/>
      <c r="AO67" s="25"/>
    </row>
    <row r="68" spans="2:41">
      <c r="H68" s="25"/>
      <c r="I68" s="25"/>
      <c r="J68" s="25"/>
      <c r="K68" s="25"/>
      <c r="L68" s="25"/>
      <c r="M68" s="25"/>
      <c r="N68" s="25"/>
      <c r="O68" s="25"/>
      <c r="P68" s="25"/>
      <c r="Q68" s="25"/>
      <c r="R68" s="25"/>
      <c r="S68" s="25"/>
      <c r="T68" s="25"/>
      <c r="U68" s="25"/>
      <c r="AD68" s="2" t="s">
        <v>723</v>
      </c>
      <c r="AE68" s="2" t="s">
        <v>722</v>
      </c>
      <c r="AF68" s="2" t="s">
        <v>786</v>
      </c>
      <c r="AG68" s="25"/>
      <c r="AI68" s="25"/>
      <c r="AJ68" s="25"/>
      <c r="AM68" s="25"/>
      <c r="AN68" s="25"/>
      <c r="AO68" s="25"/>
    </row>
    <row r="69" spans="2:41">
      <c r="H69" s="25"/>
      <c r="I69" s="25"/>
      <c r="J69" s="25"/>
      <c r="M69" s="25"/>
      <c r="N69" s="27"/>
      <c r="O69" s="25"/>
      <c r="P69" s="25"/>
      <c r="Q69" s="25"/>
      <c r="R69" s="25"/>
      <c r="S69" s="27" t="s">
        <v>723</v>
      </c>
      <c r="T69" s="27" t="s">
        <v>723</v>
      </c>
      <c r="U69" s="27" t="s">
        <v>722</v>
      </c>
      <c r="W69" s="25"/>
      <c r="X69" s="25"/>
      <c r="Y69" s="25"/>
      <c r="Z69" s="25"/>
      <c r="AB69" s="25"/>
      <c r="AD69" s="82" t="s">
        <v>2652</v>
      </c>
      <c r="AE69" s="82" t="s">
        <v>2652</v>
      </c>
      <c r="AF69" s="82" t="s">
        <v>2652</v>
      </c>
      <c r="AH69" s="82" t="s">
        <v>2731</v>
      </c>
      <c r="AI69" s="25"/>
      <c r="AJ69" s="25"/>
      <c r="AM69" s="25"/>
      <c r="AN69" s="25"/>
      <c r="AO69" s="25"/>
    </row>
    <row r="70" spans="2:41">
      <c r="H70" s="25"/>
      <c r="I70" s="25"/>
      <c r="J70" s="25"/>
      <c r="M70" s="25"/>
      <c r="N70" s="27"/>
      <c r="O70" s="25"/>
      <c r="P70" s="25"/>
      <c r="Q70" s="25"/>
      <c r="R70" s="25"/>
      <c r="S70" s="2" t="s">
        <v>2650</v>
      </c>
      <c r="T70" s="2" t="s">
        <v>2650</v>
      </c>
      <c r="U70" s="2" t="s">
        <v>2650</v>
      </c>
      <c r="X70" s="25"/>
      <c r="Y70" s="25"/>
      <c r="Z70" s="25"/>
      <c r="AB70" s="25"/>
      <c r="AD70" s="2" t="s">
        <v>2650</v>
      </c>
      <c r="AE70" s="2" t="s">
        <v>2650</v>
      </c>
      <c r="AF70" s="2" t="s">
        <v>2650</v>
      </c>
      <c r="AH70" s="27" t="s">
        <v>2572</v>
      </c>
      <c r="AI70" s="25"/>
      <c r="AJ70" s="25"/>
      <c r="AM70" s="25"/>
      <c r="AN70" s="25"/>
      <c r="AO70" s="25"/>
    </row>
    <row r="71" spans="2:41">
      <c r="N71" s="29" t="s">
        <v>732</v>
      </c>
      <c r="O71" s="29" t="s">
        <v>732</v>
      </c>
      <c r="P71" s="25"/>
      <c r="Q71" s="27"/>
      <c r="S71" s="27" t="s">
        <v>626</v>
      </c>
      <c r="T71" s="27" t="s">
        <v>2651</v>
      </c>
      <c r="U71" s="27" t="s">
        <v>2651</v>
      </c>
      <c r="X71" s="82" t="s">
        <v>2654</v>
      </c>
      <c r="Y71" s="25"/>
      <c r="Z71" s="27" t="s">
        <v>767</v>
      </c>
      <c r="AB71" s="25"/>
      <c r="AD71" s="27" t="s">
        <v>2651</v>
      </c>
      <c r="AE71" s="27" t="s">
        <v>2651</v>
      </c>
      <c r="AF71" s="27" t="s">
        <v>2651</v>
      </c>
      <c r="AH71" s="6" t="s">
        <v>76</v>
      </c>
      <c r="AI71" s="6" t="s">
        <v>722</v>
      </c>
      <c r="AJ71" s="25"/>
      <c r="AM71" s="25"/>
      <c r="AN71" s="25"/>
      <c r="AO71" s="25"/>
    </row>
    <row r="72" spans="2:41">
      <c r="C72" s="25"/>
      <c r="D72" s="25"/>
      <c r="E72" s="25"/>
      <c r="F72" s="25"/>
      <c r="G72" s="25"/>
      <c r="N72" s="29" t="s">
        <v>733</v>
      </c>
      <c r="O72" s="29" t="s">
        <v>733</v>
      </c>
      <c r="P72" s="25"/>
      <c r="Q72" s="2" t="s">
        <v>37</v>
      </c>
      <c r="S72" s="6" t="s">
        <v>2622</v>
      </c>
      <c r="T72" s="6" t="s">
        <v>2622</v>
      </c>
      <c r="U72" s="6" t="s">
        <v>2622</v>
      </c>
      <c r="X72" s="82" t="s">
        <v>2655</v>
      </c>
      <c r="Y72" s="27" t="s">
        <v>37</v>
      </c>
      <c r="Z72" s="6" t="s">
        <v>753</v>
      </c>
      <c r="AD72" s="2"/>
      <c r="AE72" s="2"/>
      <c r="AF72" s="2"/>
      <c r="AI72" s="2" t="s">
        <v>146</v>
      </c>
      <c r="AJ72" s="2" t="s">
        <v>146</v>
      </c>
      <c r="AM72" s="25"/>
      <c r="AN72" s="25"/>
      <c r="AO72" s="25"/>
    </row>
    <row r="73" spans="2:41">
      <c r="C73" s="25"/>
      <c r="D73" s="25"/>
      <c r="E73" s="25"/>
      <c r="F73" s="25"/>
      <c r="G73" s="1272"/>
      <c r="H73" s="25"/>
      <c r="I73" s="2" t="s">
        <v>2570</v>
      </c>
      <c r="J73" s="27" t="s">
        <v>723</v>
      </c>
      <c r="K73" s="29" t="s">
        <v>732</v>
      </c>
      <c r="L73" s="29" t="s">
        <v>732</v>
      </c>
      <c r="M73" s="29" t="s">
        <v>732</v>
      </c>
      <c r="N73" s="268">
        <v>7.15</v>
      </c>
      <c r="O73" s="268">
        <v>7.19</v>
      </c>
      <c r="P73" s="2" t="s">
        <v>37</v>
      </c>
      <c r="Q73" s="1273" t="s">
        <v>2570</v>
      </c>
      <c r="S73" s="6" t="s">
        <v>753</v>
      </c>
      <c r="T73" s="6" t="s">
        <v>753</v>
      </c>
      <c r="U73" s="6" t="s">
        <v>753</v>
      </c>
      <c r="X73" s="6" t="s">
        <v>2656</v>
      </c>
      <c r="Y73" s="27" t="s">
        <v>743</v>
      </c>
      <c r="Z73" s="25" t="s">
        <v>69</v>
      </c>
      <c r="AB73" s="82"/>
      <c r="AD73" s="6" t="s">
        <v>2657</v>
      </c>
      <c r="AE73" s="6" t="s">
        <v>2657</v>
      </c>
      <c r="AF73" s="6" t="s">
        <v>2657</v>
      </c>
      <c r="AH73" s="27" t="s">
        <v>82</v>
      </c>
      <c r="AI73" s="6" t="s">
        <v>2606</v>
      </c>
      <c r="AJ73" s="6" t="s">
        <v>2606</v>
      </c>
      <c r="AM73" s="25"/>
      <c r="AN73" s="25"/>
      <c r="AO73" s="25"/>
    </row>
    <row r="74" spans="2:41">
      <c r="C74" s="25"/>
      <c r="D74" s="25" t="str">
        <f>'2'!D40</f>
        <v>(ft)</v>
      </c>
      <c r="E74" s="25" t="str">
        <f>'2'!E40</f>
        <v>(-)</v>
      </c>
      <c r="F74" s="25" t="str">
        <f>'2'!F40</f>
        <v>(deg C)</v>
      </c>
      <c r="G74" s="1272" t="str">
        <f>'2'!I40</f>
        <v>(ft/sec)</v>
      </c>
      <c r="H74" s="25"/>
      <c r="I74" s="27" t="s">
        <v>33</v>
      </c>
      <c r="J74" s="27" t="s">
        <v>626</v>
      </c>
      <c r="K74" s="29" t="s">
        <v>733</v>
      </c>
      <c r="L74" s="29" t="s">
        <v>733</v>
      </c>
      <c r="M74" s="29" t="s">
        <v>733</v>
      </c>
      <c r="N74" s="27" t="s">
        <v>37</v>
      </c>
      <c r="O74" s="27" t="s">
        <v>37</v>
      </c>
      <c r="P74" s="29" t="s">
        <v>146</v>
      </c>
      <c r="Q74" s="6" t="s">
        <v>70</v>
      </c>
      <c r="R74" s="6" t="s">
        <v>753</v>
      </c>
      <c r="S74" s="27" t="s">
        <v>735</v>
      </c>
      <c r="T74" s="27" t="s">
        <v>735</v>
      </c>
      <c r="U74" s="27" t="s">
        <v>735</v>
      </c>
      <c r="V74" s="6" t="s">
        <v>722</v>
      </c>
      <c r="W74" s="6" t="s">
        <v>722</v>
      </c>
      <c r="X74" s="6" t="s">
        <v>2724</v>
      </c>
      <c r="Y74" s="27" t="s">
        <v>744</v>
      </c>
      <c r="Z74" s="27" t="s">
        <v>765</v>
      </c>
      <c r="AB74" s="6" t="s">
        <v>2674</v>
      </c>
      <c r="AD74" s="6" t="s">
        <v>735</v>
      </c>
      <c r="AE74" s="6" t="s">
        <v>735</v>
      </c>
      <c r="AF74" s="6" t="s">
        <v>735</v>
      </c>
      <c r="AG74" s="27" t="s">
        <v>81</v>
      </c>
      <c r="AH74" s="27" t="s">
        <v>80</v>
      </c>
      <c r="AI74" s="6" t="s">
        <v>2727</v>
      </c>
      <c r="AJ74" s="6" t="s">
        <v>2727</v>
      </c>
      <c r="AM74" s="25"/>
      <c r="AN74" s="25"/>
      <c r="AO74" s="25"/>
    </row>
    <row r="75" spans="2:41">
      <c r="C75" s="25"/>
      <c r="D75" s="25" t="str">
        <f>'2'!D41</f>
        <v>Pressure</v>
      </c>
      <c r="E75" s="25" t="str">
        <f>'2'!E41</f>
        <v>Mach</v>
      </c>
      <c r="F75" s="25" t="str">
        <f>'2'!F41</f>
        <v>Delta Amb.</v>
      </c>
      <c r="G75" s="1272" t="str">
        <f>'2'!I41</f>
        <v>Flight</v>
      </c>
      <c r="H75" s="57" t="s">
        <v>753</v>
      </c>
      <c r="I75" s="27" t="s">
        <v>35</v>
      </c>
      <c r="J75" s="27" t="s">
        <v>2621</v>
      </c>
      <c r="K75" s="268">
        <v>7.16</v>
      </c>
      <c r="L75" s="268">
        <v>7.17</v>
      </c>
      <c r="M75" s="268">
        <v>7.18</v>
      </c>
      <c r="N75" s="27" t="s">
        <v>727</v>
      </c>
      <c r="O75" s="27" t="s">
        <v>730</v>
      </c>
      <c r="P75" s="27" t="s">
        <v>734</v>
      </c>
      <c r="Q75" s="6" t="s">
        <v>2612</v>
      </c>
      <c r="R75" s="6" t="s">
        <v>2623</v>
      </c>
      <c r="S75" s="25" t="s">
        <v>69</v>
      </c>
      <c r="T75" s="25" t="s">
        <v>69</v>
      </c>
      <c r="U75" s="25" t="s">
        <v>69</v>
      </c>
      <c r="V75" s="82" t="s">
        <v>85</v>
      </c>
      <c r="W75" s="6" t="s">
        <v>753</v>
      </c>
      <c r="X75" s="6" t="s">
        <v>2653</v>
      </c>
      <c r="Y75" s="27" t="s">
        <v>70</v>
      </c>
      <c r="Z75" s="27" t="s">
        <v>76</v>
      </c>
      <c r="AB75" s="82" t="s">
        <v>2657</v>
      </c>
      <c r="AD75" s="6" t="s">
        <v>69</v>
      </c>
      <c r="AE75" s="6" t="s">
        <v>69</v>
      </c>
      <c r="AF75" s="6" t="s">
        <v>70</v>
      </c>
      <c r="AG75" s="27" t="s">
        <v>80</v>
      </c>
      <c r="AH75" s="27" t="s">
        <v>2573</v>
      </c>
      <c r="AI75" s="6" t="s">
        <v>69</v>
      </c>
      <c r="AJ75" s="6" t="s">
        <v>708</v>
      </c>
      <c r="AM75" s="25"/>
      <c r="AN75" s="25"/>
      <c r="AO75" s="25"/>
    </row>
    <row r="76" spans="2:41">
      <c r="C76" s="25"/>
      <c r="D76" s="25" t="str">
        <f>'2'!D42</f>
        <v>Altitude</v>
      </c>
      <c r="E76" s="25" t="str">
        <f>'2'!E42</f>
        <v>Number</v>
      </c>
      <c r="F76" s="25" t="str">
        <f>'2'!F42</f>
        <v>Temperature</v>
      </c>
      <c r="G76" s="1272" t="str">
        <f>'2'!I42</f>
        <v>Speed</v>
      </c>
      <c r="H76" s="57" t="s">
        <v>754</v>
      </c>
      <c r="I76" s="27" t="s">
        <v>737</v>
      </c>
      <c r="J76" s="25" t="s">
        <v>69</v>
      </c>
      <c r="K76" s="27" t="s">
        <v>37</v>
      </c>
      <c r="L76" s="27" t="s">
        <v>37</v>
      </c>
      <c r="M76" s="27" t="s">
        <v>37</v>
      </c>
      <c r="N76" s="27" t="s">
        <v>728</v>
      </c>
      <c r="O76" s="27" t="s">
        <v>728</v>
      </c>
      <c r="P76" s="27" t="s">
        <v>728</v>
      </c>
      <c r="Q76" s="6" t="s">
        <v>728</v>
      </c>
      <c r="R76" s="6" t="s">
        <v>145</v>
      </c>
      <c r="S76" s="6" t="s">
        <v>790</v>
      </c>
      <c r="T76" s="6" t="s">
        <v>790</v>
      </c>
      <c r="U76" s="6" t="s">
        <v>790</v>
      </c>
      <c r="V76" s="6" t="s">
        <v>59</v>
      </c>
      <c r="W76" s="6" t="s">
        <v>69</v>
      </c>
      <c r="X76" s="6" t="s">
        <v>63</v>
      </c>
      <c r="Y76" s="27" t="s">
        <v>145</v>
      </c>
      <c r="Z76" s="27" t="s">
        <v>766</v>
      </c>
      <c r="AB76" s="6" t="s">
        <v>70</v>
      </c>
      <c r="AC76" s="82" t="s">
        <v>2657</v>
      </c>
      <c r="AD76" s="6" t="s">
        <v>790</v>
      </c>
      <c r="AE76" s="6" t="s">
        <v>790</v>
      </c>
      <c r="AF76" s="6" t="s">
        <v>790</v>
      </c>
      <c r="AG76" s="27" t="s">
        <v>75</v>
      </c>
      <c r="AH76" s="6" t="s">
        <v>84</v>
      </c>
      <c r="AI76" s="6" t="s">
        <v>790</v>
      </c>
      <c r="AJ76" s="6" t="s">
        <v>736</v>
      </c>
      <c r="AM76" s="25"/>
      <c r="AN76" s="25"/>
      <c r="AO76" s="25"/>
    </row>
    <row r="77" spans="2:41" ht="15.6">
      <c r="C77" s="25" t="str">
        <f>'2'!C43</f>
        <v>Mission Segment</v>
      </c>
      <c r="D77" s="25" t="str">
        <f>'2'!D43</f>
        <v>h</v>
      </c>
      <c r="E77" s="25" t="str">
        <f>'2'!E43</f>
        <v>M</v>
      </c>
      <c r="F77" s="25" t="str">
        <f>'2'!F43</f>
        <v>DTamb</v>
      </c>
      <c r="G77" s="1272" t="str">
        <f>'2'!I43</f>
        <v>V</v>
      </c>
      <c r="H77" s="182" t="s">
        <v>536</v>
      </c>
      <c r="I77" s="31" t="s">
        <v>738</v>
      </c>
      <c r="J77" s="31" t="s">
        <v>77</v>
      </c>
      <c r="K77" s="31" t="s">
        <v>724</v>
      </c>
      <c r="L77" s="31" t="s">
        <v>725</v>
      </c>
      <c r="M77" s="31" t="s">
        <v>726</v>
      </c>
      <c r="N77" s="31" t="s">
        <v>729</v>
      </c>
      <c r="O77" s="31" t="s">
        <v>731</v>
      </c>
      <c r="P77" s="31" t="s">
        <v>721</v>
      </c>
      <c r="Q77" s="39" t="s">
        <v>2613</v>
      </c>
      <c r="R77" s="39" t="s">
        <v>775</v>
      </c>
      <c r="S77" s="31" t="s">
        <v>2722</v>
      </c>
      <c r="T77" s="31" t="s">
        <v>2722</v>
      </c>
      <c r="U77" s="31" t="s">
        <v>2722</v>
      </c>
      <c r="V77" s="39" t="s">
        <v>2728</v>
      </c>
      <c r="W77" s="39" t="s">
        <v>2721</v>
      </c>
      <c r="X77" s="39" t="s">
        <v>2723</v>
      </c>
      <c r="Y77" s="31" t="s">
        <v>742</v>
      </c>
      <c r="Z77" s="31" t="s">
        <v>67</v>
      </c>
      <c r="AB77" s="39" t="s">
        <v>2673</v>
      </c>
      <c r="AC77" s="6" t="s">
        <v>708</v>
      </c>
      <c r="AD77" s="39" t="s">
        <v>2725</v>
      </c>
      <c r="AE77" s="39" t="s">
        <v>2725</v>
      </c>
      <c r="AF77" s="39" t="s">
        <v>2730</v>
      </c>
      <c r="AG77" s="31" t="s">
        <v>77</v>
      </c>
      <c r="AH77" s="31" t="s">
        <v>2594</v>
      </c>
      <c r="AI77" s="39" t="s">
        <v>2726</v>
      </c>
      <c r="AJ77" s="39" t="s">
        <v>2729</v>
      </c>
      <c r="AM77" s="25"/>
      <c r="AN77" s="25"/>
      <c r="AO77" s="25"/>
    </row>
    <row r="78" spans="2:41">
      <c r="B78" s="25">
        <f>'2'!B44</f>
        <v>1</v>
      </c>
      <c r="C78" s="428" t="str">
        <f>'2'!C44</f>
        <v>Start-up &amp; Takeoff</v>
      </c>
      <c r="D78" s="428">
        <f>'2'!D44</f>
        <v>0</v>
      </c>
      <c r="E78" s="1193">
        <f>'2'!E44</f>
        <v>8.1522808931001889E-2</v>
      </c>
      <c r="F78" s="1025">
        <f>'2'!F44</f>
        <v>0</v>
      </c>
      <c r="G78" s="1276">
        <f>'2'!I44</f>
        <v>91.141732439999998</v>
      </c>
      <c r="H78" s="25">
        <f>IF('3'!$J$21=2,(IF('2'!E44&lt;1,1,'3'!$J$21)),'3'!$J$21)</f>
        <v>5</v>
      </c>
      <c r="I78" s="244">
        <f>IF(H78=1,((($F$158*((('2'!H44/0.00238333)^$F$159)))+$F$160)*$F$161*($F$162+($F$163*(('2'!E44-$F$164)^$F$165)))),
  IF(H78=2,((($G$158*((('2'!H44/0.00238333)^$G$159)))+$G$160)*$G$161*($G$162+($G$163*(('2'!E44-$G$164)^$G$165)))),
  IF(H78=3,((($H$158*((('2'!H44/0.00238333)^$H$159)))+$H$160)*$H$161*($H$162+($H$163*(('2'!E44-$H$164)^$H$165)))),
  IF(H78=4,((($I$158*((('2'!H44/0.00238333)^$I$159)))+$I$160)*$I$161*($I$162+($I$163*(('2'!E44-$I$164)^$I$165)))),
  IF(H78=5,((($J$158*((('2'!H44/0.00238333)^$J$159)))+$J$160)*$J$161*($J$162+($J$163*(('2'!E44-$J$164)^$J$165)))),
                        (($K$158*((('2'!H44/0.00238333)^$K$159)))+$K$160)*$K$161*($K$162+($K$163*(('2'!E44-$K$164)^$K$165))))))))</f>
        <v>1.0000014248970976</v>
      </c>
      <c r="J78" s="52">
        <f t="shared" ref="J78:J109" si="2">I78*F$10</f>
        <v>200.00028497941952</v>
      </c>
      <c r="K78" s="67">
        <f>IF('2'!E44=1,0.995,(IF('2'!E44&lt;1,0.995,(0.995-(0.075*(('2'!E44-1)^1.35))))))</f>
        <v>0.995</v>
      </c>
      <c r="L78" s="67">
        <f>IF('2'!E44&lt;2.5,1,((-0.1*'2'!E44)+1.25))</f>
        <v>1</v>
      </c>
      <c r="M78" s="67">
        <f>1.35-(0.15*('2'!E44-1))</f>
        <v>1.4877715786603498</v>
      </c>
      <c r="N78" s="67">
        <f t="shared" ref="N78:N89" si="3">M78*(K78-L78)</f>
        <v>-7.4388578933017556E-3</v>
      </c>
      <c r="O78" s="25">
        <f t="shared" ref="O78:O109" si="4">-2*F$13</f>
        <v>-0.02</v>
      </c>
      <c r="P78" s="34">
        <f>(1+N78)*(1+O78)</f>
        <v>0.97270991926456418</v>
      </c>
      <c r="Q78" s="1274">
        <f t="shared" ref="Q78:Q109" si="5">F$30</f>
        <v>0.98</v>
      </c>
      <c r="R78" s="1274">
        <f t="shared" ref="R78:R109" si="6">Q$18</f>
        <v>0.84270197523206603</v>
      </c>
      <c r="S78" s="1275">
        <f>J78*P78*Q78*R78</f>
        <v>160.66232470420002</v>
      </c>
      <c r="T78" s="1275">
        <f>S78*H$174</f>
        <v>160.66232470420002</v>
      </c>
      <c r="U78" s="1275">
        <f t="shared" ref="U78:U109" si="7">T78*Q$11</f>
        <v>160.66232470420002</v>
      </c>
      <c r="V78" s="1315">
        <f>'3'!BC15</f>
        <v>197.62105710767028</v>
      </c>
      <c r="W78" s="1316">
        <f>U78</f>
        <v>160.66232470420002</v>
      </c>
      <c r="X78" s="1291">
        <f t="shared" ref="X78:X109" si="8">W78/(S78*Q$11)</f>
        <v>1</v>
      </c>
      <c r="Y78" s="34">
        <f t="shared" ref="Y78:Y109" si="9">((0.1/X78)+(0.24/(X78^0.8))+(0.66*(X78^0.8))+(0.1*B$36*((1/X78)-X78)))</f>
        <v>1</v>
      </c>
      <c r="Z78" s="34">
        <f t="shared" ref="Z78:Z109" si="10">IF(H78=1,($F$12*$F$11*Y78*$N$158*($N$159+($N$160*((E78-$N$161)^$N$162)))),
  IF(H78=2,($F$12*$F$11*Y78*$O$158*($O$159+($O$160*((E78-$O$161)^$O$162)))),
IF(H78=3,($F$12*$F$11*Y78*$P$158*($P$159+($P$160*((E78-$P$161)^$P$162)))),
IF(H78=4,($F$12*$F$11*Y78*$Q$158*($Q$159+($Q$160*((E78-$Q$161)^$Q$162)))),
IF(H78=5,($F$12*$F$11*Y78*$R$158*($R$159+($R$160*((E78-$R$161)^$R$162)))),
                    ($F$12*$F$11*Y78*$S$158*($S$159+($S$160*((E78-$S$161)^$S$162)))))))))</f>
        <v>0.91800000000000004</v>
      </c>
      <c r="AB78" s="1294">
        <v>1</v>
      </c>
      <c r="AC78" s="1293">
        <v>1</v>
      </c>
      <c r="AD78" s="1272">
        <f t="shared" ref="AD78:AD109" si="11">IF(AB78=1,Q$29*AC78,0)</f>
        <v>0</v>
      </c>
      <c r="AE78" s="1272">
        <f t="shared" ref="AE78:AE109" si="12">AD78*Q$24</f>
        <v>0</v>
      </c>
      <c r="AF78" s="1272">
        <f t="shared" ref="AF78:AF109" si="13">AE78/G$39</f>
        <v>0</v>
      </c>
      <c r="AG78" s="1317">
        <f>'2'!S44</f>
        <v>2</v>
      </c>
      <c r="AH78" s="1272">
        <f t="shared" ref="AH78:AH109" si="14">AF78*(AG78/60)*2544.433748/(G$28*G$37)</f>
        <v>0</v>
      </c>
      <c r="AI78" s="1272">
        <f t="shared" ref="AI78:AI109" si="15">AE78+U78</f>
        <v>160.66232470420002</v>
      </c>
      <c r="AJ78" s="1251">
        <f t="shared" ref="AJ78:AJ109" si="16">(W78+AE78)/AI78</f>
        <v>1</v>
      </c>
      <c r="AM78" s="25"/>
      <c r="AN78" s="25"/>
      <c r="AO78" s="25"/>
    </row>
    <row r="79" spans="2:41">
      <c r="B79" s="25">
        <f>'2'!B45</f>
        <v>2</v>
      </c>
      <c r="C79" s="428" t="str">
        <f>'2'!C45</f>
        <v>Climb+Accel1</v>
      </c>
      <c r="D79" s="428">
        <f>'2'!D45</f>
        <v>7000</v>
      </c>
      <c r="E79" s="1193">
        <f>'2'!E45</f>
        <v>0.16</v>
      </c>
      <c r="F79" s="1025">
        <f>'2'!F45</f>
        <v>0</v>
      </c>
      <c r="G79" s="1276">
        <f>'2'!I45</f>
        <v>174.28771794559998</v>
      </c>
      <c r="H79" s="25">
        <f>IF('3'!$J$21=2,(IF('2'!E45&lt;1,1,'3'!$J$21)),'3'!$J$21)</f>
        <v>5</v>
      </c>
      <c r="I79" s="244">
        <f>IF(H79=1,((($F$158*((('2'!H45/0.00238333)^$F$159)))+$F$160)*$F$161*($F$162+($F$163*(('2'!E45-$F$164)^$F$165)))),
  IF(H79=2,((($G$158*((('2'!H45/0.00238333)^$G$159)))+$G$160)*$G$161*($G$162+($G$163*(('2'!E45-$G$164)^$G$165)))),
  IF(H79=3,((($H$158*((('2'!H45/0.00238333)^$H$159)))+$H$160)*$H$161*($H$162+($H$163*(('2'!E45-$H$164)^$H$165)))),
  IF(H79=4,((($I$158*((('2'!H45/0.00238333)^$I$159)))+$I$160)*$I$161*($I$162+($I$163*(('2'!E45-$I$164)^$I$165)))),
  IF(H79=5,((($J$158*((('2'!H45/0.00238333)^$J$159)))+$J$160)*$J$161*($J$162+($J$163*(('2'!E45-$J$164)^$J$165)))),
                        (($K$158*((('2'!H45/0.00238333)^$K$159)))+$K$160)*$K$161*($K$162+($K$163*(('2'!E45-$K$164)^$K$165))))))))</f>
        <v>0.78152196230937632</v>
      </c>
      <c r="J79" s="52">
        <f t="shared" si="2"/>
        <v>156.30439246187527</v>
      </c>
      <c r="K79" s="67">
        <f>IF('2'!E45=1,0.995,(IF('2'!E45&lt;1,0.995,(0.995-(0.075*(('2'!E45-1)^1.35))))))</f>
        <v>0.995</v>
      </c>
      <c r="L79" s="67">
        <f>IF('2'!E45&lt;2.5,1,((-0.1*'2'!E45)+1.25))</f>
        <v>1</v>
      </c>
      <c r="M79" s="67">
        <f>1.35-(0.15*('2'!E45-1))</f>
        <v>1.476</v>
      </c>
      <c r="N79" s="67">
        <f t="shared" si="3"/>
        <v>-7.3800000000000063E-3</v>
      </c>
      <c r="O79" s="25">
        <f t="shared" si="4"/>
        <v>-0.02</v>
      </c>
      <c r="P79" s="34">
        <f>(1+N79)*(1+O79)</f>
        <v>0.97276759999999995</v>
      </c>
      <c r="Q79" s="1274">
        <f t="shared" si="5"/>
        <v>0.98</v>
      </c>
      <c r="R79" s="1274">
        <f t="shared" si="6"/>
        <v>0.84270197523206603</v>
      </c>
      <c r="S79" s="1275">
        <f t="shared" ref="S79:S109" si="17">J79*P79*Q79*R79</f>
        <v>125.56840200100375</v>
      </c>
      <c r="T79" s="1275">
        <f>S79*H$175</f>
        <v>113.01156180090338</v>
      </c>
      <c r="U79" s="1275">
        <f t="shared" si="7"/>
        <v>113.01156180090338</v>
      </c>
      <c r="V79" s="1315">
        <f>'3'!BC16</f>
        <v>185.34137991382161</v>
      </c>
      <c r="W79" s="1316">
        <f>U79</f>
        <v>113.01156180090338</v>
      </c>
      <c r="X79" s="1291">
        <f t="shared" si="8"/>
        <v>0.9</v>
      </c>
      <c r="Y79" s="34">
        <f t="shared" si="9"/>
        <v>0.97886697950851853</v>
      </c>
      <c r="Z79" s="34">
        <f t="shared" si="10"/>
        <v>0.89859988718882</v>
      </c>
      <c r="AB79" s="1294">
        <v>1</v>
      </c>
      <c r="AC79" s="1293">
        <v>1</v>
      </c>
      <c r="AD79" s="1272">
        <f t="shared" si="11"/>
        <v>0</v>
      </c>
      <c r="AE79" s="1272">
        <f t="shared" si="12"/>
        <v>0</v>
      </c>
      <c r="AF79" s="1272">
        <f t="shared" si="13"/>
        <v>0</v>
      </c>
      <c r="AG79" s="1317">
        <f>'2'!S45</f>
        <v>25</v>
      </c>
      <c r="AH79" s="1272">
        <f t="shared" si="14"/>
        <v>0</v>
      </c>
      <c r="AI79" s="1272">
        <f t="shared" si="15"/>
        <v>113.01156180090338</v>
      </c>
      <c r="AJ79" s="1251">
        <f t="shared" si="16"/>
        <v>1</v>
      </c>
      <c r="AM79" s="25"/>
      <c r="AN79" s="25"/>
      <c r="AO79" s="25"/>
    </row>
    <row r="80" spans="2:41">
      <c r="B80" s="25">
        <f>'2'!B46</f>
        <v>3</v>
      </c>
      <c r="C80" s="428" t="str">
        <f>'2'!C46</f>
        <v>Cruise 1a</v>
      </c>
      <c r="D80" s="428">
        <f>'2'!D46</f>
        <v>7000</v>
      </c>
      <c r="E80" s="1193">
        <f>'2'!E46</f>
        <v>0.16</v>
      </c>
      <c r="F80" s="1025">
        <f>'2'!F46</f>
        <v>0</v>
      </c>
      <c r="G80" s="1276">
        <f>'2'!I46</f>
        <v>174.28771794559998</v>
      </c>
      <c r="H80" s="25">
        <f>IF('3'!$J$21=2,(IF('2'!E46&lt;1,1,'3'!$J$21)),'3'!$J$21)</f>
        <v>5</v>
      </c>
      <c r="I80" s="244">
        <f>IF(H80=1,((($F$158*((('2'!H46/0.00238333)^$F$159)))+$F$160)*$F$161*($F$162+($F$163*(('2'!E46-$F$164)^$F$165)))),
  IF(H80=2,((($G$158*((('2'!H46/0.00238333)^$G$159)))+$G$160)*$G$161*($G$162+($G$163*(('2'!E46-$G$164)^$G$165)))),
  IF(H80=3,((($H$158*((('2'!H46/0.00238333)^$H$159)))+$H$160)*$H$161*($H$162+($H$163*(('2'!E46-$H$164)^$H$165)))),
  IF(H80=4,((($I$158*((('2'!H46/0.00238333)^$I$159)))+$I$160)*$I$161*($I$162+($I$163*(('2'!E46-$I$164)^$I$165)))),
  IF(H80=5,((($J$158*((('2'!H46/0.00238333)^$J$159)))+$J$160)*$J$161*($J$162+($J$163*(('2'!E46-$J$164)^$J$165)))),
                        (($K$158*((('2'!H46/0.00238333)^$K$159)))+$K$160)*$K$161*($K$162+($K$163*(('2'!E46-$K$164)^$K$165))))))))</f>
        <v>0.78152196230937632</v>
      </c>
      <c r="J80" s="52">
        <f t="shared" si="2"/>
        <v>156.30439246187527</v>
      </c>
      <c r="K80" s="67">
        <f>IF('2'!E46=1,0.995,(IF('2'!E46&lt;1,0.995,(0.995-(0.075*(('2'!E46-1)^1.35))))))</f>
        <v>0.995</v>
      </c>
      <c r="L80" s="67">
        <f>IF('2'!E46&lt;2.5,1,((-0.1*'2'!E46)+1.25))</f>
        <v>1</v>
      </c>
      <c r="M80" s="67">
        <f>1.35-(0.15*('2'!E46-1))</f>
        <v>1.476</v>
      </c>
      <c r="N80" s="67">
        <f t="shared" si="3"/>
        <v>-7.3800000000000063E-3</v>
      </c>
      <c r="O80" s="25">
        <f t="shared" si="4"/>
        <v>-0.02</v>
      </c>
      <c r="P80" s="34">
        <f t="shared" ref="P80:P89" si="18">(1+N80)*(1+O80)</f>
        <v>0.97276759999999995</v>
      </c>
      <c r="Q80" s="1274">
        <f t="shared" si="5"/>
        <v>0.98</v>
      </c>
      <c r="R80" s="1274">
        <f t="shared" si="6"/>
        <v>0.84270197523206603</v>
      </c>
      <c r="S80" s="1275">
        <f t="shared" si="17"/>
        <v>125.56840200100375</v>
      </c>
      <c r="T80" s="1275">
        <f t="shared" ref="T80:T89" si="19">S80*H$176</f>
        <v>100.454721600803</v>
      </c>
      <c r="U80" s="1275">
        <f t="shared" si="7"/>
        <v>100.454721600803</v>
      </c>
      <c r="V80" s="1315">
        <f>'3'!BC17</f>
        <v>185.02244139783605</v>
      </c>
      <c r="W80" s="1316">
        <f t="shared" ref="W80:W89" si="20">V80-AE80</f>
        <v>185.02244139783605</v>
      </c>
      <c r="X80" s="1291">
        <f t="shared" si="8"/>
        <v>1.4734793025108104</v>
      </c>
      <c r="Y80" s="34">
        <f t="shared" si="9"/>
        <v>1.1438276680653214</v>
      </c>
      <c r="Z80" s="34">
        <f t="shared" si="10"/>
        <v>1.0500337992839652</v>
      </c>
      <c r="AB80" s="1294">
        <v>1</v>
      </c>
      <c r="AC80" s="1293">
        <v>1</v>
      </c>
      <c r="AD80" s="1272">
        <f t="shared" si="11"/>
        <v>0</v>
      </c>
      <c r="AE80" s="1272">
        <f t="shared" si="12"/>
        <v>0</v>
      </c>
      <c r="AF80" s="1272">
        <f t="shared" si="13"/>
        <v>0</v>
      </c>
      <c r="AG80" s="1317">
        <f>'2'!S46</f>
        <v>11.628281617062916</v>
      </c>
      <c r="AH80" s="1272">
        <f t="shared" si="14"/>
        <v>0</v>
      </c>
      <c r="AI80" s="1272">
        <f t="shared" si="15"/>
        <v>100.454721600803</v>
      </c>
      <c r="AJ80" s="1251">
        <f t="shared" si="16"/>
        <v>1.841849128138513</v>
      </c>
      <c r="AM80" s="25"/>
      <c r="AN80" s="25"/>
      <c r="AO80" s="25"/>
    </row>
    <row r="81" spans="2:41">
      <c r="B81" s="25">
        <f>'2'!B47</f>
        <v>4</v>
      </c>
      <c r="C81" s="428" t="str">
        <f>'2'!C47</f>
        <v>Cruise 1b</v>
      </c>
      <c r="D81" s="428">
        <f>'2'!D47</f>
        <v>7000</v>
      </c>
      <c r="E81" s="1193">
        <f>'2'!E47</f>
        <v>0.16</v>
      </c>
      <c r="F81" s="1025">
        <f>'2'!F47</f>
        <v>0</v>
      </c>
      <c r="G81" s="1276">
        <f>'2'!I47</f>
        <v>174.28771794559998</v>
      </c>
      <c r="H81" s="25">
        <f>IF('3'!$J$21=2,(IF('2'!E47&lt;1,1,'3'!$J$21)),'3'!$J$21)</f>
        <v>5</v>
      </c>
      <c r="I81" s="244">
        <f>IF(H81=1,((($F$158*((('2'!H47/0.00238333)^$F$159)))+$F$160)*$F$161*($F$162+($F$163*(('2'!E47-$F$164)^$F$165)))),
  IF(H81=2,((($G$158*((('2'!H47/0.00238333)^$G$159)))+$G$160)*$G$161*($G$162+($G$163*(('2'!E47-$G$164)^$G$165)))),
  IF(H81=3,((($H$158*((('2'!H47/0.00238333)^$H$159)))+$H$160)*$H$161*($H$162+($H$163*(('2'!E47-$H$164)^$H$165)))),
  IF(H81=4,((($I$158*((('2'!H47/0.00238333)^$I$159)))+$I$160)*$I$161*($I$162+($I$163*(('2'!E47-$I$164)^$I$165)))),
  IF(H81=5,((($J$158*((('2'!H47/0.00238333)^$J$159)))+$J$160)*$J$161*($J$162+($J$163*(('2'!E47-$J$164)^$J$165)))),
                        (($K$158*((('2'!H47/0.00238333)^$K$159)))+$K$160)*$K$161*($K$162+($K$163*(('2'!E47-$K$164)^$K$165))))))))</f>
        <v>0.78152196230937632</v>
      </c>
      <c r="J81" s="52">
        <f t="shared" si="2"/>
        <v>156.30439246187527</v>
      </c>
      <c r="K81" s="67">
        <f>IF('2'!E47=1,0.995,(IF('2'!E47&lt;1,0.995,(0.995-(0.075*(('2'!E47-1)^1.35))))))</f>
        <v>0.995</v>
      </c>
      <c r="L81" s="67">
        <f>IF('2'!E47&lt;2.5,1,((-0.1*'2'!E47)+1.25))</f>
        <v>1</v>
      </c>
      <c r="M81" s="67">
        <f>1.35-(0.15*('2'!E47-1))</f>
        <v>1.476</v>
      </c>
      <c r="N81" s="67">
        <f t="shared" si="3"/>
        <v>-7.3800000000000063E-3</v>
      </c>
      <c r="O81" s="25">
        <f t="shared" si="4"/>
        <v>-0.02</v>
      </c>
      <c r="P81" s="34">
        <f>(1+N81)*(1+O81)</f>
        <v>0.97276759999999995</v>
      </c>
      <c r="Q81" s="1274">
        <f t="shared" si="5"/>
        <v>0.98</v>
      </c>
      <c r="R81" s="1274">
        <f t="shared" si="6"/>
        <v>0.84270197523206603</v>
      </c>
      <c r="S81" s="1275">
        <f t="shared" si="17"/>
        <v>125.56840200100375</v>
      </c>
      <c r="T81" s="1275">
        <f t="shared" si="19"/>
        <v>100.454721600803</v>
      </c>
      <c r="U81" s="1275">
        <f t="shared" si="7"/>
        <v>100.454721600803</v>
      </c>
      <c r="V81" s="1315">
        <f>'3'!BC18</f>
        <v>184.67709643309468</v>
      </c>
      <c r="W81" s="1316">
        <f t="shared" si="20"/>
        <v>184.67709643309468</v>
      </c>
      <c r="X81" s="1291">
        <f t="shared" si="8"/>
        <v>1.4707290487906219</v>
      </c>
      <c r="Y81" s="34">
        <f t="shared" si="9"/>
        <v>1.1428737771252999</v>
      </c>
      <c r="Z81" s="34">
        <f t="shared" si="10"/>
        <v>1.0491581274010253</v>
      </c>
      <c r="AB81" s="1294">
        <v>1</v>
      </c>
      <c r="AC81" s="1293">
        <v>1</v>
      </c>
      <c r="AD81" s="1272">
        <f t="shared" si="11"/>
        <v>0</v>
      </c>
      <c r="AE81" s="1272">
        <f t="shared" si="12"/>
        <v>0</v>
      </c>
      <c r="AF81" s="1272">
        <f t="shared" si="13"/>
        <v>0</v>
      </c>
      <c r="AG81" s="1317">
        <f>'2'!S47</f>
        <v>11.628281617062916</v>
      </c>
      <c r="AH81" s="1272">
        <f t="shared" si="14"/>
        <v>0</v>
      </c>
      <c r="AI81" s="1272">
        <f t="shared" si="15"/>
        <v>100.454721600803</v>
      </c>
      <c r="AJ81" s="1251">
        <f t="shared" si="16"/>
        <v>1.8384113109882776</v>
      </c>
      <c r="AM81" s="25"/>
      <c r="AN81" s="25"/>
      <c r="AO81" s="25"/>
    </row>
    <row r="82" spans="2:41">
      <c r="B82" s="25">
        <f>'2'!B48</f>
        <v>5</v>
      </c>
      <c r="C82" s="428" t="str">
        <f>'2'!C48</f>
        <v>Cruise 1c</v>
      </c>
      <c r="D82" s="428">
        <f>'2'!D48</f>
        <v>7000</v>
      </c>
      <c r="E82" s="1193">
        <f>'2'!E48</f>
        <v>0.16</v>
      </c>
      <c r="F82" s="1025">
        <f>'2'!F48</f>
        <v>0</v>
      </c>
      <c r="G82" s="1276">
        <f>'2'!I48</f>
        <v>174.28771794559998</v>
      </c>
      <c r="H82" s="25">
        <f>IF('3'!$J$21=2,(IF('2'!E48&lt;1,1,'3'!$J$21)),'3'!$J$21)</f>
        <v>5</v>
      </c>
      <c r="I82" s="244">
        <f>IF(H82=1,((($F$158*((('2'!H48/0.00238333)^$F$159)))+$F$160)*$F$161*($F$162+($F$163*(('2'!E48-$F$164)^$F$165)))),
  IF(H82=2,((($G$158*((('2'!H48/0.00238333)^$G$159)))+$G$160)*$G$161*($G$162+($G$163*(('2'!E48-$G$164)^$G$165)))),
  IF(H82=3,((($H$158*((('2'!H48/0.00238333)^$H$159)))+$H$160)*$H$161*($H$162+($H$163*(('2'!E48-$H$164)^$H$165)))),
  IF(H82=4,((($I$158*((('2'!H48/0.00238333)^$I$159)))+$I$160)*$I$161*($I$162+($I$163*(('2'!E48-$I$164)^$I$165)))),
  IF(H82=5,((($J$158*((('2'!H48/0.00238333)^$J$159)))+$J$160)*$J$161*($J$162+($J$163*(('2'!E48-$J$164)^$J$165)))),
                        (($K$158*((('2'!H48/0.00238333)^$K$159)))+$K$160)*$K$161*($K$162+($K$163*(('2'!E48-$K$164)^$K$165))))))))</f>
        <v>0.78152196230937632</v>
      </c>
      <c r="J82" s="52">
        <f t="shared" si="2"/>
        <v>156.30439246187527</v>
      </c>
      <c r="K82" s="67">
        <f>IF('2'!E48=1,0.995,(IF('2'!E48&lt;1,0.995,(0.995-(0.075*(('2'!E48-1)^1.35))))))</f>
        <v>0.995</v>
      </c>
      <c r="L82" s="67">
        <f>IF('2'!E48&lt;2.5,1,((-0.1*'2'!E48)+1.25))</f>
        <v>1</v>
      </c>
      <c r="M82" s="67">
        <f>1.35-(0.15*('2'!E48-1))</f>
        <v>1.476</v>
      </c>
      <c r="N82" s="67">
        <f t="shared" si="3"/>
        <v>-7.3800000000000063E-3</v>
      </c>
      <c r="O82" s="25">
        <f t="shared" si="4"/>
        <v>-0.02</v>
      </c>
      <c r="P82" s="34">
        <f t="shared" si="18"/>
        <v>0.97276759999999995</v>
      </c>
      <c r="Q82" s="1274">
        <f t="shared" si="5"/>
        <v>0.98</v>
      </c>
      <c r="R82" s="1274">
        <f t="shared" si="6"/>
        <v>0.84270197523206603</v>
      </c>
      <c r="S82" s="1275">
        <f>J82*P82*Q82*R82</f>
        <v>125.56840200100375</v>
      </c>
      <c r="T82" s="1275">
        <f t="shared" si="19"/>
        <v>100.454721600803</v>
      </c>
      <c r="U82" s="1275">
        <f t="shared" si="7"/>
        <v>100.454721600803</v>
      </c>
      <c r="V82" s="1315">
        <f>'3'!BC19</f>
        <v>184.33482890851053</v>
      </c>
      <c r="W82" s="1316">
        <f t="shared" si="20"/>
        <v>184.33482890851053</v>
      </c>
      <c r="X82" s="1291">
        <f t="shared" si="8"/>
        <v>1.4680033031481681</v>
      </c>
      <c r="Y82" s="34">
        <f t="shared" si="9"/>
        <v>1.1419292354034336</v>
      </c>
      <c r="Z82" s="34">
        <f t="shared" si="10"/>
        <v>1.0482910381003521</v>
      </c>
      <c r="AB82" s="1294">
        <v>1</v>
      </c>
      <c r="AC82" s="1293">
        <v>1</v>
      </c>
      <c r="AD82" s="1272">
        <f t="shared" si="11"/>
        <v>0</v>
      </c>
      <c r="AE82" s="1272">
        <f t="shared" si="12"/>
        <v>0</v>
      </c>
      <c r="AF82" s="1272">
        <f t="shared" si="13"/>
        <v>0</v>
      </c>
      <c r="AG82" s="1317">
        <f>'2'!S48</f>
        <v>11.628281617062916</v>
      </c>
      <c r="AH82" s="1272">
        <f t="shared" si="14"/>
        <v>0</v>
      </c>
      <c r="AI82" s="1272">
        <f t="shared" si="15"/>
        <v>100.454721600803</v>
      </c>
      <c r="AJ82" s="1251">
        <f t="shared" si="16"/>
        <v>1.8350041289352099</v>
      </c>
      <c r="AL82" s="25"/>
      <c r="AM82" s="25"/>
      <c r="AN82" s="25"/>
      <c r="AO82" s="25"/>
    </row>
    <row r="83" spans="2:41">
      <c r="B83" s="25">
        <f>'2'!B49</f>
        <v>6</v>
      </c>
      <c r="C83" s="428" t="str">
        <f>'2'!C49</f>
        <v>Cruise 1d</v>
      </c>
      <c r="D83" s="428">
        <f>'2'!D49</f>
        <v>7000</v>
      </c>
      <c r="E83" s="1193">
        <f>'2'!E49</f>
        <v>0.16</v>
      </c>
      <c r="F83" s="1025">
        <f>'2'!F49</f>
        <v>0</v>
      </c>
      <c r="G83" s="1276">
        <f>'2'!I49</f>
        <v>174.28771794559998</v>
      </c>
      <c r="H83" s="25">
        <f>IF('3'!$J$21=2,(IF('2'!E49&lt;1,1,'3'!$J$21)),'3'!$J$21)</f>
        <v>5</v>
      </c>
      <c r="I83" s="244">
        <f>IF(H83=1,((($F$158*((('2'!H49/0.00238333)^$F$159)))+$F$160)*$F$161*($F$162+($F$163*(('2'!E49-$F$164)^$F$165)))),
  IF(H83=2,((($G$158*((('2'!H49/0.00238333)^$G$159)))+$G$160)*$G$161*($G$162+($G$163*(('2'!E49-$G$164)^$G$165)))),
  IF(H83=3,((($H$158*((('2'!H49/0.00238333)^$H$159)))+$H$160)*$H$161*($H$162+($H$163*(('2'!E49-$H$164)^$H$165)))),
  IF(H83=4,((($I$158*((('2'!H49/0.00238333)^$I$159)))+$I$160)*$I$161*($I$162+($I$163*(('2'!E49-$I$164)^$I$165)))),
  IF(H83=5,((($J$158*((('2'!H49/0.00238333)^$J$159)))+$J$160)*$J$161*($J$162+($J$163*(('2'!E49-$J$164)^$J$165)))),
                        (($K$158*((('2'!H49/0.00238333)^$K$159)))+$K$160)*$K$161*($K$162+($K$163*(('2'!E49-$K$164)^$K$165))))))))</f>
        <v>0.78152196230937632</v>
      </c>
      <c r="J83" s="52">
        <f t="shared" si="2"/>
        <v>156.30439246187527</v>
      </c>
      <c r="K83" s="67">
        <f>IF('2'!E49=1,0.995,(IF('2'!E49&lt;1,0.995,(0.995-(0.075*(('2'!E49-1)^1.35))))))</f>
        <v>0.995</v>
      </c>
      <c r="L83" s="67">
        <f>IF('2'!E49&lt;2.5,1,((-0.1*'2'!E49)+1.25))</f>
        <v>1</v>
      </c>
      <c r="M83" s="67">
        <f>1.35-(0.15*('2'!E49-1))</f>
        <v>1.476</v>
      </c>
      <c r="N83" s="67">
        <f t="shared" si="3"/>
        <v>-7.3800000000000063E-3</v>
      </c>
      <c r="O83" s="25">
        <f t="shared" si="4"/>
        <v>-0.02</v>
      </c>
      <c r="P83" s="34">
        <f t="shared" si="18"/>
        <v>0.97276759999999995</v>
      </c>
      <c r="Q83" s="1274">
        <f t="shared" si="5"/>
        <v>0.98</v>
      </c>
      <c r="R83" s="1274">
        <f t="shared" si="6"/>
        <v>0.84270197523206603</v>
      </c>
      <c r="S83" s="1275">
        <f t="shared" si="17"/>
        <v>125.56840200100375</v>
      </c>
      <c r="T83" s="1275">
        <f t="shared" si="19"/>
        <v>100.454721600803</v>
      </c>
      <c r="U83" s="1275">
        <f t="shared" si="7"/>
        <v>100.454721600803</v>
      </c>
      <c r="V83" s="1315">
        <f>'3'!BC20</f>
        <v>183.99561951658714</v>
      </c>
      <c r="W83" s="1316">
        <f t="shared" si="20"/>
        <v>183.99561951658714</v>
      </c>
      <c r="X83" s="1291">
        <f t="shared" si="8"/>
        <v>1.4653019118226602</v>
      </c>
      <c r="Y83" s="34">
        <f t="shared" si="9"/>
        <v>1.1409939728586425</v>
      </c>
      <c r="Z83" s="34">
        <f t="shared" si="10"/>
        <v>1.0474324670842339</v>
      </c>
      <c r="AB83" s="1294">
        <v>1</v>
      </c>
      <c r="AC83" s="1293">
        <v>1</v>
      </c>
      <c r="AD83" s="1272">
        <f t="shared" si="11"/>
        <v>0</v>
      </c>
      <c r="AE83" s="1272">
        <f t="shared" si="12"/>
        <v>0</v>
      </c>
      <c r="AF83" s="1272">
        <f t="shared" si="13"/>
        <v>0</v>
      </c>
      <c r="AG83" s="1317">
        <f>'2'!S49</f>
        <v>11.628281617062916</v>
      </c>
      <c r="AH83" s="1272">
        <f t="shared" si="14"/>
        <v>0</v>
      </c>
      <c r="AI83" s="1272">
        <f t="shared" si="15"/>
        <v>100.454721600803</v>
      </c>
      <c r="AJ83" s="1251">
        <f t="shared" si="16"/>
        <v>1.8316273897783253</v>
      </c>
      <c r="AL83" s="25"/>
      <c r="AM83" s="25"/>
      <c r="AN83" s="25"/>
      <c r="AO83" s="25"/>
    </row>
    <row r="84" spans="2:41">
      <c r="B84" s="25">
        <f>'2'!B50</f>
        <v>7</v>
      </c>
      <c r="C84" s="428" t="str">
        <f>'2'!C50</f>
        <v>Cruise 1e</v>
      </c>
      <c r="D84" s="428">
        <f>'2'!D50</f>
        <v>7000</v>
      </c>
      <c r="E84" s="1193">
        <f>'2'!E50</f>
        <v>0.16</v>
      </c>
      <c r="F84" s="1025">
        <f>'2'!F50</f>
        <v>0</v>
      </c>
      <c r="G84" s="1276">
        <f>'2'!I50</f>
        <v>174.28771794559998</v>
      </c>
      <c r="H84" s="25">
        <f>IF('3'!$J$21=2,(IF('2'!E50&lt;1,1,'3'!$J$21)),'3'!$J$21)</f>
        <v>5</v>
      </c>
      <c r="I84" s="244">
        <f>IF(H84=1,((($F$158*((('2'!H50/0.00238333)^$F$159)))+$F$160)*$F$161*($F$162+($F$163*(('2'!E50-$F$164)^$F$165)))),
  IF(H84=2,((($G$158*((('2'!H50/0.00238333)^$G$159)))+$G$160)*$G$161*($G$162+($G$163*(('2'!E50-$G$164)^$G$165)))),
  IF(H84=3,((($H$158*((('2'!H50/0.00238333)^$H$159)))+$H$160)*$H$161*($H$162+($H$163*(('2'!E50-$H$164)^$H$165)))),
  IF(H84=4,((($I$158*((('2'!H50/0.00238333)^$I$159)))+$I$160)*$I$161*($I$162+($I$163*(('2'!E50-$I$164)^$I$165)))),
  IF(H84=5,((($J$158*((('2'!H50/0.00238333)^$J$159)))+$J$160)*$J$161*($J$162+($J$163*(('2'!E50-$J$164)^$J$165)))),
                        (($K$158*((('2'!H50/0.00238333)^$K$159)))+$K$160)*$K$161*($K$162+($K$163*(('2'!E50-$K$164)^$K$165))))))))</f>
        <v>0.78152196230937632</v>
      </c>
      <c r="J84" s="52">
        <f t="shared" si="2"/>
        <v>156.30439246187527</v>
      </c>
      <c r="K84" s="67">
        <f>IF('2'!E50=1,0.995,(IF('2'!E50&lt;1,0.995,(0.995-(0.075*(('2'!E50-1)^1.35))))))</f>
        <v>0.995</v>
      </c>
      <c r="L84" s="67">
        <f>IF('2'!E50&lt;2.5,1,((-0.1*'2'!E50)+1.25))</f>
        <v>1</v>
      </c>
      <c r="M84" s="67">
        <f>1.35-(0.15*('2'!E50-1))</f>
        <v>1.476</v>
      </c>
      <c r="N84" s="67">
        <f t="shared" si="3"/>
        <v>-7.3800000000000063E-3</v>
      </c>
      <c r="O84" s="25">
        <f t="shared" si="4"/>
        <v>-0.02</v>
      </c>
      <c r="P84" s="34">
        <f t="shared" si="18"/>
        <v>0.97276759999999995</v>
      </c>
      <c r="Q84" s="1274">
        <f t="shared" si="5"/>
        <v>0.98</v>
      </c>
      <c r="R84" s="1274">
        <f t="shared" si="6"/>
        <v>0.84270197523206603</v>
      </c>
      <c r="S84" s="1275">
        <f t="shared" si="17"/>
        <v>125.56840200100375</v>
      </c>
      <c r="T84" s="1275">
        <f t="shared" si="19"/>
        <v>100.454721600803</v>
      </c>
      <c r="U84" s="1275">
        <f t="shared" si="7"/>
        <v>100.454721600803</v>
      </c>
      <c r="V84" s="1315">
        <f>'3'!BC21</f>
        <v>183.65944917145174</v>
      </c>
      <c r="W84" s="1316">
        <f t="shared" si="20"/>
        <v>183.65944917145174</v>
      </c>
      <c r="X84" s="1291">
        <f t="shared" si="8"/>
        <v>1.4626247228182743</v>
      </c>
      <c r="Y84" s="34">
        <f t="shared" si="9"/>
        <v>1.1400679201788602</v>
      </c>
      <c r="Z84" s="34">
        <f t="shared" si="10"/>
        <v>1.0465823507241936</v>
      </c>
      <c r="AB84" s="1294">
        <v>1</v>
      </c>
      <c r="AC84" s="1293">
        <v>1</v>
      </c>
      <c r="AD84" s="1272">
        <f t="shared" si="11"/>
        <v>0</v>
      </c>
      <c r="AE84" s="1272">
        <f t="shared" si="12"/>
        <v>0</v>
      </c>
      <c r="AF84" s="1272">
        <f t="shared" si="13"/>
        <v>0</v>
      </c>
      <c r="AG84" s="1317">
        <f>'2'!S50</f>
        <v>11.628281617062916</v>
      </c>
      <c r="AH84" s="1272">
        <f t="shared" si="14"/>
        <v>0</v>
      </c>
      <c r="AI84" s="1272">
        <f t="shared" si="15"/>
        <v>100.454721600803</v>
      </c>
      <c r="AJ84" s="1251">
        <f t="shared" si="16"/>
        <v>1.8282809035228429</v>
      </c>
      <c r="AL84" s="25"/>
      <c r="AM84" s="25"/>
      <c r="AN84" s="25"/>
      <c r="AO84" s="25"/>
    </row>
    <row r="85" spans="2:41">
      <c r="B85" s="25">
        <f>'2'!B51</f>
        <v>8</v>
      </c>
      <c r="C85" s="428" t="str">
        <f>'2'!C51</f>
        <v>Loiter 1a</v>
      </c>
      <c r="D85" s="428">
        <f>'2'!D51</f>
        <v>3500</v>
      </c>
      <c r="E85" s="1193">
        <f>'2'!E51</f>
        <v>0.15</v>
      </c>
      <c r="F85" s="1025">
        <f>'2'!F51</f>
        <v>0</v>
      </c>
      <c r="G85" s="1276">
        <f>'2'!I51</f>
        <v>165.54666128699998</v>
      </c>
      <c r="H85" s="25">
        <f>IF('3'!$J$21=2,(IF('2'!E51&lt;1,1,'3'!$J$21)),'3'!$J$21)</f>
        <v>5</v>
      </c>
      <c r="I85" s="244">
        <f>IF(H85=1,((($F$158*((('2'!H51/0.00238333)^$F$159)))+$F$160)*$F$161*($F$162+($F$163*(('2'!E51-$F$164)^$F$165)))),
  IF(H85=2,((($G$158*((('2'!H51/0.00238333)^$G$159)))+$G$160)*$G$161*($G$162+($G$163*(('2'!E51-$G$164)^$G$165)))),
  IF(H85=3,((($H$158*((('2'!H51/0.00238333)^$H$159)))+$H$160)*$H$161*($H$162+($H$163*(('2'!E51-$H$164)^$H$165)))),
  IF(H85=4,((($I$158*((('2'!H51/0.00238333)^$I$159)))+$I$160)*$I$161*($I$162+($I$163*(('2'!E51-$I$164)^$I$165)))),
  IF(H85=5,((($J$158*((('2'!H51/0.00238333)^$J$159)))+$J$160)*$J$161*($J$162+($J$163*(('2'!E51-$J$164)^$J$165)))),
                        (($K$158*((('2'!H51/0.00238333)^$K$159)))+$K$160)*$K$161*($K$162+($K$163*(('2'!E51-$K$164)^$K$165))))))))</f>
        <v>0.88476391829209711</v>
      </c>
      <c r="J85" s="52">
        <f t="shared" si="2"/>
        <v>176.95278365841943</v>
      </c>
      <c r="K85" s="67">
        <f>IF('2'!E51=1,0.995,(IF('2'!E51&lt;1,0.995,(0.995-(0.075*(('2'!E51-1)^1.35))))))</f>
        <v>0.995</v>
      </c>
      <c r="L85" s="67">
        <f>IF('2'!E51&lt;2.5,1,((-0.1*'2'!E51)+1.25))</f>
        <v>1</v>
      </c>
      <c r="M85" s="67">
        <f>1.35-(0.15*('2'!E51-1))</f>
        <v>1.4775</v>
      </c>
      <c r="N85" s="67">
        <f t="shared" si="3"/>
        <v>-7.3875000000000069E-3</v>
      </c>
      <c r="O85" s="25">
        <f t="shared" si="4"/>
        <v>-0.02</v>
      </c>
      <c r="P85" s="34">
        <f t="shared" si="18"/>
        <v>0.97276024999999999</v>
      </c>
      <c r="Q85" s="1274">
        <f t="shared" si="5"/>
        <v>0.98</v>
      </c>
      <c r="R85" s="1274">
        <f t="shared" si="6"/>
        <v>0.84270197523206603</v>
      </c>
      <c r="S85" s="1275">
        <f t="shared" si="17"/>
        <v>142.15538051783548</v>
      </c>
      <c r="T85" s="1275">
        <f t="shared" si="19"/>
        <v>113.72430441426839</v>
      </c>
      <c r="U85" s="1275">
        <f t="shared" si="7"/>
        <v>113.72430441426839</v>
      </c>
      <c r="V85" s="1315">
        <f>'3'!BC22</f>
        <v>182.91180219309081</v>
      </c>
      <c r="W85" s="1316">
        <f t="shared" si="20"/>
        <v>182.91180219309081</v>
      </c>
      <c r="X85" s="1291">
        <f t="shared" si="8"/>
        <v>1.2867033349479293</v>
      </c>
      <c r="Y85" s="34">
        <f t="shared" si="9"/>
        <v>1.0813566664643934</v>
      </c>
      <c r="Z85" s="34">
        <f t="shared" si="10"/>
        <v>0.99268541981431324</v>
      </c>
      <c r="AB85" s="1294">
        <v>1</v>
      </c>
      <c r="AC85" s="1293">
        <v>1</v>
      </c>
      <c r="AD85" s="1272">
        <f t="shared" si="11"/>
        <v>0</v>
      </c>
      <c r="AE85" s="1272">
        <f t="shared" si="12"/>
        <v>0</v>
      </c>
      <c r="AF85" s="1272">
        <f t="shared" si="13"/>
        <v>0</v>
      </c>
      <c r="AG85" s="1317">
        <f>'2'!S51</f>
        <v>7</v>
      </c>
      <c r="AH85" s="1272">
        <f t="shared" si="14"/>
        <v>0</v>
      </c>
      <c r="AI85" s="1272">
        <f t="shared" si="15"/>
        <v>113.72430441426839</v>
      </c>
      <c r="AJ85" s="1251">
        <f t="shared" si="16"/>
        <v>1.6083791686849116</v>
      </c>
      <c r="AL85" s="25"/>
      <c r="AM85" s="25"/>
      <c r="AN85" s="25"/>
      <c r="AO85" s="25"/>
    </row>
    <row r="86" spans="2:41">
      <c r="B86" s="25">
        <f>'2'!B52</f>
        <v>9</v>
      </c>
      <c r="C86" s="428" t="str">
        <f>'2'!C52</f>
        <v>Loiter 1b</v>
      </c>
      <c r="D86" s="428">
        <f>'2'!D52</f>
        <v>3500</v>
      </c>
      <c r="E86" s="1193">
        <f>'2'!E52</f>
        <v>0.15</v>
      </c>
      <c r="F86" s="1025">
        <f>'2'!F52</f>
        <v>0</v>
      </c>
      <c r="G86" s="1276">
        <f>'2'!I52</f>
        <v>165.54666128699998</v>
      </c>
      <c r="H86" s="25">
        <f>IF('3'!$J$21=2,(IF('2'!E52&lt;1,1,'3'!$J$21)),'3'!$J$21)</f>
        <v>5</v>
      </c>
      <c r="I86" s="244">
        <f>IF(H86=1,((($F$158*((('2'!H52/0.00238333)^$F$159)))+$F$160)*$F$161*($F$162+($F$163*(('2'!E52-$F$164)^$F$165)))),
  IF(H86=2,((($G$158*((('2'!H52/0.00238333)^$G$159)))+$G$160)*$G$161*($G$162+($G$163*(('2'!E52-$G$164)^$G$165)))),
  IF(H86=3,((($H$158*((('2'!H52/0.00238333)^$H$159)))+$H$160)*$H$161*($H$162+($H$163*(('2'!E52-$H$164)^$H$165)))),
  IF(H86=4,((($I$158*((('2'!H52/0.00238333)^$I$159)))+$I$160)*$I$161*($I$162+($I$163*(('2'!E52-$I$164)^$I$165)))),
  IF(H86=5,((($J$158*((('2'!H52/0.00238333)^$J$159)))+$J$160)*$J$161*($J$162+($J$163*(('2'!E52-$J$164)^$J$165)))),
                        (($K$158*((('2'!H52/0.00238333)^$K$159)))+$K$160)*$K$161*($K$162+($K$163*(('2'!E52-$K$164)^$K$165))))))))</f>
        <v>0.88476391829209711</v>
      </c>
      <c r="J86" s="52">
        <f t="shared" si="2"/>
        <v>176.95278365841943</v>
      </c>
      <c r="K86" s="67">
        <f>IF('2'!E52=1,0.995,(IF('2'!E52&lt;1,0.995,(0.995-(0.075*(('2'!E52-1)^1.35))))))</f>
        <v>0.995</v>
      </c>
      <c r="L86" s="67">
        <f>IF('2'!E52&lt;2.5,1,((-0.1*'2'!E52)+1.25))</f>
        <v>1</v>
      </c>
      <c r="M86" s="67">
        <f>1.35-(0.15*('2'!E52-1))</f>
        <v>1.4775</v>
      </c>
      <c r="N86" s="67">
        <f t="shared" si="3"/>
        <v>-7.3875000000000069E-3</v>
      </c>
      <c r="O86" s="25">
        <f t="shared" si="4"/>
        <v>-0.02</v>
      </c>
      <c r="P86" s="34">
        <f t="shared" si="18"/>
        <v>0.97276024999999999</v>
      </c>
      <c r="Q86" s="1274">
        <f t="shared" si="5"/>
        <v>0.98</v>
      </c>
      <c r="R86" s="1274">
        <f t="shared" si="6"/>
        <v>0.84270197523206603</v>
      </c>
      <c r="S86" s="1275">
        <f t="shared" si="17"/>
        <v>142.15538051783548</v>
      </c>
      <c r="T86" s="1275">
        <f t="shared" si="19"/>
        <v>113.72430441426839</v>
      </c>
      <c r="U86" s="1275">
        <f t="shared" si="7"/>
        <v>113.72430441426839</v>
      </c>
      <c r="V86" s="1315">
        <f>'3'!BC23</f>
        <v>182.72365352150484</v>
      </c>
      <c r="W86" s="1316">
        <f t="shared" si="20"/>
        <v>182.72365352150484</v>
      </c>
      <c r="X86" s="1291">
        <f t="shared" si="8"/>
        <v>1.2853797925614181</v>
      </c>
      <c r="Y86" s="34">
        <f t="shared" si="9"/>
        <v>1.0809337296491046</v>
      </c>
      <c r="Z86" s="34">
        <f t="shared" si="10"/>
        <v>0.99229716381787803</v>
      </c>
      <c r="AB86" s="1294">
        <v>1</v>
      </c>
      <c r="AC86" s="1293">
        <v>1</v>
      </c>
      <c r="AD86" s="1272">
        <f t="shared" si="11"/>
        <v>0</v>
      </c>
      <c r="AE86" s="1272">
        <f t="shared" si="12"/>
        <v>0</v>
      </c>
      <c r="AF86" s="1272">
        <f t="shared" si="13"/>
        <v>0</v>
      </c>
      <c r="AG86" s="1317">
        <f>'2'!S52</f>
        <v>7</v>
      </c>
      <c r="AH86" s="1272">
        <f t="shared" si="14"/>
        <v>0</v>
      </c>
      <c r="AI86" s="1272">
        <f t="shared" si="15"/>
        <v>113.72430441426839</v>
      </c>
      <c r="AJ86" s="1251">
        <f t="shared" si="16"/>
        <v>1.6067247407017726</v>
      </c>
      <c r="AL86" s="25"/>
      <c r="AM86" s="25"/>
      <c r="AN86" s="25"/>
      <c r="AO86" s="25"/>
    </row>
    <row r="87" spans="2:41">
      <c r="B87" s="25">
        <f>'2'!B53</f>
        <v>10</v>
      </c>
      <c r="C87" s="428" t="str">
        <f>'2'!C53</f>
        <v>Loiter 1c</v>
      </c>
      <c r="D87" s="428">
        <f>'2'!D53</f>
        <v>3500</v>
      </c>
      <c r="E87" s="1193">
        <f>'2'!E53</f>
        <v>0.15</v>
      </c>
      <c r="F87" s="1025">
        <f>'2'!F53</f>
        <v>0</v>
      </c>
      <c r="G87" s="1276">
        <f>'2'!I53</f>
        <v>165.54666128699998</v>
      </c>
      <c r="H87" s="25">
        <f>IF('3'!$J$21=2,(IF('2'!E53&lt;1,1,'3'!$J$21)),'3'!$J$21)</f>
        <v>5</v>
      </c>
      <c r="I87" s="244">
        <f>IF(H87=1,((($F$158*((('2'!H53/0.00238333)^$F$159)))+$F$160)*$F$161*($F$162+($F$163*(('2'!E53-$F$164)^$F$165)))),
  IF(H87=2,((($G$158*((('2'!H53/0.00238333)^$G$159)))+$G$160)*$G$161*($G$162+($G$163*(('2'!E53-$G$164)^$G$165)))),
  IF(H87=3,((($H$158*((('2'!H53/0.00238333)^$H$159)))+$H$160)*$H$161*($H$162+($H$163*(('2'!E53-$H$164)^$H$165)))),
  IF(H87=4,((($I$158*((('2'!H53/0.00238333)^$I$159)))+$I$160)*$I$161*($I$162+($I$163*(('2'!E53-$I$164)^$I$165)))),
  IF(H87=5,((($J$158*((('2'!H53/0.00238333)^$J$159)))+$J$160)*$J$161*($J$162+($J$163*(('2'!E53-$J$164)^$J$165)))),
                        (($K$158*((('2'!H53/0.00238333)^$K$159)))+$K$160)*$K$161*($K$162+($K$163*(('2'!E53-$K$164)^$K$165))))))))</f>
        <v>0.88476391829209711</v>
      </c>
      <c r="J87" s="52">
        <f t="shared" si="2"/>
        <v>176.95278365841943</v>
      </c>
      <c r="K87" s="67">
        <f>IF('2'!E53=1,0.995,(IF('2'!E53&lt;1,0.995,(0.995-(0.075*(('2'!E53-1)^1.35))))))</f>
        <v>0.995</v>
      </c>
      <c r="L87" s="67">
        <f>IF('2'!E53&lt;2.5,1,((-0.1*'2'!E53)+1.25))</f>
        <v>1</v>
      </c>
      <c r="M87" s="67">
        <f>1.35-(0.15*('2'!E53-1))</f>
        <v>1.4775</v>
      </c>
      <c r="N87" s="67">
        <f t="shared" si="3"/>
        <v>-7.3875000000000069E-3</v>
      </c>
      <c r="O87" s="25">
        <f t="shared" si="4"/>
        <v>-0.02</v>
      </c>
      <c r="P87" s="34">
        <f t="shared" si="18"/>
        <v>0.97276024999999999</v>
      </c>
      <c r="Q87" s="1274">
        <f t="shared" si="5"/>
        <v>0.98</v>
      </c>
      <c r="R87" s="1274">
        <f t="shared" si="6"/>
        <v>0.84270197523206603</v>
      </c>
      <c r="S87" s="1275">
        <f t="shared" si="17"/>
        <v>142.15538051783548</v>
      </c>
      <c r="T87" s="1275">
        <f t="shared" si="19"/>
        <v>113.72430441426839</v>
      </c>
      <c r="U87" s="1275">
        <f t="shared" si="7"/>
        <v>113.72430441426839</v>
      </c>
      <c r="V87" s="1315">
        <f>'3'!BC24</f>
        <v>182.53647495896263</v>
      </c>
      <c r="W87" s="1316">
        <f t="shared" si="20"/>
        <v>182.53647495896263</v>
      </c>
      <c r="X87" s="1291">
        <f t="shared" si="8"/>
        <v>1.2840630744614041</v>
      </c>
      <c r="Y87" s="34">
        <f t="shared" si="9"/>
        <v>1.0805132988515591</v>
      </c>
      <c r="Z87" s="34">
        <f t="shared" si="10"/>
        <v>0.99191120834573132</v>
      </c>
      <c r="AB87" s="1294">
        <v>1</v>
      </c>
      <c r="AC87" s="1293">
        <v>1</v>
      </c>
      <c r="AD87" s="1272">
        <f t="shared" si="11"/>
        <v>0</v>
      </c>
      <c r="AE87" s="1272">
        <f t="shared" si="12"/>
        <v>0</v>
      </c>
      <c r="AF87" s="1272">
        <f t="shared" si="13"/>
        <v>0</v>
      </c>
      <c r="AG87" s="1317">
        <f>'2'!S53</f>
        <v>7</v>
      </c>
      <c r="AH87" s="1272">
        <f t="shared" si="14"/>
        <v>0</v>
      </c>
      <c r="AI87" s="1272">
        <f t="shared" si="15"/>
        <v>113.72430441426839</v>
      </c>
      <c r="AJ87" s="1251">
        <f t="shared" si="16"/>
        <v>1.6050788430767553</v>
      </c>
      <c r="AL87" s="25"/>
      <c r="AM87" s="25"/>
      <c r="AN87" s="25"/>
      <c r="AO87" s="25"/>
    </row>
    <row r="88" spans="2:41">
      <c r="B88" s="25">
        <f>'2'!B54</f>
        <v>11</v>
      </c>
      <c r="C88" s="428" t="str">
        <f>'2'!C54</f>
        <v>Loiter 1d</v>
      </c>
      <c r="D88" s="428">
        <f>'2'!D54</f>
        <v>3500</v>
      </c>
      <c r="E88" s="1193">
        <f>'2'!E54</f>
        <v>0.15</v>
      </c>
      <c r="F88" s="1025">
        <f>'2'!F54</f>
        <v>0</v>
      </c>
      <c r="G88" s="1276">
        <f>'2'!I54</f>
        <v>165.54666128699998</v>
      </c>
      <c r="H88" s="25">
        <f>IF('3'!$J$21=2,(IF('2'!E54&lt;1,1,'3'!$J$21)),'3'!$J$21)</f>
        <v>5</v>
      </c>
      <c r="I88" s="244">
        <f>IF(H88=1,((($F$158*((('2'!H54/0.00238333)^$F$159)))+$F$160)*$F$161*($F$162+($F$163*(('2'!E54-$F$164)^$F$165)))),
  IF(H88=2,((($G$158*((('2'!H54/0.00238333)^$G$159)))+$G$160)*$G$161*($G$162+($G$163*(('2'!E54-$G$164)^$G$165)))),
  IF(H88=3,((($H$158*((('2'!H54/0.00238333)^$H$159)))+$H$160)*$H$161*($H$162+($H$163*(('2'!E54-$H$164)^$H$165)))),
  IF(H88=4,((($I$158*((('2'!H54/0.00238333)^$I$159)))+$I$160)*$I$161*($I$162+($I$163*(('2'!E54-$I$164)^$I$165)))),
  IF(H88=5,((($J$158*((('2'!H54/0.00238333)^$J$159)))+$J$160)*$J$161*($J$162+($J$163*(('2'!E54-$J$164)^$J$165)))),
                        (($K$158*((('2'!H54/0.00238333)^$K$159)))+$K$160)*$K$161*($K$162+($K$163*(('2'!E54-$K$164)^$K$165))))))))</f>
        <v>0.88476391829209711</v>
      </c>
      <c r="J88" s="52">
        <f t="shared" si="2"/>
        <v>176.95278365841943</v>
      </c>
      <c r="K88" s="67">
        <f>IF('2'!E54=1,0.995,(IF('2'!E54&lt;1,0.995,(0.995-(0.075*(('2'!E54-1)^1.35))))))</f>
        <v>0.995</v>
      </c>
      <c r="L88" s="67">
        <f>IF('2'!E54&lt;2.5,1,((-0.1*'2'!E54)+1.25))</f>
        <v>1</v>
      </c>
      <c r="M88" s="67">
        <f>1.35-(0.15*('2'!E54-1))</f>
        <v>1.4775</v>
      </c>
      <c r="N88" s="67">
        <f t="shared" si="3"/>
        <v>-7.3875000000000069E-3</v>
      </c>
      <c r="O88" s="25">
        <f t="shared" si="4"/>
        <v>-0.02</v>
      </c>
      <c r="P88" s="34">
        <f t="shared" si="18"/>
        <v>0.97276024999999999</v>
      </c>
      <c r="Q88" s="1274">
        <f t="shared" si="5"/>
        <v>0.98</v>
      </c>
      <c r="R88" s="1274">
        <f t="shared" si="6"/>
        <v>0.84270197523206603</v>
      </c>
      <c r="S88" s="1275">
        <f t="shared" si="17"/>
        <v>142.15538051783548</v>
      </c>
      <c r="T88" s="1275">
        <f t="shared" si="19"/>
        <v>113.72430441426839</v>
      </c>
      <c r="U88" s="1275">
        <f t="shared" si="7"/>
        <v>113.72430441426839</v>
      </c>
      <c r="V88" s="1315">
        <f>'3'!BC25</f>
        <v>182.35026311685732</v>
      </c>
      <c r="W88" s="1316">
        <f t="shared" si="20"/>
        <v>182.35026311685732</v>
      </c>
      <c r="X88" s="1291">
        <f t="shared" si="8"/>
        <v>1.2827531568105421</v>
      </c>
      <c r="Y88" s="34">
        <f t="shared" si="9"/>
        <v>1.0800953626035286</v>
      </c>
      <c r="Z88" s="34">
        <f t="shared" si="10"/>
        <v>0.9915275428700393</v>
      </c>
      <c r="AB88" s="1294">
        <v>1</v>
      </c>
      <c r="AC88" s="1293">
        <v>1</v>
      </c>
      <c r="AD88" s="1272">
        <f t="shared" si="11"/>
        <v>0</v>
      </c>
      <c r="AE88" s="1272">
        <f t="shared" si="12"/>
        <v>0</v>
      </c>
      <c r="AF88" s="1272">
        <f t="shared" si="13"/>
        <v>0</v>
      </c>
      <c r="AG88" s="1317">
        <f>'2'!S54</f>
        <v>7</v>
      </c>
      <c r="AH88" s="1272">
        <f t="shared" si="14"/>
        <v>0</v>
      </c>
      <c r="AI88" s="1272">
        <f t="shared" si="15"/>
        <v>113.72430441426839</v>
      </c>
      <c r="AJ88" s="1251">
        <f t="shared" si="16"/>
        <v>1.6034414460131778</v>
      </c>
      <c r="AL88" s="25"/>
      <c r="AM88" s="25"/>
      <c r="AN88" s="25"/>
      <c r="AO88" s="25"/>
    </row>
    <row r="89" spans="2:41">
      <c r="B89" s="25">
        <f>'2'!B55</f>
        <v>12</v>
      </c>
      <c r="C89" s="428" t="str">
        <f>'2'!C55</f>
        <v>Loiter 1e</v>
      </c>
      <c r="D89" s="428">
        <f>'2'!D55</f>
        <v>3500</v>
      </c>
      <c r="E89" s="1193">
        <f>'2'!E55</f>
        <v>0.15</v>
      </c>
      <c r="F89" s="1025">
        <f>'2'!F55</f>
        <v>0</v>
      </c>
      <c r="G89" s="1276">
        <f>'2'!I55</f>
        <v>165.54666128699998</v>
      </c>
      <c r="H89" s="25">
        <f>IF('3'!$J$21=2,(IF('2'!E55&lt;1,1,'3'!$J$21)),'3'!$J$21)</f>
        <v>5</v>
      </c>
      <c r="I89" s="244">
        <f>IF(H89=1,((($F$158*((('2'!H55/0.00238333)^$F$159)))+$F$160)*$F$161*($F$162+($F$163*(('2'!E55-$F$164)^$F$165)))),
  IF(H89=2,((($G$158*((('2'!H55/0.00238333)^$G$159)))+$G$160)*$G$161*($G$162+($G$163*(('2'!E55-$G$164)^$G$165)))),
  IF(H89=3,((($H$158*((('2'!H55/0.00238333)^$H$159)))+$H$160)*$H$161*($H$162+($H$163*(('2'!E55-$H$164)^$H$165)))),
  IF(H89=4,((($I$158*((('2'!H55/0.00238333)^$I$159)))+$I$160)*$I$161*($I$162+($I$163*(('2'!E55-$I$164)^$I$165)))),
  IF(H89=5,((($J$158*((('2'!H55/0.00238333)^$J$159)))+$J$160)*$J$161*($J$162+($J$163*(('2'!E55-$J$164)^$J$165)))),
                        (($K$158*((('2'!H55/0.00238333)^$K$159)))+$K$160)*$K$161*($K$162+($K$163*(('2'!E55-$K$164)^$K$165))))))))</f>
        <v>0.88476391829209711</v>
      </c>
      <c r="J89" s="52">
        <f t="shared" si="2"/>
        <v>176.95278365841943</v>
      </c>
      <c r="K89" s="67">
        <f>IF('2'!E55=1,0.995,(IF('2'!E55&lt;1,0.995,(0.995-(0.075*(('2'!E55-1)^1.35))))))</f>
        <v>0.995</v>
      </c>
      <c r="L89" s="67">
        <f>IF('2'!E55&lt;2.5,1,((-0.1*'2'!E55)+1.25))</f>
        <v>1</v>
      </c>
      <c r="M89" s="67">
        <f>1.35-(0.15*('2'!E55-1))</f>
        <v>1.4775</v>
      </c>
      <c r="N89" s="67">
        <f t="shared" si="3"/>
        <v>-7.3875000000000069E-3</v>
      </c>
      <c r="O89" s="25">
        <f t="shared" si="4"/>
        <v>-0.02</v>
      </c>
      <c r="P89" s="34">
        <f t="shared" si="18"/>
        <v>0.97276024999999999</v>
      </c>
      <c r="Q89" s="1274">
        <f t="shared" si="5"/>
        <v>0.98</v>
      </c>
      <c r="R89" s="1274">
        <f t="shared" si="6"/>
        <v>0.84270197523206603</v>
      </c>
      <c r="S89" s="1275">
        <f t="shared" si="17"/>
        <v>142.15538051783548</v>
      </c>
      <c r="T89" s="1275">
        <f t="shared" si="19"/>
        <v>113.72430441426839</v>
      </c>
      <c r="U89" s="1275">
        <f t="shared" si="7"/>
        <v>113.72430441426839</v>
      </c>
      <c r="V89" s="1315">
        <f>'3'!BC26</f>
        <v>182.16501462890815</v>
      </c>
      <c r="W89" s="1316">
        <f t="shared" si="20"/>
        <v>182.16501462890815</v>
      </c>
      <c r="X89" s="1291">
        <f t="shared" si="8"/>
        <v>1.2814500159285416</v>
      </c>
      <c r="Y89" s="34">
        <f t="shared" si="9"/>
        <v>1.079679909504665</v>
      </c>
      <c r="Z89" s="34">
        <f t="shared" si="10"/>
        <v>0.99114615692528252</v>
      </c>
      <c r="AB89" s="1294">
        <v>1</v>
      </c>
      <c r="AC89" s="1293">
        <v>1</v>
      </c>
      <c r="AD89" s="1272">
        <f t="shared" si="11"/>
        <v>0</v>
      </c>
      <c r="AE89" s="1272">
        <f t="shared" si="12"/>
        <v>0</v>
      </c>
      <c r="AF89" s="1272">
        <f t="shared" si="13"/>
        <v>0</v>
      </c>
      <c r="AG89" s="1317">
        <f>'2'!S55</f>
        <v>7</v>
      </c>
      <c r="AH89" s="1272">
        <f t="shared" si="14"/>
        <v>0</v>
      </c>
      <c r="AI89" s="1272">
        <f t="shared" si="15"/>
        <v>113.72430441426839</v>
      </c>
      <c r="AJ89" s="1251">
        <f t="shared" si="16"/>
        <v>1.6018125199106767</v>
      </c>
      <c r="AL89" s="25"/>
      <c r="AM89" s="25"/>
      <c r="AN89" s="25"/>
      <c r="AO89" s="25"/>
    </row>
    <row r="90" spans="2:41">
      <c r="B90" s="25">
        <f>'2'!B56</f>
        <v>13</v>
      </c>
      <c r="C90" s="428" t="str">
        <f>'2'!C56</f>
        <v>Climb+Accel2</v>
      </c>
      <c r="D90" s="428">
        <f>'2'!D56</f>
        <v>3500</v>
      </c>
      <c r="E90" s="1193">
        <f>'2'!E56</f>
        <v>0.16</v>
      </c>
      <c r="F90" s="1025">
        <f>'2'!F56</f>
        <v>0</v>
      </c>
      <c r="G90" s="1276">
        <f>'2'!I56</f>
        <v>176.58310537279999</v>
      </c>
      <c r="H90" s="25">
        <f>IF('3'!$J$21=2,(IF('2'!E56&lt;1,1,'3'!$J$21)),'3'!$J$21)</f>
        <v>5</v>
      </c>
      <c r="I90" s="244">
        <f>IF(H90=1,((($F$158*((('2'!H56/0.00238333)^$F$159)))+$F$160)*$F$161*($F$162+($F$163*(('2'!E56-$F$164)^$F$165)))),
  IF(H90=2,((($G$158*((('2'!H56/0.00238333)^$G$159)))+$G$160)*$G$161*($G$162+($G$163*(('2'!E56-$G$164)^$G$165)))),
  IF(H90=3,((($H$158*((('2'!H56/0.00238333)^$H$159)))+$H$160)*$H$161*($H$162+($H$163*(('2'!E56-$H$164)^$H$165)))),
  IF(H90=4,((($I$158*((('2'!H56/0.00238333)^$I$159)))+$I$160)*$I$161*($I$162+($I$163*(('2'!E56-$I$164)^$I$165)))),
  IF(H90=5,((($J$158*((('2'!H56/0.00238333)^$J$159)))+$J$160)*$J$161*($J$162+($J$163*(('2'!E56-$J$164)^$J$165)))),
                        (($K$158*((('2'!H56/0.00238333)^$K$159)))+$K$160)*$K$161*($K$162+($K$163*(('2'!E56-$K$164)^$K$165))))))))</f>
        <v>0.88476391829209711</v>
      </c>
      <c r="J90" s="52">
        <f t="shared" si="2"/>
        <v>176.95278365841943</v>
      </c>
      <c r="K90" s="67">
        <f>IF('2'!E56=1,0.995,(IF('2'!E56&lt;1,0.995,(0.995-(0.075*(('2'!E56-1)^1.35))))))</f>
        <v>0.995</v>
      </c>
      <c r="L90" s="67">
        <f>IF('2'!E56&lt;2.5,1,((-0.1*'2'!E56)+1.25))</f>
        <v>1</v>
      </c>
      <c r="M90" s="67">
        <f>1.35-(0.15*('2'!E56-1))</f>
        <v>1.476</v>
      </c>
      <c r="N90" s="67">
        <f t="shared" ref="N90:N109" si="21">M90*(K90-L90)</f>
        <v>-7.3800000000000063E-3</v>
      </c>
      <c r="O90" s="25">
        <f t="shared" si="4"/>
        <v>-0.02</v>
      </c>
      <c r="P90" s="34">
        <f t="shared" ref="P90:P109" si="22">(1+N90)*(1+O90)</f>
        <v>0.97276759999999995</v>
      </c>
      <c r="Q90" s="1274">
        <f t="shared" si="5"/>
        <v>0.98</v>
      </c>
      <c r="R90" s="1274">
        <f t="shared" si="6"/>
        <v>0.84270197523206603</v>
      </c>
      <c r="S90" s="1275">
        <f t="shared" si="17"/>
        <v>142.15645461810507</v>
      </c>
      <c r="T90" s="1275">
        <f>S90*H$175</f>
        <v>127.94080915629456</v>
      </c>
      <c r="U90" s="1275">
        <f t="shared" si="7"/>
        <v>127.94080915629456</v>
      </c>
      <c r="V90" s="1315">
        <f>'3'!BC27</f>
        <v>201.20638934618401</v>
      </c>
      <c r="W90" s="1316">
        <f>U90</f>
        <v>127.94080915629456</v>
      </c>
      <c r="X90" s="1291">
        <f t="shared" si="8"/>
        <v>0.9</v>
      </c>
      <c r="Y90" s="34">
        <f t="shared" si="9"/>
        <v>0.97886697950851853</v>
      </c>
      <c r="Z90" s="34">
        <f t="shared" si="10"/>
        <v>0.89859988718882</v>
      </c>
      <c r="AB90" s="1294">
        <v>1</v>
      </c>
      <c r="AC90" s="1293">
        <v>1</v>
      </c>
      <c r="AD90" s="1272">
        <f t="shared" si="11"/>
        <v>0</v>
      </c>
      <c r="AE90" s="1272">
        <f t="shared" si="12"/>
        <v>0</v>
      </c>
      <c r="AF90" s="1272">
        <f t="shared" si="13"/>
        <v>0</v>
      </c>
      <c r="AG90" s="1317">
        <f>'2'!S56</f>
        <v>0</v>
      </c>
      <c r="AH90" s="1272">
        <f t="shared" si="14"/>
        <v>0</v>
      </c>
      <c r="AI90" s="1272">
        <f t="shared" si="15"/>
        <v>127.94080915629456</v>
      </c>
      <c r="AJ90" s="1251">
        <f t="shared" si="16"/>
        <v>1</v>
      </c>
      <c r="AL90" s="25"/>
      <c r="AM90" s="25"/>
      <c r="AN90" s="25"/>
      <c r="AO90" s="25"/>
    </row>
    <row r="91" spans="2:41">
      <c r="B91" s="25">
        <f>'2'!B57</f>
        <v>14</v>
      </c>
      <c r="C91" s="428" t="str">
        <f>'2'!C57</f>
        <v>Combat</v>
      </c>
      <c r="D91" s="428">
        <f>'2'!D57</f>
        <v>3500</v>
      </c>
      <c r="E91" s="1193">
        <f>'2'!E57</f>
        <v>0.15</v>
      </c>
      <c r="F91" s="1025">
        <f>'2'!F57</f>
        <v>0</v>
      </c>
      <c r="G91" s="1276">
        <f>'2'!I57</f>
        <v>165.54666128699998</v>
      </c>
      <c r="H91" s="25">
        <f>IF('3'!$J$21=2,(IF('2'!E57&lt;1,1,'3'!$J$21)),'3'!$J$21)</f>
        <v>5</v>
      </c>
      <c r="I91" s="244">
        <f>IF(H91=1,((($F$158*((('2'!H57/0.00238333)^$F$159)))+$F$160)*$F$161*($F$162+($F$163*(('2'!E57-$F$164)^$F$165)))),
  IF(H91=2,((($G$158*((('2'!H57/0.00238333)^$G$159)))+$G$160)*$G$161*($G$162+($G$163*(('2'!E57-$G$164)^$G$165)))),
  IF(H91=3,((($H$158*((('2'!H57/0.00238333)^$H$159)))+$H$160)*$H$161*($H$162+($H$163*(('2'!E57-$H$164)^$H$165)))),
  IF(H91=4,((($I$158*((('2'!H57/0.00238333)^$I$159)))+$I$160)*$I$161*($I$162+($I$163*(('2'!E57-$I$164)^$I$165)))),
  IF(H91=5,((($J$158*((('2'!H57/0.00238333)^$J$159)))+$J$160)*$J$161*($J$162+($J$163*(('2'!E57-$J$164)^$J$165)))),
                        (($K$158*((('2'!H57/0.00238333)^$K$159)))+$K$160)*$K$161*($K$162+($K$163*(('2'!E57-$K$164)^$K$165))))))))</f>
        <v>0.88476391829209711</v>
      </c>
      <c r="J91" s="52">
        <f t="shared" si="2"/>
        <v>176.95278365841943</v>
      </c>
      <c r="K91" s="67">
        <f>IF('2'!E57=1,0.995,(IF('2'!E57&lt;1,0.995,(0.995-(0.075*(('2'!E57-1)^1.35))))))</f>
        <v>0.995</v>
      </c>
      <c r="L91" s="67">
        <f>IF('2'!E57&lt;2.5,1,((-0.1*'2'!E57)+1.25))</f>
        <v>1</v>
      </c>
      <c r="M91" s="67">
        <f>1.35-(0.15*('2'!E57-1))</f>
        <v>1.4775</v>
      </c>
      <c r="N91" s="67">
        <f t="shared" si="21"/>
        <v>-7.3875000000000069E-3</v>
      </c>
      <c r="O91" s="25">
        <f t="shared" si="4"/>
        <v>-0.02</v>
      </c>
      <c r="P91" s="34">
        <f t="shared" si="22"/>
        <v>0.97276024999999999</v>
      </c>
      <c r="Q91" s="1274">
        <f t="shared" si="5"/>
        <v>0.98</v>
      </c>
      <c r="R91" s="1274">
        <f t="shared" si="6"/>
        <v>0.84270197523206603</v>
      </c>
      <c r="S91" s="1275">
        <f t="shared" si="17"/>
        <v>142.15538051783548</v>
      </c>
      <c r="T91" s="1275">
        <f>S91*H171</f>
        <v>213.23307077675321</v>
      </c>
      <c r="U91" s="1275">
        <f t="shared" si="7"/>
        <v>213.23307077675321</v>
      </c>
      <c r="V91" s="1315">
        <f>'3'!BC28</f>
        <v>181.96305935929129</v>
      </c>
      <c r="W91" s="1316">
        <f>U91</f>
        <v>213.23307077675321</v>
      </c>
      <c r="X91" s="1291">
        <f t="shared" si="8"/>
        <v>1.5</v>
      </c>
      <c r="Y91" s="34">
        <f t="shared" si="9"/>
        <v>1.1530689824252089</v>
      </c>
      <c r="Z91" s="34">
        <f t="shared" si="10"/>
        <v>1.0585173258663418</v>
      </c>
      <c r="AB91" s="1294">
        <v>1</v>
      </c>
      <c r="AC91" s="1293">
        <v>1</v>
      </c>
      <c r="AD91" s="1272">
        <f t="shared" si="11"/>
        <v>0</v>
      </c>
      <c r="AE91" s="1272">
        <f t="shared" si="12"/>
        <v>0</v>
      </c>
      <c r="AF91" s="1272">
        <f t="shared" si="13"/>
        <v>0</v>
      </c>
      <c r="AG91" s="1317">
        <f>'2'!S57</f>
        <v>10</v>
      </c>
      <c r="AH91" s="1272">
        <f t="shared" si="14"/>
        <v>0</v>
      </c>
      <c r="AI91" s="1272">
        <f t="shared" si="15"/>
        <v>213.23307077675321</v>
      </c>
      <c r="AJ91" s="1251">
        <f t="shared" si="16"/>
        <v>1</v>
      </c>
      <c r="AL91" s="25"/>
      <c r="AM91" s="25"/>
      <c r="AN91" s="25"/>
      <c r="AO91" s="25"/>
    </row>
    <row r="92" spans="2:41">
      <c r="B92" s="25">
        <f>'2'!B58</f>
        <v>15</v>
      </c>
      <c r="C92" s="428" t="str">
        <f>'2'!C58</f>
        <v>Drop Expendable Payload</v>
      </c>
      <c r="D92" s="428">
        <f>'2'!D58</f>
        <v>3500</v>
      </c>
      <c r="E92" s="1193">
        <f>'2'!E58</f>
        <v>0.15</v>
      </c>
      <c r="F92" s="1025">
        <f>'2'!F58</f>
        <v>0</v>
      </c>
      <c r="G92" s="1276">
        <f>'2'!I58</f>
        <v>165.54666128699998</v>
      </c>
      <c r="H92" s="25">
        <f>IF('3'!$J$21=2,(IF('2'!E58&lt;1,1,'3'!$J$21)),'3'!$J$21)</f>
        <v>5</v>
      </c>
      <c r="I92" s="244">
        <f>IF(H92=1,((($F$158*((('2'!H58/0.00238333)^$F$159)))+$F$160)*$F$161*($F$162+($F$163*(('2'!E58-$F$164)^$F$165)))),
  IF(H92=2,((($G$158*((('2'!H58/0.00238333)^$G$159)))+$G$160)*$G$161*($G$162+($G$163*(('2'!E58-$G$164)^$G$165)))),
  IF(H92=3,((($H$158*((('2'!H58/0.00238333)^$H$159)))+$H$160)*$H$161*($H$162+($H$163*(('2'!E58-$H$164)^$H$165)))),
  IF(H92=4,((($I$158*((('2'!H58/0.00238333)^$I$159)))+$I$160)*$I$161*($I$162+($I$163*(('2'!E58-$I$164)^$I$165)))),
  IF(H92=5,((($J$158*((('2'!H58/0.00238333)^$J$159)))+$J$160)*$J$161*($J$162+($J$163*(('2'!E58-$J$164)^$J$165)))),
                        (($K$158*((('2'!H58/0.00238333)^$K$159)))+$K$160)*$K$161*($K$162+($K$163*(('2'!E58-$K$164)^$K$165))))))))</f>
        <v>0.88476391829209711</v>
      </c>
      <c r="J92" s="52">
        <f t="shared" si="2"/>
        <v>176.95278365841943</v>
      </c>
      <c r="K92" s="67">
        <f>IF('2'!E58=1,0.995,(IF('2'!E58&lt;1,0.995,(0.995-(0.075*(('2'!E58-1)^1.35))))))</f>
        <v>0.995</v>
      </c>
      <c r="L92" s="67">
        <f>IF('2'!E58&lt;2.5,1,((-0.1*'2'!E58)+1.25))</f>
        <v>1</v>
      </c>
      <c r="M92" s="67">
        <f>1.35-(0.15*('2'!E58-1))</f>
        <v>1.4775</v>
      </c>
      <c r="N92" s="67">
        <f t="shared" si="21"/>
        <v>-7.3875000000000069E-3</v>
      </c>
      <c r="O92" s="25">
        <f t="shared" si="4"/>
        <v>-0.02</v>
      </c>
      <c r="P92" s="34">
        <f t="shared" si="22"/>
        <v>0.97276024999999999</v>
      </c>
      <c r="Q92" s="1274">
        <f t="shared" si="5"/>
        <v>0.98</v>
      </c>
      <c r="R92" s="1274">
        <f t="shared" si="6"/>
        <v>0.84270197523206603</v>
      </c>
      <c r="S92" s="1275">
        <f t="shared" si="17"/>
        <v>142.15538051783548</v>
      </c>
      <c r="T92" s="1275">
        <f>S92*H174</f>
        <v>142.15538051783548</v>
      </c>
      <c r="U92" s="1275">
        <f t="shared" si="7"/>
        <v>142.15538051783548</v>
      </c>
      <c r="V92" s="1315">
        <f>'3'!BC29</f>
        <v>180.80864675511717</v>
      </c>
      <c r="W92" s="1316">
        <f>U92</f>
        <v>142.15538051783548</v>
      </c>
      <c r="X92" s="1291">
        <f t="shared" si="8"/>
        <v>1</v>
      </c>
      <c r="Y92" s="34">
        <f t="shared" si="9"/>
        <v>1</v>
      </c>
      <c r="Z92" s="34">
        <f t="shared" si="10"/>
        <v>0.91800000000000004</v>
      </c>
      <c r="AB92" s="1294">
        <v>1</v>
      </c>
      <c r="AC92" s="1293">
        <v>1</v>
      </c>
      <c r="AD92" s="1272">
        <f t="shared" si="11"/>
        <v>0</v>
      </c>
      <c r="AE92" s="1272">
        <f t="shared" si="12"/>
        <v>0</v>
      </c>
      <c r="AF92" s="1272">
        <f t="shared" si="13"/>
        <v>0</v>
      </c>
      <c r="AG92" s="1317">
        <f>'2'!S58</f>
        <v>0</v>
      </c>
      <c r="AH92" s="1272">
        <f t="shared" si="14"/>
        <v>0</v>
      </c>
      <c r="AI92" s="1272">
        <f t="shared" si="15"/>
        <v>142.15538051783548</v>
      </c>
      <c r="AJ92" s="1251">
        <f t="shared" si="16"/>
        <v>1</v>
      </c>
      <c r="AL92" s="25"/>
      <c r="AM92" s="25"/>
      <c r="AN92" s="25"/>
      <c r="AO92" s="25"/>
    </row>
    <row r="93" spans="2:41">
      <c r="B93" s="25">
        <f>'2'!B59</f>
        <v>16</v>
      </c>
      <c r="C93" s="428" t="str">
        <f>'2'!C59</f>
        <v>Loiter 2a</v>
      </c>
      <c r="D93" s="428">
        <f>'2'!D59</f>
        <v>3500</v>
      </c>
      <c r="E93" s="1193">
        <f>'2'!E59</f>
        <v>0.14000000000000001</v>
      </c>
      <c r="F93" s="1025">
        <f>'2'!F59</f>
        <v>0</v>
      </c>
      <c r="G93" s="1276">
        <f>'2'!I59</f>
        <v>154.51021720119999</v>
      </c>
      <c r="H93" s="25">
        <f>IF('3'!$J$21=2,(IF('2'!E59&lt;1,1,'3'!$J$21)),'3'!$J$21)</f>
        <v>5</v>
      </c>
      <c r="I93" s="244">
        <f>IF(H93=1,((($F$158*((('2'!H59/0.00238333)^$F$159)))+$F$160)*$F$161*($F$162+($F$163*(('2'!E59-$F$164)^$F$165)))),
  IF(H93=2,((($G$158*((('2'!H59/0.00238333)^$G$159)))+$G$160)*$G$161*($G$162+($G$163*(('2'!E59-$G$164)^$G$165)))),
  IF(H93=3,((($H$158*((('2'!H59/0.00238333)^$H$159)))+$H$160)*$H$161*($H$162+($H$163*(('2'!E59-$H$164)^$H$165)))),
  IF(H93=4,((($I$158*((('2'!H59/0.00238333)^$I$159)))+$I$160)*$I$161*($I$162+($I$163*(('2'!E59-$I$164)^$I$165)))),
  IF(H93=5,((($J$158*((('2'!H59/0.00238333)^$J$159)))+$J$160)*$J$161*($J$162+($J$163*(('2'!E59-$J$164)^$J$165)))),
                        (($K$158*((('2'!H59/0.00238333)^$K$159)))+$K$160)*$K$161*($K$162+($K$163*(('2'!E59-$K$164)^$K$165))))))))</f>
        <v>0.88476391829209711</v>
      </c>
      <c r="J93" s="52">
        <f t="shared" si="2"/>
        <v>176.95278365841943</v>
      </c>
      <c r="K93" s="67">
        <f>IF('2'!E59=1,0.995,(IF('2'!E59&lt;1,0.995,(0.995-(0.075*(('2'!E59-1)^1.35))))))</f>
        <v>0.995</v>
      </c>
      <c r="L93" s="67">
        <f>IF('2'!E59&lt;2.5,1,((-0.1*'2'!E59)+1.25))</f>
        <v>1</v>
      </c>
      <c r="M93" s="67">
        <f>1.35-(0.15*('2'!E59-1))</f>
        <v>1.4790000000000001</v>
      </c>
      <c r="N93" s="67">
        <f t="shared" si="21"/>
        <v>-7.3950000000000066E-3</v>
      </c>
      <c r="O93" s="25">
        <f t="shared" si="4"/>
        <v>-0.02</v>
      </c>
      <c r="P93" s="34">
        <f t="shared" si="22"/>
        <v>0.97275289999999992</v>
      </c>
      <c r="Q93" s="1274">
        <f t="shared" si="5"/>
        <v>0.98</v>
      </c>
      <c r="R93" s="1274">
        <f t="shared" si="6"/>
        <v>0.84270197523206603</v>
      </c>
      <c r="S93" s="1275">
        <f t="shared" si="17"/>
        <v>142.15430641756583</v>
      </c>
      <c r="T93" s="1275">
        <f>S93*H$176</f>
        <v>113.72344513405267</v>
      </c>
      <c r="U93" s="1275">
        <f t="shared" si="7"/>
        <v>113.72344513405267</v>
      </c>
      <c r="V93" s="1315">
        <f>'3'!BC30</f>
        <v>163.39495490590821</v>
      </c>
      <c r="W93" s="1316">
        <f>V93-AE93</f>
        <v>163.39495490590821</v>
      </c>
      <c r="X93" s="1291">
        <f t="shared" si="8"/>
        <v>1.1494196625035742</v>
      </c>
      <c r="Y93" s="34">
        <f t="shared" si="9"/>
        <v>1.0394785202658856</v>
      </c>
      <c r="Z93" s="34">
        <f t="shared" si="10"/>
        <v>0.95424128160408306</v>
      </c>
      <c r="AB93" s="1294">
        <v>1</v>
      </c>
      <c r="AC93" s="1293">
        <v>1</v>
      </c>
      <c r="AD93" s="1272">
        <f t="shared" si="11"/>
        <v>0</v>
      </c>
      <c r="AE93" s="1272">
        <f t="shared" si="12"/>
        <v>0</v>
      </c>
      <c r="AF93" s="1272">
        <f t="shared" si="13"/>
        <v>0</v>
      </c>
      <c r="AG93" s="1317">
        <f>'2'!S59</f>
        <v>7</v>
      </c>
      <c r="AH93" s="1272">
        <f t="shared" si="14"/>
        <v>0</v>
      </c>
      <c r="AI93" s="1272">
        <f t="shared" si="15"/>
        <v>113.72344513405267</v>
      </c>
      <c r="AJ93" s="1251">
        <f t="shared" si="16"/>
        <v>1.4367745781294678</v>
      </c>
      <c r="AL93" s="25"/>
      <c r="AM93" s="25"/>
      <c r="AN93" s="25"/>
      <c r="AO93" s="25"/>
    </row>
    <row r="94" spans="2:41">
      <c r="B94" s="25">
        <f>'2'!B60</f>
        <v>17</v>
      </c>
      <c r="C94" s="428" t="str">
        <f>'2'!C60</f>
        <v>Loiter 2b</v>
      </c>
      <c r="D94" s="428">
        <f>'2'!D60</f>
        <v>3500</v>
      </c>
      <c r="E94" s="1193">
        <f>'2'!E60</f>
        <v>0.14000000000000001</v>
      </c>
      <c r="F94" s="1025">
        <f>'2'!F60</f>
        <v>0</v>
      </c>
      <c r="G94" s="1276">
        <f>'2'!I60</f>
        <v>154.51021720119999</v>
      </c>
      <c r="H94" s="25">
        <f>IF('3'!$J$21=2,(IF('2'!E60&lt;1,1,'3'!$J$21)),'3'!$J$21)</f>
        <v>5</v>
      </c>
      <c r="I94" s="244">
        <f>IF(H94=1,((($F$158*((('2'!H60/0.00238333)^$F$159)))+$F$160)*$F$161*($F$162+($F$163*(('2'!E60-$F$164)^$F$165)))),
  IF(H94=2,((($G$158*((('2'!H60/0.00238333)^$G$159)))+$G$160)*$G$161*($G$162+($G$163*(('2'!E60-$G$164)^$G$165)))),
  IF(H94=3,((($H$158*((('2'!H60/0.00238333)^$H$159)))+$H$160)*$H$161*($H$162+($H$163*(('2'!E60-$H$164)^$H$165)))),
  IF(H94=4,((($I$158*((('2'!H60/0.00238333)^$I$159)))+$I$160)*$I$161*($I$162+($I$163*(('2'!E60-$I$164)^$I$165)))),
  IF(H94=5,((($J$158*((('2'!H60/0.00238333)^$J$159)))+$J$160)*$J$161*($J$162+($J$163*(('2'!E60-$J$164)^$J$165)))),
                        (($K$158*((('2'!H60/0.00238333)^$K$159)))+$K$160)*$K$161*($K$162+($K$163*(('2'!E60-$K$164)^$K$165))))))))</f>
        <v>0.88476391829209711</v>
      </c>
      <c r="J94" s="52">
        <f t="shared" si="2"/>
        <v>176.95278365841943</v>
      </c>
      <c r="K94" s="67">
        <f>IF('2'!E60=1,0.995,(IF('2'!E60&lt;1,0.995,(0.995-(0.075*(('2'!E60-1)^1.35))))))</f>
        <v>0.995</v>
      </c>
      <c r="L94" s="67">
        <f>IF('2'!E60&lt;2.5,1,((-0.1*'2'!E60)+1.25))</f>
        <v>1</v>
      </c>
      <c r="M94" s="67">
        <f>1.35-(0.15*('2'!E60-1))</f>
        <v>1.4790000000000001</v>
      </c>
      <c r="N94" s="67">
        <f t="shared" si="21"/>
        <v>-7.3950000000000066E-3</v>
      </c>
      <c r="O94" s="25">
        <f t="shared" si="4"/>
        <v>-0.02</v>
      </c>
      <c r="P94" s="34">
        <f t="shared" si="22"/>
        <v>0.97275289999999992</v>
      </c>
      <c r="Q94" s="1274">
        <f t="shared" si="5"/>
        <v>0.98</v>
      </c>
      <c r="R94" s="1274">
        <f t="shared" si="6"/>
        <v>0.84270197523206603</v>
      </c>
      <c r="S94" s="1275">
        <f t="shared" si="17"/>
        <v>142.15430641756583</v>
      </c>
      <c r="T94" s="1275">
        <f>S94*H$176</f>
        <v>113.72344513405267</v>
      </c>
      <c r="U94" s="1275">
        <f t="shared" si="7"/>
        <v>113.72344513405267</v>
      </c>
      <c r="V94" s="1315">
        <f>'3'!BC31</f>
        <v>163.22326165033826</v>
      </c>
      <c r="W94" s="1316">
        <f>V94-AE94</f>
        <v>163.22326165033826</v>
      </c>
      <c r="X94" s="1291">
        <f t="shared" si="8"/>
        <v>1.1482118675383932</v>
      </c>
      <c r="Y94" s="34">
        <f t="shared" si="9"/>
        <v>1.0391304230723533</v>
      </c>
      <c r="Z94" s="34">
        <f t="shared" si="10"/>
        <v>0.95392172838042033</v>
      </c>
      <c r="AB94" s="1294">
        <v>1</v>
      </c>
      <c r="AC94" s="1293">
        <v>1</v>
      </c>
      <c r="AD94" s="1272">
        <f t="shared" si="11"/>
        <v>0</v>
      </c>
      <c r="AE94" s="1272">
        <f t="shared" si="12"/>
        <v>0</v>
      </c>
      <c r="AF94" s="1272">
        <f t="shared" si="13"/>
        <v>0</v>
      </c>
      <c r="AG94" s="1317">
        <f>'2'!S60</f>
        <v>7</v>
      </c>
      <c r="AH94" s="1272">
        <f t="shared" si="14"/>
        <v>0</v>
      </c>
      <c r="AI94" s="1272">
        <f t="shared" si="15"/>
        <v>113.72344513405267</v>
      </c>
      <c r="AJ94" s="1251">
        <f t="shared" si="16"/>
        <v>1.4352648344229915</v>
      </c>
      <c r="AL94" s="25"/>
      <c r="AM94" s="25"/>
      <c r="AN94" s="25"/>
      <c r="AO94" s="25"/>
    </row>
    <row r="95" spans="2:41">
      <c r="B95" s="25">
        <f>'2'!B61</f>
        <v>18</v>
      </c>
      <c r="C95" s="428" t="str">
        <f>'2'!C61</f>
        <v>Loiter 2c</v>
      </c>
      <c r="D95" s="428">
        <f>'2'!D61</f>
        <v>3500</v>
      </c>
      <c r="E95" s="1193">
        <f>'2'!E61</f>
        <v>0.14000000000000001</v>
      </c>
      <c r="F95" s="1025">
        <f>'2'!F61</f>
        <v>0</v>
      </c>
      <c r="G95" s="1276">
        <f>'2'!I61</f>
        <v>154.51021720119999</v>
      </c>
      <c r="H95" s="25">
        <f>IF('3'!$J$21=2,(IF('2'!E61&lt;1,1,'3'!$J$21)),'3'!$J$21)</f>
        <v>5</v>
      </c>
      <c r="I95" s="244">
        <f>IF(H95=1,((($F$158*((('2'!H61/0.00238333)^$F$159)))+$F$160)*$F$161*($F$162+($F$163*(('2'!E61-$F$164)^$F$165)))),
  IF(H95=2,((($G$158*((('2'!H61/0.00238333)^$G$159)))+$G$160)*$G$161*($G$162+($G$163*(('2'!E61-$G$164)^$G$165)))),
  IF(H95=3,((($H$158*((('2'!H61/0.00238333)^$H$159)))+$H$160)*$H$161*($H$162+($H$163*(('2'!E61-$H$164)^$H$165)))),
  IF(H95=4,((($I$158*((('2'!H61/0.00238333)^$I$159)))+$I$160)*$I$161*($I$162+($I$163*(('2'!E61-$I$164)^$I$165)))),
  IF(H95=5,((($J$158*((('2'!H61/0.00238333)^$J$159)))+$J$160)*$J$161*($J$162+($J$163*(('2'!E61-$J$164)^$J$165)))),
                        (($K$158*((('2'!H61/0.00238333)^$K$159)))+$K$160)*$K$161*($K$162+($K$163*(('2'!E61-$K$164)^$K$165))))))))</f>
        <v>0.88476391829209711</v>
      </c>
      <c r="J95" s="52">
        <f t="shared" si="2"/>
        <v>176.95278365841943</v>
      </c>
      <c r="K95" s="67">
        <f>IF('2'!E61=1,0.995,(IF('2'!E61&lt;1,0.995,(0.995-(0.075*(('2'!E61-1)^1.35))))))</f>
        <v>0.995</v>
      </c>
      <c r="L95" s="67">
        <f>IF('2'!E61&lt;2.5,1,((-0.1*'2'!E61)+1.25))</f>
        <v>1</v>
      </c>
      <c r="M95" s="67">
        <f>1.35-(0.15*('2'!E61-1))</f>
        <v>1.4790000000000001</v>
      </c>
      <c r="N95" s="67">
        <f t="shared" si="21"/>
        <v>-7.3950000000000066E-3</v>
      </c>
      <c r="O95" s="25">
        <f t="shared" si="4"/>
        <v>-0.02</v>
      </c>
      <c r="P95" s="34">
        <f t="shared" si="22"/>
        <v>0.97275289999999992</v>
      </c>
      <c r="Q95" s="1274">
        <f t="shared" si="5"/>
        <v>0.98</v>
      </c>
      <c r="R95" s="1274">
        <f t="shared" si="6"/>
        <v>0.84270197523206603</v>
      </c>
      <c r="S95" s="1275">
        <f t="shared" si="17"/>
        <v>142.15430641756583</v>
      </c>
      <c r="T95" s="1275">
        <f>S95*H$176</f>
        <v>113.72344513405267</v>
      </c>
      <c r="U95" s="1275">
        <f t="shared" si="7"/>
        <v>113.72344513405267</v>
      </c>
      <c r="V95" s="1315">
        <f>'3'!BC32</f>
        <v>163.05236863435215</v>
      </c>
      <c r="W95" s="1316">
        <f>V95-AE95</f>
        <v>163.05236863435215</v>
      </c>
      <c r="X95" s="1291">
        <f t="shared" si="8"/>
        <v>1.1470097019459973</v>
      </c>
      <c r="Y95" s="34">
        <f t="shared" si="9"/>
        <v>1.03878435008646</v>
      </c>
      <c r="Z95" s="34">
        <f t="shared" si="10"/>
        <v>0.95360403337937028</v>
      </c>
      <c r="AB95" s="1294">
        <v>1</v>
      </c>
      <c r="AC95" s="1293">
        <v>1</v>
      </c>
      <c r="AD95" s="1272">
        <f t="shared" si="11"/>
        <v>0</v>
      </c>
      <c r="AE95" s="1272">
        <f t="shared" si="12"/>
        <v>0</v>
      </c>
      <c r="AF95" s="1272">
        <f t="shared" si="13"/>
        <v>0</v>
      </c>
      <c r="AG95" s="1317">
        <f>'2'!S61</f>
        <v>7</v>
      </c>
      <c r="AH95" s="1272">
        <f t="shared" si="14"/>
        <v>0</v>
      </c>
      <c r="AI95" s="1272">
        <f t="shared" si="15"/>
        <v>113.72344513405267</v>
      </c>
      <c r="AJ95" s="1251">
        <f t="shared" si="16"/>
        <v>1.4337621274324965</v>
      </c>
      <c r="AL95" s="25"/>
      <c r="AM95" s="25"/>
      <c r="AN95" s="25"/>
      <c r="AO95" s="25"/>
    </row>
    <row r="96" spans="2:41">
      <c r="B96" s="25">
        <f>'2'!B62</f>
        <v>19</v>
      </c>
      <c r="C96" s="428" t="str">
        <f>'2'!C62</f>
        <v>Loiter 2d</v>
      </c>
      <c r="D96" s="428">
        <f>'2'!D62</f>
        <v>3500</v>
      </c>
      <c r="E96" s="1193">
        <f>'2'!E62</f>
        <v>0.14000000000000001</v>
      </c>
      <c r="F96" s="1025">
        <f>'2'!F62</f>
        <v>0</v>
      </c>
      <c r="G96" s="1276">
        <f>'2'!I62</f>
        <v>154.51021720119999</v>
      </c>
      <c r="H96" s="25">
        <f>IF('3'!$J$21=2,(IF('2'!E62&lt;1,1,'3'!$J$21)),'3'!$J$21)</f>
        <v>5</v>
      </c>
      <c r="I96" s="244">
        <f>IF(H96=1,((($F$158*((('2'!H62/0.00238333)^$F$159)))+$F$160)*$F$161*($F$162+($F$163*(('2'!E62-$F$164)^$F$165)))),
  IF(H96=2,((($G$158*((('2'!H62/0.00238333)^$G$159)))+$G$160)*$G$161*($G$162+($G$163*(('2'!E62-$G$164)^$G$165)))),
  IF(H96=3,((($H$158*((('2'!H62/0.00238333)^$H$159)))+$H$160)*$H$161*($H$162+($H$163*(('2'!E62-$H$164)^$H$165)))),
  IF(H96=4,((($I$158*((('2'!H62/0.00238333)^$I$159)))+$I$160)*$I$161*($I$162+($I$163*(('2'!E62-$I$164)^$I$165)))),
  IF(H96=5,((($J$158*((('2'!H62/0.00238333)^$J$159)))+$J$160)*$J$161*($J$162+($J$163*(('2'!E62-$J$164)^$J$165)))),
                        (($K$158*((('2'!H62/0.00238333)^$K$159)))+$K$160)*$K$161*($K$162+($K$163*(('2'!E62-$K$164)^$K$165))))))))</f>
        <v>0.88476391829209711</v>
      </c>
      <c r="J96" s="52">
        <f t="shared" si="2"/>
        <v>176.95278365841943</v>
      </c>
      <c r="K96" s="67">
        <f>IF('2'!E62=1,0.995,(IF('2'!E62&lt;1,0.995,(0.995-(0.075*(('2'!E62-1)^1.35))))))</f>
        <v>0.995</v>
      </c>
      <c r="L96" s="67">
        <f>IF('2'!E62&lt;2.5,1,((-0.1*'2'!E62)+1.25))</f>
        <v>1</v>
      </c>
      <c r="M96" s="67">
        <f>1.35-(0.15*('2'!E62-1))</f>
        <v>1.4790000000000001</v>
      </c>
      <c r="N96" s="67">
        <f t="shared" si="21"/>
        <v>-7.3950000000000066E-3</v>
      </c>
      <c r="O96" s="25">
        <f t="shared" si="4"/>
        <v>-0.02</v>
      </c>
      <c r="P96" s="34">
        <f t="shared" si="22"/>
        <v>0.97275289999999992</v>
      </c>
      <c r="Q96" s="1274">
        <f t="shared" si="5"/>
        <v>0.98</v>
      </c>
      <c r="R96" s="1274">
        <f t="shared" si="6"/>
        <v>0.84270197523206603</v>
      </c>
      <c r="S96" s="1275">
        <f t="shared" si="17"/>
        <v>142.15430641756583</v>
      </c>
      <c r="T96" s="1275">
        <f>S96*H$176</f>
        <v>113.72344513405267</v>
      </c>
      <c r="U96" s="1275">
        <f t="shared" si="7"/>
        <v>113.72344513405267</v>
      </c>
      <c r="V96" s="1315">
        <f>'3'!BC33</f>
        <v>162.88227306800221</v>
      </c>
      <c r="W96" s="1316">
        <f>V96-AE96</f>
        <v>162.88227306800221</v>
      </c>
      <c r="X96" s="1291">
        <f t="shared" si="8"/>
        <v>1.1458131461001948</v>
      </c>
      <c r="Y96" s="34">
        <f t="shared" si="9"/>
        <v>1.0384402914618263</v>
      </c>
      <c r="Z96" s="34">
        <f t="shared" si="10"/>
        <v>0.95328818756195655</v>
      </c>
      <c r="AB96" s="1294">
        <v>1</v>
      </c>
      <c r="AC96" s="1293">
        <v>1</v>
      </c>
      <c r="AD96" s="1272">
        <f t="shared" si="11"/>
        <v>0</v>
      </c>
      <c r="AE96" s="1272">
        <f t="shared" si="12"/>
        <v>0</v>
      </c>
      <c r="AF96" s="1272">
        <f t="shared" si="13"/>
        <v>0</v>
      </c>
      <c r="AG96" s="1317">
        <f>'2'!S62</f>
        <v>7</v>
      </c>
      <c r="AH96" s="1272">
        <f t="shared" si="14"/>
        <v>0</v>
      </c>
      <c r="AI96" s="1272">
        <f t="shared" si="15"/>
        <v>113.72344513405267</v>
      </c>
      <c r="AJ96" s="1251">
        <f t="shared" si="16"/>
        <v>1.4322664326252434</v>
      </c>
      <c r="AL96" s="25"/>
      <c r="AM96" s="25"/>
      <c r="AN96" s="25"/>
      <c r="AO96" s="25"/>
    </row>
    <row r="97" spans="2:41">
      <c r="B97" s="25">
        <f>'2'!B63</f>
        <v>20</v>
      </c>
      <c r="C97" s="428" t="str">
        <f>'2'!C63</f>
        <v>Loiter 2e</v>
      </c>
      <c r="D97" s="428">
        <f>'2'!D63</f>
        <v>3500</v>
      </c>
      <c r="E97" s="1193">
        <f>'2'!E63</f>
        <v>0.14000000000000001</v>
      </c>
      <c r="F97" s="1025">
        <f>'2'!F63</f>
        <v>0</v>
      </c>
      <c r="G97" s="1276">
        <f>'2'!I63</f>
        <v>154.51021720119999</v>
      </c>
      <c r="H97" s="25">
        <f>IF('3'!$J$21=2,(IF('2'!E63&lt;1,1,'3'!$J$21)),'3'!$J$21)</f>
        <v>5</v>
      </c>
      <c r="I97" s="244">
        <f>IF(H97=1,((($F$158*((('2'!H63/0.00238333)^$F$159)))+$F$160)*$F$161*($F$162+($F$163*(('2'!E63-$F$164)^$F$165)))),
  IF(H97=2,((($G$158*((('2'!H63/0.00238333)^$G$159)))+$G$160)*$G$161*($G$162+($G$163*(('2'!E63-$G$164)^$G$165)))),
  IF(H97=3,((($H$158*((('2'!H63/0.00238333)^$H$159)))+$H$160)*$H$161*($H$162+($H$163*(('2'!E63-$H$164)^$H$165)))),
  IF(H97=4,((($I$158*((('2'!H63/0.00238333)^$I$159)))+$I$160)*$I$161*($I$162+($I$163*(('2'!E63-$I$164)^$I$165)))),
  IF(H97=5,((($J$158*((('2'!H63/0.00238333)^$J$159)))+$J$160)*$J$161*($J$162+($J$163*(('2'!E63-$J$164)^$J$165)))),
                        (($K$158*((('2'!H63/0.00238333)^$K$159)))+$K$160)*$K$161*($K$162+($K$163*(('2'!E63-$K$164)^$K$165))))))))</f>
        <v>0.88476391829209711</v>
      </c>
      <c r="J97" s="52">
        <f t="shared" si="2"/>
        <v>176.95278365841943</v>
      </c>
      <c r="K97" s="67">
        <f>IF('2'!E63=1,0.995,(IF('2'!E63&lt;1,0.995,(0.995-(0.075*(('2'!E63-1)^1.35))))))</f>
        <v>0.995</v>
      </c>
      <c r="L97" s="67">
        <f>IF('2'!E63&lt;2.5,1,((-0.1*'2'!E63)+1.25))</f>
        <v>1</v>
      </c>
      <c r="M97" s="67">
        <f>1.35-(0.15*('2'!E63-1))</f>
        <v>1.4790000000000001</v>
      </c>
      <c r="N97" s="67">
        <f t="shared" si="21"/>
        <v>-7.3950000000000066E-3</v>
      </c>
      <c r="O97" s="25">
        <f t="shared" si="4"/>
        <v>-0.02</v>
      </c>
      <c r="P97" s="34">
        <f t="shared" si="22"/>
        <v>0.97275289999999992</v>
      </c>
      <c r="Q97" s="1274">
        <f t="shared" si="5"/>
        <v>0.98</v>
      </c>
      <c r="R97" s="1274">
        <f t="shared" si="6"/>
        <v>0.84270197523206603</v>
      </c>
      <c r="S97" s="1275">
        <f t="shared" si="17"/>
        <v>142.15430641756583</v>
      </c>
      <c r="T97" s="1275">
        <f>S97*H$176</f>
        <v>113.72344513405267</v>
      </c>
      <c r="U97" s="1275">
        <f t="shared" si="7"/>
        <v>113.72344513405267</v>
      </c>
      <c r="V97" s="1315">
        <f>'3'!BC34</f>
        <v>162.71297217840086</v>
      </c>
      <c r="W97" s="1316">
        <f>V97-AE97</f>
        <v>162.71297217840086</v>
      </c>
      <c r="X97" s="1291">
        <f t="shared" si="8"/>
        <v>1.1446221804948051</v>
      </c>
      <c r="Y97" s="34">
        <f t="shared" si="9"/>
        <v>1.0380982374050074</v>
      </c>
      <c r="Z97" s="34">
        <f t="shared" si="10"/>
        <v>0.95297418193779682</v>
      </c>
      <c r="AB97" s="1294">
        <v>1</v>
      </c>
      <c r="AC97" s="1293">
        <v>1</v>
      </c>
      <c r="AD97" s="1272">
        <f t="shared" si="11"/>
        <v>0</v>
      </c>
      <c r="AE97" s="1272">
        <f t="shared" si="12"/>
        <v>0</v>
      </c>
      <c r="AF97" s="1272">
        <f t="shared" si="13"/>
        <v>0</v>
      </c>
      <c r="AG97" s="1317">
        <f>'2'!S63</f>
        <v>7</v>
      </c>
      <c r="AH97" s="1272">
        <f t="shared" si="14"/>
        <v>0</v>
      </c>
      <c r="AI97" s="1272">
        <f t="shared" si="15"/>
        <v>113.72344513405267</v>
      </c>
      <c r="AJ97" s="1251">
        <f t="shared" si="16"/>
        <v>1.4307777256185064</v>
      </c>
      <c r="AL97" s="25"/>
      <c r="AM97" s="25"/>
      <c r="AN97" s="25"/>
      <c r="AO97" s="25"/>
    </row>
    <row r="98" spans="2:41">
      <c r="B98" s="25">
        <f>'2'!B64</f>
        <v>21</v>
      </c>
      <c r="C98" s="428" t="str">
        <f>'2'!C64</f>
        <v>Climb+Accel3</v>
      </c>
      <c r="D98" s="428">
        <f>'2'!D64</f>
        <v>10000</v>
      </c>
      <c r="E98" s="1193">
        <f>'2'!E64</f>
        <v>0.16</v>
      </c>
      <c r="F98" s="1025">
        <f>'2'!F64</f>
        <v>0</v>
      </c>
      <c r="G98" s="1276">
        <f>'2'!I64</f>
        <v>172.32024300800001</v>
      </c>
      <c r="H98" s="25">
        <f>IF('3'!$J$21=2,(IF('2'!E64&lt;1,1,'3'!$J$21)),'3'!$J$21)</f>
        <v>5</v>
      </c>
      <c r="I98" s="244">
        <f>IF(H98=1,((($F$158*((('2'!H64/0.00238333)^$F$159)))+$F$160)*$F$161*($F$162+($F$163*(('2'!E64-$F$164)^$F$165)))),
  IF(H98=2,((($G$158*((('2'!H64/0.00238333)^$G$159)))+$G$160)*$G$161*($G$162+($G$163*(('2'!E64-$G$164)^$G$165)))),
  IF(H98=3,((($H$158*((('2'!H64/0.00238333)^$H$159)))+$H$160)*$H$161*($H$162+($H$163*(('2'!E64-$H$164)^$H$165)))),
  IF(H98=4,((($I$158*((('2'!H64/0.00238333)^$I$159)))+$I$160)*$I$161*($I$162+($I$163*(('2'!E64-$I$164)^$I$165)))),
  IF(H98=5,((($J$158*((('2'!H64/0.00238333)^$J$159)))+$J$160)*$J$161*($J$162+($J$163*(('2'!E64-$J$164)^$J$165)))),
                        (($K$158*((('2'!H64/0.00238333)^$K$159)))+$K$160)*$K$161*($K$162+($K$163*(('2'!E64-$K$164)^$K$165))))))))</f>
        <v>0.70086799633573194</v>
      </c>
      <c r="J98" s="52">
        <f t="shared" si="2"/>
        <v>140.17359926714639</v>
      </c>
      <c r="K98" s="67">
        <f>IF('2'!E64=1,0.995,(IF('2'!E64&lt;1,0.995,(0.995-(0.075*(('2'!E64-1)^1.35))))))</f>
        <v>0.995</v>
      </c>
      <c r="L98" s="67">
        <f>IF('2'!E64&lt;2.5,1,((-0.1*'2'!E64)+1.25))</f>
        <v>1</v>
      </c>
      <c r="M98" s="67">
        <f>1.35-(0.15*('2'!E64-1))</f>
        <v>1.476</v>
      </c>
      <c r="N98" s="67">
        <f t="shared" si="21"/>
        <v>-7.3800000000000063E-3</v>
      </c>
      <c r="O98" s="25">
        <f t="shared" si="4"/>
        <v>-0.02</v>
      </c>
      <c r="P98" s="34">
        <f t="shared" si="22"/>
        <v>0.97276759999999995</v>
      </c>
      <c r="Q98" s="1274">
        <f t="shared" si="5"/>
        <v>0.98</v>
      </c>
      <c r="R98" s="1274">
        <f t="shared" si="6"/>
        <v>0.84270197523206603</v>
      </c>
      <c r="S98" s="1275">
        <f t="shared" si="17"/>
        <v>112.60959839626935</v>
      </c>
      <c r="T98" s="1275">
        <f>S98*H$175</f>
        <v>101.34863855664241</v>
      </c>
      <c r="U98" s="1275">
        <f t="shared" si="7"/>
        <v>101.34863855664241</v>
      </c>
      <c r="V98" s="1315">
        <f>'3'!BC35</f>
        <v>166.33671587359396</v>
      </c>
      <c r="W98" s="1316">
        <f>U98</f>
        <v>101.34863855664241</v>
      </c>
      <c r="X98" s="1291">
        <f t="shared" si="8"/>
        <v>0.9</v>
      </c>
      <c r="Y98" s="34">
        <f t="shared" si="9"/>
        <v>0.97886697950851853</v>
      </c>
      <c r="Z98" s="34">
        <f t="shared" si="10"/>
        <v>0.89859988718882</v>
      </c>
      <c r="AB98" s="1294">
        <v>1</v>
      </c>
      <c r="AC98" s="1293">
        <v>1</v>
      </c>
      <c r="AD98" s="1272">
        <f t="shared" si="11"/>
        <v>0</v>
      </c>
      <c r="AE98" s="1272">
        <f t="shared" si="12"/>
        <v>0</v>
      </c>
      <c r="AF98" s="1272">
        <f t="shared" si="13"/>
        <v>0</v>
      </c>
      <c r="AG98" s="1317">
        <f>'2'!S64</f>
        <v>0</v>
      </c>
      <c r="AH98" s="1272">
        <f t="shared" si="14"/>
        <v>0</v>
      </c>
      <c r="AI98" s="1272">
        <f t="shared" si="15"/>
        <v>101.34863855664241</v>
      </c>
      <c r="AJ98" s="1251">
        <f t="shared" si="16"/>
        <v>1</v>
      </c>
      <c r="AL98" s="25"/>
      <c r="AM98" s="25"/>
      <c r="AN98" s="25"/>
      <c r="AO98" s="25"/>
    </row>
    <row r="99" spans="2:41">
      <c r="B99" s="25">
        <f>'2'!B65</f>
        <v>22</v>
      </c>
      <c r="C99" s="428" t="str">
        <f>'2'!C65</f>
        <v>Cruise 2a</v>
      </c>
      <c r="D99" s="428">
        <f>'2'!D65</f>
        <v>10000</v>
      </c>
      <c r="E99" s="1193">
        <f>'2'!E65</f>
        <v>0.16</v>
      </c>
      <c r="F99" s="1025">
        <f>'2'!F65</f>
        <v>0</v>
      </c>
      <c r="G99" s="1276">
        <f>'2'!I65</f>
        <v>172.32024300800001</v>
      </c>
      <c r="H99" s="25">
        <f>IF('3'!$J$21=2,(IF('2'!E65&lt;1,1,'3'!$J$21)),'3'!$J$21)</f>
        <v>5</v>
      </c>
      <c r="I99" s="244">
        <f>IF(H99=1,((($F$158*((('2'!H65/0.00238333)^$F$159)))+$F$160)*$F$161*($F$162+($F$163*(('2'!E65-$F$164)^$F$165)))),
  IF(H99=2,((($G$158*((('2'!H65/0.00238333)^$G$159)))+$G$160)*$G$161*($G$162+($G$163*(('2'!E65-$G$164)^$G$165)))),
  IF(H99=3,((($H$158*((('2'!H65/0.00238333)^$H$159)))+$H$160)*$H$161*($H$162+($H$163*(('2'!E65-$H$164)^$H$165)))),
  IF(H99=4,((($I$158*((('2'!H65/0.00238333)^$I$159)))+$I$160)*$I$161*($I$162+($I$163*(('2'!E65-$I$164)^$I$165)))),
  IF(H99=5,((($J$158*((('2'!H65/0.00238333)^$J$159)))+$J$160)*$J$161*($J$162+($J$163*(('2'!E65-$J$164)^$J$165)))),
                        (($K$158*((('2'!H65/0.00238333)^$K$159)))+$K$160)*$K$161*($K$162+($K$163*(('2'!E65-$K$164)^$K$165))))))))</f>
        <v>0.70086799633573194</v>
      </c>
      <c r="J99" s="52">
        <f t="shared" si="2"/>
        <v>140.17359926714639</v>
      </c>
      <c r="K99" s="67">
        <f>IF('2'!E65=1,0.995,(IF('2'!E65&lt;1,0.995,(0.995-(0.075*(('2'!E65-1)^1.35))))))</f>
        <v>0.995</v>
      </c>
      <c r="L99" s="67">
        <f>IF('2'!E65&lt;2.5,1,((-0.1*'2'!E65)+1.25))</f>
        <v>1</v>
      </c>
      <c r="M99" s="67">
        <f>1.35-(0.15*('2'!E65-1))</f>
        <v>1.476</v>
      </c>
      <c r="N99" s="67">
        <f t="shared" si="21"/>
        <v>-7.3800000000000063E-3</v>
      </c>
      <c r="O99" s="25">
        <f t="shared" si="4"/>
        <v>-0.02</v>
      </c>
      <c r="P99" s="34">
        <f t="shared" si="22"/>
        <v>0.97276759999999995</v>
      </c>
      <c r="Q99" s="1274">
        <f t="shared" si="5"/>
        <v>0.98</v>
      </c>
      <c r="R99" s="1274">
        <f t="shared" si="6"/>
        <v>0.84270197523206603</v>
      </c>
      <c r="S99" s="1275">
        <f t="shared" si="17"/>
        <v>112.60959839626935</v>
      </c>
      <c r="T99" s="1275">
        <f t="shared" ref="T99:T108" si="23">S99*H$176</f>
        <v>90.087678717015478</v>
      </c>
      <c r="U99" s="1275">
        <f t="shared" si="7"/>
        <v>90.087678717015478</v>
      </c>
      <c r="V99" s="1315">
        <f>'3'!BC36</f>
        <v>166.3003957562976</v>
      </c>
      <c r="W99" s="1316">
        <f t="shared" ref="W99:W108" si="24">V99-AE99</f>
        <v>166.3003957562976</v>
      </c>
      <c r="X99" s="1291">
        <f t="shared" si="8"/>
        <v>1.4767870423539933</v>
      </c>
      <c r="Y99" s="34">
        <f t="shared" si="9"/>
        <v>1.144976047013742</v>
      </c>
      <c r="Z99" s="34">
        <f t="shared" si="10"/>
        <v>1.0510880111586152</v>
      </c>
      <c r="AB99" s="1294">
        <v>1</v>
      </c>
      <c r="AC99" s="1293">
        <v>1</v>
      </c>
      <c r="AD99" s="1272">
        <f t="shared" si="11"/>
        <v>0</v>
      </c>
      <c r="AE99" s="1272">
        <f t="shared" si="12"/>
        <v>0</v>
      </c>
      <c r="AF99" s="1272">
        <f t="shared" si="13"/>
        <v>0</v>
      </c>
      <c r="AG99" s="1317">
        <f>'2'!S65</f>
        <v>11.761048100266306</v>
      </c>
      <c r="AH99" s="1272">
        <f t="shared" si="14"/>
        <v>0</v>
      </c>
      <c r="AI99" s="1272">
        <f t="shared" si="15"/>
        <v>90.087678717015478</v>
      </c>
      <c r="AJ99" s="1251">
        <f t="shared" si="16"/>
        <v>1.8459838029424918</v>
      </c>
      <c r="AL99" s="25"/>
      <c r="AM99" s="25"/>
      <c r="AN99" s="25"/>
      <c r="AO99" s="25"/>
    </row>
    <row r="100" spans="2:41">
      <c r="B100" s="25">
        <f>'2'!B66</f>
        <v>23</v>
      </c>
      <c r="C100" s="428" t="str">
        <f>'2'!C66</f>
        <v>Cruise 2b</v>
      </c>
      <c r="D100" s="428">
        <f>'2'!D66</f>
        <v>10000</v>
      </c>
      <c r="E100" s="1193">
        <f>'2'!E66</f>
        <v>0.16</v>
      </c>
      <c r="F100" s="1025">
        <f>'2'!F66</f>
        <v>0</v>
      </c>
      <c r="G100" s="1276">
        <f>'2'!I66</f>
        <v>172.32024300800001</v>
      </c>
      <c r="H100" s="25">
        <f>IF('3'!$J$21=2,(IF('2'!E66&lt;1,1,'3'!$J$21)),'3'!$J$21)</f>
        <v>5</v>
      </c>
      <c r="I100" s="244">
        <f>IF(H100=1,((($F$158*((('2'!H66/0.00238333)^$F$159)))+$F$160)*$F$161*($F$162+($F$163*(('2'!E66-$F$164)^$F$165)))),
  IF(H100=2,((($G$158*((('2'!H66/0.00238333)^$G$159)))+$G$160)*$G$161*($G$162+($G$163*(('2'!E66-$G$164)^$G$165)))),
  IF(H100=3,((($H$158*((('2'!H66/0.00238333)^$H$159)))+$H$160)*$H$161*($H$162+($H$163*(('2'!E66-$H$164)^$H$165)))),
  IF(H100=4,((($I$158*((('2'!H66/0.00238333)^$I$159)))+$I$160)*$I$161*($I$162+($I$163*(('2'!E66-$I$164)^$I$165)))),
  IF(H100=5,((($J$158*((('2'!H66/0.00238333)^$J$159)))+$J$160)*$J$161*($J$162+($J$163*(('2'!E66-$J$164)^$J$165)))),
                        (($K$158*((('2'!H66/0.00238333)^$K$159)))+$K$160)*$K$161*($K$162+($K$163*(('2'!E66-$K$164)^$K$165))))))))</f>
        <v>0.70086799633573194</v>
      </c>
      <c r="J100" s="52">
        <f t="shared" si="2"/>
        <v>140.17359926714639</v>
      </c>
      <c r="K100" s="67">
        <f>IF('2'!E66=1,0.995,(IF('2'!E66&lt;1,0.995,(0.995-(0.075*(('2'!E66-1)^1.35))))))</f>
        <v>0.995</v>
      </c>
      <c r="L100" s="67">
        <f>IF('2'!E66&lt;2.5,1,((-0.1*'2'!E66)+1.25))</f>
        <v>1</v>
      </c>
      <c r="M100" s="67">
        <f>1.35-(0.15*('2'!E66-1))</f>
        <v>1.476</v>
      </c>
      <c r="N100" s="67">
        <f t="shared" si="21"/>
        <v>-7.3800000000000063E-3</v>
      </c>
      <c r="O100" s="25">
        <f t="shared" si="4"/>
        <v>-0.02</v>
      </c>
      <c r="P100" s="34">
        <f t="shared" si="22"/>
        <v>0.97276759999999995</v>
      </c>
      <c r="Q100" s="1274">
        <f t="shared" si="5"/>
        <v>0.98</v>
      </c>
      <c r="R100" s="1274">
        <f t="shared" si="6"/>
        <v>0.84270197523206603</v>
      </c>
      <c r="S100" s="1275">
        <f t="shared" si="17"/>
        <v>112.60959839626935</v>
      </c>
      <c r="T100" s="1275">
        <f t="shared" si="23"/>
        <v>90.087678717015478</v>
      </c>
      <c r="U100" s="1275">
        <f t="shared" si="7"/>
        <v>90.087678717015478</v>
      </c>
      <c r="V100" s="1315">
        <f>'3'!BC37</f>
        <v>165.98611932395934</v>
      </c>
      <c r="W100" s="1316">
        <f t="shared" si="24"/>
        <v>165.98611932395934</v>
      </c>
      <c r="X100" s="1291">
        <f t="shared" si="8"/>
        <v>1.4739961929342811</v>
      </c>
      <c r="Y100" s="34">
        <f t="shared" si="9"/>
        <v>1.1440070405572609</v>
      </c>
      <c r="Z100" s="34">
        <f t="shared" si="10"/>
        <v>1.0501984632315655</v>
      </c>
      <c r="AB100" s="1294">
        <v>1</v>
      </c>
      <c r="AC100" s="1293">
        <v>1</v>
      </c>
      <c r="AD100" s="1272">
        <f t="shared" si="11"/>
        <v>0</v>
      </c>
      <c r="AE100" s="1272">
        <f t="shared" si="12"/>
        <v>0</v>
      </c>
      <c r="AF100" s="1272">
        <f t="shared" si="13"/>
        <v>0</v>
      </c>
      <c r="AG100" s="1317">
        <f>'2'!S66</f>
        <v>11.761048100266306</v>
      </c>
      <c r="AH100" s="1272">
        <f t="shared" si="14"/>
        <v>0</v>
      </c>
      <c r="AI100" s="1272">
        <f t="shared" si="15"/>
        <v>90.087678717015478</v>
      </c>
      <c r="AJ100" s="1251">
        <f t="shared" si="16"/>
        <v>1.8424952411678515</v>
      </c>
      <c r="AL100" s="25"/>
      <c r="AM100" s="25"/>
      <c r="AN100" s="25"/>
      <c r="AO100" s="25"/>
    </row>
    <row r="101" spans="2:41">
      <c r="B101" s="25">
        <f>'2'!B67</f>
        <v>24</v>
      </c>
      <c r="C101" s="428" t="str">
        <f>'2'!C67</f>
        <v>Cruise 2c</v>
      </c>
      <c r="D101" s="428">
        <f>'2'!D67</f>
        <v>10000</v>
      </c>
      <c r="E101" s="1193">
        <f>'2'!E67</f>
        <v>0.16</v>
      </c>
      <c r="F101" s="1025">
        <f>'2'!F67</f>
        <v>0</v>
      </c>
      <c r="G101" s="1276">
        <f>'2'!I67</f>
        <v>172.32024300800001</v>
      </c>
      <c r="H101" s="25">
        <f>IF('3'!$J$21=2,(IF('2'!E67&lt;1,1,'3'!$J$21)),'3'!$J$21)</f>
        <v>5</v>
      </c>
      <c r="I101" s="244">
        <f>IF(H101=1,((($F$158*((('2'!H67/0.00238333)^$F$159)))+$F$160)*$F$161*($F$162+($F$163*(('2'!E67-$F$164)^$F$165)))),
  IF(H101=2,((($G$158*((('2'!H67/0.00238333)^$G$159)))+$G$160)*$G$161*($G$162+($G$163*(('2'!E67-$G$164)^$G$165)))),
  IF(H101=3,((($H$158*((('2'!H67/0.00238333)^$H$159)))+$H$160)*$H$161*($H$162+($H$163*(('2'!E67-$H$164)^$H$165)))),
  IF(H101=4,((($I$158*((('2'!H67/0.00238333)^$I$159)))+$I$160)*$I$161*($I$162+($I$163*(('2'!E67-$I$164)^$I$165)))),
  IF(H101=5,((($J$158*((('2'!H67/0.00238333)^$J$159)))+$J$160)*$J$161*($J$162+($J$163*(('2'!E67-$J$164)^$J$165)))),
                        (($K$158*((('2'!H67/0.00238333)^$K$159)))+$K$160)*$K$161*($K$162+($K$163*(('2'!E67-$K$164)^$K$165))))))))</f>
        <v>0.70086799633573194</v>
      </c>
      <c r="J101" s="52">
        <f t="shared" si="2"/>
        <v>140.17359926714639</v>
      </c>
      <c r="K101" s="67">
        <f>IF('2'!E67=1,0.995,(IF('2'!E67&lt;1,0.995,(0.995-(0.075*(('2'!E67-1)^1.35))))))</f>
        <v>0.995</v>
      </c>
      <c r="L101" s="67">
        <f>IF('2'!E67&lt;2.5,1,((-0.1*'2'!E67)+1.25))</f>
        <v>1</v>
      </c>
      <c r="M101" s="67">
        <f>1.35-(0.15*('2'!E67-1))</f>
        <v>1.476</v>
      </c>
      <c r="N101" s="67">
        <f t="shared" si="21"/>
        <v>-7.3800000000000063E-3</v>
      </c>
      <c r="O101" s="25">
        <f t="shared" si="4"/>
        <v>-0.02</v>
      </c>
      <c r="P101" s="34">
        <f t="shared" si="22"/>
        <v>0.97276759999999995</v>
      </c>
      <c r="Q101" s="1274">
        <f t="shared" si="5"/>
        <v>0.98</v>
      </c>
      <c r="R101" s="1274">
        <f t="shared" si="6"/>
        <v>0.84270197523206603</v>
      </c>
      <c r="S101" s="1275">
        <f t="shared" si="17"/>
        <v>112.60959839626935</v>
      </c>
      <c r="T101" s="1275">
        <f t="shared" si="23"/>
        <v>90.087678717015478</v>
      </c>
      <c r="U101" s="1275">
        <f t="shared" si="7"/>
        <v>90.087678717015478</v>
      </c>
      <c r="V101" s="1315">
        <f>'3'!BC38</f>
        <v>165.67464199067422</v>
      </c>
      <c r="W101" s="1316">
        <f t="shared" si="24"/>
        <v>165.67464199067422</v>
      </c>
      <c r="X101" s="1291">
        <f t="shared" si="8"/>
        <v>1.4712302001794801</v>
      </c>
      <c r="Y101" s="34">
        <f t="shared" si="9"/>
        <v>1.1430475312626334</v>
      </c>
      <c r="Z101" s="34">
        <f t="shared" si="10"/>
        <v>1.0493176336990975</v>
      </c>
      <c r="AB101" s="1294">
        <v>1</v>
      </c>
      <c r="AC101" s="1293">
        <v>1</v>
      </c>
      <c r="AD101" s="1272">
        <f t="shared" si="11"/>
        <v>0</v>
      </c>
      <c r="AE101" s="1272">
        <f t="shared" si="12"/>
        <v>0</v>
      </c>
      <c r="AF101" s="1272">
        <f t="shared" si="13"/>
        <v>0</v>
      </c>
      <c r="AG101" s="1317">
        <f>'2'!S67</f>
        <v>11.761048100266306</v>
      </c>
      <c r="AH101" s="1272">
        <f t="shared" si="14"/>
        <v>0</v>
      </c>
      <c r="AI101" s="1272">
        <f t="shared" si="15"/>
        <v>90.087678717015478</v>
      </c>
      <c r="AJ101" s="1251">
        <f t="shared" si="16"/>
        <v>1.8390377502243502</v>
      </c>
      <c r="AL101" s="25"/>
      <c r="AM101" s="25"/>
      <c r="AN101" s="25"/>
      <c r="AO101" s="25"/>
    </row>
    <row r="102" spans="2:41">
      <c r="B102" s="25">
        <f>'2'!B68</f>
        <v>25</v>
      </c>
      <c r="C102" s="428" t="str">
        <f>'2'!C68</f>
        <v>Cruise 2d</v>
      </c>
      <c r="D102" s="428">
        <f>'2'!D68</f>
        <v>10000</v>
      </c>
      <c r="E102" s="1193">
        <f>'2'!E68</f>
        <v>0.16</v>
      </c>
      <c r="F102" s="1025">
        <f>'2'!F68</f>
        <v>0</v>
      </c>
      <c r="G102" s="1276">
        <f>'2'!I68</f>
        <v>172.32024300800001</v>
      </c>
      <c r="H102" s="25">
        <f>IF('3'!$J$21=2,(IF('2'!E68&lt;1,1,'3'!$J$21)),'3'!$J$21)</f>
        <v>5</v>
      </c>
      <c r="I102" s="244">
        <f>IF(H102=1,((($F$158*((('2'!H68/0.00238333)^$F$159)))+$F$160)*$F$161*($F$162+($F$163*(('2'!E68-$F$164)^$F$165)))),
  IF(H102=2,((($G$158*((('2'!H68/0.00238333)^$G$159)))+$G$160)*$G$161*($G$162+($G$163*(('2'!E68-$G$164)^$G$165)))),
  IF(H102=3,((($H$158*((('2'!H68/0.00238333)^$H$159)))+$H$160)*$H$161*($H$162+($H$163*(('2'!E68-$H$164)^$H$165)))),
  IF(H102=4,((($I$158*((('2'!H68/0.00238333)^$I$159)))+$I$160)*$I$161*($I$162+($I$163*(('2'!E68-$I$164)^$I$165)))),
  IF(H102=5,((($J$158*((('2'!H68/0.00238333)^$J$159)))+$J$160)*$J$161*($J$162+($J$163*(('2'!E68-$J$164)^$J$165)))),
                        (($K$158*((('2'!H68/0.00238333)^$K$159)))+$K$160)*$K$161*($K$162+($K$163*(('2'!E68-$K$164)^$K$165))))))))</f>
        <v>0.70086799633573194</v>
      </c>
      <c r="J102" s="52">
        <f t="shared" si="2"/>
        <v>140.17359926714639</v>
      </c>
      <c r="K102" s="67">
        <f>IF('2'!E68=1,0.995,(IF('2'!E68&lt;1,0.995,(0.995-(0.075*(('2'!E68-1)^1.35))))))</f>
        <v>0.995</v>
      </c>
      <c r="L102" s="67">
        <f>IF('2'!E68&lt;2.5,1,((-0.1*'2'!E68)+1.25))</f>
        <v>1</v>
      </c>
      <c r="M102" s="67">
        <f>1.35-(0.15*('2'!E68-1))</f>
        <v>1.476</v>
      </c>
      <c r="N102" s="67">
        <f t="shared" si="21"/>
        <v>-7.3800000000000063E-3</v>
      </c>
      <c r="O102" s="25">
        <f t="shared" si="4"/>
        <v>-0.02</v>
      </c>
      <c r="P102" s="34">
        <f t="shared" si="22"/>
        <v>0.97276759999999995</v>
      </c>
      <c r="Q102" s="1274">
        <f t="shared" si="5"/>
        <v>0.98</v>
      </c>
      <c r="R102" s="1274">
        <f t="shared" si="6"/>
        <v>0.84270197523206603</v>
      </c>
      <c r="S102" s="1275">
        <f t="shared" si="17"/>
        <v>112.60959839626935</v>
      </c>
      <c r="T102" s="1275">
        <f t="shared" si="23"/>
        <v>90.087678717015478</v>
      </c>
      <c r="U102" s="1275">
        <f t="shared" si="7"/>
        <v>90.087678717015478</v>
      </c>
      <c r="V102" s="1315">
        <f>'3'!BC39</f>
        <v>165.36594601985087</v>
      </c>
      <c r="W102" s="1316">
        <f t="shared" si="24"/>
        <v>165.36594601985087</v>
      </c>
      <c r="X102" s="1291">
        <f t="shared" si="8"/>
        <v>1.4684889065844433</v>
      </c>
      <c r="Y102" s="34">
        <f t="shared" si="9"/>
        <v>1.1420974474801961</v>
      </c>
      <c r="Z102" s="34">
        <f t="shared" si="10"/>
        <v>1.0484454567868202</v>
      </c>
      <c r="AB102" s="1294">
        <v>1</v>
      </c>
      <c r="AC102" s="1293">
        <v>1</v>
      </c>
      <c r="AD102" s="1272">
        <f t="shared" si="11"/>
        <v>0</v>
      </c>
      <c r="AE102" s="1272">
        <f t="shared" si="12"/>
        <v>0</v>
      </c>
      <c r="AF102" s="1272">
        <f t="shared" si="13"/>
        <v>0</v>
      </c>
      <c r="AG102" s="1317">
        <f>'2'!S68</f>
        <v>11.761048100266306</v>
      </c>
      <c r="AH102" s="1272">
        <f t="shared" si="14"/>
        <v>0</v>
      </c>
      <c r="AI102" s="1272">
        <f t="shared" si="15"/>
        <v>90.087678717015478</v>
      </c>
      <c r="AJ102" s="1251">
        <f t="shared" si="16"/>
        <v>1.8356111332305542</v>
      </c>
      <c r="AL102" s="25"/>
      <c r="AM102" s="25"/>
      <c r="AN102" s="25"/>
      <c r="AO102" s="25"/>
    </row>
    <row r="103" spans="2:41">
      <c r="B103" s="25">
        <f>'2'!B69</f>
        <v>26</v>
      </c>
      <c r="C103" s="428" t="str">
        <f>'2'!C69</f>
        <v>Cruise 2e</v>
      </c>
      <c r="D103" s="428">
        <f>'2'!D69</f>
        <v>10000</v>
      </c>
      <c r="E103" s="1193">
        <f>'2'!E69</f>
        <v>0.16</v>
      </c>
      <c r="F103" s="1025">
        <f>'2'!F69</f>
        <v>0</v>
      </c>
      <c r="G103" s="1276">
        <f>'2'!I69</f>
        <v>172.32024300800001</v>
      </c>
      <c r="H103" s="25">
        <f>IF('3'!$J$21=2,(IF('2'!E69&lt;1,1,'3'!$J$21)),'3'!$J$21)</f>
        <v>5</v>
      </c>
      <c r="I103" s="244">
        <f>IF(H103=1,((($F$158*((('2'!H69/0.00238333)^$F$159)))+$F$160)*$F$161*($F$162+($F$163*(('2'!E69-$F$164)^$F$165)))),
  IF(H103=2,((($G$158*((('2'!H69/0.00238333)^$G$159)))+$G$160)*$G$161*($G$162+($G$163*(('2'!E69-$G$164)^$G$165)))),
  IF(H103=3,((($H$158*((('2'!H69/0.00238333)^$H$159)))+$H$160)*$H$161*($H$162+($H$163*(('2'!E69-$H$164)^$H$165)))),
  IF(H103=4,((($I$158*((('2'!H69/0.00238333)^$I$159)))+$I$160)*$I$161*($I$162+($I$163*(('2'!E69-$I$164)^$I$165)))),
  IF(H103=5,((($J$158*((('2'!H69/0.00238333)^$J$159)))+$J$160)*$J$161*($J$162+($J$163*(('2'!E69-$J$164)^$J$165)))),
                        (($K$158*((('2'!H69/0.00238333)^$K$159)))+$K$160)*$K$161*($K$162+($K$163*(('2'!E69-$K$164)^$K$165))))))))</f>
        <v>0.70086799633573194</v>
      </c>
      <c r="J103" s="52">
        <f t="shared" si="2"/>
        <v>140.17359926714639</v>
      </c>
      <c r="K103" s="67">
        <f>IF('2'!E69=1,0.995,(IF('2'!E69&lt;1,0.995,(0.995-(0.075*(('2'!E69-1)^1.35))))))</f>
        <v>0.995</v>
      </c>
      <c r="L103" s="67">
        <f>IF('2'!E69&lt;2.5,1,((-0.1*'2'!E69)+1.25))</f>
        <v>1</v>
      </c>
      <c r="M103" s="67">
        <f>1.35-(0.15*('2'!E69-1))</f>
        <v>1.476</v>
      </c>
      <c r="N103" s="67">
        <f t="shared" si="21"/>
        <v>-7.3800000000000063E-3</v>
      </c>
      <c r="O103" s="25">
        <f t="shared" si="4"/>
        <v>-0.02</v>
      </c>
      <c r="P103" s="34">
        <f t="shared" si="22"/>
        <v>0.97276759999999995</v>
      </c>
      <c r="Q103" s="1274">
        <f t="shared" si="5"/>
        <v>0.98</v>
      </c>
      <c r="R103" s="1274">
        <f t="shared" si="6"/>
        <v>0.84270197523206603</v>
      </c>
      <c r="S103" s="1275">
        <f t="shared" si="17"/>
        <v>112.60959839626935</v>
      </c>
      <c r="T103" s="1275">
        <f t="shared" si="23"/>
        <v>90.087678717015478</v>
      </c>
      <c r="U103" s="1275">
        <f t="shared" si="7"/>
        <v>90.087678717015478</v>
      </c>
      <c r="V103" s="1315">
        <f>'3'!BC40</f>
        <v>165.06001387894821</v>
      </c>
      <c r="W103" s="1316">
        <f t="shared" si="24"/>
        <v>165.06001387894821</v>
      </c>
      <c r="X103" s="1291">
        <f t="shared" si="8"/>
        <v>1.4657721564560389</v>
      </c>
      <c r="Y103" s="34">
        <f t="shared" si="9"/>
        <v>1.1411567183071867</v>
      </c>
      <c r="Z103" s="34">
        <f t="shared" si="10"/>
        <v>1.0475818674059973</v>
      </c>
      <c r="AB103" s="1294">
        <v>1</v>
      </c>
      <c r="AC103" s="1293">
        <v>1</v>
      </c>
      <c r="AD103" s="1272">
        <f t="shared" si="11"/>
        <v>0</v>
      </c>
      <c r="AE103" s="1272">
        <f t="shared" si="12"/>
        <v>0</v>
      </c>
      <c r="AF103" s="1272">
        <f t="shared" si="13"/>
        <v>0</v>
      </c>
      <c r="AG103" s="1317">
        <f>'2'!S69</f>
        <v>11.761048100266306</v>
      </c>
      <c r="AH103" s="1272">
        <f t="shared" si="14"/>
        <v>0</v>
      </c>
      <c r="AI103" s="1272">
        <f t="shared" si="15"/>
        <v>90.087678717015478</v>
      </c>
      <c r="AJ103" s="1251">
        <f t="shared" si="16"/>
        <v>1.8322151955700485</v>
      </c>
      <c r="AL103" s="25"/>
      <c r="AM103" s="25"/>
      <c r="AN103" s="25"/>
      <c r="AO103" s="25"/>
    </row>
    <row r="104" spans="2:41">
      <c r="B104" s="25">
        <f>'2'!B70</f>
        <v>27</v>
      </c>
      <c r="C104" s="428" t="str">
        <f>'2'!C70</f>
        <v>Loiter 3a</v>
      </c>
      <c r="D104" s="428">
        <f>'2'!D70</f>
        <v>3500</v>
      </c>
      <c r="E104" s="1193">
        <f>'2'!E70</f>
        <v>0.15</v>
      </c>
      <c r="F104" s="1025">
        <f>'2'!F70</f>
        <v>0</v>
      </c>
      <c r="G104" s="1276">
        <f>'2'!I70</f>
        <v>165.54666128699998</v>
      </c>
      <c r="H104" s="25">
        <f>IF('3'!$J$21=2,(IF('2'!E70&lt;1,1,'3'!$J$21)),'3'!$J$21)</f>
        <v>5</v>
      </c>
      <c r="I104" s="244">
        <f>IF(H104=1,((($F$158*((('2'!H70/0.00238333)^$F$159)))+$F$160)*$F$161*($F$162+($F$163*(('2'!E70-$F$164)^$F$165)))),
  IF(H104=2,((($G$158*((('2'!H70/0.00238333)^$G$159)))+$G$160)*$G$161*($G$162+($G$163*(('2'!E70-$G$164)^$G$165)))),
  IF(H104=3,((($H$158*((('2'!H70/0.00238333)^$H$159)))+$H$160)*$H$161*($H$162+($H$163*(('2'!E70-$H$164)^$H$165)))),
  IF(H104=4,((($I$158*((('2'!H70/0.00238333)^$I$159)))+$I$160)*$I$161*($I$162+($I$163*(('2'!E70-$I$164)^$I$165)))),
  IF(H104=5,((($J$158*((('2'!H70/0.00238333)^$J$159)))+$J$160)*$J$161*($J$162+($J$163*(('2'!E70-$J$164)^$J$165)))),
                        (($K$158*((('2'!H70/0.00238333)^$K$159)))+$K$160)*$K$161*($K$162+($K$163*(('2'!E70-$K$164)^$K$165))))))))</f>
        <v>0.88476391829209711</v>
      </c>
      <c r="J104" s="52">
        <f t="shared" si="2"/>
        <v>176.95278365841943</v>
      </c>
      <c r="K104" s="67">
        <f>IF('2'!E70=1,0.995,(IF('2'!E70&lt;1,0.995,(0.995-(0.075*(('2'!E70-1)^1.35))))))</f>
        <v>0.995</v>
      </c>
      <c r="L104" s="67">
        <f>IF('2'!E70&lt;2.5,1,((-0.1*'2'!E70)+1.25))</f>
        <v>1</v>
      </c>
      <c r="M104" s="67">
        <f>1.35-(0.15*('2'!E70-1))</f>
        <v>1.4775</v>
      </c>
      <c r="N104" s="67">
        <f t="shared" si="21"/>
        <v>-7.3875000000000069E-3</v>
      </c>
      <c r="O104" s="25">
        <f t="shared" si="4"/>
        <v>-0.02</v>
      </c>
      <c r="P104" s="34">
        <f t="shared" si="22"/>
        <v>0.97276024999999999</v>
      </c>
      <c r="Q104" s="1274">
        <f t="shared" si="5"/>
        <v>0.98</v>
      </c>
      <c r="R104" s="1274">
        <f t="shared" si="6"/>
        <v>0.84270197523206603</v>
      </c>
      <c r="S104" s="1275">
        <f t="shared" si="17"/>
        <v>142.15538051783548</v>
      </c>
      <c r="T104" s="1275">
        <f t="shared" si="23"/>
        <v>113.72430441426839</v>
      </c>
      <c r="U104" s="1275">
        <f t="shared" si="7"/>
        <v>113.72430441426839</v>
      </c>
      <c r="V104" s="1315">
        <f>'3'!BC41</f>
        <v>178.66556097737774</v>
      </c>
      <c r="W104" s="1316">
        <f t="shared" si="24"/>
        <v>178.66556097737774</v>
      </c>
      <c r="X104" s="1291">
        <f t="shared" si="8"/>
        <v>1.2568329128770579</v>
      </c>
      <c r="Y104" s="34">
        <f t="shared" si="9"/>
        <v>1.0718934517560652</v>
      </c>
      <c r="Z104" s="34">
        <f t="shared" si="10"/>
        <v>0.9839981887120679</v>
      </c>
      <c r="AB104" s="1294">
        <v>1</v>
      </c>
      <c r="AC104" s="1293">
        <v>1</v>
      </c>
      <c r="AD104" s="1272">
        <f t="shared" si="11"/>
        <v>0</v>
      </c>
      <c r="AE104" s="1272">
        <f t="shared" si="12"/>
        <v>0</v>
      </c>
      <c r="AF104" s="1272">
        <f t="shared" si="13"/>
        <v>0</v>
      </c>
      <c r="AG104" s="1317">
        <f>'2'!S70</f>
        <v>2</v>
      </c>
      <c r="AH104" s="1272">
        <f t="shared" si="14"/>
        <v>0</v>
      </c>
      <c r="AI104" s="1272">
        <f t="shared" si="15"/>
        <v>113.72430441426839</v>
      </c>
      <c r="AJ104" s="1251">
        <f t="shared" si="16"/>
        <v>1.5710411410963223</v>
      </c>
      <c r="AL104" s="25"/>
      <c r="AM104" s="25"/>
      <c r="AN104" s="25"/>
      <c r="AO104" s="25"/>
    </row>
    <row r="105" spans="2:41">
      <c r="B105" s="25">
        <f>'2'!B71</f>
        <v>28</v>
      </c>
      <c r="C105" s="428" t="str">
        <f>'2'!C71</f>
        <v>Loiter 3b</v>
      </c>
      <c r="D105" s="428">
        <f>'2'!D71</f>
        <v>3500</v>
      </c>
      <c r="E105" s="1193">
        <f>'2'!E71</f>
        <v>0.15</v>
      </c>
      <c r="F105" s="1025">
        <f>'2'!F71</f>
        <v>0</v>
      </c>
      <c r="G105" s="1276">
        <f>'2'!I71</f>
        <v>165.54666128699998</v>
      </c>
      <c r="H105" s="25">
        <f>IF('3'!$J$21=2,(IF('2'!E71&lt;1,1,'3'!$J$21)),'3'!$J$21)</f>
        <v>5</v>
      </c>
      <c r="I105" s="244">
        <f>IF(H105=1,((($F$158*((('2'!H71/0.00238333)^$F$159)))+$F$160)*$F$161*($F$162+($F$163*(('2'!E71-$F$164)^$F$165)))),
  IF(H105=2,((($G$158*((('2'!H71/0.00238333)^$G$159)))+$G$160)*$G$161*($G$162+($G$163*(('2'!E71-$G$164)^$G$165)))),
  IF(H105=3,((($H$158*((('2'!H71/0.00238333)^$H$159)))+$H$160)*$H$161*($H$162+($H$163*(('2'!E71-$H$164)^$H$165)))),
  IF(H105=4,((($I$158*((('2'!H71/0.00238333)^$I$159)))+$I$160)*$I$161*($I$162+($I$163*(('2'!E71-$I$164)^$I$165)))),
  IF(H105=5,((($J$158*((('2'!H71/0.00238333)^$J$159)))+$J$160)*$J$161*($J$162+($J$163*(('2'!E71-$J$164)^$J$165)))),
                        (($K$158*((('2'!H71/0.00238333)^$K$159)))+$K$160)*$K$161*($K$162+($K$163*(('2'!E71-$K$164)^$K$165))))))))</f>
        <v>0.88476391829209711</v>
      </c>
      <c r="J105" s="52">
        <f t="shared" si="2"/>
        <v>176.95278365841943</v>
      </c>
      <c r="K105" s="67">
        <f>IF('2'!E71=1,0.995,(IF('2'!E71&lt;1,0.995,(0.995-(0.075*(('2'!E71-1)^1.35))))))</f>
        <v>0.995</v>
      </c>
      <c r="L105" s="67">
        <f>IF('2'!E71&lt;2.5,1,((-0.1*'2'!E71)+1.25))</f>
        <v>1</v>
      </c>
      <c r="M105" s="67">
        <f>1.35-(0.15*('2'!E71-1))</f>
        <v>1.4775</v>
      </c>
      <c r="N105" s="67">
        <f t="shared" si="21"/>
        <v>-7.3875000000000069E-3</v>
      </c>
      <c r="O105" s="25">
        <f t="shared" si="4"/>
        <v>-0.02</v>
      </c>
      <c r="P105" s="34">
        <f t="shared" si="22"/>
        <v>0.97276024999999999</v>
      </c>
      <c r="Q105" s="1274">
        <f t="shared" si="5"/>
        <v>0.98</v>
      </c>
      <c r="R105" s="1274">
        <f t="shared" si="6"/>
        <v>0.84270197523206603</v>
      </c>
      <c r="S105" s="1275">
        <f t="shared" si="17"/>
        <v>142.15538051783548</v>
      </c>
      <c r="T105" s="1275">
        <f t="shared" si="23"/>
        <v>113.72430441426839</v>
      </c>
      <c r="U105" s="1275">
        <f t="shared" si="7"/>
        <v>113.72430441426839</v>
      </c>
      <c r="V105" s="1315">
        <f>'3'!BC42</f>
        <v>178.61803778925878</v>
      </c>
      <c r="W105" s="1316">
        <f t="shared" si="24"/>
        <v>178.61803778925878</v>
      </c>
      <c r="X105" s="1291">
        <f t="shared" si="8"/>
        <v>1.2564986083439067</v>
      </c>
      <c r="Y105" s="34">
        <f t="shared" si="9"/>
        <v>1.0717885368217721</v>
      </c>
      <c r="Z105" s="34">
        <f t="shared" si="10"/>
        <v>0.98390187680238683</v>
      </c>
      <c r="AB105" s="1294">
        <v>1</v>
      </c>
      <c r="AC105" s="1293">
        <v>1</v>
      </c>
      <c r="AD105" s="1272">
        <f t="shared" si="11"/>
        <v>0</v>
      </c>
      <c r="AE105" s="1272">
        <f t="shared" si="12"/>
        <v>0</v>
      </c>
      <c r="AF105" s="1272">
        <f t="shared" si="13"/>
        <v>0</v>
      </c>
      <c r="AG105" s="1317">
        <f>'2'!S71</f>
        <v>2</v>
      </c>
      <c r="AH105" s="1272">
        <f t="shared" si="14"/>
        <v>0</v>
      </c>
      <c r="AI105" s="1272">
        <f t="shared" si="15"/>
        <v>113.72430441426839</v>
      </c>
      <c r="AJ105" s="1251">
        <f t="shared" si="16"/>
        <v>1.5706232604298833</v>
      </c>
      <c r="AL105" s="25"/>
      <c r="AM105" s="25"/>
      <c r="AN105" s="25"/>
      <c r="AO105" s="25"/>
    </row>
    <row r="106" spans="2:41">
      <c r="B106" s="25">
        <f>'2'!B72</f>
        <v>29</v>
      </c>
      <c r="C106" s="428" t="str">
        <f>'2'!C72</f>
        <v>Loiter 3c</v>
      </c>
      <c r="D106" s="428">
        <f>'2'!D72</f>
        <v>3500</v>
      </c>
      <c r="E106" s="1193">
        <f>'2'!E72</f>
        <v>0.15</v>
      </c>
      <c r="F106" s="1025">
        <f>'2'!F72</f>
        <v>0</v>
      </c>
      <c r="G106" s="1276">
        <f>'2'!I72</f>
        <v>165.54666128699998</v>
      </c>
      <c r="H106" s="25">
        <f>IF('3'!$J$21=2,(IF('2'!E72&lt;1,1,'3'!$J$21)),'3'!$J$21)</f>
        <v>5</v>
      </c>
      <c r="I106" s="244">
        <f>IF(H106=1,((($F$158*((('2'!H72/0.00238333)^$F$159)))+$F$160)*$F$161*($F$162+($F$163*(('2'!E72-$F$164)^$F$165)))),
  IF(H106=2,((($G$158*((('2'!H72/0.00238333)^$G$159)))+$G$160)*$G$161*($G$162+($G$163*(('2'!E72-$G$164)^$G$165)))),
  IF(H106=3,((($H$158*((('2'!H72/0.00238333)^$H$159)))+$H$160)*$H$161*($H$162+($H$163*(('2'!E72-$H$164)^$H$165)))),
  IF(H106=4,((($I$158*((('2'!H72/0.00238333)^$I$159)))+$I$160)*$I$161*($I$162+($I$163*(('2'!E72-$I$164)^$I$165)))),
  IF(H106=5,((($J$158*((('2'!H72/0.00238333)^$J$159)))+$J$160)*$J$161*($J$162+($J$163*(('2'!E72-$J$164)^$J$165)))),
                        (($K$158*((('2'!H72/0.00238333)^$K$159)))+$K$160)*$K$161*($K$162+($K$163*(('2'!E72-$K$164)^$K$165))))))))</f>
        <v>0.88476391829209711</v>
      </c>
      <c r="J106" s="52">
        <f t="shared" si="2"/>
        <v>176.95278365841943</v>
      </c>
      <c r="K106" s="67">
        <f>IF('2'!E72=1,0.995,(IF('2'!E72&lt;1,0.995,(0.995-(0.075*(('2'!E72-1)^1.35))))))</f>
        <v>0.995</v>
      </c>
      <c r="L106" s="67">
        <f>IF('2'!E72&lt;2.5,1,((-0.1*'2'!E72)+1.25))</f>
        <v>1</v>
      </c>
      <c r="M106" s="67">
        <f>1.35-(0.15*('2'!E72-1))</f>
        <v>1.4775</v>
      </c>
      <c r="N106" s="67">
        <f t="shared" si="21"/>
        <v>-7.3875000000000069E-3</v>
      </c>
      <c r="O106" s="25">
        <f t="shared" si="4"/>
        <v>-0.02</v>
      </c>
      <c r="P106" s="34">
        <f t="shared" si="22"/>
        <v>0.97276024999999999</v>
      </c>
      <c r="Q106" s="1274">
        <f t="shared" si="5"/>
        <v>0.98</v>
      </c>
      <c r="R106" s="1274">
        <f t="shared" si="6"/>
        <v>0.84270197523206603</v>
      </c>
      <c r="S106" s="1275">
        <f t="shared" si="17"/>
        <v>142.15538051783548</v>
      </c>
      <c r="T106" s="1275">
        <f t="shared" si="23"/>
        <v>113.72430441426839</v>
      </c>
      <c r="U106" s="1275">
        <f t="shared" si="7"/>
        <v>113.72430441426839</v>
      </c>
      <c r="V106" s="1315">
        <f>'3'!BC43</f>
        <v>178.57058790559654</v>
      </c>
      <c r="W106" s="1316">
        <f t="shared" si="24"/>
        <v>178.57058790559654</v>
      </c>
      <c r="X106" s="1291">
        <f t="shared" si="8"/>
        <v>1.256164819475069</v>
      </c>
      <c r="Y106" s="34">
        <f t="shared" si="9"/>
        <v>1.0716838063403931</v>
      </c>
      <c r="Z106" s="34">
        <f t="shared" si="10"/>
        <v>0.9838057342204809</v>
      </c>
      <c r="AB106" s="1294">
        <v>1</v>
      </c>
      <c r="AC106" s="1293">
        <v>1</v>
      </c>
      <c r="AD106" s="1272">
        <f t="shared" si="11"/>
        <v>0</v>
      </c>
      <c r="AE106" s="1272">
        <f t="shared" si="12"/>
        <v>0</v>
      </c>
      <c r="AF106" s="1272">
        <f t="shared" si="13"/>
        <v>0</v>
      </c>
      <c r="AG106" s="1317">
        <f>'2'!S72</f>
        <v>2</v>
      </c>
      <c r="AH106" s="1272">
        <f t="shared" si="14"/>
        <v>0</v>
      </c>
      <c r="AI106" s="1272">
        <f t="shared" si="15"/>
        <v>113.72430441426839</v>
      </c>
      <c r="AJ106" s="1251">
        <f t="shared" si="16"/>
        <v>1.570206024343836</v>
      </c>
      <c r="AL106" s="25"/>
      <c r="AM106" s="25"/>
      <c r="AN106" s="25"/>
      <c r="AO106" s="25"/>
    </row>
    <row r="107" spans="2:41">
      <c r="B107" s="25">
        <f>'2'!B73</f>
        <v>30</v>
      </c>
      <c r="C107" s="428" t="str">
        <f>'2'!C73</f>
        <v>Loiter 3d</v>
      </c>
      <c r="D107" s="428">
        <f>'2'!D73</f>
        <v>3500</v>
      </c>
      <c r="E107" s="1193">
        <f>'2'!E73</f>
        <v>0.15</v>
      </c>
      <c r="F107" s="1025">
        <f>'2'!F73</f>
        <v>0</v>
      </c>
      <c r="G107" s="1276">
        <f>'2'!I73</f>
        <v>165.54666128699998</v>
      </c>
      <c r="H107" s="25">
        <f>IF('3'!$J$21=2,(IF('2'!E73&lt;1,1,'3'!$J$21)),'3'!$J$21)</f>
        <v>5</v>
      </c>
      <c r="I107" s="244">
        <f>IF(H107=1,((($F$158*((('2'!H73/0.00238333)^$F$159)))+$F$160)*$F$161*($F$162+($F$163*(('2'!E73-$F$164)^$F$165)))),
  IF(H107=2,((($G$158*((('2'!H73/0.00238333)^$G$159)))+$G$160)*$G$161*($G$162+($G$163*(('2'!E73-$G$164)^$G$165)))),
  IF(H107=3,((($H$158*((('2'!H73/0.00238333)^$H$159)))+$H$160)*$H$161*($H$162+($H$163*(('2'!E73-$H$164)^$H$165)))),
  IF(H107=4,((($I$158*((('2'!H73/0.00238333)^$I$159)))+$I$160)*$I$161*($I$162+($I$163*(('2'!E73-$I$164)^$I$165)))),
  IF(H107=5,((($J$158*((('2'!H73/0.00238333)^$J$159)))+$J$160)*$J$161*($J$162+($J$163*(('2'!E73-$J$164)^$J$165)))),
                        (($K$158*((('2'!H73/0.00238333)^$K$159)))+$K$160)*$K$161*($K$162+($K$163*(('2'!E73-$K$164)^$K$165))))))))</f>
        <v>0.88476391829209711</v>
      </c>
      <c r="J107" s="52">
        <f t="shared" si="2"/>
        <v>176.95278365841943</v>
      </c>
      <c r="K107" s="67">
        <f>IF('2'!E73=1,0.995,(IF('2'!E73&lt;1,0.995,(0.995-(0.075*(('2'!E73-1)^1.35))))))</f>
        <v>0.995</v>
      </c>
      <c r="L107" s="67">
        <f>IF('2'!E73&lt;2.5,1,((-0.1*'2'!E73)+1.25))</f>
        <v>1</v>
      </c>
      <c r="M107" s="67">
        <f>1.35-(0.15*('2'!E73-1))</f>
        <v>1.4775</v>
      </c>
      <c r="N107" s="67">
        <f t="shared" si="21"/>
        <v>-7.3875000000000069E-3</v>
      </c>
      <c r="O107" s="25">
        <f t="shared" si="4"/>
        <v>-0.02</v>
      </c>
      <c r="P107" s="34">
        <f t="shared" si="22"/>
        <v>0.97276024999999999</v>
      </c>
      <c r="Q107" s="1274">
        <f t="shared" si="5"/>
        <v>0.98</v>
      </c>
      <c r="R107" s="1274">
        <f t="shared" si="6"/>
        <v>0.84270197523206603</v>
      </c>
      <c r="S107" s="1275">
        <f t="shared" si="17"/>
        <v>142.15538051783548</v>
      </c>
      <c r="T107" s="1275">
        <f t="shared" si="23"/>
        <v>113.72430441426839</v>
      </c>
      <c r="U107" s="1275">
        <f t="shared" si="7"/>
        <v>113.72430441426839</v>
      </c>
      <c r="V107" s="1315">
        <f>'3'!BC44</f>
        <v>178.52321125851196</v>
      </c>
      <c r="W107" s="1316">
        <f t="shared" si="24"/>
        <v>178.52321125851196</v>
      </c>
      <c r="X107" s="1291">
        <f t="shared" si="8"/>
        <v>1.2558315457930458</v>
      </c>
      <c r="Y107" s="34">
        <f t="shared" si="9"/>
        <v>1.0715792600785674</v>
      </c>
      <c r="Z107" s="34">
        <f t="shared" si="10"/>
        <v>0.98370976075212491</v>
      </c>
      <c r="AB107" s="1294">
        <v>1</v>
      </c>
      <c r="AC107" s="1293">
        <v>1</v>
      </c>
      <c r="AD107" s="1272">
        <f t="shared" si="11"/>
        <v>0</v>
      </c>
      <c r="AE107" s="1272">
        <f t="shared" si="12"/>
        <v>0</v>
      </c>
      <c r="AF107" s="1272">
        <f t="shared" si="13"/>
        <v>0</v>
      </c>
      <c r="AG107" s="1317">
        <f>'2'!S73</f>
        <v>2</v>
      </c>
      <c r="AH107" s="1272">
        <f t="shared" si="14"/>
        <v>0</v>
      </c>
      <c r="AI107" s="1272">
        <f t="shared" si="15"/>
        <v>113.72430441426839</v>
      </c>
      <c r="AJ107" s="1251">
        <f t="shared" si="16"/>
        <v>1.5697894322413073</v>
      </c>
      <c r="AL107" s="25"/>
      <c r="AM107" s="25"/>
      <c r="AN107" s="25"/>
      <c r="AO107" s="25"/>
    </row>
    <row r="108" spans="2:41">
      <c r="B108" s="25">
        <f>'2'!B74</f>
        <v>31</v>
      </c>
      <c r="C108" s="428" t="str">
        <f>'2'!C74</f>
        <v>Loiter 3e</v>
      </c>
      <c r="D108" s="428">
        <f>'2'!D74</f>
        <v>3500</v>
      </c>
      <c r="E108" s="1193">
        <f>'2'!E74</f>
        <v>0.15</v>
      </c>
      <c r="F108" s="1025">
        <f>'2'!F74</f>
        <v>0</v>
      </c>
      <c r="G108" s="1276">
        <f>'2'!I74</f>
        <v>165.54666128699998</v>
      </c>
      <c r="H108" s="25">
        <f>IF('3'!$J$21=2,(IF('2'!E74&lt;1,1,'3'!$J$21)),'3'!$J$21)</f>
        <v>5</v>
      </c>
      <c r="I108" s="244">
        <f>IF(H108=1,((($F$158*((('2'!H74/0.00238333)^$F$159)))+$F$160)*$F$161*($F$162+($F$163*(('2'!E74-$F$164)^$F$165)))),
  IF(H108=2,((($G$158*((('2'!H74/0.00238333)^$G$159)))+$G$160)*$G$161*($G$162+($G$163*(('2'!E74-$G$164)^$G$165)))),
  IF(H108=3,((($H$158*((('2'!H74/0.00238333)^$H$159)))+$H$160)*$H$161*($H$162+($H$163*(('2'!E74-$H$164)^$H$165)))),
  IF(H108=4,((($I$158*((('2'!H74/0.00238333)^$I$159)))+$I$160)*$I$161*($I$162+($I$163*(('2'!E74-$I$164)^$I$165)))),
  IF(H108=5,((($J$158*((('2'!H74/0.00238333)^$J$159)))+$J$160)*$J$161*($J$162+($J$163*(('2'!E74-$J$164)^$J$165)))),
                        (($K$158*((('2'!H74/0.00238333)^$K$159)))+$K$160)*$K$161*($K$162+($K$163*(('2'!E74-$K$164)^$K$165))))))))</f>
        <v>0.88476391829209711</v>
      </c>
      <c r="J108" s="52">
        <f t="shared" si="2"/>
        <v>176.95278365841943</v>
      </c>
      <c r="K108" s="67">
        <f>IF('2'!E74=1,0.995,(IF('2'!E74&lt;1,0.995,(0.995-(0.075*(('2'!E74-1)^1.35))))))</f>
        <v>0.995</v>
      </c>
      <c r="L108" s="67">
        <f>IF('2'!E74&lt;2.5,1,((-0.1*'2'!E74)+1.25))</f>
        <v>1</v>
      </c>
      <c r="M108" s="67">
        <f>1.35-(0.15*('2'!E74-1))</f>
        <v>1.4775</v>
      </c>
      <c r="N108" s="67">
        <f t="shared" si="21"/>
        <v>-7.3875000000000069E-3</v>
      </c>
      <c r="O108" s="25">
        <f t="shared" si="4"/>
        <v>-0.02</v>
      </c>
      <c r="P108" s="34">
        <f t="shared" si="22"/>
        <v>0.97276024999999999</v>
      </c>
      <c r="Q108" s="1274">
        <f t="shared" si="5"/>
        <v>0.98</v>
      </c>
      <c r="R108" s="1274">
        <f t="shared" si="6"/>
        <v>0.84270197523206603</v>
      </c>
      <c r="S108" s="1275">
        <f t="shared" si="17"/>
        <v>142.15538051783548</v>
      </c>
      <c r="T108" s="1275">
        <f t="shared" si="23"/>
        <v>113.72430441426839</v>
      </c>
      <c r="U108" s="1275">
        <f t="shared" si="7"/>
        <v>113.72430441426839</v>
      </c>
      <c r="V108" s="1315">
        <f>'3'!BC45</f>
        <v>178.47590778025608</v>
      </c>
      <c r="W108" s="1316">
        <f t="shared" si="24"/>
        <v>178.47590778025608</v>
      </c>
      <c r="X108" s="1291">
        <f t="shared" si="8"/>
        <v>1.2554987868212533</v>
      </c>
      <c r="Y108" s="34">
        <f t="shared" si="9"/>
        <v>1.071474897803339</v>
      </c>
      <c r="Z108" s="34">
        <f t="shared" si="10"/>
        <v>0.98361395618346525</v>
      </c>
      <c r="AB108" s="1294">
        <v>1</v>
      </c>
      <c r="AC108" s="1293">
        <v>1</v>
      </c>
      <c r="AD108" s="1272">
        <f t="shared" si="11"/>
        <v>0</v>
      </c>
      <c r="AE108" s="1272">
        <f t="shared" si="12"/>
        <v>0</v>
      </c>
      <c r="AF108" s="1272">
        <f t="shared" si="13"/>
        <v>0</v>
      </c>
      <c r="AG108" s="1317">
        <f>'2'!S74</f>
        <v>2</v>
      </c>
      <c r="AH108" s="1272">
        <f t="shared" si="14"/>
        <v>0</v>
      </c>
      <c r="AI108" s="1272">
        <f t="shared" si="15"/>
        <v>113.72430441426839</v>
      </c>
      <c r="AJ108" s="1251">
        <f t="shared" si="16"/>
        <v>1.5693734835265667</v>
      </c>
      <c r="AL108" s="25"/>
      <c r="AM108" s="25"/>
      <c r="AN108" s="25"/>
      <c r="AO108" s="25"/>
    </row>
    <row r="109" spans="2:41">
      <c r="B109" s="25">
        <f>'2'!B75</f>
        <v>32</v>
      </c>
      <c r="C109" s="428" t="str">
        <f>'2'!C75</f>
        <v>Land and Taxi In</v>
      </c>
      <c r="D109" s="428">
        <f>'2'!D75</f>
        <v>0</v>
      </c>
      <c r="E109" s="1193">
        <f>'2'!E75</f>
        <v>0.1</v>
      </c>
      <c r="F109" s="1025">
        <f>'2'!F75</f>
        <v>0</v>
      </c>
      <c r="G109" s="1276">
        <f>'2'!I75</f>
        <v>111.79905800000002</v>
      </c>
      <c r="H109" s="25">
        <f>IF('3'!$J$21=2,(IF('2'!E75&lt;1,1,'3'!$J$21)),'3'!$J$21)</f>
        <v>5</v>
      </c>
      <c r="I109" s="244">
        <f>IF(H109=1,((($F$158*((('2'!H75/0.00238333)^$F$159)))+$F$160)*$F$161*($F$162+($F$163*(('2'!E75-$F$164)^$F$165)))),
  IF(H109=2,((($G$158*((('2'!H75/0.00238333)^$G$159)))+$G$160)*$G$161*($G$162+($G$163*(('2'!E75-$G$164)^$G$165)))),
  IF(H109=3,((($H$158*((('2'!H75/0.00238333)^$H$159)))+$H$160)*$H$161*($H$162+($H$163*(('2'!E75-$H$164)^$H$165)))),
  IF(H109=4,((($I$158*((('2'!H75/0.00238333)^$I$159)))+$I$160)*$I$161*($I$162+($I$163*(('2'!E75-$I$164)^$I$165)))),
  IF(H109=5,((($J$158*((('2'!H75/0.00238333)^$J$159)))+$J$160)*$J$161*($J$162+($J$163*(('2'!E75-$J$164)^$J$165)))),
                        (($K$158*((('2'!H75/0.00238333)^$K$159)))+$K$160)*$K$161*($K$162+($K$163*(('2'!E75-$K$164)^$K$165))))))))</f>
        <v>1.0000014248970976</v>
      </c>
      <c r="J109" s="52">
        <f t="shared" si="2"/>
        <v>200.00028497941952</v>
      </c>
      <c r="K109" s="67">
        <f>IF('2'!E75=1,0.995,(IF('2'!E75&lt;1,0.995,(0.995-(0.075*(('2'!E75-1)^1.35))))))</f>
        <v>0.995</v>
      </c>
      <c r="L109" s="67">
        <f>IF('2'!E75&lt;2.5,1,((-0.1*'2'!E75)+1.25))</f>
        <v>1</v>
      </c>
      <c r="M109" s="67">
        <f>1.35-(0.15*('2'!E75-1))</f>
        <v>1.4850000000000001</v>
      </c>
      <c r="N109" s="67">
        <f t="shared" si="21"/>
        <v>-7.4250000000000071E-3</v>
      </c>
      <c r="O109" s="25">
        <f t="shared" si="4"/>
        <v>-0.02</v>
      </c>
      <c r="P109" s="34">
        <f t="shared" si="22"/>
        <v>0.97272349999999996</v>
      </c>
      <c r="Q109" s="1274">
        <f t="shared" si="5"/>
        <v>0.98</v>
      </c>
      <c r="R109" s="1274">
        <f t="shared" si="6"/>
        <v>0.84270197523206603</v>
      </c>
      <c r="S109" s="1275">
        <f t="shared" si="17"/>
        <v>160.66456783186129</v>
      </c>
      <c r="T109" s="1275">
        <f>S109*H$174</f>
        <v>160.66456783186129</v>
      </c>
      <c r="U109" s="1275">
        <f t="shared" si="7"/>
        <v>160.66456783186129</v>
      </c>
      <c r="V109" s="1315">
        <f>'3'!BC46</f>
        <v>331.22867380691281</v>
      </c>
      <c r="W109" s="1316">
        <f>U109</f>
        <v>160.66456783186129</v>
      </c>
      <c r="X109" s="1291">
        <f t="shared" si="8"/>
        <v>1</v>
      </c>
      <c r="Y109" s="34">
        <f t="shared" si="9"/>
        <v>1</v>
      </c>
      <c r="Z109" s="34">
        <f t="shared" si="10"/>
        <v>0.91800000000000004</v>
      </c>
      <c r="AB109" s="1294">
        <v>1</v>
      </c>
      <c r="AC109" s="1293">
        <v>1</v>
      </c>
      <c r="AD109" s="1272">
        <f t="shared" si="11"/>
        <v>0</v>
      </c>
      <c r="AE109" s="1272">
        <f t="shared" si="12"/>
        <v>0</v>
      </c>
      <c r="AF109" s="1272">
        <f t="shared" si="13"/>
        <v>0</v>
      </c>
      <c r="AG109" s="1317">
        <f>'2'!S75</f>
        <v>2</v>
      </c>
      <c r="AH109" s="1272">
        <f t="shared" si="14"/>
        <v>0</v>
      </c>
      <c r="AI109" s="1272">
        <f t="shared" si="15"/>
        <v>160.66456783186129</v>
      </c>
      <c r="AJ109" s="1251">
        <f t="shared" si="16"/>
        <v>1</v>
      </c>
      <c r="AL109" s="25"/>
      <c r="AM109" s="25"/>
      <c r="AN109" s="25"/>
      <c r="AO109" s="25"/>
    </row>
    <row r="110" spans="2:41">
      <c r="B110" s="25"/>
      <c r="G110" s="25"/>
      <c r="K110" s="25"/>
      <c r="L110" s="25"/>
      <c r="M110" s="25"/>
      <c r="N110" s="25"/>
      <c r="O110" s="25"/>
      <c r="P110" s="25"/>
      <c r="Q110" s="25"/>
      <c r="R110" s="1275"/>
      <c r="S110" s="25"/>
      <c r="T110" s="25"/>
      <c r="U110" s="25"/>
      <c r="V110" s="25"/>
      <c r="W110" s="25"/>
      <c r="X110" s="25"/>
      <c r="Y110" s="25"/>
      <c r="Z110" s="25"/>
      <c r="AB110" s="25"/>
      <c r="AC110" s="25"/>
      <c r="AD110" s="25"/>
      <c r="AE110" s="25"/>
      <c r="AF110" s="25"/>
      <c r="AG110" s="25"/>
      <c r="AH110" s="25"/>
      <c r="AI110" s="25"/>
      <c r="AL110" s="25"/>
      <c r="AM110" s="25"/>
      <c r="AN110" s="25"/>
      <c r="AO110" s="25"/>
    </row>
    <row r="111" spans="2:41">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L111" s="25"/>
      <c r="AM111" s="25"/>
      <c r="AN111" s="25"/>
      <c r="AO111" s="25"/>
    </row>
    <row r="112" spans="2:41">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L112" s="25"/>
      <c r="AM112" s="25"/>
      <c r="AN112" s="25"/>
      <c r="AO112" s="25"/>
    </row>
    <row r="113" spans="2:41">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L113" s="25"/>
      <c r="AM113" s="25"/>
      <c r="AN113" s="25"/>
      <c r="AO113" s="25"/>
    </row>
    <row r="114" spans="2:41">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L114" s="25"/>
      <c r="AM114" s="25"/>
      <c r="AN114" s="25"/>
      <c r="AO114" s="25"/>
    </row>
    <row r="115" spans="2:41">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L115" s="25"/>
      <c r="AM115" s="25"/>
      <c r="AN115" s="25"/>
      <c r="AO115" s="25"/>
    </row>
    <row r="116" spans="2:41">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L116" s="25"/>
      <c r="AM116" s="25"/>
      <c r="AN116" s="25"/>
      <c r="AO116" s="25"/>
    </row>
    <row r="117" spans="2:41">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L117" s="25"/>
      <c r="AM117" s="25"/>
      <c r="AN117" s="25"/>
      <c r="AO117" s="25"/>
    </row>
    <row r="118" spans="2:41">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L118" s="25"/>
      <c r="AM118" s="25"/>
      <c r="AN118" s="25"/>
      <c r="AO118" s="25"/>
    </row>
    <row r="119" spans="2:41">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L119" s="25"/>
      <c r="AM119" s="25"/>
      <c r="AN119" s="25"/>
      <c r="AO119" s="25"/>
    </row>
    <row r="120" spans="2:41">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row>
    <row r="121" spans="2:41">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row>
    <row r="122" spans="2:41">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row>
    <row r="123" spans="2:41">
      <c r="B123" s="25"/>
      <c r="C123" s="25"/>
      <c r="D123" s="27" t="s">
        <v>745</v>
      </c>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row>
    <row r="124" spans="2:41">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row>
    <row r="125" spans="2:41">
      <c r="B125" s="25"/>
      <c r="C125" s="25"/>
      <c r="D125" s="27" t="s">
        <v>746</v>
      </c>
      <c r="E125" s="27" t="s">
        <v>742</v>
      </c>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row>
    <row r="126" spans="2:41">
      <c r="B126" s="25"/>
      <c r="C126" s="25"/>
      <c r="D126" s="35">
        <v>0.05</v>
      </c>
      <c r="E126" s="34">
        <f>((0.1/D126)+(0.24/(D126^0.8))+(0.66*(D126^0.8))+(0.1*'6'!Y$26*((1/D126)-D126)))</f>
        <v>4.6966239226345436</v>
      </c>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row>
    <row r="127" spans="2:41">
      <c r="B127" s="25"/>
      <c r="C127" s="25"/>
      <c r="D127" s="50">
        <v>0.1</v>
      </c>
      <c r="E127" s="34">
        <f>((0.1/D127)+(0.24/(D127^0.8))+(0.66*(D127^0.8))+(0.1*'6'!Y$26*((1/D127)-D127)))</f>
        <v>2.6189005774548968</v>
      </c>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row>
    <row r="128" spans="2:41">
      <c r="B128" s="25"/>
      <c r="C128" s="25"/>
      <c r="D128" s="50">
        <f t="shared" ref="D128:D146" si="25">D127+0.1</f>
        <v>0.2</v>
      </c>
      <c r="E128" s="34">
        <f>((0.1/D128)+(0.24/(D128^0.8))+(0.66*(D128^0.8))+(0.1*'6'!Y$26*((1/D128)-D128)))</f>
        <v>1.5518599117261151</v>
      </c>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row>
    <row r="129" spans="2:41">
      <c r="B129" s="25"/>
      <c r="C129" s="25"/>
      <c r="D129" s="50">
        <f t="shared" si="25"/>
        <v>0.30000000000000004</v>
      </c>
      <c r="E129" s="34">
        <f>((0.1/D129)+(0.24/(D129^0.8))+(0.66*(D129^0.8))+(0.1*'6'!Y$26*((1/D129)-D129)))</f>
        <v>1.214043209845431</v>
      </c>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row>
    <row r="130" spans="2:41">
      <c r="B130" s="25"/>
      <c r="C130" s="25"/>
      <c r="D130" s="50">
        <f t="shared" si="25"/>
        <v>0.4</v>
      </c>
      <c r="E130" s="34">
        <f>((0.1/D130)+(0.24/(D130^0.8))+(0.66*(D130^0.8))+(0.1*'6'!Y$26*((1/D130)-D130)))</f>
        <v>1.0666287750122216</v>
      </c>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row>
    <row r="131" spans="2:41">
      <c r="B131" s="25"/>
      <c r="C131" s="25"/>
      <c r="D131" s="50">
        <f t="shared" si="25"/>
        <v>0.5</v>
      </c>
      <c r="E131" s="34">
        <f>((0.1/D131)+(0.24/(D131^0.8))+(0.66*(D131^0.8))+(0.1*'6'!Y$26*((1/D131)-D131)))</f>
        <v>0.99693472753116108</v>
      </c>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row>
    <row r="132" spans="2:41">
      <c r="B132" s="25"/>
      <c r="C132" s="25"/>
      <c r="D132" s="50">
        <f t="shared" si="25"/>
        <v>0.6</v>
      </c>
      <c r="E132" s="34">
        <f>((0.1/D132)+(0.24/(D132^0.8))+(0.66*(D132^0.8))+(0.1*'6'!Y$26*((1/D132)-D132)))</f>
        <v>0.96641511917196321</v>
      </c>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row>
    <row r="133" spans="2:41">
      <c r="B133" s="25"/>
      <c r="C133" s="25"/>
      <c r="D133" s="50">
        <f t="shared" si="25"/>
        <v>0.7</v>
      </c>
      <c r="E133" s="34">
        <f>((0.1/D133)+(0.24/(D133^0.8))+(0.66*(D133^0.8))+(0.1*'6'!Y$26*((1/D133)-D133)))</f>
        <v>0.95826924910726019</v>
      </c>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row>
    <row r="134" spans="2:41">
      <c r="B134" s="25"/>
      <c r="C134" s="25"/>
      <c r="D134" s="50">
        <f t="shared" si="25"/>
        <v>0.79999999999999993</v>
      </c>
      <c r="E134" s="34">
        <f>((0.1/D134)+(0.24/(D134^0.8))+(0.66*(D134^0.8))+(0.1*'6'!Y$26*((1/D134)-D134)))</f>
        <v>0.96400343370520336</v>
      </c>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row>
    <row r="135" spans="2:41">
      <c r="B135" s="25"/>
      <c r="C135" s="25"/>
      <c r="D135" s="50">
        <f t="shared" si="25"/>
        <v>0.89999999999999991</v>
      </c>
      <c r="E135" s="34">
        <f>((0.1/D135)+(0.24/(D135^0.8))+(0.66*(D135^0.8))+(0.1*'6'!Y$26*((1/D135)-D135)))</f>
        <v>0.97886697950851842</v>
      </c>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row>
    <row r="136" spans="2:41">
      <c r="B136" s="25"/>
      <c r="C136" s="25"/>
      <c r="D136" s="50">
        <f t="shared" si="25"/>
        <v>0.99999999999999989</v>
      </c>
      <c r="E136" s="34">
        <f>((0.1/D136)+(0.24/(D136^0.8))+(0.66*(D136^0.8))+(0.1*'6'!Y$26*((1/D136)-D136)))</f>
        <v>1</v>
      </c>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row>
    <row r="137" spans="2:41">
      <c r="B137" s="25"/>
      <c r="C137" s="25"/>
      <c r="D137" s="50">
        <f t="shared" si="25"/>
        <v>1.0999999999999999</v>
      </c>
      <c r="E137" s="34">
        <f>((0.1/D137)+(0.24/(D137^0.8))+(0.66*(D137^0.8))+(0.1*'6'!Y$26*((1/D137)-D137)))</f>
        <v>1.0255818191317676</v>
      </c>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row>
    <row r="138" spans="2:41">
      <c r="B138" s="25"/>
      <c r="C138" s="25"/>
      <c r="D138" s="50">
        <f t="shared" si="25"/>
        <v>1.2</v>
      </c>
      <c r="E138" s="34">
        <f>((0.1/D138)+(0.24/(D138^0.8))+(0.66*(D138^0.8))+(0.1*'6'!Y$26*((1/D138)-D138)))</f>
        <v>1.0544012543707437</v>
      </c>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row>
    <row r="139" spans="2:41">
      <c r="B139" s="25"/>
      <c r="C139" s="25"/>
      <c r="D139" s="50">
        <f t="shared" si="25"/>
        <v>1.3</v>
      </c>
      <c r="E139" s="34">
        <f>((0.1/D139)+(0.24/(D139^0.8))+(0.66*(D139^0.8))+(0.1*'6'!Y$26*((1/D139)-D139)))</f>
        <v>1.0856235306060733</v>
      </c>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row>
    <row r="140" spans="2:41">
      <c r="B140" s="25"/>
      <c r="C140" s="25"/>
      <c r="D140" s="50">
        <f t="shared" si="25"/>
        <v>1.4000000000000001</v>
      </c>
      <c r="E140" s="34">
        <f>((0.1/D140)+(0.24/(D140^0.8))+(0.66*(D140^0.8))+(0.1*'6'!Y$26*((1/D140)-D140)))</f>
        <v>1.1186563156854841</v>
      </c>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row>
    <row r="141" spans="2:41">
      <c r="B141" s="25"/>
      <c r="C141" s="25"/>
      <c r="D141" s="50">
        <f t="shared" si="25"/>
        <v>1.5000000000000002</v>
      </c>
      <c r="E141" s="34">
        <f>((0.1/D141)+(0.24/(D141^0.8))+(0.66*(D141^0.8))+(0.1*'6'!Y$26*((1/D141)-D141)))</f>
        <v>1.1530689824252089</v>
      </c>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row>
    <row r="142" spans="2:41">
      <c r="B142" s="25"/>
      <c r="C142" s="25"/>
      <c r="D142" s="50">
        <f t="shared" si="25"/>
        <v>1.6000000000000003</v>
      </c>
      <c r="E142" s="34">
        <f>((0.1/D142)+(0.24/(D142^0.8))+(0.66*(D142^0.8))+(0.1*'6'!Y$26*((1/D142)-D142)))</f>
        <v>1.1885419806936881</v>
      </c>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row>
    <row r="143" spans="2:41">
      <c r="B143" s="25"/>
      <c r="C143" s="25"/>
      <c r="D143" s="50">
        <f t="shared" si="25"/>
        <v>1.7000000000000004</v>
      </c>
      <c r="E143" s="34">
        <f>((0.1/D143)+(0.24/(D143^0.8))+(0.66*(D143^0.8))+(0.1*'6'!Y$26*((1/D143)-D143)))</f>
        <v>1.2248340041797092</v>
      </c>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row>
    <row r="144" spans="2:41">
      <c r="B144" s="25"/>
      <c r="C144" s="25"/>
      <c r="D144" s="50">
        <f t="shared" si="25"/>
        <v>1.8000000000000005</v>
      </c>
      <c r="E144" s="34">
        <f>((0.1/D144)+(0.24/(D144^0.8))+(0.66*(D144^0.8))+(0.1*'6'!Y$26*((1/D144)-D144)))</f>
        <v>1.2617600728995553</v>
      </c>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row>
    <row r="145" spans="2:41">
      <c r="B145" s="25"/>
      <c r="C145" s="25"/>
      <c r="D145" s="50">
        <f t="shared" si="25"/>
        <v>1.9000000000000006</v>
      </c>
      <c r="E145" s="34">
        <f>((0.1/D145)+(0.24/(D145^0.8))+(0.66*(D145^0.8))+(0.1*'6'!Y$26*((1/D145)-D145)))</f>
        <v>1.2991765304701128</v>
      </c>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row>
    <row r="146" spans="2:41">
      <c r="B146" s="25"/>
      <c r="C146" s="25"/>
      <c r="D146" s="50">
        <f t="shared" si="25"/>
        <v>2.0000000000000004</v>
      </c>
      <c r="E146" s="34">
        <f>((0.1/D146)+(0.24/(D146^0.8))+(0.66*(D146^0.8))+(0.1*'6'!Y$26*((1/D146)-D146)))</f>
        <v>1.3369705461505283</v>
      </c>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row>
    <row r="147" spans="2:41">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row>
    <row r="148" spans="2:41">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row>
    <row r="149" spans="2:41">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row>
    <row r="150" spans="2:41">
      <c r="B150" s="25"/>
      <c r="C150" s="25"/>
      <c r="D150" s="231"/>
      <c r="E150" s="231" t="s">
        <v>688</v>
      </c>
      <c r="F150" s="231"/>
      <c r="G150" s="231"/>
      <c r="H150" s="231"/>
      <c r="I150" s="231"/>
      <c r="J150" s="231"/>
      <c r="K150" s="231"/>
      <c r="L150" s="231"/>
      <c r="M150" s="231" t="s">
        <v>747</v>
      </c>
      <c r="N150" s="231"/>
      <c r="O150" s="231"/>
      <c r="P150" s="231"/>
      <c r="Q150" s="231"/>
      <c r="R150" s="231"/>
      <c r="S150" s="231"/>
      <c r="T150" s="25"/>
      <c r="U150" s="25"/>
      <c r="V150" s="25"/>
      <c r="W150" s="25"/>
      <c r="X150" s="25"/>
      <c r="Y150" s="25"/>
      <c r="Z150" s="25"/>
      <c r="AA150" s="25"/>
      <c r="AB150" s="25"/>
      <c r="AC150" s="25"/>
      <c r="AD150" s="25"/>
      <c r="AE150" s="25"/>
      <c r="AF150" s="25"/>
      <c r="AG150" s="25"/>
      <c r="AH150" s="25"/>
      <c r="AI150" s="25"/>
    </row>
    <row r="151" spans="2:41" ht="15.6">
      <c r="B151" s="25"/>
      <c r="C151" s="25"/>
      <c r="D151" s="231"/>
      <c r="E151" s="231" t="s">
        <v>689</v>
      </c>
      <c r="F151" s="231"/>
      <c r="G151" s="231"/>
      <c r="H151" s="231"/>
      <c r="I151" s="231"/>
      <c r="J151" s="231"/>
      <c r="K151" s="231"/>
      <c r="L151" s="231"/>
      <c r="M151" s="231" t="s">
        <v>1009</v>
      </c>
      <c r="N151" s="231"/>
      <c r="O151" s="231"/>
      <c r="P151" s="231"/>
      <c r="Q151" s="231"/>
      <c r="R151" s="231"/>
      <c r="S151" s="231"/>
      <c r="T151" s="25"/>
      <c r="U151" s="25"/>
      <c r="V151" s="25"/>
      <c r="W151" s="25"/>
      <c r="X151" s="25"/>
      <c r="Y151" s="25"/>
      <c r="Z151" s="25"/>
      <c r="AA151" s="25"/>
      <c r="AB151" s="25"/>
      <c r="AC151" s="25"/>
      <c r="AD151" s="25"/>
      <c r="AE151" s="25"/>
      <c r="AF151" s="25"/>
      <c r="AG151" s="25"/>
      <c r="AH151" s="25"/>
      <c r="AI151" s="25"/>
    </row>
    <row r="152" spans="2:41" ht="15.6">
      <c r="B152" s="25"/>
      <c r="C152" s="25"/>
      <c r="D152" s="231"/>
      <c r="E152" s="231" t="s">
        <v>690</v>
      </c>
      <c r="F152" s="231"/>
      <c r="G152" s="231"/>
      <c r="H152" s="231"/>
      <c r="I152" s="231"/>
      <c r="J152" s="231"/>
      <c r="K152" s="231"/>
      <c r="L152" s="231"/>
      <c r="M152" s="231" t="s">
        <v>1010</v>
      </c>
      <c r="N152" s="231"/>
      <c r="O152" s="231"/>
      <c r="P152" s="231"/>
      <c r="Q152" s="231"/>
      <c r="R152" s="231"/>
      <c r="S152" s="231"/>
      <c r="T152" s="25"/>
      <c r="U152" s="25"/>
      <c r="V152" s="25"/>
      <c r="W152" s="25"/>
      <c r="X152" s="25"/>
      <c r="Y152" s="25"/>
      <c r="Z152" s="25"/>
      <c r="AA152" s="25"/>
      <c r="AB152" s="25"/>
      <c r="AC152" s="25"/>
      <c r="AD152" s="25"/>
      <c r="AE152" s="25"/>
      <c r="AF152" s="25"/>
      <c r="AG152" s="25"/>
      <c r="AH152" s="25"/>
      <c r="AI152" s="25"/>
    </row>
    <row r="153" spans="2:41">
      <c r="C153" s="25"/>
      <c r="D153" s="231"/>
      <c r="E153" s="231"/>
      <c r="F153" s="231"/>
      <c r="G153" s="231"/>
      <c r="H153" s="231"/>
      <c r="I153" s="231"/>
      <c r="J153" s="231"/>
      <c r="K153" s="231"/>
      <c r="L153" s="231"/>
      <c r="M153" s="231"/>
      <c r="N153" s="231"/>
      <c r="O153" s="231"/>
      <c r="P153" s="231"/>
      <c r="Q153" s="231"/>
      <c r="R153" s="231"/>
      <c r="S153" s="231"/>
      <c r="T153" s="25"/>
      <c r="U153" s="25"/>
      <c r="V153" s="25"/>
      <c r="W153" s="25"/>
      <c r="X153" s="25"/>
      <c r="Y153" s="25"/>
      <c r="Z153" s="25"/>
      <c r="AA153" s="25"/>
      <c r="AB153" s="25"/>
      <c r="AC153" s="25"/>
      <c r="AD153" s="25"/>
      <c r="AE153" s="25"/>
      <c r="AF153" s="25"/>
      <c r="AG153" s="25"/>
      <c r="AH153" s="25"/>
      <c r="AI153" s="25"/>
    </row>
    <row r="154" spans="2:41">
      <c r="C154" s="25"/>
      <c r="D154" s="231"/>
      <c r="E154" s="231"/>
      <c r="F154" s="253" t="s">
        <v>691</v>
      </c>
      <c r="G154" s="253" t="s">
        <v>692</v>
      </c>
      <c r="H154" s="253" t="s">
        <v>691</v>
      </c>
      <c r="I154" s="231"/>
      <c r="J154" s="231"/>
      <c r="K154" s="231"/>
      <c r="L154" s="231"/>
      <c r="M154" s="231"/>
      <c r="N154" s="253" t="s">
        <v>691</v>
      </c>
      <c r="O154" s="253" t="s">
        <v>692</v>
      </c>
      <c r="P154" s="253" t="s">
        <v>691</v>
      </c>
      <c r="Q154" s="231"/>
      <c r="R154" s="231"/>
      <c r="S154" s="231"/>
      <c r="T154" s="25"/>
      <c r="U154" s="25"/>
      <c r="V154" s="25"/>
      <c r="W154" s="25"/>
      <c r="X154" s="25"/>
      <c r="Y154" s="25"/>
      <c r="Z154" s="25"/>
      <c r="AA154" s="25"/>
      <c r="AB154" s="25"/>
      <c r="AC154" s="25"/>
      <c r="AD154" s="25"/>
      <c r="AE154" s="25"/>
      <c r="AF154" s="25"/>
      <c r="AG154" s="25"/>
      <c r="AH154" s="25"/>
      <c r="AI154" s="25"/>
    </row>
    <row r="155" spans="2:41">
      <c r="C155" s="25"/>
      <c r="D155" s="231"/>
      <c r="E155" s="231"/>
      <c r="F155" s="253" t="s">
        <v>693</v>
      </c>
      <c r="G155" s="253" t="s">
        <v>693</v>
      </c>
      <c r="H155" s="253" t="s">
        <v>693</v>
      </c>
      <c r="I155" s="231"/>
      <c r="J155" s="231"/>
      <c r="K155" s="231"/>
      <c r="L155" s="231"/>
      <c r="M155" s="231"/>
      <c r="N155" s="253" t="s">
        <v>693</v>
      </c>
      <c r="O155" s="253" t="s">
        <v>693</v>
      </c>
      <c r="P155" s="253" t="s">
        <v>693</v>
      </c>
      <c r="Q155" s="231"/>
      <c r="R155" s="231"/>
      <c r="S155" s="231"/>
      <c r="T155" s="25"/>
      <c r="U155" s="25"/>
      <c r="V155" s="25"/>
      <c r="W155" s="25"/>
      <c r="X155" s="25"/>
      <c r="Y155" s="25"/>
      <c r="Z155" s="25"/>
      <c r="AA155" s="25"/>
      <c r="AB155" s="25"/>
      <c r="AC155" s="25"/>
      <c r="AD155" s="25"/>
      <c r="AE155" s="25"/>
      <c r="AF155" s="25"/>
      <c r="AG155" s="25"/>
      <c r="AH155" s="25"/>
      <c r="AI155" s="25"/>
    </row>
    <row r="156" spans="2:41">
      <c r="C156" s="25"/>
      <c r="D156" s="231"/>
      <c r="E156" s="231"/>
      <c r="F156" s="253" t="s">
        <v>694</v>
      </c>
      <c r="G156" s="253" t="s">
        <v>694</v>
      </c>
      <c r="H156" s="253" t="s">
        <v>695</v>
      </c>
      <c r="I156" s="231"/>
      <c r="J156" s="231"/>
      <c r="K156" s="231" t="s">
        <v>696</v>
      </c>
      <c r="L156" s="231"/>
      <c r="M156" s="231"/>
      <c r="N156" s="253" t="s">
        <v>694</v>
      </c>
      <c r="O156" s="253" t="s">
        <v>694</v>
      </c>
      <c r="P156" s="253" t="s">
        <v>695</v>
      </c>
      <c r="Q156" s="231"/>
      <c r="R156" s="231"/>
      <c r="S156" s="231" t="s">
        <v>696</v>
      </c>
      <c r="T156" s="25"/>
      <c r="U156" s="25"/>
      <c r="V156" s="25"/>
      <c r="W156" s="25"/>
      <c r="X156" s="25"/>
      <c r="Y156" s="25"/>
      <c r="Z156" s="25"/>
      <c r="AA156" s="25"/>
      <c r="AB156" s="25"/>
      <c r="AC156" s="25"/>
      <c r="AD156" s="25"/>
      <c r="AE156" s="25"/>
      <c r="AF156" s="25"/>
      <c r="AG156" s="25"/>
      <c r="AH156" s="25"/>
      <c r="AI156" s="25"/>
    </row>
    <row r="157" spans="2:41">
      <c r="C157" s="25"/>
      <c r="D157" s="231"/>
      <c r="E157" s="231"/>
      <c r="F157" s="1260" t="s">
        <v>697</v>
      </c>
      <c r="G157" s="1260" t="s">
        <v>697</v>
      </c>
      <c r="H157" s="1260" t="s">
        <v>697</v>
      </c>
      <c r="I157" s="233" t="s">
        <v>698</v>
      </c>
      <c r="J157" s="233" t="s">
        <v>699</v>
      </c>
      <c r="K157" s="233" t="s">
        <v>699</v>
      </c>
      <c r="L157" s="231"/>
      <c r="M157" s="231"/>
      <c r="N157" s="1260" t="s">
        <v>697</v>
      </c>
      <c r="O157" s="1260" t="s">
        <v>697</v>
      </c>
      <c r="P157" s="1260" t="s">
        <v>697</v>
      </c>
      <c r="Q157" s="233" t="s">
        <v>698</v>
      </c>
      <c r="R157" s="233" t="s">
        <v>699</v>
      </c>
      <c r="S157" s="233" t="s">
        <v>699</v>
      </c>
      <c r="T157" s="25"/>
      <c r="U157" s="25"/>
      <c r="V157" s="25"/>
      <c r="W157" s="25"/>
      <c r="X157" s="25"/>
      <c r="Y157" s="25"/>
      <c r="Z157" s="25"/>
      <c r="AA157" s="25"/>
      <c r="AB157" s="25"/>
      <c r="AC157" s="25"/>
      <c r="AD157" s="25"/>
      <c r="AE157" s="25"/>
      <c r="AF157" s="25"/>
      <c r="AG157" s="25"/>
      <c r="AH157" s="25"/>
      <c r="AI157" s="25"/>
    </row>
    <row r="158" spans="2:41">
      <c r="C158" s="25"/>
      <c r="D158" s="231"/>
      <c r="E158" s="247" t="s">
        <v>700</v>
      </c>
      <c r="F158" s="251">
        <v>1</v>
      </c>
      <c r="G158" s="251">
        <v>1</v>
      </c>
      <c r="H158" s="251">
        <v>1</v>
      </c>
      <c r="I158" s="251">
        <v>1</v>
      </c>
      <c r="J158" s="251">
        <v>1.1319999999999999</v>
      </c>
      <c r="K158" s="251">
        <v>1</v>
      </c>
      <c r="L158" s="231"/>
      <c r="M158" s="231" t="s">
        <v>748</v>
      </c>
      <c r="N158" s="251">
        <v>1</v>
      </c>
      <c r="O158" s="251">
        <v>1</v>
      </c>
      <c r="P158" s="251">
        <v>0.82399999999999995</v>
      </c>
      <c r="Q158" s="251">
        <v>1</v>
      </c>
      <c r="R158" s="251">
        <v>1</v>
      </c>
      <c r="S158" s="262">
        <v>1</v>
      </c>
      <c r="T158" s="25"/>
      <c r="U158" s="25"/>
      <c r="V158" s="25"/>
      <c r="W158" s="25"/>
      <c r="X158" s="25"/>
      <c r="Y158" s="25"/>
      <c r="Z158" s="25"/>
      <c r="AA158" s="25"/>
      <c r="AB158" s="25"/>
      <c r="AC158" s="25"/>
      <c r="AD158" s="25"/>
      <c r="AE158" s="25"/>
      <c r="AF158" s="25"/>
      <c r="AG158" s="25"/>
      <c r="AH158" s="25"/>
      <c r="AI158" s="25"/>
    </row>
    <row r="159" spans="2:41">
      <c r="C159" s="25"/>
      <c r="D159" s="231"/>
      <c r="E159" s="247" t="s">
        <v>701</v>
      </c>
      <c r="F159" s="251">
        <v>1</v>
      </c>
      <c r="G159" s="251">
        <v>1</v>
      </c>
      <c r="H159" s="251">
        <v>0</v>
      </c>
      <c r="I159" s="251">
        <v>0.7</v>
      </c>
      <c r="J159" s="251">
        <v>1</v>
      </c>
      <c r="K159" s="251">
        <v>0</v>
      </c>
      <c r="L159" s="231"/>
      <c r="M159" s="231" t="s">
        <v>749</v>
      </c>
      <c r="N159" s="251">
        <v>1</v>
      </c>
      <c r="O159" s="251">
        <v>1</v>
      </c>
      <c r="P159" s="251">
        <v>1</v>
      </c>
      <c r="Q159" s="251">
        <v>1</v>
      </c>
      <c r="R159" s="251">
        <v>1</v>
      </c>
      <c r="S159" s="262">
        <v>1</v>
      </c>
      <c r="T159" s="25"/>
      <c r="U159" s="25"/>
      <c r="V159" s="25"/>
      <c r="W159" s="25"/>
      <c r="X159" s="25"/>
      <c r="Y159" s="25"/>
      <c r="Z159" s="25"/>
      <c r="AA159" s="25"/>
      <c r="AB159" s="25"/>
      <c r="AC159" s="25"/>
      <c r="AD159" s="25"/>
      <c r="AE159" s="25"/>
      <c r="AF159" s="25"/>
      <c r="AG159" s="25"/>
      <c r="AH159" s="25"/>
      <c r="AI159" s="25"/>
    </row>
    <row r="160" spans="2:41">
      <c r="C160" s="25"/>
      <c r="D160" s="231"/>
      <c r="E160" s="247" t="s">
        <v>702</v>
      </c>
      <c r="F160" s="251">
        <v>0</v>
      </c>
      <c r="G160" s="251">
        <v>0</v>
      </c>
      <c r="H160" s="251">
        <v>0</v>
      </c>
      <c r="I160" s="251">
        <v>0</v>
      </c>
      <c r="J160" s="251">
        <v>-0.13200000000000001</v>
      </c>
      <c r="K160" s="251">
        <v>0</v>
      </c>
      <c r="L160" s="231"/>
      <c r="M160" s="231" t="s">
        <v>750</v>
      </c>
      <c r="N160" s="251">
        <v>0.5</v>
      </c>
      <c r="O160" s="251">
        <v>0</v>
      </c>
      <c r="P160" s="251">
        <v>1.22</v>
      </c>
      <c r="Q160" s="251">
        <v>0</v>
      </c>
      <c r="R160" s="251">
        <v>0</v>
      </c>
      <c r="S160" s="262">
        <v>0</v>
      </c>
      <c r="T160" s="25"/>
      <c r="U160" s="25"/>
      <c r="V160" s="25"/>
      <c r="W160" s="25"/>
      <c r="X160" s="25"/>
      <c r="Y160" s="25"/>
      <c r="Z160" s="25"/>
      <c r="AA160" s="25"/>
      <c r="AB160" s="25"/>
      <c r="AC160" s="25"/>
      <c r="AD160" s="25"/>
      <c r="AE160" s="25"/>
      <c r="AF160" s="25"/>
      <c r="AG160" s="25"/>
      <c r="AH160" s="25"/>
      <c r="AI160" s="25"/>
    </row>
    <row r="161" spans="3:35">
      <c r="C161" s="25"/>
      <c r="D161" s="231"/>
      <c r="E161" s="247" t="s">
        <v>703</v>
      </c>
      <c r="F161" s="251">
        <v>1</v>
      </c>
      <c r="G161" s="251">
        <v>1</v>
      </c>
      <c r="H161" s="251">
        <v>0.28320000000000001</v>
      </c>
      <c r="I161" s="251">
        <v>1</v>
      </c>
      <c r="J161" s="251">
        <v>1</v>
      </c>
      <c r="K161" s="251">
        <v>1</v>
      </c>
      <c r="L161" s="231"/>
      <c r="M161" s="231" t="s">
        <v>751</v>
      </c>
      <c r="N161" s="251">
        <v>0</v>
      </c>
      <c r="O161" s="251">
        <v>0</v>
      </c>
      <c r="P161" s="251">
        <v>0</v>
      </c>
      <c r="Q161" s="251">
        <v>0</v>
      </c>
      <c r="R161" s="251">
        <v>0</v>
      </c>
      <c r="S161" s="262">
        <v>0</v>
      </c>
      <c r="T161" s="25"/>
      <c r="U161" s="25"/>
      <c r="V161" s="25"/>
      <c r="W161" s="25"/>
      <c r="X161" s="25"/>
      <c r="Y161" s="25"/>
      <c r="Z161" s="25"/>
      <c r="AA161" s="25"/>
      <c r="AB161" s="25"/>
      <c r="AC161" s="25"/>
      <c r="AD161" s="25"/>
      <c r="AE161" s="25"/>
      <c r="AF161" s="25"/>
      <c r="AG161" s="25"/>
      <c r="AH161" s="25"/>
      <c r="AI161" s="25"/>
    </row>
    <row r="162" spans="3:35">
      <c r="C162" s="25"/>
      <c r="D162" s="231"/>
      <c r="E162" s="247" t="s">
        <v>704</v>
      </c>
      <c r="F162" s="251">
        <v>1</v>
      </c>
      <c r="G162" s="251">
        <v>1</v>
      </c>
      <c r="H162" s="251">
        <v>0</v>
      </c>
      <c r="I162" s="251">
        <v>1</v>
      </c>
      <c r="J162" s="251">
        <v>1</v>
      </c>
      <c r="K162" s="251">
        <v>1</v>
      </c>
      <c r="L162" s="231"/>
      <c r="M162" s="231" t="s">
        <v>752</v>
      </c>
      <c r="N162" s="251">
        <v>1</v>
      </c>
      <c r="O162" s="251">
        <v>1</v>
      </c>
      <c r="P162" s="251">
        <v>1</v>
      </c>
      <c r="Q162" s="251">
        <v>0</v>
      </c>
      <c r="R162" s="251">
        <v>0</v>
      </c>
      <c r="S162" s="262">
        <v>0</v>
      </c>
      <c r="T162" s="25"/>
      <c r="U162" s="25"/>
      <c r="V162" s="25"/>
      <c r="W162" s="25"/>
      <c r="X162" s="25"/>
      <c r="Y162" s="25"/>
      <c r="Z162" s="25"/>
      <c r="AA162" s="25"/>
      <c r="AB162" s="25"/>
      <c r="AC162" s="25"/>
      <c r="AD162" s="25"/>
      <c r="AE162" s="25"/>
      <c r="AF162" s="25"/>
      <c r="AG162" s="25"/>
      <c r="AH162" s="25"/>
      <c r="AI162" s="25"/>
    </row>
    <row r="163" spans="3:35">
      <c r="C163" s="25"/>
      <c r="D163" s="231"/>
      <c r="E163" s="247" t="s">
        <v>705</v>
      </c>
      <c r="F163" s="251">
        <v>0</v>
      </c>
      <c r="G163" s="251">
        <v>1.18</v>
      </c>
      <c r="H163" s="251">
        <v>1</v>
      </c>
      <c r="I163" s="251">
        <v>0</v>
      </c>
      <c r="J163" s="251">
        <v>0</v>
      </c>
      <c r="K163" s="251">
        <v>0</v>
      </c>
      <c r="L163" s="231"/>
      <c r="M163" s="231"/>
      <c r="N163" s="231"/>
      <c r="O163" s="231"/>
      <c r="P163" s="231"/>
      <c r="Q163" s="231"/>
      <c r="R163" s="231"/>
      <c r="S163" s="231"/>
      <c r="T163" s="25"/>
      <c r="U163" s="25"/>
      <c r="V163" s="25"/>
      <c r="W163" s="25"/>
      <c r="X163" s="25"/>
      <c r="Y163" s="25"/>
      <c r="Z163" s="25"/>
      <c r="AA163" s="25"/>
      <c r="AB163" s="25"/>
      <c r="AC163" s="25"/>
      <c r="AD163" s="25"/>
      <c r="AE163" s="25"/>
      <c r="AF163" s="25"/>
      <c r="AG163" s="25"/>
      <c r="AH163" s="25"/>
      <c r="AI163" s="25"/>
    </row>
    <row r="164" spans="3:35">
      <c r="C164" s="25"/>
      <c r="D164" s="231"/>
      <c r="E164" s="247" t="s">
        <v>706</v>
      </c>
      <c r="F164" s="251">
        <v>0</v>
      </c>
      <c r="G164" s="251">
        <v>1</v>
      </c>
      <c r="H164" s="251">
        <v>0</v>
      </c>
      <c r="I164" s="251">
        <v>0</v>
      </c>
      <c r="J164" s="251">
        <v>0</v>
      </c>
      <c r="K164" s="251">
        <v>0</v>
      </c>
      <c r="L164" s="231"/>
      <c r="M164" s="231"/>
      <c r="N164" s="231"/>
      <c r="O164" s="231"/>
      <c r="P164" s="231"/>
      <c r="Q164" s="231"/>
      <c r="R164" s="231"/>
      <c r="S164" s="231"/>
      <c r="T164" s="25"/>
      <c r="U164" s="25"/>
      <c r="V164" s="25"/>
      <c r="W164" s="25"/>
      <c r="X164" s="25"/>
      <c r="Y164" s="25"/>
      <c r="Z164" s="25"/>
      <c r="AA164" s="25"/>
      <c r="AB164" s="25"/>
      <c r="AC164" s="25"/>
      <c r="AD164" s="25"/>
      <c r="AE164" s="25"/>
      <c r="AF164" s="25"/>
      <c r="AG164" s="25"/>
      <c r="AH164" s="25"/>
      <c r="AI164" s="25"/>
    </row>
    <row r="165" spans="3:35">
      <c r="C165" s="25"/>
      <c r="D165" s="231"/>
      <c r="E165" s="247" t="s">
        <v>707</v>
      </c>
      <c r="F165" s="251">
        <v>1</v>
      </c>
      <c r="G165" s="251">
        <v>1</v>
      </c>
      <c r="H165" s="251">
        <v>-0.253</v>
      </c>
      <c r="I165" s="251">
        <v>1</v>
      </c>
      <c r="J165" s="251">
        <v>1</v>
      </c>
      <c r="K165" s="251">
        <v>1</v>
      </c>
      <c r="L165" s="231"/>
      <c r="M165" s="231"/>
      <c r="N165" s="231"/>
      <c r="O165" s="231"/>
      <c r="P165" s="231"/>
      <c r="Q165" s="231"/>
      <c r="R165" s="231"/>
      <c r="S165" s="231"/>
      <c r="T165" s="25"/>
      <c r="U165" s="25"/>
      <c r="V165" s="25"/>
      <c r="W165" s="25"/>
      <c r="X165" s="25"/>
      <c r="Y165" s="25"/>
      <c r="Z165" s="25"/>
      <c r="AA165" s="25"/>
      <c r="AB165" s="25"/>
      <c r="AC165" s="25"/>
      <c r="AD165" s="25"/>
      <c r="AE165" s="25"/>
      <c r="AF165" s="25"/>
      <c r="AG165" s="25"/>
      <c r="AH165" s="25"/>
      <c r="AI165" s="25"/>
    </row>
    <row r="166" spans="3:35">
      <c r="C166" s="25"/>
      <c r="D166" s="231"/>
      <c r="E166" s="231"/>
      <c r="F166" s="231"/>
      <c r="G166" s="231"/>
      <c r="H166" s="231"/>
      <c r="I166" s="231"/>
      <c r="J166" s="231"/>
      <c r="K166" s="231"/>
      <c r="L166" s="231"/>
      <c r="M166" s="231"/>
      <c r="N166" s="231"/>
      <c r="O166" s="231"/>
      <c r="P166" s="231"/>
      <c r="Q166" s="231"/>
      <c r="R166" s="231"/>
      <c r="S166" s="231"/>
      <c r="T166" s="25"/>
      <c r="U166" s="25"/>
      <c r="V166" s="25"/>
      <c r="W166" s="25"/>
      <c r="X166" s="25"/>
      <c r="Y166" s="25"/>
      <c r="Z166" s="25"/>
      <c r="AA166" s="25"/>
      <c r="AB166" s="25"/>
      <c r="AC166" s="25"/>
      <c r="AD166" s="25"/>
      <c r="AE166" s="25"/>
      <c r="AF166" s="25"/>
      <c r="AG166" s="25"/>
      <c r="AH166" s="25"/>
      <c r="AI166" s="25"/>
    </row>
    <row r="167" spans="3:35">
      <c r="C167" s="25"/>
      <c r="D167" s="231"/>
      <c r="E167" s="231"/>
      <c r="F167" s="231"/>
      <c r="G167" s="231"/>
      <c r="H167" s="231"/>
      <c r="I167" s="231"/>
      <c r="J167" s="231"/>
      <c r="K167" s="231"/>
      <c r="L167" s="231"/>
      <c r="M167" s="231"/>
      <c r="N167" s="231"/>
      <c r="O167" s="231"/>
      <c r="P167" s="231"/>
      <c r="Q167" s="231"/>
      <c r="R167" s="231"/>
      <c r="S167" s="231"/>
      <c r="T167" s="25"/>
      <c r="U167" s="25"/>
      <c r="V167" s="25"/>
      <c r="W167" s="25"/>
      <c r="X167" s="25"/>
      <c r="Y167" s="25"/>
      <c r="Z167" s="25"/>
      <c r="AA167" s="25"/>
      <c r="AB167" s="25"/>
      <c r="AC167" s="25"/>
      <c r="AD167" s="25"/>
      <c r="AE167" s="25"/>
      <c r="AF167" s="25"/>
      <c r="AG167" s="25"/>
      <c r="AH167" s="25"/>
      <c r="AI167" s="25"/>
    </row>
    <row r="168" spans="3:35">
      <c r="C168" s="25"/>
      <c r="D168" s="231"/>
      <c r="E168" s="231"/>
      <c r="F168" s="231"/>
      <c r="G168" s="231"/>
      <c r="H168" s="231" t="s">
        <v>708</v>
      </c>
      <c r="I168" s="231"/>
      <c r="J168" s="231"/>
      <c r="K168" s="231"/>
      <c r="L168" s="231"/>
      <c r="M168" s="231"/>
      <c r="N168" s="231"/>
      <c r="O168" s="231"/>
      <c r="P168" s="231"/>
      <c r="Q168" s="231"/>
      <c r="R168" s="231"/>
      <c r="S168" s="231"/>
      <c r="T168" s="25"/>
      <c r="U168" s="25"/>
      <c r="V168" s="25"/>
      <c r="W168" s="25"/>
      <c r="X168" s="25"/>
      <c r="Y168" s="25"/>
      <c r="Z168" s="25"/>
      <c r="AA168" s="25"/>
      <c r="AB168" s="25"/>
      <c r="AC168" s="25"/>
      <c r="AD168" s="25"/>
      <c r="AE168" s="25"/>
      <c r="AF168" s="25"/>
      <c r="AG168" s="25"/>
      <c r="AH168" s="25"/>
      <c r="AI168" s="25"/>
    </row>
    <row r="169" spans="3:35">
      <c r="C169" s="25"/>
      <c r="D169" s="231" t="s">
        <v>709</v>
      </c>
      <c r="E169" s="231"/>
      <c r="F169" s="231"/>
      <c r="G169" s="231"/>
      <c r="H169" s="231" t="s">
        <v>145</v>
      </c>
      <c r="I169" s="231"/>
      <c r="J169" s="231"/>
      <c r="K169" s="231"/>
      <c r="L169" s="231"/>
      <c r="M169" s="231"/>
      <c r="N169" s="231"/>
      <c r="O169" s="231"/>
      <c r="P169" s="231"/>
      <c r="Q169" s="231"/>
      <c r="R169" s="231"/>
      <c r="S169" s="231"/>
      <c r="T169" s="25"/>
      <c r="U169" s="25"/>
      <c r="V169" s="25"/>
      <c r="W169" s="25"/>
      <c r="X169" s="25"/>
      <c r="Y169" s="25"/>
      <c r="Z169" s="25"/>
      <c r="AA169" s="25"/>
      <c r="AB169" s="25"/>
      <c r="AC169" s="25"/>
      <c r="AD169" s="25"/>
      <c r="AE169" s="25"/>
      <c r="AF169" s="25"/>
      <c r="AG169" s="25"/>
      <c r="AH169" s="25"/>
      <c r="AI169" s="25"/>
    </row>
    <row r="170" spans="3:35">
      <c r="C170" s="25"/>
      <c r="D170" s="231"/>
      <c r="E170" s="231"/>
      <c r="F170" s="231"/>
      <c r="G170" s="231"/>
      <c r="H170" s="231" t="s">
        <v>669</v>
      </c>
      <c r="I170" s="231"/>
      <c r="J170" s="231"/>
      <c r="K170" s="231"/>
      <c r="L170" s="231"/>
      <c r="M170" s="231"/>
      <c r="N170" s="231"/>
      <c r="O170" s="231"/>
      <c r="P170" s="231"/>
      <c r="Q170" s="231"/>
      <c r="R170" s="231"/>
      <c r="S170" s="231"/>
      <c r="T170" s="25"/>
      <c r="U170" s="25"/>
      <c r="V170" s="25"/>
      <c r="W170" s="25"/>
      <c r="X170" s="25"/>
      <c r="Y170" s="25"/>
      <c r="Z170" s="25"/>
      <c r="AA170" s="25"/>
      <c r="AB170" s="25"/>
      <c r="AC170" s="25"/>
      <c r="AD170" s="25"/>
      <c r="AE170" s="25"/>
      <c r="AF170" s="25"/>
      <c r="AG170" s="25"/>
      <c r="AH170" s="25"/>
      <c r="AI170" s="25"/>
    </row>
    <row r="171" spans="3:35">
      <c r="C171" s="25"/>
      <c r="D171" s="231"/>
      <c r="E171" s="231" t="s">
        <v>710</v>
      </c>
      <c r="F171" s="231"/>
      <c r="G171" s="231"/>
      <c r="H171" s="251">
        <v>1.5</v>
      </c>
      <c r="I171" s="231"/>
      <c r="J171" s="231"/>
      <c r="K171" s="231"/>
      <c r="L171" s="231"/>
      <c r="M171" s="231"/>
      <c r="N171" s="231"/>
      <c r="O171" s="231"/>
      <c r="P171" s="231"/>
      <c r="Q171" s="231"/>
      <c r="R171" s="231"/>
      <c r="S171" s="231"/>
      <c r="T171" s="25"/>
      <c r="U171" s="25"/>
      <c r="V171" s="25"/>
      <c r="W171" s="25"/>
      <c r="X171" s="25"/>
      <c r="Y171" s="25"/>
      <c r="Z171" s="25"/>
      <c r="AA171" s="25"/>
      <c r="AB171" s="25"/>
      <c r="AC171" s="25"/>
      <c r="AD171" s="25"/>
      <c r="AE171" s="25"/>
      <c r="AF171" s="25"/>
      <c r="AG171" s="25"/>
      <c r="AH171" s="25"/>
      <c r="AI171" s="25"/>
    </row>
    <row r="172" spans="3:35">
      <c r="C172" s="25"/>
      <c r="D172" s="231"/>
      <c r="E172" s="231" t="s">
        <v>711</v>
      </c>
      <c r="F172" s="231"/>
      <c r="G172" s="231"/>
      <c r="H172" s="251">
        <v>1.25</v>
      </c>
      <c r="I172" s="231"/>
      <c r="J172" s="231"/>
      <c r="K172" s="231"/>
      <c r="L172" s="231"/>
      <c r="M172" s="231"/>
      <c r="N172" s="231"/>
      <c r="O172" s="231"/>
      <c r="P172" s="231"/>
      <c r="Q172" s="231"/>
      <c r="R172" s="231"/>
      <c r="S172" s="231"/>
      <c r="T172" s="25"/>
      <c r="U172" s="25"/>
      <c r="V172" s="25"/>
      <c r="W172" s="25"/>
      <c r="X172" s="25"/>
      <c r="Y172" s="25"/>
      <c r="Z172" s="25"/>
      <c r="AA172" s="25"/>
      <c r="AB172" s="25"/>
      <c r="AC172" s="25"/>
      <c r="AD172" s="25"/>
      <c r="AE172" s="25"/>
      <c r="AF172" s="25"/>
      <c r="AG172" s="25"/>
      <c r="AH172" s="25"/>
      <c r="AI172" s="25"/>
    </row>
    <row r="173" spans="3:35">
      <c r="C173" s="25"/>
      <c r="D173" s="231"/>
      <c r="E173" s="231" t="s">
        <v>712</v>
      </c>
      <c r="F173" s="231"/>
      <c r="G173" s="231"/>
      <c r="H173" s="251">
        <v>1.1000000000000001</v>
      </c>
      <c r="I173" s="231"/>
      <c r="J173" s="231"/>
      <c r="K173" s="231"/>
      <c r="L173" s="231"/>
      <c r="M173" s="231"/>
      <c r="N173" s="231"/>
      <c r="O173" s="231"/>
      <c r="P173" s="231"/>
      <c r="Q173" s="231"/>
      <c r="R173" s="231"/>
      <c r="S173" s="231"/>
      <c r="T173" s="25"/>
      <c r="U173" s="25"/>
      <c r="V173" s="25"/>
      <c r="W173" s="25"/>
      <c r="X173" s="25"/>
      <c r="Y173" s="25"/>
      <c r="Z173" s="25"/>
      <c r="AA173" s="25"/>
      <c r="AB173" s="25"/>
      <c r="AC173" s="25"/>
      <c r="AD173" s="25"/>
      <c r="AE173" s="25"/>
      <c r="AF173" s="25"/>
      <c r="AG173" s="25"/>
      <c r="AH173" s="25"/>
      <c r="AI173" s="25"/>
    </row>
    <row r="174" spans="3:35">
      <c r="C174" s="25"/>
      <c r="D174" s="231"/>
      <c r="E174" s="231" t="s">
        <v>713</v>
      </c>
      <c r="F174" s="231"/>
      <c r="G174" s="231"/>
      <c r="H174" s="251">
        <v>1</v>
      </c>
      <c r="I174" s="231"/>
      <c r="J174" s="231"/>
      <c r="K174" s="231"/>
      <c r="L174" s="231"/>
      <c r="M174" s="231"/>
      <c r="N174" s="231"/>
      <c r="O174" s="231"/>
      <c r="P174" s="231"/>
      <c r="Q174" s="231"/>
      <c r="R174" s="231"/>
      <c r="S174" s="231"/>
      <c r="T174" s="25"/>
      <c r="U174" s="25"/>
      <c r="V174" s="25"/>
      <c r="W174" s="25"/>
      <c r="X174" s="25"/>
      <c r="Y174" s="25"/>
      <c r="Z174" s="25"/>
      <c r="AA174" s="25"/>
      <c r="AB174" s="25"/>
      <c r="AC174" s="25"/>
    </row>
    <row r="175" spans="3:35">
      <c r="C175" s="25"/>
      <c r="D175" s="231"/>
      <c r="E175" s="231" t="s">
        <v>630</v>
      </c>
      <c r="F175" s="231"/>
      <c r="G175" s="231"/>
      <c r="H175" s="251">
        <v>0.9</v>
      </c>
      <c r="I175" s="231"/>
      <c r="J175" s="231"/>
      <c r="K175" s="231"/>
      <c r="L175" s="231"/>
      <c r="M175" s="231"/>
      <c r="N175" s="231"/>
      <c r="O175" s="231"/>
      <c r="P175" s="231"/>
      <c r="Q175" s="231"/>
      <c r="R175" s="231"/>
      <c r="S175" s="231"/>
      <c r="T175" s="25"/>
      <c r="U175" s="25"/>
      <c r="V175" s="25"/>
      <c r="W175" s="25"/>
      <c r="X175" s="25"/>
      <c r="Y175" s="25"/>
      <c r="Z175" s="25"/>
      <c r="AA175" s="25"/>
      <c r="AB175" s="25"/>
      <c r="AC175" s="25"/>
    </row>
    <row r="176" spans="3:35">
      <c r="C176" s="25"/>
      <c r="D176" s="231"/>
      <c r="E176" s="231" t="s">
        <v>632</v>
      </c>
      <c r="F176" s="231"/>
      <c r="G176" s="231"/>
      <c r="H176" s="251">
        <v>0.8</v>
      </c>
      <c r="I176" s="231"/>
      <c r="J176" s="231"/>
      <c r="K176" s="231"/>
      <c r="L176" s="231"/>
      <c r="M176" s="231"/>
      <c r="N176" s="231"/>
      <c r="O176" s="231"/>
      <c r="P176" s="231"/>
      <c r="Q176" s="231"/>
      <c r="R176" s="231"/>
      <c r="S176" s="231"/>
      <c r="T176" s="25"/>
      <c r="U176" s="25"/>
      <c r="V176" s="25"/>
      <c r="W176" s="25"/>
      <c r="X176" s="25"/>
      <c r="Y176" s="25"/>
      <c r="Z176" s="25"/>
      <c r="AA176" s="25"/>
      <c r="AB176" s="25"/>
      <c r="AC176" s="25"/>
    </row>
    <row r="177" spans="3:29">
      <c r="C177" s="25"/>
      <c r="D177" s="231"/>
      <c r="E177" s="231" t="s">
        <v>714</v>
      </c>
      <c r="F177" s="231"/>
      <c r="G177" s="231"/>
      <c r="H177" s="251">
        <v>0.1</v>
      </c>
      <c r="I177" s="231"/>
      <c r="J177" s="231"/>
      <c r="K177" s="231"/>
      <c r="L177" s="231"/>
      <c r="M177" s="231"/>
      <c r="N177" s="231"/>
      <c r="O177" s="231"/>
      <c r="P177" s="231"/>
      <c r="Q177" s="231"/>
      <c r="R177" s="231"/>
      <c r="S177" s="231"/>
      <c r="T177" s="25"/>
      <c r="U177" s="25"/>
      <c r="V177" s="25"/>
      <c r="W177" s="25"/>
      <c r="X177" s="25"/>
      <c r="Y177" s="25"/>
      <c r="Z177" s="25"/>
      <c r="AA177" s="25"/>
      <c r="AB177" s="25"/>
      <c r="AC177" s="25"/>
    </row>
    <row r="178" spans="3:29">
      <c r="C178" s="25"/>
      <c r="D178" s="231"/>
      <c r="E178" s="231" t="s">
        <v>715</v>
      </c>
      <c r="F178" s="231"/>
      <c r="G178" s="231"/>
      <c r="H178" s="251">
        <v>0.05</v>
      </c>
      <c r="I178" s="231"/>
      <c r="J178" s="231"/>
      <c r="K178" s="231"/>
      <c r="L178" s="231"/>
      <c r="M178" s="231"/>
      <c r="N178" s="231"/>
      <c r="O178" s="231"/>
      <c r="P178" s="231"/>
      <c r="Q178" s="231"/>
      <c r="R178" s="231"/>
      <c r="S178" s="231"/>
      <c r="T178" s="25"/>
      <c r="U178" s="25"/>
      <c r="V178" s="25"/>
      <c r="W178" s="25"/>
      <c r="X178" s="25"/>
      <c r="Y178" s="25"/>
      <c r="Z178" s="25"/>
      <c r="AA178" s="25"/>
      <c r="AB178" s="25"/>
      <c r="AC178" s="25"/>
    </row>
    <row r="179" spans="3:29">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row>
    <row r="180" spans="3:29">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row>
    <row r="181" spans="3:29">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row>
    <row r="182" spans="3:29">
      <c r="C182" s="25"/>
      <c r="D182" s="25"/>
      <c r="E182" s="27" t="s">
        <v>2711</v>
      </c>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row>
    <row r="183" spans="3:29">
      <c r="C183" s="25"/>
      <c r="D183" s="25"/>
      <c r="E183" s="27" t="s">
        <v>2196</v>
      </c>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row>
    <row r="184" spans="3:29">
      <c r="C184" s="25"/>
      <c r="D184" s="25"/>
      <c r="E184" s="27" t="s">
        <v>69</v>
      </c>
      <c r="F184" s="25"/>
      <c r="G184" s="25"/>
      <c r="H184" s="25"/>
      <c r="I184" s="25"/>
      <c r="J184" s="25"/>
      <c r="K184" s="25"/>
      <c r="L184" s="25"/>
      <c r="M184" s="25"/>
      <c r="N184" s="25"/>
      <c r="O184" s="25"/>
      <c r="P184" s="25"/>
      <c r="Q184" s="25"/>
      <c r="R184" s="25"/>
      <c r="S184" s="25"/>
      <c r="T184" s="25"/>
    </row>
    <row r="185" spans="3:29">
      <c r="C185" s="25"/>
      <c r="D185" s="27" t="s">
        <v>2709</v>
      </c>
      <c r="E185" s="27" t="s">
        <v>2710</v>
      </c>
      <c r="F185" s="25"/>
      <c r="G185" s="25"/>
      <c r="H185" s="25"/>
      <c r="I185" s="25"/>
      <c r="J185" s="25"/>
      <c r="K185" s="25"/>
      <c r="L185" s="25"/>
      <c r="M185" s="25"/>
      <c r="N185" s="25"/>
      <c r="O185" s="25"/>
      <c r="P185" s="25"/>
      <c r="Q185" s="25"/>
      <c r="R185" s="25"/>
      <c r="S185" s="25"/>
      <c r="T185" s="25"/>
    </row>
    <row r="186" spans="3:29">
      <c r="C186" s="25"/>
      <c r="D186" s="27" t="s">
        <v>2708</v>
      </c>
      <c r="E186" s="6" t="s">
        <v>63</v>
      </c>
      <c r="F186" s="25"/>
      <c r="G186" s="25"/>
      <c r="H186" s="25"/>
      <c r="I186" s="25"/>
      <c r="J186" s="25"/>
      <c r="K186" s="25"/>
      <c r="L186" s="25"/>
      <c r="M186" s="25"/>
      <c r="N186" s="25"/>
      <c r="O186" s="25"/>
      <c r="P186" s="25"/>
      <c r="Q186" s="25"/>
      <c r="R186" s="25"/>
      <c r="S186" s="25"/>
      <c r="T186" s="25"/>
    </row>
    <row r="187" spans="3:29">
      <c r="C187" s="25"/>
      <c r="D187" s="27" t="s">
        <v>57</v>
      </c>
      <c r="E187" s="6" t="s">
        <v>2668</v>
      </c>
      <c r="F187" s="25"/>
      <c r="G187" s="27" t="s">
        <v>2712</v>
      </c>
      <c r="H187" s="25"/>
      <c r="I187" s="25"/>
      <c r="J187" s="25"/>
      <c r="K187" s="25"/>
      <c r="L187" s="25"/>
      <c r="M187" s="25"/>
      <c r="N187" s="25"/>
      <c r="O187" s="25"/>
      <c r="P187" s="25"/>
      <c r="Q187" s="25"/>
      <c r="R187" s="25"/>
      <c r="S187" s="25"/>
      <c r="T187" s="25"/>
    </row>
    <row r="188" spans="3:29">
      <c r="C188" s="25"/>
      <c r="D188" s="25">
        <v>4</v>
      </c>
      <c r="E188" s="50">
        <v>10.7</v>
      </c>
      <c r="F188" s="50">
        <f xml:space="preserve"> (-2.45651053*LN(D188)) + 13.6188454</f>
        <v>10.213398704229366</v>
      </c>
      <c r="G188" s="1299">
        <f>(F188-E188)/E188</f>
        <v>-4.5476756614077865E-2</v>
      </c>
      <c r="H188" s="25"/>
      <c r="I188" s="25"/>
      <c r="J188" s="25"/>
      <c r="K188" s="25"/>
      <c r="L188" s="25"/>
      <c r="M188" s="25"/>
      <c r="N188" s="25"/>
      <c r="O188" s="25"/>
      <c r="P188" s="25"/>
      <c r="Q188" s="25"/>
      <c r="R188" s="25"/>
      <c r="S188" s="25"/>
      <c r="T188" s="25"/>
    </row>
    <row r="189" spans="3:29">
      <c r="C189" s="25"/>
      <c r="D189" s="25">
        <v>6</v>
      </c>
      <c r="E189" s="50">
        <v>9.1999999999999993</v>
      </c>
      <c r="F189" s="50">
        <f t="shared" ref="F189:F196" si="26" xml:space="preserve"> (-2.45651053*LN(D189)) + 13.6188454</f>
        <v>9.2173693966140711</v>
      </c>
      <c r="G189" s="1299">
        <f t="shared" ref="G189:G196" si="27">(F189-E189)/E189</f>
        <v>1.8879778928338887E-3</v>
      </c>
      <c r="H189" s="25"/>
      <c r="I189" s="25"/>
      <c r="J189" s="25"/>
      <c r="K189" s="25"/>
      <c r="L189" s="25"/>
      <c r="M189" s="25"/>
      <c r="N189" s="25"/>
      <c r="O189" s="25"/>
      <c r="P189" s="25"/>
      <c r="Q189" s="25"/>
      <c r="R189" s="25"/>
      <c r="S189" s="25"/>
      <c r="T189" s="25"/>
    </row>
    <row r="190" spans="3:29">
      <c r="C190" s="25"/>
      <c r="D190" s="25">
        <v>8</v>
      </c>
      <c r="E190" s="50">
        <v>8.3000000000000007</v>
      </c>
      <c r="F190" s="50">
        <f t="shared" si="26"/>
        <v>8.5106753563440485</v>
      </c>
      <c r="G190" s="1299">
        <f t="shared" si="27"/>
        <v>2.5382573053499728E-2</v>
      </c>
      <c r="H190" s="25"/>
      <c r="I190" s="25"/>
      <c r="J190" s="25"/>
      <c r="K190" s="25"/>
      <c r="L190" s="25"/>
      <c r="M190" s="25"/>
      <c r="N190" s="25"/>
      <c r="O190" s="25"/>
      <c r="P190" s="25"/>
      <c r="Q190" s="25"/>
      <c r="R190" s="25"/>
      <c r="S190" s="25"/>
      <c r="T190" s="25"/>
    </row>
    <row r="191" spans="3:29">
      <c r="D191" s="43">
        <v>10</v>
      </c>
      <c r="E191" s="65">
        <v>7.7</v>
      </c>
      <c r="F191" s="50">
        <f t="shared" si="26"/>
        <v>7.9625208728390966</v>
      </c>
      <c r="G191" s="1299">
        <f t="shared" si="27"/>
        <v>3.40936198492333E-2</v>
      </c>
    </row>
    <row r="192" spans="3:29">
      <c r="D192" s="43">
        <v>20</v>
      </c>
      <c r="E192" s="49">
        <v>6.1</v>
      </c>
      <c r="F192" s="50">
        <f t="shared" si="26"/>
        <v>6.2597975249537807</v>
      </c>
      <c r="G192" s="1299">
        <f t="shared" si="27"/>
        <v>2.6196315566193621E-2</v>
      </c>
    </row>
    <row r="193" spans="4:7">
      <c r="D193" s="43">
        <v>30</v>
      </c>
      <c r="E193" s="49">
        <v>5.0999999999999996</v>
      </c>
      <c r="F193" s="50">
        <f t="shared" si="26"/>
        <v>5.2637682173384857</v>
      </c>
      <c r="G193" s="1299">
        <f t="shared" si="27"/>
        <v>3.2111415164409025E-2</v>
      </c>
    </row>
    <row r="194" spans="4:7">
      <c r="D194" s="43">
        <v>40</v>
      </c>
      <c r="E194" s="49">
        <v>4.5</v>
      </c>
      <c r="F194" s="50">
        <f t="shared" si="26"/>
        <v>4.5570741770684631</v>
      </c>
      <c r="G194" s="1299">
        <f t="shared" si="27"/>
        <v>1.2683150459658461E-2</v>
      </c>
    </row>
    <row r="195" spans="4:7">
      <c r="D195" s="43">
        <v>60</v>
      </c>
      <c r="E195" s="49">
        <v>3.7</v>
      </c>
      <c r="F195" s="50">
        <f t="shared" si="26"/>
        <v>3.5610448694531698</v>
      </c>
      <c r="G195" s="1299">
        <f t="shared" si="27"/>
        <v>-3.7555440688332539E-2</v>
      </c>
    </row>
    <row r="196" spans="4:7">
      <c r="D196" s="43">
        <v>80</v>
      </c>
      <c r="E196" s="49">
        <v>3.1</v>
      </c>
      <c r="F196" s="50">
        <f t="shared" si="26"/>
        <v>2.8543508291831472</v>
      </c>
      <c r="G196" s="1299">
        <f t="shared" si="27"/>
        <v>-7.9241668005436416E-2</v>
      </c>
    </row>
    <row r="198" spans="4:7">
      <c r="D198">
        <v>100</v>
      </c>
      <c r="F198" s="50"/>
      <c r="G198" s="1299"/>
    </row>
    <row r="199" spans="4:7">
      <c r="D199">
        <v>1000</v>
      </c>
      <c r="F199" s="50"/>
      <c r="G199" s="1299"/>
    </row>
    <row r="200" spans="4:7">
      <c r="D200">
        <v>10000</v>
      </c>
      <c r="F200" s="50"/>
      <c r="G200" s="1299"/>
    </row>
  </sheetData>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5C0C5-9C43-4791-AD60-151992729AC8}">
  <sheetPr codeName="Sheet17"/>
  <dimension ref="B1:BT387"/>
  <sheetViews>
    <sheetView topLeftCell="AM18" zoomScale="50" zoomScaleNormal="50" workbookViewId="0">
      <selection activeCell="AY55" sqref="AY55"/>
    </sheetView>
  </sheetViews>
  <sheetFormatPr defaultColWidth="8.77734375" defaultRowHeight="13.2"/>
  <cols>
    <col min="1" max="1" width="4.44140625" customWidth="1"/>
    <col min="3" max="3" width="62.44140625" bestFit="1" customWidth="1"/>
    <col min="4" max="4" width="10.44140625" customWidth="1"/>
    <col min="5" max="5" width="15.44140625" customWidth="1"/>
    <col min="6" max="6" width="15" bestFit="1" customWidth="1"/>
    <col min="10" max="10" width="11.109375" customWidth="1"/>
    <col min="16" max="16" width="9.77734375" customWidth="1"/>
    <col min="17" max="17" width="11.33203125" customWidth="1"/>
    <col min="18" max="18" width="10.44140625" bestFit="1" customWidth="1"/>
    <col min="20" max="21" width="12" bestFit="1" customWidth="1"/>
    <col min="22" max="22" width="11" customWidth="1"/>
    <col min="23" max="23" width="10.6640625" bestFit="1" customWidth="1"/>
    <col min="26" max="26" width="14.44140625" bestFit="1" customWidth="1"/>
    <col min="27" max="27" width="10.44140625" bestFit="1" customWidth="1"/>
    <col min="28" max="28" width="15" customWidth="1"/>
    <col min="29" max="29" width="12.44140625" bestFit="1" customWidth="1"/>
    <col min="30" max="31" width="9.44140625" customWidth="1"/>
    <col min="51" max="51" width="35.33203125" bestFit="1" customWidth="1"/>
    <col min="52" max="52" width="8.6640625" bestFit="1" customWidth="1"/>
    <col min="53" max="53" width="13.33203125" bestFit="1" customWidth="1"/>
    <col min="54" max="57" width="13.6640625" bestFit="1" customWidth="1"/>
    <col min="59" max="59" width="13.6640625" bestFit="1" customWidth="1"/>
  </cols>
  <sheetData>
    <row r="1" spans="2:71" ht="13.8" thickBot="1"/>
    <row r="2" spans="2:71" ht="17.399999999999999">
      <c r="B2" s="882" t="s">
        <v>2734</v>
      </c>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64" t="s">
        <v>2557</v>
      </c>
      <c r="AZ2" s="22"/>
      <c r="BA2" s="1020" t="s">
        <v>1430</v>
      </c>
      <c r="BB2" s="1021">
        <v>0.8</v>
      </c>
      <c r="BC2" s="22"/>
      <c r="BD2" s="22"/>
      <c r="BE2" s="22"/>
      <c r="BF2" s="22"/>
      <c r="BG2" s="22"/>
      <c r="BH2" s="22"/>
      <c r="BI2" s="22"/>
      <c r="BJ2" s="22"/>
      <c r="BK2" s="22"/>
      <c r="BL2" s="22"/>
      <c r="BM2" s="22"/>
      <c r="BN2" s="22"/>
      <c r="BO2" s="22"/>
      <c r="BP2" s="22"/>
      <c r="BQ2" s="22"/>
      <c r="BR2" s="22"/>
      <c r="BS2" s="23"/>
    </row>
    <row r="3" spans="2:71" ht="13.8" thickBot="1">
      <c r="B3" s="25"/>
      <c r="C3" s="25"/>
      <c r="D3" s="25"/>
      <c r="E3" s="25"/>
      <c r="F3" s="27"/>
      <c r="G3" s="27"/>
      <c r="H3" s="25"/>
      <c r="I3" s="25"/>
      <c r="J3" s="25"/>
      <c r="K3" s="25"/>
      <c r="L3" s="25"/>
      <c r="M3" s="25"/>
      <c r="N3" s="25"/>
      <c r="O3" s="25"/>
      <c r="P3" s="25"/>
      <c r="Q3" s="25"/>
      <c r="R3" s="25"/>
      <c r="S3" s="25"/>
      <c r="T3" s="25"/>
      <c r="U3" s="25"/>
      <c r="AA3" s="25"/>
      <c r="AB3" s="25"/>
      <c r="AC3" s="25"/>
      <c r="AD3" s="25"/>
      <c r="AE3" s="25"/>
      <c r="AF3" s="25"/>
      <c r="AG3" s="25"/>
      <c r="AH3" s="25"/>
      <c r="AI3" s="25"/>
      <c r="AJ3" s="25"/>
      <c r="AK3" s="25"/>
      <c r="AL3" s="25"/>
      <c r="AM3" s="25"/>
      <c r="AN3" s="25"/>
      <c r="AO3" s="25"/>
      <c r="AP3" s="25"/>
      <c r="AQ3" s="25"/>
      <c r="AR3" s="25"/>
      <c r="AS3" s="25"/>
      <c r="AT3" s="25"/>
      <c r="AU3" s="25"/>
      <c r="AV3" s="25"/>
      <c r="AW3" s="25"/>
      <c r="AX3" s="25"/>
      <c r="AY3" s="24"/>
      <c r="AZ3" s="25"/>
      <c r="BA3" s="25"/>
      <c r="BB3" s="25"/>
      <c r="BC3" s="25"/>
      <c r="BD3" s="25"/>
      <c r="BE3" s="25"/>
      <c r="BF3" s="25"/>
      <c r="BG3" s="25"/>
      <c r="BH3" s="25"/>
      <c r="BI3" s="25"/>
      <c r="BJ3" s="25"/>
      <c r="BK3" s="25"/>
      <c r="BL3" s="25"/>
      <c r="BM3" s="25"/>
      <c r="BN3" s="25"/>
      <c r="BO3" s="25"/>
      <c r="BP3" s="25"/>
      <c r="BQ3" s="25"/>
      <c r="BR3" s="25"/>
      <c r="BS3" s="26"/>
    </row>
    <row r="4" spans="2:71" ht="15.6">
      <c r="B4" s="25"/>
      <c r="C4" s="66" t="s">
        <v>2666</v>
      </c>
      <c r="D4" s="31" t="s">
        <v>89</v>
      </c>
      <c r="E4" s="31" t="s">
        <v>90</v>
      </c>
      <c r="F4" s="31" t="s">
        <v>91</v>
      </c>
      <c r="G4" s="25"/>
      <c r="H4" s="25"/>
      <c r="I4" s="9" t="s">
        <v>2732</v>
      </c>
      <c r="J4" s="106"/>
      <c r="K4" s="106"/>
      <c r="L4" s="106"/>
      <c r="M4" s="106"/>
      <c r="N4" s="106"/>
      <c r="O4" s="106"/>
      <c r="P4" s="106"/>
      <c r="Q4" s="107"/>
      <c r="AD4" s="25"/>
      <c r="AE4" s="25"/>
      <c r="AF4" s="25"/>
      <c r="AG4" s="25"/>
      <c r="AH4" s="25"/>
      <c r="AI4" s="25"/>
      <c r="AJ4" s="25"/>
      <c r="AK4" s="25"/>
      <c r="AL4" s="25"/>
      <c r="AM4" s="25"/>
      <c r="AN4" s="25"/>
      <c r="AO4" s="25"/>
      <c r="AP4" s="25"/>
      <c r="AQ4" s="25"/>
      <c r="AR4" s="25"/>
      <c r="AS4" s="25"/>
      <c r="AT4" s="25"/>
      <c r="AU4" s="27" t="s">
        <v>2792</v>
      </c>
      <c r="AV4" s="25"/>
      <c r="AW4" s="25"/>
      <c r="AX4" s="25"/>
      <c r="AY4" s="24"/>
      <c r="AZ4" s="25"/>
      <c r="BA4" s="1022" t="s">
        <v>1417</v>
      </c>
      <c r="BB4" s="1022" t="s">
        <v>155</v>
      </c>
      <c r="BC4" s="1022" t="s">
        <v>1418</v>
      </c>
      <c r="BD4" s="1022" t="s">
        <v>1419</v>
      </c>
      <c r="BE4" s="1022" t="s">
        <v>1420</v>
      </c>
      <c r="BF4" s="25"/>
      <c r="BG4" s="1022" t="s">
        <v>624</v>
      </c>
      <c r="BH4" s="25"/>
      <c r="BI4" s="358"/>
      <c r="BJ4" s="43"/>
      <c r="BK4" s="43"/>
      <c r="BL4" s="43"/>
      <c r="BM4" s="43"/>
      <c r="BN4" s="43"/>
      <c r="BO4" s="43"/>
      <c r="BP4" s="43"/>
      <c r="BQ4" s="43"/>
      <c r="BR4" s="43"/>
      <c r="BS4" s="93"/>
    </row>
    <row r="5" spans="2:71">
      <c r="B5" s="25"/>
      <c r="C5" s="6" t="s">
        <v>588</v>
      </c>
      <c r="D5" s="27" t="s">
        <v>87</v>
      </c>
      <c r="E5" s="27" t="s">
        <v>87</v>
      </c>
      <c r="F5" s="74" t="s">
        <v>2787</v>
      </c>
      <c r="G5" s="25"/>
      <c r="H5" s="25"/>
      <c r="I5" s="14" t="s">
        <v>2735</v>
      </c>
      <c r="J5" s="68"/>
      <c r="K5" s="68"/>
      <c r="L5" s="68"/>
      <c r="M5" s="68"/>
      <c r="N5" s="68"/>
      <c r="O5" s="68"/>
      <c r="P5" s="68"/>
      <c r="Q5" s="108"/>
      <c r="AD5" s="25"/>
      <c r="AE5" s="25"/>
      <c r="AF5" s="25"/>
      <c r="AG5" s="25"/>
      <c r="AH5" s="25"/>
      <c r="AI5" s="25"/>
      <c r="AJ5" s="25"/>
      <c r="AK5" s="25"/>
      <c r="AL5" s="25"/>
      <c r="AM5" s="25"/>
      <c r="AN5" s="25"/>
      <c r="AO5" s="25"/>
      <c r="AP5" s="25"/>
      <c r="AQ5" s="25"/>
      <c r="AR5" s="25"/>
      <c r="AS5" s="25"/>
      <c r="AT5" s="25"/>
      <c r="AU5" s="27" t="s">
        <v>2790</v>
      </c>
      <c r="AV5" s="25"/>
      <c r="AW5" s="25"/>
      <c r="AX5" s="25"/>
      <c r="AY5" s="1023" t="s">
        <v>1364</v>
      </c>
      <c r="AZ5" s="233" t="s">
        <v>90</v>
      </c>
      <c r="BA5" s="233" t="s">
        <v>91</v>
      </c>
      <c r="BB5" s="233" t="s">
        <v>91</v>
      </c>
      <c r="BC5" s="233" t="s">
        <v>91</v>
      </c>
      <c r="BD5" s="233" t="s">
        <v>91</v>
      </c>
      <c r="BE5" s="233" t="s">
        <v>91</v>
      </c>
      <c r="BF5" s="25"/>
      <c r="BG5" s="233" t="s">
        <v>91</v>
      </c>
      <c r="BH5" s="25"/>
      <c r="BI5" s="98"/>
      <c r="BJ5" s="43"/>
      <c r="BK5" s="43"/>
      <c r="BL5" s="43"/>
      <c r="BM5" s="43"/>
      <c r="BN5" s="43"/>
      <c r="BO5" s="43"/>
      <c r="BP5" s="43"/>
      <c r="BQ5" s="43"/>
      <c r="BR5" s="43"/>
      <c r="BS5" s="93"/>
    </row>
    <row r="6" spans="2:71">
      <c r="B6" s="25"/>
      <c r="C6" s="6" t="s">
        <v>589</v>
      </c>
      <c r="D6" s="27" t="s">
        <v>87</v>
      </c>
      <c r="E6" s="6" t="s">
        <v>87</v>
      </c>
      <c r="F6" s="74" t="s">
        <v>2802</v>
      </c>
      <c r="G6" s="25"/>
      <c r="H6" s="25"/>
      <c r="I6" s="1300" t="s">
        <v>778</v>
      </c>
      <c r="J6" s="68"/>
      <c r="K6" s="68"/>
      <c r="L6" s="428"/>
      <c r="M6" s="428"/>
      <c r="N6" s="428"/>
      <c r="O6" s="428"/>
      <c r="P6" s="428"/>
      <c r="Q6" s="1319" t="str">
        <f>IF('3'!J21=1,"TurboJet or Low BPR TurboFan … Subsonic (M&lt;1)",
  IF('3'!J21=2,"TurboJet or Low BPR TurboFan … Supersonic (M&gt;1)",
  IF('3'!J21=3,"High BPR TurboFan … Subsonic (M&lt;1)",
  IF('3'!J21=4,"Turboprop (Gas Turbine Core + Propeller)",
  IF('3'!J21=5,"Reciprocating (Internal Cumbustion + Propeller)",
  "Reciprocating (Internal Cumbustion + Propeller) w/Supercharger")))))</f>
        <v>Reciprocating (Internal Cumbustion + Propeller)</v>
      </c>
      <c r="AD6" s="25"/>
      <c r="AE6" s="25"/>
      <c r="AF6" s="25"/>
      <c r="AG6" s="25"/>
      <c r="AH6" s="25"/>
      <c r="AI6" s="25"/>
      <c r="AJ6" s="25"/>
      <c r="AK6" s="25"/>
      <c r="AL6" s="25"/>
      <c r="AM6" s="25"/>
      <c r="AN6" s="25"/>
      <c r="AO6" s="25"/>
      <c r="AP6" s="25"/>
      <c r="AQ6" s="25"/>
      <c r="AR6" s="25"/>
      <c r="AS6" s="25"/>
      <c r="AT6" s="27" t="s">
        <v>2791</v>
      </c>
      <c r="AU6" s="25">
        <f>1.51*(0.9*'2'!P44/3)^0.349/12</f>
        <v>0.99527760629118844</v>
      </c>
      <c r="AV6" s="27" t="s">
        <v>188</v>
      </c>
      <c r="AW6" s="25"/>
      <c r="AX6" s="25"/>
      <c r="AY6" s="235"/>
      <c r="AZ6" s="231"/>
      <c r="BA6" s="231"/>
      <c r="BB6" s="25"/>
      <c r="BC6" s="25"/>
      <c r="BD6" s="25"/>
      <c r="BE6" s="25"/>
      <c r="BF6" s="25"/>
      <c r="BG6" s="25"/>
      <c r="BH6" s="25"/>
      <c r="BI6" s="43"/>
      <c r="BJ6" s="43"/>
      <c r="BK6" s="43"/>
      <c r="BL6" s="43"/>
      <c r="BM6" s="43"/>
      <c r="BN6" s="43"/>
      <c r="BO6" s="43"/>
      <c r="BP6" s="43"/>
      <c r="BQ6" s="43"/>
      <c r="BR6" s="43"/>
      <c r="BS6" s="93"/>
    </row>
    <row r="7" spans="2:71">
      <c r="B7" s="25"/>
      <c r="C7" s="6" t="s">
        <v>599</v>
      </c>
      <c r="D7" s="6" t="s">
        <v>2662</v>
      </c>
      <c r="E7" s="6" t="s">
        <v>590</v>
      </c>
      <c r="F7" s="37">
        <v>250</v>
      </c>
      <c r="G7" s="25"/>
      <c r="H7" s="25"/>
      <c r="I7" s="109"/>
      <c r="J7" s="68"/>
      <c r="K7" s="68"/>
      <c r="L7" s="68"/>
      <c r="M7" s="68"/>
      <c r="N7" s="68"/>
      <c r="O7" s="68"/>
      <c r="P7" s="68"/>
      <c r="Q7" s="108"/>
      <c r="AD7" s="25"/>
      <c r="AE7" s="25"/>
      <c r="AF7" s="25"/>
      <c r="AG7" s="25"/>
      <c r="AH7" s="25"/>
      <c r="AI7" s="25"/>
      <c r="AJ7" s="25"/>
      <c r="AK7" s="25"/>
      <c r="AL7" s="25"/>
      <c r="AM7" s="25"/>
      <c r="AN7" s="25"/>
      <c r="AO7" s="25"/>
      <c r="AP7" s="25"/>
      <c r="AQ7" s="25"/>
      <c r="AR7" s="25"/>
      <c r="AS7" s="25"/>
      <c r="AT7" s="25"/>
      <c r="AU7" s="25"/>
      <c r="AV7" s="25"/>
      <c r="AW7" s="25"/>
      <c r="AX7" s="25"/>
      <c r="AY7" s="235" t="s">
        <v>33</v>
      </c>
      <c r="AZ7" s="231" t="s">
        <v>188</v>
      </c>
      <c r="BA7" s="535">
        <f>'2'!D46</f>
        <v>7000</v>
      </c>
      <c r="BB7" s="1024">
        <f>'2'!D51</f>
        <v>3500</v>
      </c>
      <c r="BC7" s="1024">
        <f>'2'!D59</f>
        <v>3500</v>
      </c>
      <c r="BD7" s="1024">
        <f>'2'!D65</f>
        <v>10000</v>
      </c>
      <c r="BE7" s="1024">
        <f>'2'!D70</f>
        <v>3500</v>
      </c>
      <c r="BF7" s="25"/>
      <c r="BG7" s="1025">
        <f>'3'!J8</f>
        <v>0</v>
      </c>
      <c r="BH7" s="25"/>
      <c r="BI7" s="1321"/>
      <c r="BJ7" s="39"/>
      <c r="BK7" s="39"/>
      <c r="BL7" s="39"/>
      <c r="BM7" s="39"/>
      <c r="BN7" s="39"/>
      <c r="BO7" s="39"/>
      <c r="BP7" s="43"/>
      <c r="BQ7" s="43"/>
      <c r="BR7" s="43"/>
      <c r="BS7" s="93"/>
    </row>
    <row r="8" spans="2:71">
      <c r="B8" s="25"/>
      <c r="C8" s="6" t="s">
        <v>316</v>
      </c>
      <c r="D8" s="6" t="s">
        <v>591</v>
      </c>
      <c r="E8" s="6" t="s">
        <v>512</v>
      </c>
      <c r="F8" s="37">
        <v>33.65</v>
      </c>
      <c r="G8" s="25"/>
      <c r="H8" s="25"/>
      <c r="I8" s="109"/>
      <c r="J8" s="68"/>
      <c r="K8" s="68"/>
      <c r="L8" s="68"/>
      <c r="M8" s="68"/>
      <c r="N8" s="68"/>
      <c r="O8" s="68"/>
      <c r="P8" s="187" t="s">
        <v>776</v>
      </c>
      <c r="Q8" s="292" t="s">
        <v>2644</v>
      </c>
      <c r="AD8" s="25"/>
      <c r="AE8" s="25"/>
      <c r="AF8" s="25"/>
      <c r="AG8" s="25"/>
      <c r="AH8" s="25"/>
      <c r="AI8" s="25"/>
      <c r="AJ8" s="25"/>
      <c r="AK8" s="25"/>
      <c r="AL8" s="25"/>
      <c r="AM8" s="25"/>
      <c r="AN8" s="25"/>
      <c r="AO8" s="25"/>
      <c r="AP8" s="25"/>
      <c r="AQ8" s="25"/>
      <c r="AR8" s="25"/>
      <c r="AS8" s="25"/>
      <c r="AT8" s="27" t="s">
        <v>2793</v>
      </c>
      <c r="AU8" s="35">
        <f>AU6+'5'!T6</f>
        <v>4.2452776062911886</v>
      </c>
      <c r="AV8" s="25"/>
      <c r="AW8" s="25"/>
      <c r="AX8" s="25"/>
      <c r="AY8" s="235" t="s">
        <v>1366</v>
      </c>
      <c r="AZ8" s="231" t="s">
        <v>648</v>
      </c>
      <c r="BA8" s="852">
        <f>'2'!F46</f>
        <v>0</v>
      </c>
      <c r="BB8" s="1025">
        <f>'2'!F51</f>
        <v>0</v>
      </c>
      <c r="BC8" s="1025">
        <f>'2'!F59</f>
        <v>0</v>
      </c>
      <c r="BD8" s="1025">
        <f>'2'!F65</f>
        <v>0</v>
      </c>
      <c r="BE8" s="1025">
        <f>'2'!F70</f>
        <v>0</v>
      </c>
      <c r="BF8" s="25"/>
      <c r="BG8" s="1025">
        <f>'3'!J10</f>
        <v>0</v>
      </c>
      <c r="BH8" s="25"/>
      <c r="BI8" s="6"/>
      <c r="BJ8" s="192"/>
      <c r="BK8" s="192"/>
      <c r="BL8" s="6"/>
      <c r="BM8" s="192"/>
      <c r="BN8" s="43"/>
      <c r="BO8" s="6"/>
      <c r="BP8" s="43"/>
      <c r="BQ8" s="43"/>
      <c r="BR8" s="43"/>
      <c r="BS8" s="93"/>
    </row>
    <row r="9" spans="2:71">
      <c r="B9" s="25"/>
      <c r="C9" s="6" t="s">
        <v>318</v>
      </c>
      <c r="D9" s="6" t="s">
        <v>592</v>
      </c>
      <c r="E9" s="6" t="s">
        <v>512</v>
      </c>
      <c r="F9" s="37">
        <v>34.25</v>
      </c>
      <c r="G9" s="25"/>
      <c r="H9" s="25"/>
      <c r="I9" s="109"/>
      <c r="J9" s="68"/>
      <c r="K9" s="68"/>
      <c r="L9" s="68"/>
      <c r="M9" s="68"/>
      <c r="N9" s="68"/>
      <c r="O9" s="68"/>
      <c r="P9" s="187" t="s">
        <v>753</v>
      </c>
      <c r="Q9" s="292" t="s">
        <v>777</v>
      </c>
      <c r="AD9" s="25"/>
      <c r="AE9" s="25"/>
      <c r="AF9" s="25"/>
      <c r="AG9" s="25"/>
      <c r="AH9" s="25"/>
      <c r="AI9" s="25"/>
      <c r="AJ9" s="25"/>
      <c r="AK9" s="25"/>
      <c r="AL9" s="25"/>
      <c r="AM9" s="25"/>
      <c r="AN9" s="25"/>
      <c r="AO9" s="25"/>
      <c r="AP9" s="25"/>
      <c r="AQ9" s="25"/>
      <c r="AR9" s="25"/>
      <c r="AS9" s="25"/>
      <c r="AT9" s="25"/>
      <c r="AU9" s="25"/>
      <c r="AV9" s="25"/>
      <c r="AW9" s="25"/>
      <c r="AX9" s="25"/>
      <c r="AY9" s="235" t="s">
        <v>1368</v>
      </c>
      <c r="AZ9" s="231" t="s">
        <v>1369</v>
      </c>
      <c r="BA9" s="462">
        <f>'7b'!BA71</f>
        <v>493.63688000000002</v>
      </c>
      <c r="BB9" s="52">
        <f>'7b'!BA125</f>
        <v>506.11844000000002</v>
      </c>
      <c r="BC9" s="52">
        <f>'7b'!BA179</f>
        <v>506.11844000000002</v>
      </c>
      <c r="BD9" s="52">
        <f>'7b'!BA233</f>
        <v>482.9384</v>
      </c>
      <c r="BE9" s="52">
        <f>'7b'!BA287</f>
        <v>506.11844000000002</v>
      </c>
      <c r="BF9" s="25"/>
      <c r="BG9" s="52">
        <f>'7b'!BA341</f>
        <v>518.6</v>
      </c>
      <c r="BH9" s="25"/>
      <c r="BI9" s="6"/>
      <c r="BJ9" s="192"/>
      <c r="BK9" s="192"/>
      <c r="BL9" s="1322"/>
      <c r="BM9" s="192"/>
      <c r="BN9" s="192"/>
      <c r="BO9" s="6"/>
      <c r="BP9" s="43"/>
      <c r="BQ9" s="43"/>
      <c r="BR9" s="43"/>
      <c r="BS9" s="93"/>
    </row>
    <row r="10" spans="2:71">
      <c r="B10" s="25"/>
      <c r="C10" s="6" t="s">
        <v>781</v>
      </c>
      <c r="D10" s="6" t="s">
        <v>782</v>
      </c>
      <c r="E10" s="6" t="s">
        <v>779</v>
      </c>
      <c r="F10" s="258">
        <v>170</v>
      </c>
      <c r="G10" s="25"/>
      <c r="H10" s="25"/>
      <c r="I10" s="109"/>
      <c r="J10" s="68"/>
      <c r="K10" s="68"/>
      <c r="L10" s="68"/>
      <c r="M10" s="68"/>
      <c r="N10" s="103" t="s">
        <v>89</v>
      </c>
      <c r="O10" s="103" t="s">
        <v>90</v>
      </c>
      <c r="P10" s="269" t="s">
        <v>91</v>
      </c>
      <c r="Q10" s="1302" t="s">
        <v>91</v>
      </c>
      <c r="AD10" s="25"/>
      <c r="AE10" s="25"/>
      <c r="AF10" s="25"/>
      <c r="AG10" s="25"/>
      <c r="AH10" s="25"/>
      <c r="AI10" s="25"/>
      <c r="AJ10" s="25"/>
      <c r="AK10" s="25"/>
      <c r="AL10" s="25"/>
      <c r="AM10" s="25"/>
      <c r="AN10" s="25"/>
      <c r="AO10" s="25"/>
      <c r="AP10" s="25"/>
      <c r="AQ10" s="25"/>
      <c r="AR10" s="25"/>
      <c r="AS10" s="25"/>
      <c r="AT10" s="25"/>
      <c r="AU10" s="25"/>
      <c r="AV10" s="25"/>
      <c r="AW10" s="25"/>
      <c r="AX10" s="25"/>
      <c r="AY10" s="235" t="s">
        <v>1371</v>
      </c>
      <c r="AZ10" s="231" t="s">
        <v>658</v>
      </c>
      <c r="BA10" s="462">
        <f>'7b'!BA72</f>
        <v>1089.2766414100001</v>
      </c>
      <c r="BB10" s="52">
        <f>'7b'!BA126</f>
        <v>1102.9273853525001</v>
      </c>
      <c r="BC10" s="52">
        <f>'7b'!BA180</f>
        <v>1102.9273853525001</v>
      </c>
      <c r="BD10" s="52">
        <f>'7b'!BA234</f>
        <v>1077.4183090000001</v>
      </c>
      <c r="BE10" s="52">
        <f>'7b'!BA288</f>
        <v>1102.9273853525001</v>
      </c>
      <c r="BF10" s="25"/>
      <c r="BG10" s="52">
        <f>'7b'!BA342</f>
        <v>1116.3800000000001</v>
      </c>
      <c r="BH10" s="25"/>
      <c r="BI10" s="6"/>
      <c r="BJ10" s="192"/>
      <c r="BK10" s="1322"/>
      <c r="BL10" s="1322"/>
      <c r="BM10" s="194"/>
      <c r="BN10" s="43"/>
      <c r="BO10" s="43"/>
      <c r="BP10" s="43"/>
      <c r="BQ10" s="43"/>
      <c r="BR10" s="43"/>
      <c r="BS10" s="93"/>
    </row>
    <row r="11" spans="2:71">
      <c r="B11" s="25"/>
      <c r="C11" s="6" t="s">
        <v>2676</v>
      </c>
      <c r="D11" s="6" t="s">
        <v>68</v>
      </c>
      <c r="E11" s="6" t="s">
        <v>780</v>
      </c>
      <c r="F11" s="1312">
        <v>0.5</v>
      </c>
      <c r="G11" s="25"/>
      <c r="H11" s="25"/>
      <c r="I11" s="112" t="s">
        <v>586</v>
      </c>
      <c r="J11" s="104"/>
      <c r="K11" s="68"/>
      <c r="L11" s="68"/>
      <c r="M11" s="68"/>
      <c r="N11" s="104" t="s">
        <v>587</v>
      </c>
      <c r="O11" s="1194" t="s">
        <v>87</v>
      </c>
      <c r="P11" s="187" t="s">
        <v>87</v>
      </c>
      <c r="Q11" s="1303">
        <f>'3'!J22</f>
        <v>1</v>
      </c>
      <c r="AD11" s="25"/>
      <c r="AE11" s="25"/>
      <c r="AF11" s="25"/>
      <c r="AG11" s="25"/>
      <c r="AH11" s="25"/>
      <c r="AI11" s="25"/>
      <c r="AJ11" s="25"/>
      <c r="AK11" s="25"/>
      <c r="AL11" s="25"/>
      <c r="AM11" s="25"/>
      <c r="AN11" s="25"/>
      <c r="AO11" s="25"/>
      <c r="AP11" s="25"/>
      <c r="AQ11" s="25"/>
      <c r="AR11" s="25"/>
      <c r="AS11" s="25"/>
      <c r="AT11" s="25"/>
      <c r="AU11" s="25"/>
      <c r="AV11" s="25"/>
      <c r="AW11" s="25"/>
      <c r="AX11" s="25"/>
      <c r="AY11" s="235" t="s">
        <v>671</v>
      </c>
      <c r="AZ11" s="231" t="s">
        <v>1369</v>
      </c>
      <c r="BA11" s="462">
        <f>'7b'!BA73</f>
        <v>493.63688000000008</v>
      </c>
      <c r="BB11" s="52">
        <f>'7b'!BA127</f>
        <v>506.11844000000002</v>
      </c>
      <c r="BC11" s="52">
        <f>'7b'!BA181</f>
        <v>506.11844000000002</v>
      </c>
      <c r="BD11" s="52">
        <f>'7b'!BA235</f>
        <v>482.93840000000006</v>
      </c>
      <c r="BE11" s="52">
        <f>'7b'!BA289</f>
        <v>506.11844000000002</v>
      </c>
      <c r="BF11" s="25"/>
      <c r="BG11" s="52">
        <f>'7b'!BA343</f>
        <v>518.60000000000014</v>
      </c>
      <c r="BH11" s="25"/>
      <c r="BI11" s="6"/>
      <c r="BJ11" s="43"/>
      <c r="BK11" s="43"/>
      <c r="BL11" s="43"/>
      <c r="BM11" s="43"/>
      <c r="BN11" s="43"/>
      <c r="BO11" s="43"/>
      <c r="BP11" s="43"/>
      <c r="BQ11" s="43"/>
      <c r="BR11" s="43"/>
      <c r="BS11" s="93"/>
    </row>
    <row r="12" spans="2:71">
      <c r="B12" s="25"/>
      <c r="C12" s="6" t="s">
        <v>596</v>
      </c>
      <c r="D12" s="6" t="s">
        <v>600</v>
      </c>
      <c r="E12" s="27" t="s">
        <v>87</v>
      </c>
      <c r="F12" s="37">
        <v>1.02</v>
      </c>
      <c r="H12" s="25"/>
      <c r="I12" s="112" t="s">
        <v>2608</v>
      </c>
      <c r="J12" s="68"/>
      <c r="K12" s="68"/>
      <c r="L12" s="68"/>
      <c r="M12" s="68"/>
      <c r="N12" s="104" t="s">
        <v>87</v>
      </c>
      <c r="O12" s="104" t="s">
        <v>87</v>
      </c>
      <c r="P12" s="104"/>
      <c r="Q12" s="1301" t="str">
        <f>F5</f>
        <v>Lycoming</v>
      </c>
      <c r="AD12" s="25"/>
      <c r="AE12" s="25"/>
      <c r="AF12" s="25"/>
      <c r="AG12" s="25"/>
      <c r="AH12" s="25"/>
      <c r="AI12" s="25"/>
      <c r="AJ12" s="25"/>
      <c r="AK12" s="25"/>
      <c r="AL12" s="25"/>
      <c r="AM12" s="25"/>
      <c r="AN12" s="25"/>
      <c r="AO12" s="25"/>
      <c r="AP12" s="25"/>
      <c r="AQ12" s="25"/>
      <c r="AR12" s="25"/>
      <c r="AS12" s="25"/>
      <c r="AT12" s="25"/>
      <c r="AU12" s="25"/>
      <c r="AV12" s="25"/>
      <c r="AW12" s="25"/>
      <c r="AX12" s="25"/>
      <c r="AY12" s="235" t="s">
        <v>1374</v>
      </c>
      <c r="AZ12" s="231" t="s">
        <v>658</v>
      </c>
      <c r="BA12" s="462">
        <f>'7b'!BA74</f>
        <v>1089.2766414100001</v>
      </c>
      <c r="BB12" s="52">
        <f>'7b'!BA128</f>
        <v>1102.9273853525001</v>
      </c>
      <c r="BC12" s="52">
        <f>'7b'!BA182</f>
        <v>1102.9273853525001</v>
      </c>
      <c r="BD12" s="52">
        <f>'7b'!BA236</f>
        <v>1077.4183090000001</v>
      </c>
      <c r="BE12" s="52">
        <f>'7b'!BA290</f>
        <v>1102.9273853525001</v>
      </c>
      <c r="BF12" s="25"/>
      <c r="BG12" s="52">
        <f>'7b'!BA344</f>
        <v>1116.3800000000001</v>
      </c>
      <c r="BH12" s="25"/>
      <c r="BI12" s="6"/>
      <c r="BJ12" s="192"/>
      <c r="BK12" s="1322"/>
      <c r="BL12" s="1322"/>
      <c r="BM12" s="194"/>
      <c r="BN12" s="43"/>
      <c r="BO12" s="43"/>
      <c r="BP12" s="43"/>
      <c r="BQ12" s="43"/>
      <c r="BR12" s="43"/>
      <c r="BS12" s="93"/>
    </row>
    <row r="13" spans="2:71">
      <c r="B13" s="25"/>
      <c r="C13" s="6" t="s">
        <v>597</v>
      </c>
      <c r="D13" s="6" t="s">
        <v>601</v>
      </c>
      <c r="E13" s="27" t="s">
        <v>87</v>
      </c>
      <c r="F13" s="37">
        <v>0.01</v>
      </c>
      <c r="G13" s="25"/>
      <c r="H13" s="25"/>
      <c r="I13" s="112" t="s">
        <v>2607</v>
      </c>
      <c r="J13" s="68"/>
      <c r="K13" s="68"/>
      <c r="L13" s="68"/>
      <c r="M13" s="68"/>
      <c r="N13" s="104" t="s">
        <v>87</v>
      </c>
      <c r="O13" s="104" t="s">
        <v>87</v>
      </c>
      <c r="P13" s="104"/>
      <c r="Q13" s="1301" t="str">
        <f>F6</f>
        <v>O-340-A1A</v>
      </c>
      <c r="AD13" s="25"/>
      <c r="AE13" s="25"/>
      <c r="AF13" s="25"/>
      <c r="AG13" s="25"/>
      <c r="AH13" s="25"/>
      <c r="AI13" s="25"/>
      <c r="AJ13" s="25"/>
      <c r="AK13" s="25"/>
      <c r="AL13" s="25"/>
      <c r="AM13" s="25"/>
      <c r="AN13" s="25"/>
      <c r="AO13" s="25"/>
      <c r="AP13" s="25"/>
      <c r="AQ13" s="25"/>
      <c r="AR13" s="25"/>
      <c r="AS13" s="25"/>
      <c r="AT13" s="25"/>
      <c r="AU13" s="25"/>
      <c r="AV13" s="25"/>
      <c r="AW13" s="25"/>
      <c r="AX13" s="25"/>
      <c r="AY13" s="235" t="s">
        <v>1376</v>
      </c>
      <c r="AZ13" s="231" t="s">
        <v>1377</v>
      </c>
      <c r="BA13" s="251">
        <f>'7b'!BA75</f>
        <v>11.341833933611111</v>
      </c>
      <c r="BB13" s="35">
        <f>'7b'!BA129</f>
        <v>12.931080535104167</v>
      </c>
      <c r="BC13" s="35">
        <f>'7b'!BA183</f>
        <v>12.931080535104167</v>
      </c>
      <c r="BD13" s="35">
        <f>'7b'!BA237</f>
        <v>10.107410277777779</v>
      </c>
      <c r="BE13" s="35">
        <f>'7b'!BA291</f>
        <v>12.931080535104167</v>
      </c>
      <c r="BF13" s="25"/>
      <c r="BG13" s="52">
        <f>'7b'!BA345</f>
        <v>14.691458333333335</v>
      </c>
      <c r="BH13" s="25"/>
      <c r="BI13" s="6"/>
      <c r="BJ13" s="43"/>
      <c r="BK13" s="43"/>
      <c r="BL13" s="43"/>
      <c r="BM13" s="43"/>
      <c r="BN13" s="6"/>
      <c r="BO13" s="43"/>
      <c r="BP13" s="43"/>
      <c r="BQ13" s="43"/>
      <c r="BR13" s="43"/>
      <c r="BS13" s="93"/>
    </row>
    <row r="14" spans="2:71">
      <c r="B14" s="25"/>
      <c r="C14" s="6" t="s">
        <v>759</v>
      </c>
      <c r="D14" s="6" t="s">
        <v>199</v>
      </c>
      <c r="E14" s="27" t="s">
        <v>87</v>
      </c>
      <c r="F14" s="263">
        <v>1</v>
      </c>
      <c r="G14" s="25"/>
      <c r="H14" s="25"/>
      <c r="I14" s="112" t="s">
        <v>2736</v>
      </c>
      <c r="J14" s="68"/>
      <c r="K14" s="68"/>
      <c r="L14" s="68"/>
      <c r="M14" s="68"/>
      <c r="N14" s="104" t="s">
        <v>783</v>
      </c>
      <c r="O14" s="104" t="s">
        <v>2665</v>
      </c>
      <c r="P14" s="187" t="s">
        <v>87</v>
      </c>
      <c r="Q14" s="1304">
        <f>'3'!E42</f>
        <v>0.13500000000000001</v>
      </c>
      <c r="AD14" s="25"/>
      <c r="AE14" s="25"/>
      <c r="AF14" s="25"/>
      <c r="AG14" s="25"/>
      <c r="AH14" s="25"/>
      <c r="AI14" s="25"/>
      <c r="AJ14" s="25"/>
      <c r="AK14" s="25"/>
      <c r="AL14" s="25"/>
      <c r="AM14" s="25"/>
      <c r="AN14" s="25"/>
      <c r="AO14" s="25"/>
      <c r="AP14" s="25"/>
      <c r="AQ14" s="25"/>
      <c r="AR14" s="25"/>
      <c r="AS14" s="25"/>
      <c r="AT14" s="25"/>
      <c r="AU14" s="25"/>
      <c r="AV14" s="25"/>
      <c r="AW14" s="25"/>
      <c r="AX14" s="25"/>
      <c r="AY14" s="235" t="s">
        <v>1421</v>
      </c>
      <c r="AZ14" s="231" t="s">
        <v>673</v>
      </c>
      <c r="BA14" s="436">
        <f>'7b'!BA76</f>
        <v>1.9271303050999997E-3</v>
      </c>
      <c r="BB14" s="1026">
        <f>'7b'!BA130</f>
        <v>2.1431319072624999E-3</v>
      </c>
      <c r="BC14" s="1026">
        <f>'7b'!BA184</f>
        <v>2.1431319072624999E-3</v>
      </c>
      <c r="BD14" s="1026">
        <f>'7b'!BA238</f>
        <v>1.7555323999999997E-3</v>
      </c>
      <c r="BE14" s="1026">
        <f>'7b'!BA292</f>
        <v>2.1431319072624999E-3</v>
      </c>
      <c r="BF14" s="25"/>
      <c r="BG14" s="1027">
        <f>'7b'!BA346</f>
        <v>2.3769899999999994E-3</v>
      </c>
      <c r="BH14" s="25"/>
      <c r="BI14" s="6"/>
      <c r="BJ14" s="43"/>
      <c r="BK14" s="6"/>
      <c r="BL14" s="6"/>
      <c r="BM14" s="49"/>
      <c r="BN14" s="43"/>
      <c r="BO14" s="6"/>
      <c r="BP14" s="43"/>
      <c r="BQ14" s="43"/>
      <c r="BR14" s="43"/>
      <c r="BS14" s="93"/>
    </row>
    <row r="15" spans="2:71">
      <c r="B15" s="25"/>
      <c r="C15" s="6"/>
      <c r="D15" s="6"/>
      <c r="E15" s="6"/>
      <c r="F15" s="1311"/>
      <c r="G15" s="25"/>
      <c r="H15" s="25"/>
      <c r="I15" s="112" t="s">
        <v>2737</v>
      </c>
      <c r="J15" s="68"/>
      <c r="K15" s="68"/>
      <c r="L15" s="68"/>
      <c r="M15" s="68"/>
      <c r="N15" s="104" t="s">
        <v>782</v>
      </c>
      <c r="O15" s="104" t="s">
        <v>785</v>
      </c>
      <c r="P15" s="187" t="s">
        <v>87</v>
      </c>
      <c r="Q15" s="71">
        <f>Q14*'2'!P44</f>
        <v>168.54039504641321</v>
      </c>
      <c r="AD15" s="25"/>
      <c r="AE15" s="25"/>
      <c r="AF15" s="25"/>
      <c r="AG15" s="25"/>
      <c r="AH15" s="25"/>
      <c r="AI15" s="25"/>
      <c r="AJ15" s="25"/>
      <c r="AK15" s="25"/>
      <c r="AL15" s="25"/>
      <c r="AM15" s="25"/>
      <c r="AN15" s="25"/>
      <c r="AO15" s="25"/>
      <c r="AP15" s="25"/>
      <c r="AQ15" s="25"/>
      <c r="AR15" s="25"/>
      <c r="AS15" s="25"/>
      <c r="AT15" s="25"/>
      <c r="AU15" s="25"/>
      <c r="AV15" s="25"/>
      <c r="AW15" s="25"/>
      <c r="AX15" s="25"/>
      <c r="AY15" s="235" t="s">
        <v>1381</v>
      </c>
      <c r="AZ15" s="231" t="s">
        <v>1026</v>
      </c>
      <c r="BA15" s="852">
        <f>'2'!J46</f>
        <v>103.26264090484118</v>
      </c>
      <c r="BB15" s="1025">
        <f>'2'!J51</f>
        <v>98.083706866886658</v>
      </c>
      <c r="BC15" s="1025">
        <f>'2'!J59</f>
        <v>91.544793075760893</v>
      </c>
      <c r="BD15" s="1025">
        <f>'2'!J65</f>
        <v>102.09694397355153</v>
      </c>
      <c r="BE15" s="1025">
        <f>'2'!J70</f>
        <v>98.083706866886658</v>
      </c>
      <c r="BF15" s="25"/>
      <c r="BG15" s="1025">
        <f>1.2*'3'!U79</f>
        <v>54</v>
      </c>
      <c r="BH15" s="25"/>
      <c r="BI15" s="6"/>
      <c r="BJ15" s="43"/>
      <c r="BK15" s="6"/>
      <c r="BL15" s="6"/>
      <c r="BM15" s="194"/>
      <c r="BN15" s="43"/>
      <c r="BO15" s="43"/>
      <c r="BP15" s="43"/>
      <c r="BQ15" s="43"/>
      <c r="BR15" s="43"/>
      <c r="BS15" s="93"/>
    </row>
    <row r="16" spans="2:71">
      <c r="B16" s="25"/>
      <c r="C16" s="1280" t="s">
        <v>2658</v>
      </c>
      <c r="D16" s="31" t="s">
        <v>89</v>
      </c>
      <c r="E16" s="31" t="s">
        <v>90</v>
      </c>
      <c r="F16" s="31" t="s">
        <v>91</v>
      </c>
      <c r="H16" s="25"/>
      <c r="I16" s="112" t="s">
        <v>2738</v>
      </c>
      <c r="J16" s="68"/>
      <c r="K16" s="68"/>
      <c r="L16" s="68"/>
      <c r="M16" s="68"/>
      <c r="N16" s="104" t="s">
        <v>782</v>
      </c>
      <c r="O16" s="104" t="s">
        <v>779</v>
      </c>
      <c r="P16" s="179">
        <f>F10</f>
        <v>170</v>
      </c>
      <c r="Q16" s="71">
        <f>Q15/Q11</f>
        <v>168.54039504641321</v>
      </c>
      <c r="AD16" s="25"/>
      <c r="AE16" s="25"/>
      <c r="AF16" s="25"/>
      <c r="AG16" s="25"/>
      <c r="AH16" s="25"/>
      <c r="AI16" s="25"/>
      <c r="AJ16" s="25"/>
      <c r="AK16" s="25"/>
      <c r="AL16" s="25"/>
      <c r="AM16" s="25"/>
      <c r="AN16" s="25"/>
      <c r="AO16" s="25"/>
      <c r="AP16" s="25"/>
      <c r="AQ16" s="25"/>
      <c r="AR16" s="25"/>
      <c r="AS16" s="25"/>
      <c r="AT16" s="25"/>
      <c r="AU16" s="25"/>
      <c r="AV16" s="25"/>
      <c r="AW16" s="25"/>
      <c r="AX16" s="25"/>
      <c r="AY16" s="235" t="s">
        <v>1381</v>
      </c>
      <c r="AZ16" s="231" t="s">
        <v>658</v>
      </c>
      <c r="BA16" s="227">
        <f>'7b'!BA78</f>
        <v>174.41060048827674</v>
      </c>
      <c r="BB16" s="50">
        <f>'7b'!BA132</f>
        <v>165.66338089817157</v>
      </c>
      <c r="BC16" s="50">
        <f>'7b'!BA186</f>
        <v>154.61915550496016</v>
      </c>
      <c r="BD16" s="50">
        <f>'7b'!BA240</f>
        <v>172.44173837132854</v>
      </c>
      <c r="BE16" s="50">
        <f>'7b'!BA294</f>
        <v>165.66338089817157</v>
      </c>
      <c r="BF16" s="25"/>
      <c r="BG16" s="50">
        <f>'7b'!BA348</f>
        <v>91.206000000000003</v>
      </c>
      <c r="BH16" s="25"/>
      <c r="BI16" s="6"/>
      <c r="BJ16" s="43"/>
      <c r="BK16" s="6"/>
      <c r="BL16" s="6"/>
      <c r="BM16" s="194"/>
      <c r="BN16" s="43"/>
      <c r="BO16" s="6"/>
      <c r="BP16" s="43"/>
      <c r="BQ16" s="43"/>
      <c r="BR16" s="43"/>
      <c r="BS16" s="93"/>
    </row>
    <row r="17" spans="2:71">
      <c r="B17" s="25"/>
      <c r="C17" s="6" t="s">
        <v>2659</v>
      </c>
      <c r="D17" s="27" t="s">
        <v>87</v>
      </c>
      <c r="E17" s="27" t="s">
        <v>87</v>
      </c>
      <c r="F17" s="74" t="s">
        <v>97</v>
      </c>
      <c r="H17" s="25"/>
      <c r="I17" s="112" t="s">
        <v>2643</v>
      </c>
      <c r="J17" s="68"/>
      <c r="K17" s="68"/>
      <c r="L17" s="68"/>
      <c r="M17" s="68"/>
      <c r="N17" s="104" t="s">
        <v>598</v>
      </c>
      <c r="O17" s="104" t="s">
        <v>590</v>
      </c>
      <c r="P17" s="68"/>
      <c r="Q17" s="71">
        <f>Q16*F39</f>
        <v>1001.3397632501649</v>
      </c>
      <c r="AD17" s="25"/>
      <c r="AE17" s="25"/>
      <c r="AF17" s="25"/>
      <c r="AG17" s="25"/>
      <c r="AH17" s="25"/>
      <c r="AI17" s="25"/>
      <c r="AJ17" s="25"/>
      <c r="AK17" s="25"/>
      <c r="AL17" s="25"/>
      <c r="AM17" s="25"/>
      <c r="AN17" s="25"/>
      <c r="AO17" s="25"/>
      <c r="AP17" s="25"/>
      <c r="AQ17" s="25"/>
      <c r="AR17" s="25"/>
      <c r="AS17" s="25"/>
      <c r="AT17" s="25"/>
      <c r="AU17" s="25"/>
      <c r="AV17" s="25"/>
      <c r="AW17" s="25"/>
      <c r="AX17" s="25"/>
      <c r="AY17" s="235" t="s">
        <v>1383</v>
      </c>
      <c r="AZ17" s="231" t="s">
        <v>87</v>
      </c>
      <c r="BA17" s="248">
        <f>'7b'!BA79</f>
        <v>0.16011598326620974</v>
      </c>
      <c r="BB17" s="34">
        <f>'7b'!BA133</f>
        <v>0.15020334348233169</v>
      </c>
      <c r="BC17" s="34">
        <f>'7b'!BA187</f>
        <v>0.14018978725017625</v>
      </c>
      <c r="BD17" s="34">
        <f>'7b'!BA241</f>
        <v>0.16005087061438503</v>
      </c>
      <c r="BE17" s="34">
        <f>'7b'!BA295</f>
        <v>0.15020334348233169</v>
      </c>
      <c r="BF17" s="25"/>
      <c r="BG17" s="34">
        <f>'7b'!BA349</f>
        <v>8.1697988140238986E-2</v>
      </c>
      <c r="BH17" s="25"/>
      <c r="BI17" s="82"/>
      <c r="BJ17" s="43"/>
      <c r="BK17" s="82"/>
      <c r="BL17" s="82"/>
      <c r="BM17" s="41"/>
      <c r="BN17" s="43"/>
      <c r="BO17" s="6"/>
      <c r="BP17" s="43"/>
      <c r="BQ17" s="43"/>
      <c r="BR17" s="43"/>
      <c r="BS17" s="93"/>
    </row>
    <row r="18" spans="2:71">
      <c r="B18" s="25"/>
      <c r="C18" s="6" t="s">
        <v>2660</v>
      </c>
      <c r="D18" s="27" t="s">
        <v>87</v>
      </c>
      <c r="E18" s="6" t="s">
        <v>87</v>
      </c>
      <c r="F18" s="74" t="s">
        <v>97</v>
      </c>
      <c r="H18" s="25"/>
      <c r="I18" s="110" t="s">
        <v>774</v>
      </c>
      <c r="J18" s="68"/>
      <c r="K18" s="68"/>
      <c r="L18" s="68"/>
      <c r="M18" s="68"/>
      <c r="N18" s="104" t="s">
        <v>775</v>
      </c>
      <c r="O18" s="104" t="s">
        <v>87</v>
      </c>
      <c r="P18" s="187" t="s">
        <v>87</v>
      </c>
      <c r="Q18" s="1305">
        <f>Q16/P16</f>
        <v>0.99141408850831303</v>
      </c>
      <c r="AD18" s="25"/>
      <c r="AE18" s="25"/>
      <c r="AF18" s="25"/>
      <c r="AG18" s="25"/>
      <c r="AH18" s="25"/>
      <c r="AI18" s="25"/>
      <c r="AJ18" s="25"/>
      <c r="AK18" s="25"/>
      <c r="AL18" s="25"/>
      <c r="AM18" s="25"/>
      <c r="AN18" s="25"/>
      <c r="AO18" s="25"/>
      <c r="AP18" s="25"/>
      <c r="AQ18" s="25"/>
      <c r="AR18" s="25"/>
      <c r="AS18" s="25"/>
      <c r="AT18" s="25"/>
      <c r="AU18" s="25"/>
      <c r="AV18" s="25"/>
      <c r="AW18" s="25"/>
      <c r="AX18" s="25"/>
      <c r="AY18" s="235" t="s">
        <v>1384</v>
      </c>
      <c r="AZ18" s="231" t="s">
        <v>87</v>
      </c>
      <c r="BA18" s="209">
        <v>2</v>
      </c>
      <c r="BB18" s="25">
        <f t="shared" ref="BB18:BE19" si="0">$BA18</f>
        <v>2</v>
      </c>
      <c r="BC18" s="25">
        <f t="shared" si="0"/>
        <v>2</v>
      </c>
      <c r="BD18" s="25">
        <f t="shared" si="0"/>
        <v>2</v>
      </c>
      <c r="BE18" s="25">
        <f t="shared" si="0"/>
        <v>2</v>
      </c>
      <c r="BF18" s="25"/>
      <c r="BG18" s="25">
        <f>BA18</f>
        <v>2</v>
      </c>
      <c r="BH18" s="25"/>
      <c r="BI18" s="6"/>
      <c r="BJ18" s="43"/>
      <c r="BK18" s="6"/>
      <c r="BL18" s="6"/>
      <c r="BM18" s="194"/>
      <c r="BN18" s="43"/>
      <c r="BO18" s="43"/>
      <c r="BP18" s="43"/>
      <c r="BQ18" s="43"/>
      <c r="BR18" s="43"/>
      <c r="BS18" s="93"/>
    </row>
    <row r="19" spans="2:71">
      <c r="B19" s="25"/>
      <c r="C19" s="6" t="s">
        <v>2661</v>
      </c>
      <c r="D19" s="6" t="s">
        <v>2663</v>
      </c>
      <c r="E19" s="6" t="s">
        <v>2649</v>
      </c>
      <c r="F19" s="271">
        <v>100</v>
      </c>
      <c r="H19" s="25"/>
      <c r="I19" s="112" t="s">
        <v>784</v>
      </c>
      <c r="J19" s="68"/>
      <c r="K19" s="68"/>
      <c r="L19" s="68"/>
      <c r="M19" s="68"/>
      <c r="N19" s="104" t="s">
        <v>68</v>
      </c>
      <c r="O19" s="104" t="s">
        <v>780</v>
      </c>
      <c r="P19" s="266">
        <f>F11</f>
        <v>0.5</v>
      </c>
      <c r="Q19" s="1308">
        <f>F40</f>
        <v>2.9995368792739576</v>
      </c>
      <c r="T19" s="25"/>
      <c r="U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35" t="s">
        <v>1385</v>
      </c>
      <c r="AZ19" s="231" t="s">
        <v>188</v>
      </c>
      <c r="BA19" s="209">
        <v>6</v>
      </c>
      <c r="BB19" s="25">
        <f t="shared" si="0"/>
        <v>6</v>
      </c>
      <c r="BC19" s="25">
        <f t="shared" si="0"/>
        <v>6</v>
      </c>
      <c r="BD19" s="25">
        <f t="shared" si="0"/>
        <v>6</v>
      </c>
      <c r="BE19" s="25">
        <f t="shared" si="0"/>
        <v>6</v>
      </c>
      <c r="BF19" s="25"/>
      <c r="BG19" s="25">
        <f>BA19</f>
        <v>6</v>
      </c>
      <c r="BH19" s="25"/>
      <c r="BI19" s="6"/>
      <c r="BJ19" s="43"/>
      <c r="BK19" s="6"/>
      <c r="BL19" s="6"/>
      <c r="BM19" s="194"/>
      <c r="BN19" s="43"/>
      <c r="BO19" s="43"/>
      <c r="BP19" s="43"/>
      <c r="BQ19" s="43"/>
      <c r="BR19" s="43"/>
      <c r="BS19" s="93"/>
    </row>
    <row r="20" spans="2:71">
      <c r="B20" s="25"/>
      <c r="C20" s="6" t="s">
        <v>2664</v>
      </c>
      <c r="D20" s="6" t="s">
        <v>782</v>
      </c>
      <c r="E20" s="6" t="s">
        <v>2743</v>
      </c>
      <c r="F20" s="271">
        <v>10</v>
      </c>
      <c r="G20" s="25"/>
      <c r="H20" s="25"/>
      <c r="I20" s="112" t="s">
        <v>760</v>
      </c>
      <c r="J20" s="68"/>
      <c r="K20" s="68"/>
      <c r="L20" s="68"/>
      <c r="M20" s="68"/>
      <c r="N20" s="68" t="s">
        <v>761</v>
      </c>
      <c r="O20" s="68" t="s">
        <v>590</v>
      </c>
      <c r="P20" s="293">
        <f>F7</f>
        <v>250</v>
      </c>
      <c r="Q20" s="1309">
        <f>IF('2'!F21&gt;4,0,IF('3'!$J$21=1,($Q$18^$F$14)*$F$7,
  IF('3'!$J$21=2,($Q$18^$F$14)*$F$7,
  IF('3'!$J$21=3,($Q$18^$F$14)*$F$7,
  IF('3'!$J$21=4,1.67*((Q16)^0.803),
  IF('3'!$J$21=5,((4*((Q16)^0.809))+$F$65),
                            ((4*((Q16)^0.809))+$F$65)))))))</f>
        <v>253.1999021021748</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35" t="s">
        <v>1386</v>
      </c>
      <c r="AZ20" s="231" t="s">
        <v>1387</v>
      </c>
      <c r="BA20" s="1028">
        <v>1520.699218079016</v>
      </c>
      <c r="BB20" s="1028">
        <v>1439.5604169641786</v>
      </c>
      <c r="BC20" s="1028">
        <v>1351.3432257495028</v>
      </c>
      <c r="BD20" s="1028">
        <v>1506.7394129964387</v>
      </c>
      <c r="BE20" s="1028">
        <v>1431.930433453681</v>
      </c>
      <c r="BF20" s="43"/>
      <c r="BG20" s="1028">
        <v>1731.5439653981284</v>
      </c>
      <c r="BH20" s="25"/>
      <c r="BI20" s="192"/>
      <c r="BJ20" s="192"/>
      <c r="BK20" s="192"/>
      <c r="BL20" s="192"/>
      <c r="BM20" s="192"/>
      <c r="BN20" s="192"/>
      <c r="BO20" s="192"/>
      <c r="BP20" s="43"/>
      <c r="BQ20" s="43"/>
      <c r="BR20" s="43"/>
      <c r="BS20" s="93"/>
    </row>
    <row r="21" spans="2:71">
      <c r="B21" s="25"/>
      <c r="C21" s="6" t="s">
        <v>2664</v>
      </c>
      <c r="D21" s="6" t="s">
        <v>782</v>
      </c>
      <c r="E21" s="6" t="s">
        <v>2742</v>
      </c>
      <c r="F21" s="1272">
        <f>F20*1.34102209</f>
        <v>13.410220900000001</v>
      </c>
      <c r="G21" s="25"/>
      <c r="H21" s="25"/>
      <c r="I21" s="112" t="s">
        <v>478</v>
      </c>
      <c r="J21" s="68"/>
      <c r="K21" s="68"/>
      <c r="L21" s="68"/>
      <c r="M21" s="68"/>
      <c r="N21" s="265" t="s">
        <v>762</v>
      </c>
      <c r="O21" s="265" t="s">
        <v>359</v>
      </c>
      <c r="P21" s="68">
        <f>F8</f>
        <v>33.65</v>
      </c>
      <c r="Q21" s="1309">
        <f>IF('2'!F21&gt;4,0,IF('3'!$J$21=1,($Q$18^(((2*$F$14)-1)/2))*$F$8,
  IF('3'!$J$21=2,($Q$18^(((2*$F$14)-1)/2))*$F$8,
  IF('3'!$J$21=3,($Q$18^$F$14)*$F$8,
  IF('3'!$J$21=4,4.14*((Q16)^0.373),
  IF('3'!$J$21=5,((6.27*((Q16)^0.31))),
                            ((6.27*((Q16)^0.31)))))))))</f>
        <v>30.728812902360897</v>
      </c>
      <c r="AG21" s="25"/>
      <c r="AH21" s="25"/>
      <c r="AI21" s="25"/>
      <c r="AJ21" s="25"/>
      <c r="AK21" s="25"/>
      <c r="AL21" s="25"/>
      <c r="AM21" s="25"/>
      <c r="AN21" s="25"/>
      <c r="AO21" s="25"/>
      <c r="AP21" s="25"/>
      <c r="AQ21" s="25"/>
      <c r="AR21" s="25"/>
      <c r="AS21" s="25"/>
      <c r="AT21" s="25"/>
      <c r="AU21" s="25"/>
      <c r="AV21" s="25"/>
      <c r="AW21" s="25"/>
      <c r="AX21" s="25"/>
      <c r="AY21" s="235" t="s">
        <v>1388</v>
      </c>
      <c r="AZ21" s="231" t="s">
        <v>1389</v>
      </c>
      <c r="BA21" s="251">
        <f>'7b'!BA83</f>
        <v>25.344986967983598</v>
      </c>
      <c r="BB21" s="35">
        <f>'7b'!BA137</f>
        <v>23.992673616069641</v>
      </c>
      <c r="BC21" s="35">
        <f>'7b'!BA191</f>
        <v>22.522387095825046</v>
      </c>
      <c r="BD21" s="35">
        <f>'7b'!BA245</f>
        <v>25.112323549940644</v>
      </c>
      <c r="BE21" s="35">
        <f>'7b'!BA299</f>
        <v>23.865507224228015</v>
      </c>
      <c r="BF21" s="25"/>
      <c r="BG21" s="35">
        <f>'7b'!BA353</f>
        <v>28.859066089968806</v>
      </c>
      <c r="BH21" s="25"/>
      <c r="BI21" s="1322"/>
      <c r="BJ21" s="192"/>
      <c r="BK21" s="192"/>
      <c r="BL21" s="1322"/>
      <c r="BM21" s="1323"/>
      <c r="BN21" s="192"/>
      <c r="BO21" s="192"/>
      <c r="BP21" s="43"/>
      <c r="BQ21" s="43"/>
      <c r="BR21" s="43"/>
      <c r="BS21" s="93"/>
    </row>
    <row r="22" spans="2:71">
      <c r="B22" s="25"/>
      <c r="C22" s="6" t="s">
        <v>2667</v>
      </c>
      <c r="D22" s="6" t="s">
        <v>2677</v>
      </c>
      <c r="E22" s="6" t="s">
        <v>2617</v>
      </c>
      <c r="F22" s="1293">
        <v>150</v>
      </c>
      <c r="G22" s="25"/>
      <c r="H22" s="25"/>
      <c r="I22" s="112" t="s">
        <v>763</v>
      </c>
      <c r="J22" s="68"/>
      <c r="K22" s="68"/>
      <c r="L22" s="68"/>
      <c r="M22" s="68"/>
      <c r="N22" s="265" t="s">
        <v>764</v>
      </c>
      <c r="O22" s="265" t="s">
        <v>359</v>
      </c>
      <c r="P22" s="68">
        <f>F9</f>
        <v>34.25</v>
      </c>
      <c r="Q22" s="1309">
        <f>IF('2'!F21&gt;4,0,IF('3'!$J$21=1,($Q$18^0.5)*$F$9,
  IF('3'!$J$21=2,($Q$18^0.5)*$F$9,
  IF('3'!$J$21=3,($Q$18^0.5)*$F$9,
  IF('3'!$J$21=4,9.48*((Q16)^0.12),
  IF('3'!$J$21=5,((20.2*((Q16)^0.13))+$F$66),
                            ((20.2*((Q16)^0.13))+$F$66)))))))</f>
        <v>39.338961457452669</v>
      </c>
      <c r="AG22" s="25"/>
      <c r="AH22" s="25"/>
      <c r="AI22" s="25"/>
      <c r="AJ22" s="25"/>
      <c r="AK22" s="25"/>
      <c r="AL22" s="25"/>
      <c r="AM22" s="25"/>
      <c r="AN22" s="25"/>
      <c r="AO22" s="25"/>
      <c r="AP22" s="25"/>
      <c r="AQ22" s="25"/>
      <c r="AR22" s="25"/>
      <c r="AS22" s="25"/>
      <c r="AT22" s="25"/>
      <c r="AU22" s="25"/>
      <c r="AV22" s="25"/>
      <c r="AW22" s="25"/>
      <c r="AX22" s="25"/>
      <c r="AY22" s="235" t="s">
        <v>1422</v>
      </c>
      <c r="AZ22" s="231" t="s">
        <v>1392</v>
      </c>
      <c r="BA22" s="251">
        <f>'7b'!BA84</f>
        <v>159.24724972789264</v>
      </c>
      <c r="BB22" s="35">
        <f>'7b'!BA138</f>
        <v>150.7504143444441</v>
      </c>
      <c r="BC22" s="35">
        <f>'7b'!BA192</f>
        <v>141.51233168309903</v>
      </c>
      <c r="BD22" s="35">
        <f>'7b'!BA246</f>
        <v>157.78538235812695</v>
      </c>
      <c r="BE22" s="35">
        <f>'7b'!BA300</f>
        <v>149.95140433965773</v>
      </c>
      <c r="BF22" s="25"/>
      <c r="BG22" s="35">
        <f>'7b'!BA354</f>
        <v>181.32686003541664</v>
      </c>
      <c r="BH22" s="25"/>
      <c r="BI22" s="1322"/>
      <c r="BJ22" s="192"/>
      <c r="BK22" s="192"/>
      <c r="BL22" s="1322"/>
      <c r="BM22" s="1323"/>
      <c r="BN22" s="192"/>
      <c r="BO22" s="192"/>
      <c r="BP22" s="43"/>
      <c r="BQ22" s="43"/>
      <c r="BR22" s="43"/>
      <c r="BS22" s="93"/>
    </row>
    <row r="23" spans="2:71">
      <c r="B23" s="25"/>
      <c r="G23" s="25"/>
      <c r="H23" s="25"/>
      <c r="I23" s="109"/>
      <c r="J23" s="68"/>
      <c r="K23" s="68"/>
      <c r="L23" s="68"/>
      <c r="M23" s="68"/>
      <c r="N23" s="68"/>
      <c r="O23" s="68"/>
      <c r="P23" s="68"/>
      <c r="Q23" s="108"/>
      <c r="AG23" s="25"/>
      <c r="AH23" s="25"/>
      <c r="AI23" s="25"/>
      <c r="AJ23" s="25"/>
      <c r="AK23" s="25"/>
      <c r="AL23" s="25"/>
      <c r="AM23" s="25"/>
      <c r="AN23" s="25"/>
      <c r="AO23" s="25"/>
      <c r="AP23" s="25"/>
      <c r="AQ23" s="25"/>
      <c r="AR23" s="25"/>
      <c r="AS23" s="25"/>
      <c r="AT23" s="25"/>
      <c r="AU23" s="25"/>
      <c r="AV23" s="25"/>
      <c r="AW23" s="25"/>
      <c r="AX23" s="25"/>
      <c r="AY23" s="235" t="s">
        <v>1423</v>
      </c>
      <c r="AZ23" s="231" t="s">
        <v>658</v>
      </c>
      <c r="BA23" s="251">
        <f>'7b'!BA85</f>
        <v>477.74174918367794</v>
      </c>
      <c r="BB23" s="35">
        <f>'7b'!BA139</f>
        <v>452.25124303333229</v>
      </c>
      <c r="BC23" s="35">
        <f>'7b'!BA193</f>
        <v>424.5369950492971</v>
      </c>
      <c r="BD23" s="35">
        <f>'7b'!BA247</f>
        <v>473.35614707438083</v>
      </c>
      <c r="BE23" s="35">
        <f>'7b'!BA301</f>
        <v>449.85421301897316</v>
      </c>
      <c r="BF23" s="25"/>
      <c r="BG23" s="35">
        <f>'7b'!BA355</f>
        <v>543.98058010624993</v>
      </c>
      <c r="BH23" s="25"/>
      <c r="BI23" s="192"/>
      <c r="BJ23" s="192"/>
      <c r="BK23" s="192"/>
      <c r="BL23" s="192"/>
      <c r="BM23" s="192"/>
      <c r="BN23" s="192"/>
      <c r="BO23" s="192"/>
      <c r="BP23" s="43"/>
      <c r="BQ23" s="43"/>
      <c r="BR23" s="43"/>
      <c r="BS23" s="93"/>
    </row>
    <row r="24" spans="2:71" ht="15.6">
      <c r="B24" s="25"/>
      <c r="C24" s="1263" t="s">
        <v>2697</v>
      </c>
      <c r="D24" s="2"/>
      <c r="E24" s="2"/>
      <c r="F24" s="2" t="s">
        <v>70</v>
      </c>
      <c r="G24" s="2" t="s">
        <v>70</v>
      </c>
      <c r="H24" s="25"/>
      <c r="I24" s="112" t="s">
        <v>2639</v>
      </c>
      <c r="J24" s="68"/>
      <c r="K24" s="68"/>
      <c r="L24" s="68"/>
      <c r="M24" s="68"/>
      <c r="N24" s="104" t="s">
        <v>2640</v>
      </c>
      <c r="O24" s="1194" t="s">
        <v>87</v>
      </c>
      <c r="P24" s="187" t="s">
        <v>87</v>
      </c>
      <c r="Q24" s="1306">
        <f>'3'!J32</f>
        <v>0</v>
      </c>
      <c r="AG24" s="25"/>
      <c r="AH24" s="25"/>
      <c r="AI24" s="25"/>
      <c r="AJ24" s="25"/>
      <c r="AK24" s="25"/>
      <c r="AL24" s="25"/>
      <c r="AM24" s="25"/>
      <c r="AN24" s="25"/>
      <c r="AO24" s="25"/>
      <c r="AP24" s="25"/>
      <c r="AQ24" s="25"/>
      <c r="AR24" s="25"/>
      <c r="AS24" s="25"/>
      <c r="AT24" s="25"/>
      <c r="AU24" s="25"/>
      <c r="AV24" s="25"/>
      <c r="AW24" s="25"/>
      <c r="AX24" s="25"/>
      <c r="AY24" s="235" t="s">
        <v>1395</v>
      </c>
      <c r="AZ24" s="231" t="s">
        <v>87</v>
      </c>
      <c r="BA24" s="248">
        <f>'7b'!BA86</f>
        <v>0.4385862424859045</v>
      </c>
      <c r="BB24" s="34">
        <f>'7b'!BA140</f>
        <v>0.41004625421354546</v>
      </c>
      <c r="BC24" s="34">
        <f>'7b'!BA194</f>
        <v>0.38491835517676748</v>
      </c>
      <c r="BD24" s="34">
        <f>'7b'!BA248</f>
        <v>0.43934295818095365</v>
      </c>
      <c r="BE24" s="34">
        <f>'7b'!BA302</f>
        <v>0.40787291982526835</v>
      </c>
      <c r="BF24" s="25"/>
      <c r="BG24" s="34">
        <f>'7b'!BA356</f>
        <v>0.48727187884613649</v>
      </c>
      <c r="BH24" s="25"/>
      <c r="BI24" s="192"/>
      <c r="BJ24" s="192"/>
      <c r="BK24" s="192"/>
      <c r="BL24" s="192"/>
      <c r="BM24" s="192"/>
      <c r="BN24" s="192"/>
      <c r="BO24" s="192"/>
      <c r="BP24" s="43"/>
      <c r="BQ24" s="43"/>
      <c r="BR24" s="43"/>
      <c r="BS24" s="93"/>
    </row>
    <row r="25" spans="2:71">
      <c r="B25" s="25"/>
      <c r="C25" s="1" t="s">
        <v>641</v>
      </c>
      <c r="D25" s="1" t="s">
        <v>89</v>
      </c>
      <c r="E25" s="1" t="s">
        <v>90</v>
      </c>
      <c r="F25" s="1" t="s">
        <v>2614</v>
      </c>
      <c r="G25" s="1" t="s">
        <v>2615</v>
      </c>
      <c r="H25" s="25"/>
      <c r="I25" s="112" t="s">
        <v>2713</v>
      </c>
      <c r="J25" s="68"/>
      <c r="K25" s="68"/>
      <c r="L25" s="68"/>
      <c r="M25" s="68"/>
      <c r="N25" s="104" t="s">
        <v>87</v>
      </c>
      <c r="O25" s="104" t="s">
        <v>87</v>
      </c>
      <c r="P25" s="68"/>
      <c r="Q25" s="1301" t="str">
        <f>F17</f>
        <v>n/a</v>
      </c>
      <c r="AG25" s="25"/>
      <c r="AH25" s="25"/>
      <c r="AI25" s="25"/>
      <c r="AJ25" s="25"/>
      <c r="AK25" s="25"/>
      <c r="AL25" s="25"/>
      <c r="AM25" s="25"/>
      <c r="AN25" s="25"/>
      <c r="AO25" s="25"/>
      <c r="AP25" s="25"/>
      <c r="AQ25" s="25"/>
      <c r="AR25" s="25"/>
      <c r="AS25" s="25"/>
      <c r="AT25" s="25"/>
      <c r="AU25" s="25"/>
      <c r="AV25" s="25"/>
      <c r="AW25" s="25"/>
      <c r="AX25" s="25"/>
      <c r="AY25" s="235" t="s">
        <v>1396</v>
      </c>
      <c r="AZ25" s="231" t="s">
        <v>1397</v>
      </c>
      <c r="BA25" s="248">
        <f>'7b'!BA87</f>
        <v>1.1469105686040688</v>
      </c>
      <c r="BB25" s="34">
        <f>'7b'!BA141</f>
        <v>1.1507914426233761</v>
      </c>
      <c r="BC25" s="34">
        <f>'7b'!BA195</f>
        <v>1.1441886306804321</v>
      </c>
      <c r="BD25" s="34">
        <f>'7b'!BA249</f>
        <v>1.1444695538188336</v>
      </c>
      <c r="BE25" s="34">
        <f>'7b'!BA303</f>
        <v>1.1569233883702517</v>
      </c>
      <c r="BF25" s="25"/>
      <c r="BG25" s="34">
        <f>'7b'!BA357</f>
        <v>0.52673222177774337</v>
      </c>
      <c r="BH25" s="25"/>
      <c r="BI25" s="43"/>
      <c r="BJ25" s="43"/>
      <c r="BK25" s="43"/>
      <c r="BL25" s="43"/>
      <c r="BM25" s="43"/>
      <c r="BN25" s="43"/>
      <c r="BO25" s="43"/>
      <c r="BP25" s="43"/>
      <c r="BQ25" s="43"/>
      <c r="BR25" s="43"/>
      <c r="BS25" s="93"/>
    </row>
    <row r="26" spans="2:71">
      <c r="B26" s="25"/>
      <c r="C26" s="2" t="s">
        <v>2575</v>
      </c>
      <c r="D26" s="2" t="s">
        <v>87</v>
      </c>
      <c r="E26" s="2" t="s">
        <v>87</v>
      </c>
      <c r="F26" s="1264" t="s">
        <v>76</v>
      </c>
      <c r="G26" s="1265" t="s">
        <v>2571</v>
      </c>
      <c r="H26" s="25"/>
      <c r="I26" s="112" t="s">
        <v>2714</v>
      </c>
      <c r="J26" s="68"/>
      <c r="K26" s="68"/>
      <c r="L26" s="68"/>
      <c r="M26" s="68"/>
      <c r="N26" s="104" t="s">
        <v>87</v>
      </c>
      <c r="O26" s="104" t="s">
        <v>87</v>
      </c>
      <c r="P26" s="68"/>
      <c r="Q26" s="1301" t="str">
        <f>F18</f>
        <v>n/a</v>
      </c>
      <c r="AG26" s="25"/>
      <c r="AH26" s="25"/>
      <c r="AI26" s="25"/>
      <c r="AJ26" s="25"/>
      <c r="AK26" s="25"/>
      <c r="AL26" s="25"/>
      <c r="AM26" s="25"/>
      <c r="AN26" s="25"/>
      <c r="AO26" s="25"/>
      <c r="AP26" s="25"/>
      <c r="AQ26" s="25"/>
      <c r="AR26" s="25"/>
      <c r="AS26" s="25"/>
      <c r="AT26" s="25"/>
      <c r="AU26" s="25"/>
      <c r="AV26" s="25"/>
      <c r="AW26" s="25"/>
      <c r="AX26" s="25"/>
      <c r="AY26" s="235" t="s">
        <v>1424</v>
      </c>
      <c r="AZ26" s="231" t="s">
        <v>87</v>
      </c>
      <c r="BA26" s="248">
        <f>'7b'!BA88</f>
        <v>0.36507297255534782</v>
      </c>
      <c r="BB26" s="34">
        <f>'7b'!BA142</f>
        <v>0.36630829312272711</v>
      </c>
      <c r="BC26" s="34">
        <f>'7b'!BA196</f>
        <v>0.36420655280467568</v>
      </c>
      <c r="BD26" s="34">
        <f>'7b'!BA250</f>
        <v>0.36429597341688663</v>
      </c>
      <c r="BE26" s="34">
        <f>'7b'!BA304</f>
        <v>0.36826015207550028</v>
      </c>
      <c r="BF26" s="25"/>
      <c r="BG26" s="34">
        <f>'7b'!BA358</f>
        <v>0.16766407356340868</v>
      </c>
      <c r="BH26" s="25"/>
      <c r="BI26" s="25"/>
      <c r="BJ26" s="25"/>
      <c r="BK26" s="25"/>
      <c r="BL26" s="25"/>
      <c r="BM26" s="25"/>
      <c r="BN26" s="25"/>
      <c r="BO26" s="25"/>
      <c r="BP26" s="25"/>
      <c r="BQ26" s="25"/>
      <c r="BR26" s="25"/>
      <c r="BS26" s="26"/>
    </row>
    <row r="27" spans="2:71">
      <c r="B27" s="25"/>
      <c r="C27" s="2" t="s">
        <v>2616</v>
      </c>
      <c r="D27" s="2" t="s">
        <v>2679</v>
      </c>
      <c r="E27" s="2" t="s">
        <v>2617</v>
      </c>
      <c r="F27" s="1314">
        <f>F28*2326/3600</f>
        <v>12017.666666666666</v>
      </c>
      <c r="G27" s="1293">
        <v>150</v>
      </c>
      <c r="H27" s="25"/>
      <c r="I27" s="112" t="s">
        <v>2740</v>
      </c>
      <c r="J27" s="68"/>
      <c r="K27" s="68"/>
      <c r="L27" s="68"/>
      <c r="M27" s="68"/>
      <c r="N27" s="104" t="s">
        <v>783</v>
      </c>
      <c r="O27" s="104" t="s">
        <v>2665</v>
      </c>
      <c r="P27" s="187" t="s">
        <v>87</v>
      </c>
      <c r="Q27" s="1304">
        <f>'3'!E43</f>
        <v>7.0000000000000001E-3</v>
      </c>
      <c r="AG27" s="25"/>
      <c r="AH27" s="25"/>
      <c r="AI27" s="25"/>
      <c r="AJ27" s="25"/>
      <c r="AK27" s="25"/>
      <c r="AL27" s="25"/>
      <c r="AM27" s="25"/>
      <c r="AN27" s="25"/>
      <c r="AO27" s="25"/>
      <c r="AP27" s="25"/>
      <c r="AQ27" s="25"/>
      <c r="AR27" s="25"/>
      <c r="AS27" s="25"/>
      <c r="AT27" s="25"/>
      <c r="AU27" s="25"/>
      <c r="AV27" s="25"/>
      <c r="AW27" s="25"/>
      <c r="AX27" s="25"/>
      <c r="AY27" s="235" t="s">
        <v>1401</v>
      </c>
      <c r="AZ27" s="231" t="s">
        <v>1402</v>
      </c>
      <c r="BA27" s="1030">
        <v>6</v>
      </c>
      <c r="BB27" s="88">
        <f t="shared" ref="BB27:BE31" si="1">$BA27</f>
        <v>6</v>
      </c>
      <c r="BC27" s="88">
        <f t="shared" si="1"/>
        <v>6</v>
      </c>
      <c r="BD27" s="88">
        <f t="shared" si="1"/>
        <v>6</v>
      </c>
      <c r="BE27" s="88">
        <f t="shared" si="1"/>
        <v>6</v>
      </c>
      <c r="BF27" s="25"/>
      <c r="BG27" s="88">
        <f>$BA27</f>
        <v>6</v>
      </c>
      <c r="BH27" s="25"/>
      <c r="BI27" s="25"/>
      <c r="BJ27" s="25"/>
      <c r="BK27" s="25"/>
      <c r="BL27" s="25"/>
      <c r="BM27" s="25"/>
      <c r="BN27" s="25"/>
      <c r="BO27" s="25"/>
      <c r="BP27" s="25"/>
      <c r="BQ27" s="25"/>
      <c r="BR27" s="25"/>
      <c r="BS27" s="26"/>
    </row>
    <row r="28" spans="2:71">
      <c r="B28" s="25"/>
      <c r="C28" s="2" t="s">
        <v>2616</v>
      </c>
      <c r="D28" s="2" t="s">
        <v>2679</v>
      </c>
      <c r="E28" s="2" t="s">
        <v>2618</v>
      </c>
      <c r="F28" s="1313">
        <v>18600</v>
      </c>
      <c r="G28" s="1249">
        <f>G27*3600/2326</f>
        <v>232.15821152192606</v>
      </c>
      <c r="H28" s="25"/>
      <c r="I28" s="112" t="s">
        <v>2741</v>
      </c>
      <c r="J28" s="68"/>
      <c r="K28" s="68"/>
      <c r="L28" s="68"/>
      <c r="M28" s="68"/>
      <c r="N28" s="104" t="s">
        <v>782</v>
      </c>
      <c r="O28" s="104" t="s">
        <v>785</v>
      </c>
      <c r="P28" s="187" t="s">
        <v>87</v>
      </c>
      <c r="Q28" s="71">
        <f>Q27*'2'!P44</f>
        <v>8.7391315949992041</v>
      </c>
      <c r="T28" s="25"/>
      <c r="U28" s="25"/>
      <c r="AA28" s="25"/>
      <c r="AG28" s="25"/>
      <c r="AH28" s="25"/>
      <c r="AI28" s="25"/>
      <c r="AJ28" s="25"/>
      <c r="AK28" s="25"/>
      <c r="AL28" s="25"/>
      <c r="AM28" s="25"/>
      <c r="AN28" s="25"/>
      <c r="AO28" s="25"/>
      <c r="AP28" s="25"/>
      <c r="AQ28" s="25"/>
      <c r="AR28" s="25"/>
      <c r="AS28" s="25"/>
      <c r="AT28" s="25"/>
      <c r="AU28" s="25"/>
      <c r="AV28" s="25"/>
      <c r="AW28" s="25"/>
      <c r="AX28" s="25"/>
      <c r="AY28" s="235" t="s">
        <v>86</v>
      </c>
      <c r="AZ28" s="231"/>
      <c r="BA28" s="209">
        <v>6.0000000000000001E-3</v>
      </c>
      <c r="BB28" s="25">
        <f t="shared" si="1"/>
        <v>6.0000000000000001E-3</v>
      </c>
      <c r="BC28" s="25">
        <f t="shared" si="1"/>
        <v>6.0000000000000001E-3</v>
      </c>
      <c r="BD28" s="25">
        <f t="shared" si="1"/>
        <v>6.0000000000000001E-3</v>
      </c>
      <c r="BE28" s="25">
        <f t="shared" si="1"/>
        <v>6.0000000000000001E-3</v>
      </c>
      <c r="BF28" s="25"/>
      <c r="BG28" s="25">
        <f>$BA28</f>
        <v>6.0000000000000001E-3</v>
      </c>
      <c r="BH28" s="25"/>
      <c r="BI28" s="25"/>
      <c r="BJ28" s="25"/>
      <c r="BK28" s="25"/>
      <c r="BL28" s="25"/>
      <c r="BM28" s="25"/>
      <c r="BN28" s="25"/>
      <c r="BO28" s="25"/>
      <c r="BP28" s="25"/>
      <c r="BQ28" s="25"/>
      <c r="BR28" s="25"/>
      <c r="BS28" s="26"/>
    </row>
    <row r="29" spans="2:71" ht="18.600000000000001">
      <c r="B29" s="25"/>
      <c r="C29" s="2" t="s">
        <v>2620</v>
      </c>
      <c r="D29" s="1295" t="s">
        <v>2681</v>
      </c>
      <c r="E29" s="2" t="s">
        <v>87</v>
      </c>
      <c r="F29" s="1268">
        <v>0.40475938554121854</v>
      </c>
      <c r="G29" s="1269">
        <v>1</v>
      </c>
      <c r="H29" s="25"/>
      <c r="I29" s="112" t="s">
        <v>2670</v>
      </c>
      <c r="J29" s="68"/>
      <c r="K29" s="68"/>
      <c r="L29" s="68"/>
      <c r="M29" s="68"/>
      <c r="N29" s="104" t="s">
        <v>782</v>
      </c>
      <c r="O29" s="104" t="s">
        <v>2742</v>
      </c>
      <c r="P29" s="1033">
        <f>F21</f>
        <v>13.410220900000001</v>
      </c>
      <c r="Q29" s="1307">
        <f>IF(Q24=0,0,Q28/Q24)</f>
        <v>0</v>
      </c>
      <c r="T29" s="25"/>
      <c r="U29" s="25"/>
      <c r="AA29" s="25"/>
      <c r="AG29" s="25"/>
      <c r="AH29" s="25"/>
      <c r="AI29" s="25"/>
      <c r="AJ29" s="25"/>
      <c r="AK29" s="25"/>
      <c r="AL29" s="25"/>
      <c r="AM29" s="25"/>
      <c r="AN29" s="25"/>
      <c r="AO29" s="25"/>
      <c r="AP29" s="25"/>
      <c r="AQ29" s="25"/>
      <c r="AR29" s="25"/>
      <c r="AS29" s="25"/>
      <c r="AT29" s="25"/>
      <c r="AU29" s="25"/>
      <c r="AV29" s="25"/>
      <c r="AW29" s="25"/>
      <c r="AX29" s="25"/>
      <c r="AY29" s="235" t="s">
        <v>1405</v>
      </c>
      <c r="AZ29" s="231"/>
      <c r="BA29" s="1030">
        <v>0.01</v>
      </c>
      <c r="BB29" s="25">
        <f t="shared" si="1"/>
        <v>0.01</v>
      </c>
      <c r="BC29" s="25">
        <f t="shared" si="1"/>
        <v>0.01</v>
      </c>
      <c r="BD29" s="25">
        <f t="shared" si="1"/>
        <v>0.01</v>
      </c>
      <c r="BE29" s="25">
        <f t="shared" si="1"/>
        <v>0.01</v>
      </c>
      <c r="BF29" s="25"/>
      <c r="BG29" s="25">
        <f>$BA29</f>
        <v>0.01</v>
      </c>
      <c r="BH29" s="25"/>
      <c r="BI29" s="25"/>
      <c r="BJ29" s="25"/>
      <c r="BK29" s="25"/>
      <c r="BL29" s="25"/>
      <c r="BM29" s="25"/>
      <c r="BN29" s="25"/>
      <c r="BO29" s="25"/>
      <c r="BP29" s="25"/>
      <c r="BQ29" s="25"/>
      <c r="BR29" s="25"/>
      <c r="BS29" s="26"/>
    </row>
    <row r="30" spans="2:71" ht="18.600000000000001">
      <c r="B30" s="25"/>
      <c r="C30" s="2" t="s">
        <v>2619</v>
      </c>
      <c r="D30" s="1296" t="s">
        <v>2682</v>
      </c>
      <c r="E30" s="2" t="s">
        <v>87</v>
      </c>
      <c r="F30" s="1271">
        <f>PRODUCT(F31:F35)</f>
        <v>1</v>
      </c>
      <c r="G30" s="1271">
        <f>PRODUCT(G31:G35)</f>
        <v>0.86676099999999978</v>
      </c>
      <c r="H30" s="25"/>
      <c r="I30" s="112" t="s">
        <v>2647</v>
      </c>
      <c r="J30" s="68"/>
      <c r="K30" s="68"/>
      <c r="L30" s="68"/>
      <c r="M30" s="68"/>
      <c r="N30" s="104" t="s">
        <v>598</v>
      </c>
      <c r="O30" s="104" t="s">
        <v>2649</v>
      </c>
      <c r="P30" s="1033">
        <f>P29*G39</f>
        <v>67.051104500000008</v>
      </c>
      <c r="Q30" s="1307">
        <f>Q29*G39</f>
        <v>0</v>
      </c>
      <c r="T30" s="25"/>
      <c r="U30" s="25"/>
      <c r="AA30" s="25"/>
      <c r="AG30" s="25"/>
      <c r="AH30" s="25"/>
      <c r="AI30" s="25"/>
      <c r="AJ30" s="25"/>
      <c r="AK30" s="25"/>
      <c r="AL30" s="25"/>
      <c r="AM30" s="25"/>
      <c r="AN30" s="25"/>
      <c r="AO30" s="25"/>
      <c r="AP30" s="25"/>
      <c r="AQ30" s="25"/>
      <c r="AR30" s="25"/>
      <c r="AS30" s="25"/>
      <c r="AT30" s="25"/>
      <c r="AU30" s="25"/>
      <c r="AV30" s="25"/>
      <c r="AW30" s="25"/>
      <c r="AX30" s="25"/>
      <c r="AY30" s="235" t="s">
        <v>1407</v>
      </c>
      <c r="AZ30" s="231"/>
      <c r="BA30" s="1030">
        <v>0.15</v>
      </c>
      <c r="BB30" s="25">
        <f t="shared" si="1"/>
        <v>0.15</v>
      </c>
      <c r="BC30" s="25">
        <f t="shared" si="1"/>
        <v>0.15</v>
      </c>
      <c r="BD30" s="25">
        <f t="shared" si="1"/>
        <v>0.15</v>
      </c>
      <c r="BE30" s="25">
        <f t="shared" si="1"/>
        <v>0.15</v>
      </c>
      <c r="BF30" s="25"/>
      <c r="BG30" s="25">
        <f>$BA30</f>
        <v>0.15</v>
      </c>
      <c r="BH30" s="25"/>
      <c r="BI30" s="25"/>
      <c r="BJ30" s="25"/>
      <c r="BK30" s="27"/>
      <c r="BL30" s="25"/>
      <c r="BM30" s="25"/>
      <c r="BN30" s="25"/>
      <c r="BO30" s="25"/>
      <c r="BP30" s="25"/>
      <c r="BQ30" s="25"/>
      <c r="BR30" s="25"/>
      <c r="BS30" s="26"/>
    </row>
    <row r="31" spans="2:71" ht="18.600000000000001">
      <c r="B31" s="25"/>
      <c r="C31" s="2" t="s">
        <v>2690</v>
      </c>
      <c r="D31" s="1295" t="s">
        <v>2683</v>
      </c>
      <c r="E31" s="2" t="s">
        <v>87</v>
      </c>
      <c r="F31" s="1268">
        <v>1</v>
      </c>
      <c r="G31" s="1269">
        <v>1</v>
      </c>
      <c r="H31" s="25"/>
      <c r="I31" s="110" t="s">
        <v>2648</v>
      </c>
      <c r="J31" s="68"/>
      <c r="K31" s="68"/>
      <c r="L31" s="68"/>
      <c r="M31" s="68"/>
      <c r="N31" s="104" t="s">
        <v>775</v>
      </c>
      <c r="O31" s="104" t="s">
        <v>87</v>
      </c>
      <c r="P31" s="187" t="s">
        <v>87</v>
      </c>
      <c r="Q31" s="1345">
        <f>Q29/P29</f>
        <v>0</v>
      </c>
      <c r="S31" s="2"/>
      <c r="T31" s="25"/>
      <c r="U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46" t="s">
        <v>1425</v>
      </c>
      <c r="AZ31" s="223" t="s">
        <v>165</v>
      </c>
      <c r="BA31" s="1031">
        <v>-43.052736791726751</v>
      </c>
      <c r="BB31" s="1026">
        <f>$BA31</f>
        <v>-43.052736791726751</v>
      </c>
      <c r="BC31" s="25">
        <f t="shared" si="1"/>
        <v>-43.052736791726751</v>
      </c>
      <c r="BD31" s="1026">
        <f>$BA31</f>
        <v>-43.052736791726751</v>
      </c>
      <c r="BE31" s="25">
        <f t="shared" si="1"/>
        <v>-43.052736791726751</v>
      </c>
      <c r="BF31" s="25"/>
      <c r="BG31" s="25">
        <f>$BA31</f>
        <v>-43.052736791726751</v>
      </c>
      <c r="BH31" s="25"/>
      <c r="BI31" s="25"/>
      <c r="BJ31" s="25"/>
      <c r="BK31" s="25"/>
      <c r="BL31" s="25"/>
      <c r="BM31" s="25"/>
      <c r="BN31" s="25"/>
      <c r="BO31" s="25"/>
      <c r="BP31" s="25"/>
      <c r="BQ31" s="25"/>
      <c r="BR31" s="25"/>
      <c r="BS31" s="26"/>
    </row>
    <row r="32" spans="2:71" ht="18.600000000000001">
      <c r="B32" s="25"/>
      <c r="C32" s="2" t="s">
        <v>2689</v>
      </c>
      <c r="D32" s="1295" t="s">
        <v>2684</v>
      </c>
      <c r="E32" s="2" t="s">
        <v>87</v>
      </c>
      <c r="F32" s="1268">
        <v>1</v>
      </c>
      <c r="G32" s="1269">
        <v>0.95</v>
      </c>
      <c r="H32" s="25"/>
      <c r="I32" s="112" t="s">
        <v>2716</v>
      </c>
      <c r="J32" s="68"/>
      <c r="K32" s="68"/>
      <c r="L32" s="68"/>
      <c r="M32" s="68"/>
      <c r="N32" s="104" t="s">
        <v>2677</v>
      </c>
      <c r="O32" s="104" t="s">
        <v>2617</v>
      </c>
      <c r="P32" s="1033">
        <f>F22</f>
        <v>150</v>
      </c>
      <c r="Q32" s="71">
        <f>G27</f>
        <v>150</v>
      </c>
      <c r="T32" s="25"/>
      <c r="U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49" t="s">
        <v>1426</v>
      </c>
      <c r="AZ32" s="25" t="s">
        <v>165</v>
      </c>
      <c r="BA32" s="1368">
        <v>35.760591041524179</v>
      </c>
      <c r="BB32" s="1368">
        <f>BA32</f>
        <v>35.760591041524179</v>
      </c>
      <c r="BC32" s="777">
        <f>BA32</f>
        <v>35.760591041524179</v>
      </c>
      <c r="BD32" s="1368">
        <f>BA32</f>
        <v>35.760591041524179</v>
      </c>
      <c r="BE32" s="1368">
        <f>BA32</f>
        <v>35.760591041524179</v>
      </c>
      <c r="BF32" s="43"/>
      <c r="BG32" s="1368">
        <f>BA32</f>
        <v>35.760591041524179</v>
      </c>
      <c r="BH32" s="25"/>
      <c r="BI32" s="25"/>
      <c r="BJ32" s="25"/>
      <c r="BK32" s="25"/>
      <c r="BL32" s="25"/>
      <c r="BM32" s="25"/>
      <c r="BN32" s="25"/>
      <c r="BO32" s="25"/>
      <c r="BP32" s="25"/>
      <c r="BQ32" s="25"/>
      <c r="BR32" s="25"/>
      <c r="BS32" s="26"/>
    </row>
    <row r="33" spans="2:71" ht="18.600000000000001">
      <c r="B33" s="25"/>
      <c r="C33" s="2" t="s">
        <v>2693</v>
      </c>
      <c r="D33" s="1295" t="s">
        <v>2685</v>
      </c>
      <c r="E33" s="2" t="s">
        <v>87</v>
      </c>
      <c r="F33" s="1268">
        <v>1</v>
      </c>
      <c r="G33" s="1269">
        <v>0.98</v>
      </c>
      <c r="H33" s="25"/>
      <c r="I33" s="112" t="s">
        <v>2717</v>
      </c>
      <c r="J33" s="68"/>
      <c r="K33" s="68"/>
      <c r="L33" s="68"/>
      <c r="M33" s="68"/>
      <c r="N33" s="104" t="s">
        <v>2718</v>
      </c>
      <c r="O33" s="104" t="s">
        <v>2649</v>
      </c>
      <c r="P33" s="68">
        <f>F19</f>
        <v>100</v>
      </c>
      <c r="Q33" s="71">
        <f>G62</f>
        <v>0</v>
      </c>
      <c r="T33" s="25"/>
      <c r="U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49" t="s">
        <v>1427</v>
      </c>
      <c r="AZ33" s="25" t="s">
        <v>188</v>
      </c>
      <c r="BA33" s="1031">
        <v>0.5</v>
      </c>
      <c r="BB33" s="25">
        <f t="shared" ref="BB33:BE34" si="2">$BA33</f>
        <v>0.5</v>
      </c>
      <c r="BC33" s="25">
        <f t="shared" si="2"/>
        <v>0.5</v>
      </c>
      <c r="BD33" s="25">
        <f t="shared" si="2"/>
        <v>0.5</v>
      </c>
      <c r="BE33" s="25">
        <f t="shared" si="2"/>
        <v>0.5</v>
      </c>
      <c r="BF33" s="25"/>
      <c r="BG33" s="25">
        <f>$BA33</f>
        <v>0.5</v>
      </c>
      <c r="BH33" s="25"/>
      <c r="BI33" s="25"/>
      <c r="BJ33" s="25"/>
      <c r="BK33" s="25"/>
      <c r="BL33" s="25"/>
      <c r="BM33" s="25"/>
      <c r="BN33" s="25"/>
      <c r="BO33" s="25"/>
      <c r="BP33" s="25"/>
      <c r="BQ33" s="25"/>
      <c r="BR33" s="25"/>
      <c r="BS33" s="26"/>
    </row>
    <row r="34" spans="2:71" ht="18.600000000000001">
      <c r="B34" s="25"/>
      <c r="C34" s="2" t="s">
        <v>2691</v>
      </c>
      <c r="D34" s="1295" t="s">
        <v>2686</v>
      </c>
      <c r="E34" s="2" t="s">
        <v>87</v>
      </c>
      <c r="F34" s="1268">
        <v>1</v>
      </c>
      <c r="G34" s="1269">
        <v>0.95</v>
      </c>
      <c r="H34" s="25"/>
      <c r="I34" s="109"/>
      <c r="J34" s="68"/>
      <c r="K34" s="68"/>
      <c r="L34" s="68"/>
      <c r="M34" s="68"/>
      <c r="N34" s="68"/>
      <c r="O34" s="68"/>
      <c r="P34" s="68"/>
      <c r="Q34" s="108"/>
      <c r="T34" s="25"/>
      <c r="U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49" t="s">
        <v>1428</v>
      </c>
      <c r="AZ34" s="25" t="s">
        <v>188</v>
      </c>
      <c r="BA34" s="1031">
        <v>0.3</v>
      </c>
      <c r="BB34" s="25">
        <f t="shared" si="2"/>
        <v>0.3</v>
      </c>
      <c r="BC34" s="25">
        <f t="shared" si="2"/>
        <v>0.3</v>
      </c>
      <c r="BD34" s="25">
        <f t="shared" si="2"/>
        <v>0.3</v>
      </c>
      <c r="BE34" s="25">
        <f t="shared" si="2"/>
        <v>0.3</v>
      </c>
      <c r="BF34" s="25"/>
      <c r="BG34" s="25">
        <f>$BA34</f>
        <v>0.3</v>
      </c>
      <c r="BH34" s="25"/>
      <c r="BI34" s="25"/>
      <c r="BJ34" s="25"/>
      <c r="BK34" s="25"/>
      <c r="BL34" s="25"/>
      <c r="BM34" s="25"/>
      <c r="BN34" s="25"/>
      <c r="BO34" s="25"/>
      <c r="BP34" s="25"/>
      <c r="BQ34" s="25"/>
      <c r="BR34" s="25"/>
      <c r="BS34" s="26"/>
    </row>
    <row r="35" spans="2:71" ht="19.2" thickBot="1">
      <c r="B35" s="25"/>
      <c r="C35" s="2" t="s">
        <v>2692</v>
      </c>
      <c r="D35" s="1295" t="s">
        <v>2687</v>
      </c>
      <c r="E35" s="2" t="s">
        <v>87</v>
      </c>
      <c r="F35" s="1268">
        <v>1</v>
      </c>
      <c r="G35" s="1269">
        <v>0.98</v>
      </c>
      <c r="H35" s="25"/>
      <c r="I35" s="115" t="s">
        <v>2719</v>
      </c>
      <c r="J35" s="69"/>
      <c r="K35" s="69"/>
      <c r="L35" s="69"/>
      <c r="M35" s="69"/>
      <c r="N35" s="1310" t="s">
        <v>2715</v>
      </c>
      <c r="O35" s="116" t="s">
        <v>740</v>
      </c>
      <c r="P35" s="116"/>
      <c r="Q35" s="1318">
        <f>(Q11*F62)+(Q24*G62)</f>
        <v>353.33387842719128</v>
      </c>
      <c r="T35" s="25"/>
      <c r="U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4"/>
      <c r="AZ35" s="25"/>
      <c r="BA35" s="25"/>
      <c r="BB35" s="25"/>
      <c r="BC35" s="25"/>
      <c r="BD35" s="25"/>
      <c r="BE35" s="25"/>
      <c r="BF35" s="25"/>
      <c r="BG35" s="25"/>
      <c r="BH35" s="25"/>
      <c r="BI35" s="25"/>
      <c r="BJ35" s="25"/>
      <c r="BK35" s="25"/>
      <c r="BL35" s="25"/>
      <c r="BM35" s="25"/>
      <c r="BN35" s="25"/>
      <c r="BO35" s="25"/>
      <c r="BP35" s="25"/>
      <c r="BQ35" s="25"/>
      <c r="BR35" s="25"/>
      <c r="BS35" s="26"/>
    </row>
    <row r="36" spans="2:71" ht="18.600000000000001">
      <c r="B36" s="25"/>
      <c r="C36" s="2" t="s">
        <v>2680</v>
      </c>
      <c r="D36" s="1295" t="s">
        <v>2688</v>
      </c>
      <c r="E36" s="2" t="s">
        <v>87</v>
      </c>
      <c r="F36" s="1268">
        <f>$BA$379</f>
        <v>0.66942832302823629</v>
      </c>
      <c r="G36" s="1269">
        <v>0.85</v>
      </c>
      <c r="H36" s="25"/>
      <c r="T36" s="25"/>
      <c r="U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16" t="s">
        <v>1384</v>
      </c>
      <c r="AZ36" s="217" t="s">
        <v>87</v>
      </c>
      <c r="BA36" s="68">
        <f>'7b'!BA97</f>
        <v>2</v>
      </c>
      <c r="BB36" s="68">
        <f>'7b'!BA151</f>
        <v>2</v>
      </c>
      <c r="BC36" s="68">
        <f>'7b'!BA205</f>
        <v>2</v>
      </c>
      <c r="BD36" s="68">
        <f>'7b'!BA259</f>
        <v>2</v>
      </c>
      <c r="BE36" s="68">
        <f>'7b'!BA313</f>
        <v>2</v>
      </c>
      <c r="BF36" s="25"/>
      <c r="BG36" s="68">
        <f>'7b'!BA367</f>
        <v>2</v>
      </c>
      <c r="BH36" s="25"/>
      <c r="BI36" s="25"/>
      <c r="BJ36" s="25"/>
      <c r="BK36" s="25"/>
      <c r="BL36" s="25"/>
      <c r="BM36" s="25"/>
      <c r="BN36" s="25"/>
      <c r="BO36" s="25"/>
      <c r="BP36" s="25"/>
      <c r="BQ36" s="25"/>
      <c r="BR36" s="25"/>
      <c r="BS36" s="26"/>
    </row>
    <row r="37" spans="2:71" ht="18.600000000000001">
      <c r="B37" s="25"/>
      <c r="C37" s="27" t="s">
        <v>2678</v>
      </c>
      <c r="D37" s="1297" t="s">
        <v>2694</v>
      </c>
      <c r="E37" s="2" t="s">
        <v>87</v>
      </c>
      <c r="F37" s="34">
        <f>F29*F30*F36</f>
        <v>0.27095739669279728</v>
      </c>
      <c r="G37" s="34">
        <f>G29*G30*G36</f>
        <v>0.73674684999999984</v>
      </c>
      <c r="H37" s="25"/>
      <c r="I37" s="25"/>
      <c r="J37" s="25"/>
      <c r="T37" s="25"/>
      <c r="U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16" t="s">
        <v>1385</v>
      </c>
      <c r="AZ37" s="217" t="s">
        <v>188</v>
      </c>
      <c r="BA37" s="68">
        <f>'7b'!BA98</f>
        <v>6</v>
      </c>
      <c r="BB37" s="68">
        <f>'7b'!BA152</f>
        <v>6</v>
      </c>
      <c r="BC37" s="68">
        <f>'7b'!BA206</f>
        <v>6</v>
      </c>
      <c r="BD37" s="68">
        <f>'7b'!BA260</f>
        <v>6</v>
      </c>
      <c r="BE37" s="68">
        <f>'7b'!BA314</f>
        <v>6</v>
      </c>
      <c r="BF37" s="25"/>
      <c r="BG37" s="68">
        <f>'7b'!BA368</f>
        <v>6</v>
      </c>
      <c r="BH37" s="25"/>
      <c r="BI37" s="25"/>
      <c r="BJ37" s="25"/>
      <c r="BK37" s="25"/>
      <c r="BL37" s="25"/>
      <c r="BM37" s="25"/>
      <c r="BN37" s="25"/>
      <c r="BO37" s="25"/>
      <c r="BP37" s="25"/>
      <c r="BQ37" s="25"/>
      <c r="BR37" s="25"/>
      <c r="BS37" s="26"/>
    </row>
    <row r="38" spans="2:71">
      <c r="B38" s="25"/>
      <c r="C38" s="6" t="s">
        <v>2676</v>
      </c>
      <c r="D38" s="6" t="s">
        <v>68</v>
      </c>
      <c r="E38" s="6" t="s">
        <v>2695</v>
      </c>
      <c r="F38" s="34">
        <f>(550*3600/778.17)*(1/(F28*F37))</f>
        <v>0.50486672869977534</v>
      </c>
      <c r="G38" s="34">
        <f>(550*3600/778.17)*(1/(G28*G37))</f>
        <v>14.876075343378403</v>
      </c>
      <c r="H38" s="25"/>
      <c r="I38" s="25"/>
      <c r="J38" s="25"/>
      <c r="T38" s="25"/>
      <c r="U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16" t="s">
        <v>1386</v>
      </c>
      <c r="AZ38" s="217" t="s">
        <v>1387</v>
      </c>
      <c r="BA38" s="179">
        <f>'7b'!BA99</f>
        <v>1520.699218079016</v>
      </c>
      <c r="BB38" s="179">
        <f>'7b'!BA153</f>
        <v>1439.5604169641786</v>
      </c>
      <c r="BC38" s="179">
        <f>'7b'!BA207</f>
        <v>1351.3432257495028</v>
      </c>
      <c r="BD38" s="179">
        <f>'7b'!BA261</f>
        <v>1506.7394129964387</v>
      </c>
      <c r="BE38" s="179">
        <f>'7b'!BA315</f>
        <v>1431.930433453681</v>
      </c>
      <c r="BF38" s="52"/>
      <c r="BG38" s="179">
        <f>'7b'!BA369</f>
        <v>1731.5439653981284</v>
      </c>
      <c r="BH38" s="25"/>
      <c r="BI38" s="25"/>
      <c r="BJ38" s="25"/>
      <c r="BK38" s="25"/>
      <c r="BL38" s="25"/>
      <c r="BM38" s="25"/>
      <c r="BN38" s="25"/>
      <c r="BO38" s="25"/>
      <c r="BP38" s="25"/>
      <c r="BQ38" s="25"/>
      <c r="BR38" s="25"/>
      <c r="BS38" s="26"/>
    </row>
    <row r="39" spans="2:71" ht="15.6">
      <c r="B39" s="25"/>
      <c r="C39" s="6" t="s">
        <v>2720</v>
      </c>
      <c r="D39" s="6" t="s">
        <v>2668</v>
      </c>
      <c r="E39" s="6" t="s">
        <v>2669</v>
      </c>
      <c r="F39" s="1292">
        <f xml:space="preserve"> -2.45651053*LN($BG$41) + 13.6188454</f>
        <v>5.9412449043709232</v>
      </c>
      <c r="G39" s="1292">
        <v>5</v>
      </c>
      <c r="H39" s="25"/>
      <c r="I39" s="25"/>
      <c r="J39" s="1322"/>
      <c r="K39" s="1322"/>
      <c r="L39" s="1322"/>
      <c r="M39" s="1343"/>
      <c r="T39" s="25"/>
      <c r="U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129" t="s">
        <v>1410</v>
      </c>
      <c r="AZ39" s="122" t="s">
        <v>165</v>
      </c>
      <c r="BA39" s="1032">
        <f>'7b'!BA100</f>
        <v>35.760591041524179</v>
      </c>
      <c r="BB39" s="1032">
        <f>'7b'!BA154</f>
        <v>35.760591041524179</v>
      </c>
      <c r="BC39" s="1032">
        <f>'7b'!BA208</f>
        <v>35.760591041524179</v>
      </c>
      <c r="BD39" s="1032">
        <f>'7b'!BA262</f>
        <v>35.760591041524179</v>
      </c>
      <c r="BE39" s="1032">
        <f>'7b'!BA316</f>
        <v>35.760591041524179</v>
      </c>
      <c r="BF39" s="35"/>
      <c r="BG39" s="1032">
        <f>'7b'!BA370</f>
        <v>35.760591041524179</v>
      </c>
      <c r="BH39" s="25"/>
      <c r="BI39" s="25"/>
      <c r="BJ39" s="25"/>
      <c r="BK39" s="25"/>
      <c r="BL39" s="25"/>
      <c r="BM39" s="25"/>
      <c r="BN39" s="25"/>
      <c r="BO39" s="25"/>
      <c r="BP39" s="25"/>
      <c r="BQ39" s="25"/>
      <c r="BR39" s="25"/>
      <c r="BS39" s="26"/>
    </row>
    <row r="40" spans="2:71">
      <c r="B40" s="25"/>
      <c r="C40" s="6" t="s">
        <v>2675</v>
      </c>
      <c r="D40" s="6" t="s">
        <v>67</v>
      </c>
      <c r="E40" s="6" t="s">
        <v>2696</v>
      </c>
      <c r="F40" s="34">
        <f>F38*F39</f>
        <v>2.9995368792739576</v>
      </c>
      <c r="G40" s="34">
        <f>G38*G39</f>
        <v>74.380376716892016</v>
      </c>
      <c r="H40" s="25"/>
      <c r="I40" s="25"/>
      <c r="J40" s="1322"/>
      <c r="K40" s="1322"/>
      <c r="L40" s="1322"/>
      <c r="M40" s="1343"/>
      <c r="T40" s="25"/>
      <c r="U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129" t="s">
        <v>1408</v>
      </c>
      <c r="AZ40" s="122" t="s">
        <v>165</v>
      </c>
      <c r="BA40" s="1033">
        <f>'7b'!BA101</f>
        <v>-43.052736791726751</v>
      </c>
      <c r="BB40" s="1033">
        <f>'7b'!BA155</f>
        <v>-43.052736791726751</v>
      </c>
      <c r="BC40" s="1033">
        <f>'7b'!BA209</f>
        <v>-43.052736791726751</v>
      </c>
      <c r="BD40" s="1033">
        <f>'7b'!BA263</f>
        <v>-43.052736791726751</v>
      </c>
      <c r="BE40" s="1033">
        <f>'7b'!BA317</f>
        <v>-43.052736791726751</v>
      </c>
      <c r="BF40" s="25"/>
      <c r="BG40" s="1033">
        <f>'7b'!BA371</f>
        <v>-43.052736791726751</v>
      </c>
      <c r="BH40" s="25"/>
      <c r="BI40" s="25"/>
      <c r="BJ40" s="25"/>
      <c r="BK40" s="25"/>
      <c r="BL40" s="25"/>
      <c r="BM40" s="25"/>
      <c r="BN40" s="25"/>
      <c r="BO40" s="25"/>
      <c r="BP40" s="25"/>
      <c r="BQ40" s="25"/>
      <c r="BR40" s="25"/>
      <c r="BS40" s="26"/>
    </row>
    <row r="41" spans="2:71">
      <c r="B41" s="25"/>
      <c r="H41" s="25"/>
      <c r="I41" s="25"/>
      <c r="J41" s="1322"/>
      <c r="K41" s="1322"/>
      <c r="L41" s="1322"/>
      <c r="M41" s="1343"/>
      <c r="T41" s="25"/>
      <c r="U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129" t="s">
        <v>1411</v>
      </c>
      <c r="AZ41" s="122" t="s">
        <v>619</v>
      </c>
      <c r="BA41" s="1033">
        <f>'7b'!BA102</f>
        <v>6.5438267840312934</v>
      </c>
      <c r="BB41" s="1033">
        <f>'7b'!BA156</f>
        <v>6.4691781992176454</v>
      </c>
      <c r="BC41" s="1033">
        <f>'7b'!BA210</f>
        <v>5.7789113473215181</v>
      </c>
      <c r="BD41" s="1033">
        <f>'7b'!BA264</f>
        <v>5.8816702406927863</v>
      </c>
      <c r="BE41" s="1033">
        <f>'7b'!BA318</f>
        <v>6.3189981651569473</v>
      </c>
      <c r="BF41" s="25"/>
      <c r="BG41" s="1033">
        <f>'7b'!BA372</f>
        <v>22.769209284948342</v>
      </c>
      <c r="BH41" s="25"/>
      <c r="BI41" s="25"/>
      <c r="BJ41" s="25"/>
      <c r="BK41" s="25"/>
      <c r="BL41" s="25"/>
      <c r="BM41" s="25"/>
      <c r="BN41" s="25"/>
      <c r="BO41" s="25"/>
      <c r="BP41" s="25"/>
      <c r="BQ41" s="25"/>
      <c r="BR41" s="25"/>
      <c r="BS41" s="26"/>
    </row>
    <row r="42" spans="2:71" ht="15.6">
      <c r="B42" s="25"/>
      <c r="C42" s="1263" t="s">
        <v>2698</v>
      </c>
      <c r="F42" s="2" t="s">
        <v>70</v>
      </c>
      <c r="G42" s="2" t="s">
        <v>70</v>
      </c>
      <c r="H42" s="25"/>
      <c r="I42" s="25"/>
      <c r="J42" s="1322"/>
      <c r="K42" s="1322"/>
      <c r="L42" s="1322"/>
      <c r="M42" s="1343"/>
      <c r="T42" s="25"/>
      <c r="U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129" t="s">
        <v>1412</v>
      </c>
      <c r="AZ42" s="122" t="s">
        <v>87</v>
      </c>
      <c r="BA42" s="1034">
        <f>'7b'!BA103</f>
        <v>8.3765759522050176E-2</v>
      </c>
      <c r="BB42" s="1034">
        <f>'7b'!BA157</f>
        <v>8.3765759522050176E-2</v>
      </c>
      <c r="BC42" s="1034">
        <f>'7b'!BA211</f>
        <v>8.3765759522050176E-2</v>
      </c>
      <c r="BD42" s="1034">
        <f>'7b'!BA265</f>
        <v>8.3765759522050176E-2</v>
      </c>
      <c r="BE42" s="1034">
        <f>'7b'!BA319</f>
        <v>8.3765759522050176E-2</v>
      </c>
      <c r="BF42" s="25"/>
      <c r="BG42" s="1034">
        <f>'7b'!BA373</f>
        <v>8.3765759522050176E-2</v>
      </c>
      <c r="BH42" s="25"/>
      <c r="BI42" s="25"/>
      <c r="BJ42" s="25"/>
      <c r="BK42" s="25"/>
      <c r="BL42" s="25"/>
      <c r="BM42" s="25"/>
      <c r="BN42" s="25"/>
      <c r="BO42" s="25"/>
      <c r="BP42" s="25"/>
      <c r="BQ42" s="25"/>
      <c r="BR42" s="25"/>
      <c r="BS42" s="26"/>
    </row>
    <row r="43" spans="2:71">
      <c r="B43" s="25"/>
      <c r="C43" s="1" t="s">
        <v>802</v>
      </c>
      <c r="D43" s="1" t="s">
        <v>89</v>
      </c>
      <c r="E43" s="1" t="s">
        <v>90</v>
      </c>
      <c r="F43" s="1" t="s">
        <v>2614</v>
      </c>
      <c r="G43" s="1" t="s">
        <v>2615</v>
      </c>
      <c r="H43" s="25"/>
      <c r="I43" s="25"/>
      <c r="J43" s="1322"/>
      <c r="K43" s="1322"/>
      <c r="L43" s="1322"/>
      <c r="M43" s="1343"/>
      <c r="T43" s="25"/>
      <c r="U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16" t="s">
        <v>33</v>
      </c>
      <c r="AZ43" s="217" t="s">
        <v>188</v>
      </c>
      <c r="BA43" s="293">
        <f>'7b'!BA104</f>
        <v>7000</v>
      </c>
      <c r="BB43" s="293">
        <f>'7b'!BA158</f>
        <v>3500</v>
      </c>
      <c r="BC43" s="293">
        <f>'7b'!BA212</f>
        <v>3500</v>
      </c>
      <c r="BD43" s="293">
        <f>'7b'!BA266</f>
        <v>10000</v>
      </c>
      <c r="BE43" s="293">
        <f>'7b'!BA320</f>
        <v>3500</v>
      </c>
      <c r="BF43" s="25"/>
      <c r="BG43" s="293">
        <f>'7b'!BA374</f>
        <v>0</v>
      </c>
      <c r="BH43" s="25"/>
      <c r="BI43" s="25"/>
      <c r="BJ43" s="25"/>
      <c r="BK43" s="25"/>
      <c r="BL43" s="25"/>
      <c r="BM43" s="25"/>
      <c r="BN43" s="25"/>
      <c r="BO43" s="25"/>
      <c r="BP43" s="25"/>
      <c r="BQ43" s="25"/>
      <c r="BR43" s="25"/>
      <c r="BS43" s="26"/>
    </row>
    <row r="44" spans="2:71">
      <c r="B44" s="25"/>
      <c r="C44" s="2" t="s">
        <v>753</v>
      </c>
      <c r="E44" s="2" t="s">
        <v>2703</v>
      </c>
      <c r="F44" s="1311">
        <f>Q17/F54</f>
        <v>3.9547399305316087</v>
      </c>
      <c r="G44" s="1298" t="s">
        <v>97</v>
      </c>
      <c r="H44" s="25"/>
      <c r="I44" s="25"/>
      <c r="J44" s="1322"/>
      <c r="K44" s="1322"/>
      <c r="L44" s="1322"/>
      <c r="M44" s="1343"/>
      <c r="T44" s="25"/>
      <c r="U44" s="25"/>
      <c r="AA44" s="25"/>
      <c r="AB44" s="25"/>
      <c r="AC44" s="25"/>
      <c r="AD44" s="25"/>
      <c r="AE44" s="25"/>
      <c r="AF44" s="25"/>
      <c r="AG44" s="25"/>
      <c r="AH44" s="25"/>
      <c r="AI44" s="25"/>
      <c r="AM44" s="25"/>
      <c r="AN44" s="25"/>
      <c r="AO44" s="25"/>
      <c r="AP44" s="25"/>
      <c r="AQ44" s="25"/>
      <c r="AR44" s="25"/>
      <c r="AS44" s="25"/>
      <c r="AT44" s="25"/>
      <c r="AU44" s="25"/>
      <c r="AV44" s="25"/>
      <c r="AW44" s="25"/>
      <c r="AX44" s="25"/>
      <c r="AY44" s="216" t="s">
        <v>1366</v>
      </c>
      <c r="AZ44" s="217" t="s">
        <v>648</v>
      </c>
      <c r="BA44" s="68">
        <f>'7b'!BA105</f>
        <v>0</v>
      </c>
      <c r="BB44" s="68">
        <f>'7b'!BA159</f>
        <v>0</v>
      </c>
      <c r="BC44" s="68">
        <f>'7b'!BA213</f>
        <v>0</v>
      </c>
      <c r="BD44" s="68">
        <f>'7b'!BA267</f>
        <v>0</v>
      </c>
      <c r="BE44" s="68">
        <f>'7b'!BA321</f>
        <v>0</v>
      </c>
      <c r="BF44" s="25"/>
      <c r="BG44" s="68">
        <f>'7b'!BA375</f>
        <v>0</v>
      </c>
      <c r="BH44" s="25"/>
      <c r="BI44" s="25"/>
      <c r="BJ44" s="25"/>
      <c r="BK44" s="25"/>
      <c r="BL44" s="25"/>
      <c r="BM44" s="25"/>
      <c r="BN44" s="25"/>
      <c r="BO44" s="25"/>
      <c r="BP44" s="25"/>
      <c r="BQ44" s="25"/>
      <c r="BR44" s="25"/>
      <c r="BS44" s="26"/>
    </row>
    <row r="45" spans="2:71">
      <c r="B45" s="25"/>
      <c r="C45" s="2" t="s">
        <v>2574</v>
      </c>
      <c r="E45" s="2" t="s">
        <v>2703</v>
      </c>
      <c r="F45" s="1293">
        <v>0</v>
      </c>
      <c r="G45" s="1293">
        <v>6</v>
      </c>
      <c r="H45" s="25"/>
      <c r="I45" s="25"/>
      <c r="J45" s="25"/>
      <c r="T45" s="25"/>
      <c r="U45" s="25"/>
      <c r="AA45" s="25"/>
      <c r="AB45" s="25"/>
      <c r="AC45" s="25"/>
      <c r="AD45" s="25"/>
      <c r="AE45" s="25"/>
      <c r="AF45" s="25"/>
      <c r="AG45" s="25"/>
      <c r="AH45" s="25"/>
      <c r="AI45" s="25"/>
      <c r="AM45" s="25"/>
      <c r="AN45" s="25"/>
      <c r="AO45" s="25"/>
      <c r="AP45" s="25"/>
      <c r="AQ45" s="25"/>
      <c r="AR45" s="25"/>
      <c r="AS45" s="25"/>
      <c r="AT45" s="25"/>
      <c r="AU45" s="25"/>
      <c r="AV45" s="25"/>
      <c r="AW45" s="25"/>
      <c r="AX45" s="25"/>
      <c r="AY45" s="216" t="s">
        <v>1381</v>
      </c>
      <c r="AZ45" s="122" t="s">
        <v>1026</v>
      </c>
      <c r="BA45" s="1033">
        <f>'7b'!BA106</f>
        <v>103.26264090484118</v>
      </c>
      <c r="BB45" s="1033">
        <f>'7b'!BA160</f>
        <v>98.083706866886658</v>
      </c>
      <c r="BC45" s="1033">
        <f>'7b'!BA214</f>
        <v>91.544793075760893</v>
      </c>
      <c r="BD45" s="1033">
        <f>'7b'!BA268</f>
        <v>102.09694397355153</v>
      </c>
      <c r="BE45" s="1033">
        <f>'7b'!BA322</f>
        <v>98.083706866886658</v>
      </c>
      <c r="BF45" s="25"/>
      <c r="BG45" s="1033">
        <f>'7b'!BA376</f>
        <v>54</v>
      </c>
      <c r="BH45" s="25"/>
      <c r="BI45" s="25"/>
      <c r="BJ45" s="25"/>
      <c r="BK45" s="25"/>
      <c r="BL45" s="25"/>
      <c r="BM45" s="25"/>
      <c r="BN45" s="25"/>
      <c r="BO45" s="25"/>
      <c r="BP45" s="25"/>
      <c r="BQ45" s="25"/>
      <c r="BR45" s="25"/>
      <c r="BS45" s="26"/>
    </row>
    <row r="46" spans="2:71">
      <c r="B46" s="25"/>
      <c r="C46" s="2" t="s">
        <v>2699</v>
      </c>
      <c r="E46" s="2" t="s">
        <v>2703</v>
      </c>
      <c r="F46" s="1293">
        <v>0</v>
      </c>
      <c r="G46" s="1293">
        <v>6</v>
      </c>
      <c r="H46" s="25"/>
      <c r="I46" s="25"/>
      <c r="J46" s="25"/>
      <c r="T46" s="25"/>
      <c r="U46" s="25"/>
      <c r="AA46" s="25"/>
      <c r="AB46" s="25"/>
      <c r="AC46" s="25"/>
      <c r="AD46" s="25"/>
      <c r="AE46" s="25"/>
      <c r="AF46" s="25"/>
      <c r="AG46" s="25"/>
      <c r="AH46" s="25"/>
      <c r="AI46" s="25"/>
      <c r="AM46" s="25"/>
      <c r="AN46" s="25"/>
      <c r="AO46" s="25"/>
      <c r="AP46" s="25"/>
      <c r="AQ46" s="25"/>
      <c r="AR46" s="25"/>
      <c r="AS46" s="25"/>
      <c r="AT46" s="25"/>
      <c r="AU46" s="25"/>
      <c r="AV46" s="25"/>
      <c r="AW46" s="25"/>
      <c r="AX46" s="25"/>
      <c r="AY46" s="129" t="s">
        <v>1413</v>
      </c>
      <c r="AZ46" s="122" t="s">
        <v>87</v>
      </c>
      <c r="BA46" s="1034">
        <f>'7b'!BA107</f>
        <v>0.11532512927716917</v>
      </c>
      <c r="BB46" s="1034">
        <f>'7b'!BA161</f>
        <v>0.11440112637689606</v>
      </c>
      <c r="BC46" s="1034">
        <f>'7b'!BA215</f>
        <v>0.11597267471910536</v>
      </c>
      <c r="BD46" s="1034">
        <f>'7b'!BA269</f>
        <v>0.11590586350665757</v>
      </c>
      <c r="BE46" s="1034">
        <f>'7b'!BA323</f>
        <v>0.11293937227477598</v>
      </c>
      <c r="BF46" s="34"/>
      <c r="BG46" s="1034">
        <f>'7b'!BA377</f>
        <v>0.25092470913629983</v>
      </c>
      <c r="BH46" s="25"/>
      <c r="BI46" s="25"/>
      <c r="BJ46" s="25"/>
      <c r="BK46" s="25"/>
      <c r="BL46" s="25"/>
      <c r="BM46" s="25"/>
      <c r="BN46" s="25"/>
      <c r="BO46" s="25"/>
      <c r="BP46" s="25"/>
      <c r="BQ46" s="25"/>
      <c r="BR46" s="25"/>
      <c r="BS46" s="26"/>
    </row>
    <row r="47" spans="2:71">
      <c r="B47" s="25"/>
      <c r="C47" s="2" t="s">
        <v>2704</v>
      </c>
      <c r="E47" s="2" t="s">
        <v>2703</v>
      </c>
      <c r="F47" s="1293">
        <v>0</v>
      </c>
      <c r="G47" s="1293">
        <v>10</v>
      </c>
      <c r="H47" s="25"/>
      <c r="I47" s="25"/>
      <c r="J47" s="25"/>
      <c r="T47" s="25"/>
      <c r="U47" s="25"/>
      <c r="AA47" s="25"/>
      <c r="AB47" s="25"/>
      <c r="AC47" s="25"/>
      <c r="AD47" s="25"/>
      <c r="AE47" s="25"/>
      <c r="AF47" s="25"/>
      <c r="AG47" s="25"/>
      <c r="AH47" s="25"/>
      <c r="AI47" s="25"/>
      <c r="AM47" s="25"/>
      <c r="AN47" s="25"/>
      <c r="AO47" s="25"/>
      <c r="AP47" s="25"/>
      <c r="AQ47" s="25"/>
      <c r="AR47" s="25"/>
      <c r="AS47" s="25"/>
      <c r="AT47" s="25"/>
      <c r="AU47" s="25"/>
      <c r="AV47" s="25"/>
      <c r="AW47" s="25"/>
      <c r="AX47" s="25"/>
      <c r="AY47" s="129" t="s">
        <v>1414</v>
      </c>
      <c r="AZ47" s="122" t="s">
        <v>87</v>
      </c>
      <c r="BA47" s="1034">
        <f>'7b'!BA108</f>
        <v>0.14545208937480913</v>
      </c>
      <c r="BB47" s="1034">
        <f>'7b'!BA162</f>
        <v>0.14467063799183622</v>
      </c>
      <c r="BC47" s="1034">
        <f>'7b'!BA216</f>
        <v>0.145996313816249</v>
      </c>
      <c r="BD47" s="1034">
        <f>'7b'!BA270</f>
        <v>0.14594029331395719</v>
      </c>
      <c r="BE47" s="1034">
        <f>'7b'!BA324</f>
        <v>0.14342268576361614</v>
      </c>
      <c r="BF47" s="34"/>
      <c r="BG47" s="1034">
        <f>'7b'!BA378</f>
        <v>0.19743731329503716</v>
      </c>
      <c r="BH47" s="25"/>
      <c r="BI47" s="25"/>
      <c r="BJ47" s="25"/>
      <c r="BK47" s="25"/>
      <c r="BL47" s="25"/>
      <c r="BM47" s="25"/>
      <c r="BN47" s="25"/>
      <c r="BO47" s="25"/>
      <c r="BP47" s="25"/>
      <c r="BQ47" s="25"/>
      <c r="BR47" s="25"/>
      <c r="BS47" s="26"/>
    </row>
    <row r="48" spans="2:71" ht="13.8">
      <c r="B48" s="25"/>
      <c r="C48" s="2" t="s">
        <v>2700</v>
      </c>
      <c r="E48" s="2" t="s">
        <v>2703</v>
      </c>
      <c r="F48" s="1293">
        <v>0</v>
      </c>
      <c r="G48" s="1293">
        <v>10</v>
      </c>
      <c r="H48" s="25"/>
      <c r="AA48" s="25"/>
      <c r="AB48" s="25"/>
      <c r="AC48" s="25"/>
      <c r="AD48" s="25"/>
      <c r="AE48" s="25"/>
      <c r="AF48" s="25"/>
      <c r="AG48" s="25"/>
      <c r="AH48" s="25"/>
      <c r="AI48" s="25"/>
      <c r="AM48" s="25"/>
      <c r="AN48" s="25"/>
      <c r="AO48" s="25"/>
      <c r="AP48" s="25"/>
      <c r="AQ48" s="25"/>
      <c r="AR48" s="25"/>
      <c r="AS48" s="25"/>
      <c r="AT48" s="25"/>
      <c r="AU48" s="25"/>
      <c r="AV48" s="25"/>
      <c r="AW48" s="25"/>
      <c r="AX48" s="25"/>
      <c r="AY48" s="1035" t="s">
        <v>1431</v>
      </c>
      <c r="AZ48" s="426" t="s">
        <v>87</v>
      </c>
      <c r="BA48" s="1036">
        <f>'7b'!BA109</f>
        <v>0.90935517091666662</v>
      </c>
      <c r="BB48" s="1036">
        <f>'7b'!BA163</f>
        <v>0.91001076022376093</v>
      </c>
      <c r="BC48" s="1036">
        <f>'7b'!BA217</f>
        <v>0.90889017958501206</v>
      </c>
      <c r="BD48" s="1036">
        <f>'7b'!BA271</f>
        <v>0.90893836705592534</v>
      </c>
      <c r="BE48" s="1036">
        <f>'7b'!BA325</f>
        <v>0.91102882753078263</v>
      </c>
      <c r="BF48" s="25"/>
      <c r="BG48" s="1037">
        <f>'7b'!BA379</f>
        <v>0.66942832302823629</v>
      </c>
      <c r="BH48" s="25"/>
      <c r="BI48" s="25"/>
      <c r="BJ48" s="25"/>
      <c r="BK48" s="25"/>
      <c r="BL48" s="25"/>
      <c r="BM48" s="25"/>
      <c r="BN48" s="25"/>
      <c r="BO48" s="25"/>
      <c r="BP48" s="25"/>
      <c r="BQ48" s="25"/>
      <c r="BR48" s="25"/>
      <c r="BS48" s="26"/>
    </row>
    <row r="49" spans="2:71">
      <c r="B49" s="25"/>
      <c r="C49" s="27" t="s">
        <v>2701</v>
      </c>
      <c r="D49" s="25"/>
      <c r="E49" s="2" t="s">
        <v>2703</v>
      </c>
      <c r="F49" s="46">
        <v>0</v>
      </c>
      <c r="G49" s="46">
        <v>3</v>
      </c>
      <c r="H49" s="25"/>
      <c r="AA49" s="25"/>
      <c r="AB49" s="25"/>
      <c r="AC49" s="25"/>
      <c r="AD49" s="25"/>
      <c r="AE49" s="25"/>
      <c r="AF49" s="25"/>
      <c r="AG49" s="25"/>
      <c r="AH49" s="25"/>
      <c r="AI49" s="25"/>
      <c r="AM49" s="25"/>
      <c r="AN49" s="25"/>
      <c r="AO49" s="25"/>
      <c r="AP49" s="25"/>
      <c r="AQ49" s="25"/>
      <c r="AR49" s="25"/>
      <c r="AS49" s="25"/>
      <c r="AT49" s="25"/>
      <c r="AU49" s="25"/>
      <c r="AV49" s="25"/>
      <c r="AW49" s="25"/>
      <c r="AX49" s="25"/>
      <c r="AY49" s="129" t="s">
        <v>1432</v>
      </c>
      <c r="AZ49" s="122" t="s">
        <v>1416</v>
      </c>
      <c r="BA49" s="179">
        <f>'7b'!BA110</f>
        <v>64.520960548706157</v>
      </c>
      <c r="BB49" s="179">
        <f>'7b'!BA164</f>
        <v>60.542283819355148</v>
      </c>
      <c r="BC49" s="179">
        <f>'7b'!BA218</f>
        <v>50.539112449725572</v>
      </c>
      <c r="BD49" s="179">
        <f>'7b'!BA272</f>
        <v>57.363853904294082</v>
      </c>
      <c r="BE49" s="179">
        <f>'7b'!BA326</f>
        <v>59.070727928361592</v>
      </c>
      <c r="BF49" s="25"/>
      <c r="BG49" s="1033">
        <f>'7b'!BA380</f>
        <v>159.47659994888301</v>
      </c>
      <c r="BH49" s="25"/>
      <c r="BI49" s="25"/>
      <c r="BJ49" s="25"/>
      <c r="BK49" s="25"/>
      <c r="BL49" s="25"/>
      <c r="BM49" s="25"/>
      <c r="BN49" s="25"/>
      <c r="BO49" s="25"/>
      <c r="BP49" s="25"/>
      <c r="BQ49" s="25"/>
      <c r="BR49" s="25"/>
      <c r="BS49" s="26"/>
    </row>
    <row r="50" spans="2:71">
      <c r="C50" s="6" t="s">
        <v>2702</v>
      </c>
      <c r="D50" s="25"/>
      <c r="E50" s="2" t="s">
        <v>2703</v>
      </c>
      <c r="F50" s="46">
        <v>10</v>
      </c>
      <c r="G50" s="46">
        <v>10</v>
      </c>
      <c r="H50" s="25"/>
      <c r="AA50" s="25"/>
      <c r="AB50" s="25"/>
      <c r="AC50" s="25"/>
      <c r="AD50" s="25"/>
      <c r="AE50" s="25"/>
      <c r="AF50" s="25"/>
      <c r="AG50" s="25"/>
      <c r="AH50" s="25"/>
      <c r="AI50" s="25"/>
      <c r="AM50" s="25"/>
      <c r="AN50" s="25"/>
      <c r="AO50" s="25"/>
      <c r="AP50" s="25"/>
      <c r="AQ50" s="25"/>
      <c r="AR50" s="25"/>
      <c r="AS50" s="25"/>
      <c r="AT50" s="25"/>
      <c r="AU50" s="25"/>
      <c r="AV50" s="25"/>
      <c r="AW50" s="25"/>
      <c r="AX50" s="25"/>
      <c r="AY50" s="129" t="s">
        <v>69</v>
      </c>
      <c r="AZ50" s="122" t="s">
        <v>436</v>
      </c>
      <c r="BA50" s="179">
        <f>'7b'!BA111</f>
        <v>185.02234335969149</v>
      </c>
      <c r="BB50" s="179">
        <f>'7b'!BA165</f>
        <v>182.91170434882861</v>
      </c>
      <c r="BC50" s="179">
        <f>'7b'!BA219</f>
        <v>163.39486891042776</v>
      </c>
      <c r="BD50" s="179">
        <f>'7b'!BA273</f>
        <v>166.3003081709835</v>
      </c>
      <c r="BE50" s="179">
        <f>'7b'!BA327</f>
        <v>178.66546392334004</v>
      </c>
      <c r="BF50" s="25"/>
      <c r="BG50" s="1033">
        <f>'7b'!BA381</f>
        <v>643.78422555878001</v>
      </c>
      <c r="BH50" s="25"/>
      <c r="BI50" s="25"/>
      <c r="BJ50" s="25"/>
      <c r="BK50" s="25"/>
      <c r="BL50" s="25"/>
      <c r="BM50" s="25"/>
      <c r="BN50" s="25"/>
      <c r="BO50" s="25"/>
      <c r="BP50" s="25"/>
      <c r="BQ50" s="25"/>
      <c r="BR50" s="25"/>
      <c r="BS50" s="26"/>
    </row>
    <row r="51" spans="2:71">
      <c r="C51" s="6" t="s">
        <v>2744</v>
      </c>
      <c r="D51" s="25"/>
      <c r="E51" s="2" t="s">
        <v>2703</v>
      </c>
      <c r="F51" s="50">
        <f>IF(F65=0,0,$Q29/F65)</f>
        <v>0</v>
      </c>
      <c r="G51" s="50">
        <f>IF(G61=0,0,$Q29/G61)</f>
        <v>0</v>
      </c>
      <c r="H51" s="25"/>
      <c r="AA51" s="25"/>
      <c r="AB51" s="25"/>
      <c r="AC51" s="25"/>
      <c r="AD51" s="25"/>
      <c r="AE51" s="25"/>
      <c r="AF51" s="25"/>
      <c r="AG51" s="25"/>
      <c r="AH51" s="25"/>
      <c r="AI51" s="25"/>
      <c r="AM51" s="25"/>
      <c r="AN51" s="25"/>
      <c r="AO51" s="25"/>
      <c r="AP51" s="25"/>
      <c r="AQ51" s="25"/>
      <c r="AR51" s="25"/>
      <c r="AS51" s="25"/>
      <c r="AT51" s="25"/>
      <c r="AU51" s="25"/>
      <c r="AV51" s="25"/>
      <c r="AW51" s="25"/>
      <c r="AX51" s="25"/>
      <c r="AY51" s="24"/>
      <c r="AZ51" s="25"/>
      <c r="BA51" s="52"/>
      <c r="BB51" s="52"/>
      <c r="BC51" s="52"/>
      <c r="BD51" s="52"/>
      <c r="BE51" s="52"/>
      <c r="BF51" s="25"/>
      <c r="BG51" s="25"/>
      <c r="BH51" s="25"/>
      <c r="BI51" s="25"/>
      <c r="BJ51" s="25"/>
      <c r="BK51" s="25"/>
      <c r="BL51" s="25"/>
      <c r="BM51" s="25"/>
      <c r="BN51" s="25"/>
      <c r="BO51" s="25"/>
      <c r="BP51" s="25"/>
      <c r="BQ51" s="25"/>
      <c r="BR51" s="25"/>
      <c r="BS51" s="26"/>
    </row>
    <row r="52" spans="2:71">
      <c r="H52" s="25"/>
      <c r="AA52" s="25"/>
      <c r="AB52" s="25"/>
      <c r="AC52" s="25"/>
      <c r="AD52" s="25"/>
      <c r="AE52" s="25"/>
      <c r="AF52" s="25"/>
      <c r="AG52" s="25"/>
      <c r="AH52" s="25"/>
      <c r="AI52" s="25"/>
      <c r="AM52" s="25"/>
      <c r="AN52" s="25"/>
      <c r="AO52" s="25"/>
      <c r="AP52" s="25"/>
      <c r="AQ52" s="25"/>
      <c r="AR52" s="25"/>
      <c r="AS52" s="25"/>
      <c r="AT52" s="25"/>
      <c r="AU52" s="25"/>
      <c r="AV52" s="25"/>
      <c r="AW52" s="25"/>
      <c r="AX52" s="25"/>
      <c r="AY52" s="249" t="s">
        <v>59</v>
      </c>
      <c r="AZ52" s="94" t="s">
        <v>436</v>
      </c>
      <c r="BA52" s="52">
        <f>'3'!BC17</f>
        <v>185.02244139783605</v>
      </c>
      <c r="BB52" s="52">
        <f>'3'!BC22</f>
        <v>182.91180219309081</v>
      </c>
      <c r="BC52" s="52">
        <f>'3'!BC30</f>
        <v>163.39495490590821</v>
      </c>
      <c r="BD52" s="52">
        <f>'3'!BC36</f>
        <v>166.3003957562976</v>
      </c>
      <c r="BE52" s="52">
        <f>'3'!BC41</f>
        <v>178.66556097737774</v>
      </c>
      <c r="BF52" s="25"/>
      <c r="BG52" s="25"/>
      <c r="BH52" s="25"/>
      <c r="BI52" s="25"/>
      <c r="BJ52" s="25"/>
      <c r="BK52" s="25"/>
      <c r="BL52" s="25"/>
      <c r="BM52" s="25"/>
      <c r="BN52" s="25"/>
      <c r="BO52" s="25"/>
      <c r="BP52" s="25"/>
      <c r="BQ52" s="25"/>
      <c r="BR52" s="25"/>
      <c r="BS52" s="26"/>
    </row>
    <row r="53" spans="2:71" ht="15.6">
      <c r="C53" s="358" t="s">
        <v>2707</v>
      </c>
      <c r="D53" s="25"/>
      <c r="E53" s="1" t="s">
        <v>90</v>
      </c>
      <c r="F53" s="1" t="s">
        <v>2614</v>
      </c>
      <c r="G53" s="1" t="s">
        <v>2615</v>
      </c>
      <c r="H53" s="25"/>
      <c r="AA53" s="25"/>
      <c r="AB53" s="25"/>
      <c r="AC53" s="25"/>
      <c r="AD53" s="25"/>
      <c r="AE53" s="25"/>
      <c r="AF53" s="25"/>
      <c r="AG53" s="25"/>
      <c r="AH53" s="25"/>
      <c r="AI53" s="25"/>
      <c r="AM53" s="25"/>
      <c r="AN53" s="25"/>
      <c r="AO53" s="25"/>
      <c r="AP53" s="25"/>
      <c r="AQ53" s="25"/>
      <c r="AR53" s="25"/>
      <c r="AS53" s="25"/>
      <c r="AT53" s="25"/>
      <c r="AU53" s="25"/>
      <c r="AV53" s="25"/>
      <c r="AW53" s="25"/>
      <c r="AX53" s="25"/>
      <c r="AY53" s="249" t="s">
        <v>1429</v>
      </c>
      <c r="AZ53" s="94" t="s">
        <v>87</v>
      </c>
      <c r="BA53" s="1356">
        <f>BA52/BA50</f>
        <v>1.0000005298719212</v>
      </c>
      <c r="BB53" s="1356">
        <f>BB52/BB50</f>
        <v>1.000000534926196</v>
      </c>
      <c r="BC53" s="1356">
        <f>BC52/BC50</f>
        <v>1.000000526304657</v>
      </c>
      <c r="BD53" s="1356">
        <f>BD52/BD50</f>
        <v>1.0000005266695839</v>
      </c>
      <c r="BE53" s="1356">
        <f>BE52/BE50</f>
        <v>1.0000005432165544</v>
      </c>
      <c r="BF53" s="25"/>
      <c r="BG53" s="25"/>
      <c r="BH53" s="25"/>
      <c r="BI53" s="25"/>
      <c r="BJ53" s="25"/>
      <c r="BK53" s="25"/>
      <c r="BL53" s="25"/>
      <c r="BM53" s="25"/>
      <c r="BN53" s="25"/>
      <c r="BO53" s="25"/>
      <c r="BP53" s="25"/>
      <c r="BQ53" s="25"/>
      <c r="BR53" s="25"/>
      <c r="BS53" s="26"/>
    </row>
    <row r="54" spans="2:71">
      <c r="C54" s="2" t="s">
        <v>753</v>
      </c>
      <c r="D54" s="25"/>
      <c r="E54" s="2" t="s">
        <v>2705</v>
      </c>
      <c r="F54" s="52">
        <f>Q20</f>
        <v>253.1999021021748</v>
      </c>
      <c r="G54" s="57" t="s">
        <v>97</v>
      </c>
      <c r="H54" s="25"/>
      <c r="U54" s="25"/>
      <c r="AA54" s="25"/>
      <c r="AB54" s="25"/>
      <c r="AC54" s="25"/>
      <c r="AD54" s="25"/>
      <c r="AE54" s="25"/>
      <c r="AF54" s="25"/>
      <c r="AG54" s="25"/>
      <c r="AH54" s="25"/>
      <c r="AI54" s="25"/>
      <c r="AM54" s="25"/>
      <c r="AN54" s="25"/>
      <c r="AO54" s="25"/>
      <c r="AP54" s="25"/>
      <c r="AQ54" s="25"/>
      <c r="AR54" s="25"/>
      <c r="AS54" s="25"/>
      <c r="AT54" s="25"/>
      <c r="AU54" s="25"/>
      <c r="AV54" s="25"/>
      <c r="AW54" s="25"/>
      <c r="AX54" s="25"/>
      <c r="AY54" s="24"/>
      <c r="AZ54" s="25"/>
      <c r="BA54" s="25"/>
      <c r="BB54" s="25"/>
      <c r="BC54" s="25"/>
      <c r="BD54" s="25"/>
      <c r="BE54" s="25"/>
      <c r="BF54" s="25"/>
      <c r="BG54" s="25"/>
      <c r="BH54" s="25"/>
      <c r="BI54" s="25"/>
      <c r="BJ54" s="25"/>
      <c r="BK54" s="25"/>
      <c r="BL54" s="25"/>
      <c r="BM54" s="25"/>
      <c r="BN54" s="25"/>
      <c r="BO54" s="25"/>
      <c r="BP54" s="25"/>
      <c r="BQ54" s="25"/>
      <c r="BR54" s="25"/>
      <c r="BS54" s="26"/>
    </row>
    <row r="55" spans="2:71">
      <c r="C55" s="2" t="s">
        <v>2574</v>
      </c>
      <c r="D55" s="25"/>
      <c r="E55" s="2" t="s">
        <v>2705</v>
      </c>
      <c r="F55" s="52">
        <f t="shared" ref="F55:F60" si="3">IF(F45=0,0,Q$17/F45)</f>
        <v>0</v>
      </c>
      <c r="G55" s="52">
        <f t="shared" ref="G55:G60" si="4">IF(G45=0,0,Q$30/G45)</f>
        <v>0</v>
      </c>
      <c r="H55" s="25"/>
      <c r="U55" s="25"/>
      <c r="AA55" s="25"/>
      <c r="AB55" s="25"/>
      <c r="AC55" s="25"/>
      <c r="AD55" s="25"/>
      <c r="AE55" s="25"/>
      <c r="AF55" s="25"/>
      <c r="AG55" s="25"/>
      <c r="AH55" s="25"/>
      <c r="AI55" s="25"/>
      <c r="AM55" s="25"/>
      <c r="AN55" s="25"/>
      <c r="AO55" s="25"/>
      <c r="AP55" s="25"/>
      <c r="AQ55" s="25"/>
      <c r="AR55" s="25"/>
      <c r="AS55" s="25"/>
      <c r="AT55" s="25"/>
      <c r="AU55" s="25"/>
      <c r="AV55" s="25"/>
      <c r="AW55" s="25"/>
      <c r="AX55" s="25"/>
      <c r="AY55" s="1038" t="s">
        <v>1434</v>
      </c>
      <c r="AZ55" s="27" t="s">
        <v>779</v>
      </c>
      <c r="BA55" s="25"/>
      <c r="BB55" s="25"/>
      <c r="BC55" s="25"/>
      <c r="BD55" s="25"/>
      <c r="BE55" s="25"/>
      <c r="BF55" s="25"/>
      <c r="BG55" s="50">
        <f>AL78/'3'!J29</f>
        <v>159.47663674788299</v>
      </c>
      <c r="BH55" s="25"/>
      <c r="BI55" s="25"/>
      <c r="BJ55" s="25"/>
      <c r="BK55" s="25"/>
      <c r="BL55" s="25"/>
      <c r="BM55" s="25"/>
      <c r="BN55" s="25"/>
      <c r="BO55" s="25"/>
      <c r="BP55" s="25"/>
      <c r="BQ55" s="25"/>
      <c r="BR55" s="25"/>
      <c r="BS55" s="26"/>
    </row>
    <row r="56" spans="2:71">
      <c r="C56" s="2" t="s">
        <v>2699</v>
      </c>
      <c r="D56" s="25"/>
      <c r="E56" s="2" t="s">
        <v>2705</v>
      </c>
      <c r="F56" s="52">
        <f t="shared" si="3"/>
        <v>0</v>
      </c>
      <c r="G56" s="52">
        <f t="shared" si="4"/>
        <v>0</v>
      </c>
      <c r="H56" s="25"/>
      <c r="I56" s="25"/>
      <c r="J56" s="25"/>
      <c r="T56" s="25"/>
      <c r="U56" s="25"/>
      <c r="AA56" s="25"/>
      <c r="AB56" s="25"/>
      <c r="AC56" s="25"/>
      <c r="AD56" s="25"/>
      <c r="AE56" s="25"/>
      <c r="AF56" s="25"/>
      <c r="AG56" s="25"/>
      <c r="AH56" s="25"/>
      <c r="AI56" s="25"/>
      <c r="AM56" s="25"/>
      <c r="AN56" s="25"/>
      <c r="AO56" s="25"/>
      <c r="AP56" s="25"/>
      <c r="AQ56" s="25"/>
      <c r="AR56" s="25"/>
      <c r="AS56" s="25"/>
      <c r="AT56" s="25"/>
      <c r="AU56" s="25"/>
      <c r="AV56" s="25"/>
      <c r="AW56" s="25"/>
      <c r="AX56" s="25"/>
      <c r="AY56" s="1038" t="s">
        <v>1433</v>
      </c>
      <c r="AZ56" s="27" t="s">
        <v>87</v>
      </c>
      <c r="BA56" s="25"/>
      <c r="BB56" s="25"/>
      <c r="BC56" s="25"/>
      <c r="BD56" s="25"/>
      <c r="BE56" s="25"/>
      <c r="BF56" s="25"/>
      <c r="BG56" s="1357">
        <f>BG49/BG55</f>
        <v>0.99999976925146694</v>
      </c>
      <c r="BH56" s="25"/>
      <c r="BI56" s="25"/>
      <c r="BJ56" s="25"/>
      <c r="BK56" s="25"/>
      <c r="BL56" s="25"/>
      <c r="BM56" s="25"/>
      <c r="BN56" s="25"/>
      <c r="BO56" s="25"/>
      <c r="BP56" s="25"/>
      <c r="BQ56" s="25"/>
      <c r="BR56" s="25"/>
      <c r="BS56" s="26"/>
    </row>
    <row r="57" spans="2:71">
      <c r="C57" s="2" t="s">
        <v>2704</v>
      </c>
      <c r="D57" s="25"/>
      <c r="E57" s="2" t="s">
        <v>2705</v>
      </c>
      <c r="F57" s="52">
        <f t="shared" si="3"/>
        <v>0</v>
      </c>
      <c r="G57" s="52">
        <f t="shared" si="4"/>
        <v>0</v>
      </c>
      <c r="H57" s="25"/>
      <c r="I57" s="25"/>
      <c r="J57" s="25"/>
      <c r="T57" s="25"/>
      <c r="U57" s="25"/>
      <c r="AA57" s="25"/>
      <c r="AB57" s="25"/>
      <c r="AC57" s="25"/>
      <c r="AD57" s="25"/>
      <c r="AE57" s="25"/>
      <c r="AF57" s="25"/>
      <c r="AG57" s="25"/>
      <c r="AH57" s="25"/>
      <c r="AI57" s="25"/>
      <c r="AM57" s="25"/>
      <c r="AN57" s="25"/>
      <c r="AO57" s="25"/>
      <c r="AP57" s="25"/>
      <c r="AQ57" s="25"/>
      <c r="AR57" s="25"/>
      <c r="AS57" s="25"/>
      <c r="AT57" s="25"/>
      <c r="AU57" s="25"/>
      <c r="AV57" s="25"/>
      <c r="AW57" s="25"/>
      <c r="AX57" s="25"/>
      <c r="AY57" s="24"/>
      <c r="AZ57" s="25"/>
      <c r="BA57" s="25"/>
      <c r="BB57" s="25"/>
      <c r="BC57" s="25"/>
      <c r="BD57" s="25"/>
      <c r="BE57" s="25"/>
      <c r="BF57" s="25"/>
      <c r="BG57" s="25"/>
      <c r="BH57" s="25"/>
      <c r="BI57" s="25"/>
      <c r="BJ57" s="25"/>
      <c r="BK57" s="25"/>
      <c r="BL57" s="25"/>
      <c r="BM57" s="25"/>
      <c r="BN57" s="25"/>
      <c r="BO57" s="25"/>
      <c r="BP57" s="25"/>
      <c r="BQ57" s="25"/>
      <c r="BR57" s="25"/>
      <c r="BS57" s="26"/>
    </row>
    <row r="58" spans="2:71">
      <c r="C58" s="2" t="s">
        <v>2700</v>
      </c>
      <c r="D58" s="25"/>
      <c r="E58" s="2" t="s">
        <v>2705</v>
      </c>
      <c r="F58" s="52">
        <f t="shared" si="3"/>
        <v>0</v>
      </c>
      <c r="G58" s="52">
        <f t="shared" si="4"/>
        <v>0</v>
      </c>
      <c r="H58" s="25"/>
      <c r="I58" s="25"/>
      <c r="J58" s="25"/>
      <c r="T58" s="25"/>
      <c r="U58" s="25"/>
      <c r="AA58" s="25"/>
      <c r="AB58" s="25"/>
      <c r="AC58" s="25"/>
      <c r="AD58" s="25"/>
      <c r="AE58" s="25"/>
      <c r="AF58" s="25"/>
      <c r="AG58" s="25"/>
      <c r="AH58" s="25"/>
      <c r="AI58" s="25"/>
      <c r="AM58" s="25"/>
      <c r="AN58" s="25"/>
      <c r="AO58" s="25"/>
      <c r="AP58" s="25"/>
      <c r="AQ58" s="25"/>
      <c r="AR58" s="25"/>
      <c r="AS58" s="25"/>
      <c r="AT58" s="25"/>
      <c r="AU58" s="25"/>
      <c r="AV58" s="25"/>
      <c r="AW58" s="25"/>
      <c r="AX58" s="25"/>
      <c r="AY58" s="24"/>
      <c r="AZ58" s="25"/>
      <c r="BA58" s="25"/>
      <c r="BB58" s="25"/>
      <c r="BC58" s="25"/>
      <c r="BD58" s="25"/>
      <c r="BE58" s="25"/>
      <c r="BF58" s="25"/>
      <c r="BG58" s="25"/>
      <c r="BH58" s="25"/>
      <c r="BI58" s="25"/>
      <c r="BJ58" s="25"/>
      <c r="BK58" s="25"/>
      <c r="BL58" s="25"/>
      <c r="BM58" s="25"/>
      <c r="BN58" s="25"/>
      <c r="BO58" s="25"/>
      <c r="BP58" s="25"/>
      <c r="BQ58" s="25"/>
      <c r="BR58" s="25"/>
      <c r="BS58" s="26"/>
    </row>
    <row r="59" spans="2:71">
      <c r="C59" s="27" t="s">
        <v>2701</v>
      </c>
      <c r="D59" s="25"/>
      <c r="E59" s="2" t="s">
        <v>2705</v>
      </c>
      <c r="F59" s="52">
        <f t="shared" si="3"/>
        <v>0</v>
      </c>
      <c r="G59" s="52">
        <f t="shared" si="4"/>
        <v>0</v>
      </c>
      <c r="H59" s="25"/>
      <c r="I59" s="25"/>
      <c r="J59" s="25"/>
      <c r="T59" s="25"/>
      <c r="U59" s="25"/>
      <c r="AA59" s="25"/>
      <c r="AB59" s="25"/>
      <c r="AC59" s="25"/>
      <c r="AD59" s="25"/>
      <c r="AE59" s="25"/>
      <c r="AF59" s="25"/>
      <c r="AG59" s="25"/>
      <c r="AH59" s="25"/>
      <c r="AI59" s="25"/>
      <c r="AM59" s="25"/>
      <c r="AN59" s="25"/>
      <c r="AO59" s="25"/>
      <c r="AP59" s="25"/>
      <c r="AQ59" s="25"/>
      <c r="AR59" s="25"/>
      <c r="AS59" s="25"/>
      <c r="AT59" s="25"/>
      <c r="AU59" s="25"/>
      <c r="AV59" s="25"/>
      <c r="AW59" s="25"/>
      <c r="AX59" s="25"/>
      <c r="AY59" s="24"/>
      <c r="AZ59" s="25"/>
      <c r="BA59" s="25"/>
      <c r="BB59" s="25"/>
      <c r="BC59" s="25"/>
      <c r="BD59" s="25"/>
      <c r="BE59" s="25"/>
      <c r="BF59" s="25"/>
      <c r="BG59" s="25"/>
      <c r="BH59" s="25"/>
      <c r="BI59" s="25"/>
      <c r="BJ59" s="25"/>
      <c r="BK59" s="25"/>
      <c r="BL59" s="25"/>
      <c r="BM59" s="25"/>
      <c r="BN59" s="25"/>
      <c r="BO59" s="25"/>
      <c r="BP59" s="25"/>
      <c r="BQ59" s="25"/>
      <c r="BR59" s="25"/>
      <c r="BS59" s="26"/>
    </row>
    <row r="60" spans="2:71">
      <c r="C60" s="6" t="s">
        <v>2702</v>
      </c>
      <c r="E60" s="2" t="s">
        <v>2705</v>
      </c>
      <c r="F60" s="52">
        <f t="shared" si="3"/>
        <v>100.13397632501649</v>
      </c>
      <c r="G60" s="52">
        <f t="shared" si="4"/>
        <v>0</v>
      </c>
      <c r="H60" s="25"/>
      <c r="I60" s="25"/>
      <c r="J60" s="25"/>
      <c r="T60" s="25"/>
      <c r="U60" s="25"/>
      <c r="AA60" s="25"/>
      <c r="AB60" s="25"/>
      <c r="AC60" s="25"/>
      <c r="AD60" s="25"/>
      <c r="AE60" s="25"/>
      <c r="AF60" s="25"/>
      <c r="AG60" s="25"/>
      <c r="AH60" s="25"/>
      <c r="AI60" s="25"/>
      <c r="AM60" s="25"/>
      <c r="AN60" s="25"/>
      <c r="AO60" s="25"/>
      <c r="AP60" s="25"/>
      <c r="AQ60" s="25"/>
      <c r="AR60" s="25"/>
      <c r="AS60" s="25"/>
      <c r="AT60" s="25"/>
      <c r="AU60" s="25"/>
      <c r="AV60" s="25"/>
      <c r="AW60" s="25"/>
      <c r="AX60" s="25"/>
      <c r="AY60" s="24"/>
      <c r="AZ60" s="25"/>
      <c r="BA60" s="25"/>
      <c r="BB60" s="25"/>
      <c r="BC60" s="25"/>
      <c r="BD60" s="25"/>
      <c r="BE60" s="25"/>
      <c r="BF60" s="25"/>
      <c r="BG60" s="25"/>
      <c r="BH60" s="25"/>
      <c r="BI60" s="25"/>
      <c r="BJ60" s="25"/>
      <c r="BK60" s="25"/>
      <c r="BL60" s="25"/>
      <c r="BM60" s="25"/>
      <c r="BN60" s="25"/>
      <c r="BO60" s="25"/>
      <c r="BP60" s="25"/>
      <c r="BQ60" s="25"/>
      <c r="BR60" s="25"/>
      <c r="BS60" s="26"/>
    </row>
    <row r="61" spans="2:71" ht="21">
      <c r="C61" s="6" t="s">
        <v>2744</v>
      </c>
      <c r="F61" s="1272">
        <f>F65</f>
        <v>0</v>
      </c>
      <c r="G61" s="65">
        <v>0</v>
      </c>
      <c r="H61" s="25"/>
      <c r="I61" s="25"/>
      <c r="J61" s="25"/>
      <c r="T61" s="25"/>
      <c r="U61" s="25"/>
      <c r="AA61" s="25"/>
      <c r="AB61" s="25"/>
      <c r="AC61" s="25"/>
      <c r="AD61" s="25"/>
      <c r="AE61" s="25"/>
      <c r="AF61" s="25"/>
      <c r="AG61" s="25"/>
      <c r="AH61" s="25"/>
      <c r="AI61" s="25"/>
      <c r="AM61" s="25"/>
      <c r="AN61" s="25"/>
      <c r="AO61" s="25"/>
      <c r="AP61" s="25"/>
      <c r="AQ61" s="25"/>
      <c r="AR61" s="25"/>
      <c r="AS61" s="25"/>
      <c r="AT61" s="25"/>
      <c r="AU61" s="25"/>
      <c r="AV61" s="25"/>
      <c r="AW61" s="25"/>
      <c r="AX61" s="25"/>
      <c r="AY61" s="1039" t="s">
        <v>2558</v>
      </c>
      <c r="AZ61" s="231"/>
      <c r="BA61" s="231"/>
      <c r="BB61" s="231"/>
      <c r="BC61" s="231"/>
      <c r="BD61" s="231"/>
      <c r="BE61" s="231"/>
      <c r="BF61" s="231"/>
      <c r="BG61" s="231"/>
      <c r="BH61" s="231"/>
      <c r="BI61" s="231"/>
      <c r="BJ61" s="231"/>
      <c r="BK61" s="231"/>
      <c r="BL61" s="231"/>
      <c r="BM61" s="231"/>
      <c r="BN61" s="231"/>
      <c r="BO61" s="231"/>
      <c r="BP61" s="231"/>
      <c r="BQ61" s="231"/>
      <c r="BR61" s="231"/>
      <c r="BS61" s="433"/>
    </row>
    <row r="62" spans="2:71">
      <c r="C62" s="6" t="s">
        <v>2706</v>
      </c>
      <c r="D62" s="25"/>
      <c r="E62" s="2" t="s">
        <v>2705</v>
      </c>
      <c r="F62" s="52">
        <f>SUM(F54:F61)</f>
        <v>353.33387842719128</v>
      </c>
      <c r="G62" s="52">
        <f>IF('2'!F21&lt;3,0,SUM(G54:G61))</f>
        <v>0</v>
      </c>
      <c r="H62" s="25"/>
      <c r="I62" s="25"/>
      <c r="J62" s="25"/>
      <c r="T62" s="25"/>
      <c r="U62" s="25"/>
      <c r="AA62" s="25"/>
      <c r="AB62" s="25"/>
      <c r="AC62" s="25"/>
      <c r="AD62" s="25"/>
      <c r="AE62" s="25"/>
      <c r="AF62" s="25"/>
      <c r="AG62" s="25"/>
      <c r="AH62" s="25"/>
      <c r="AI62" s="25"/>
      <c r="AM62" s="25"/>
      <c r="AN62" s="25"/>
      <c r="AO62" s="25"/>
      <c r="AP62" s="25"/>
      <c r="AQ62" s="25"/>
      <c r="AR62" s="25"/>
      <c r="AS62" s="25"/>
      <c r="AT62" s="25"/>
      <c r="AU62" s="25"/>
      <c r="AV62" s="25"/>
      <c r="AW62" s="25"/>
      <c r="AX62" s="25"/>
      <c r="AY62" s="1040" t="s">
        <v>1361</v>
      </c>
      <c r="AZ62" s="231"/>
      <c r="BA62" s="231"/>
      <c r="BB62" s="231"/>
      <c r="BC62" s="231"/>
      <c r="BD62" s="231"/>
      <c r="BE62" s="231"/>
      <c r="BF62" s="231"/>
      <c r="BG62" s="231"/>
      <c r="BH62" s="231"/>
      <c r="BI62" s="231"/>
      <c r="BJ62" s="231"/>
      <c r="BK62" s="231"/>
      <c r="BL62" s="231"/>
      <c r="BM62" s="231"/>
      <c r="BN62" s="251"/>
      <c r="BO62" s="231"/>
      <c r="BP62" s="231"/>
      <c r="BQ62" s="231"/>
      <c r="BR62" s="231"/>
      <c r="BS62" s="433"/>
    </row>
    <row r="63" spans="2:71">
      <c r="H63" s="25"/>
      <c r="I63" s="25"/>
      <c r="J63" s="25"/>
      <c r="T63" s="25"/>
      <c r="U63" s="25"/>
      <c r="AA63" s="25"/>
      <c r="AB63" s="25"/>
      <c r="AC63" s="25"/>
      <c r="AD63" s="25"/>
      <c r="AE63" s="25"/>
      <c r="AF63" s="25"/>
      <c r="AG63" s="25"/>
      <c r="AH63" s="25"/>
      <c r="AI63" s="25"/>
      <c r="AM63" s="25"/>
      <c r="AN63" s="25"/>
      <c r="AO63" s="25"/>
      <c r="AP63" s="25"/>
      <c r="AQ63" s="25"/>
      <c r="AR63" s="25"/>
      <c r="AS63" s="25"/>
      <c r="AT63" s="25"/>
      <c r="AU63" s="25"/>
      <c r="AV63" s="25"/>
      <c r="AW63" s="25"/>
      <c r="AX63" s="25"/>
      <c r="AY63" s="235"/>
      <c r="AZ63" s="231"/>
      <c r="BA63" s="231"/>
      <c r="BB63" s="231"/>
      <c r="BC63" s="231"/>
      <c r="BD63" s="231"/>
      <c r="BE63" s="231"/>
      <c r="BF63" s="231"/>
      <c r="BG63" s="231"/>
      <c r="BH63" s="231"/>
      <c r="BI63" s="231"/>
      <c r="BJ63" s="231"/>
      <c r="BK63" s="231"/>
      <c r="BL63" s="231"/>
      <c r="BM63" s="231"/>
      <c r="BN63" s="251"/>
      <c r="BO63" s="231"/>
      <c r="BP63" s="231"/>
      <c r="BQ63" s="231"/>
      <c r="BR63" s="231"/>
      <c r="BS63" s="433"/>
    </row>
    <row r="64" spans="2:71" ht="17.399999999999999">
      <c r="C64" s="66" t="s">
        <v>959</v>
      </c>
      <c r="D64" s="25"/>
      <c r="G64" s="6"/>
      <c r="H64" s="25"/>
      <c r="I64" s="1320"/>
      <c r="J64" s="25"/>
      <c r="K64" s="25"/>
      <c r="L64" s="25"/>
      <c r="M64" s="25"/>
      <c r="N64" s="77"/>
      <c r="T64" s="25"/>
      <c r="U64" s="25"/>
      <c r="AA64" s="25"/>
      <c r="AB64" s="25"/>
      <c r="AC64" s="25"/>
      <c r="AD64" s="25"/>
      <c r="AE64" s="25"/>
      <c r="AF64" s="25"/>
      <c r="AG64" s="25"/>
      <c r="AH64" s="25"/>
      <c r="AI64" s="25"/>
      <c r="AM64" s="25"/>
      <c r="AN64" s="25"/>
      <c r="AO64" s="25"/>
      <c r="AP64" s="25"/>
      <c r="AQ64" s="25"/>
      <c r="AR64" s="25"/>
      <c r="AS64" s="25"/>
      <c r="AT64" s="25"/>
      <c r="AU64" s="25"/>
      <c r="AV64" s="25"/>
      <c r="AW64" s="25"/>
      <c r="AX64" s="25"/>
      <c r="AY64" s="1041" t="s">
        <v>1362</v>
      </c>
      <c r="AZ64" s="231"/>
      <c r="BA64" s="231"/>
      <c r="BB64" s="231"/>
      <c r="BC64" s="231"/>
      <c r="BD64" s="231"/>
      <c r="BE64" s="231"/>
      <c r="BF64" s="231"/>
      <c r="BG64" s="231"/>
      <c r="BH64" s="231"/>
      <c r="BI64" s="231"/>
      <c r="BJ64" s="231"/>
      <c r="BK64" s="231"/>
      <c r="BL64" s="231"/>
      <c r="BM64" s="231"/>
      <c r="BN64" s="251"/>
      <c r="BO64" s="231"/>
      <c r="BP64" s="231"/>
      <c r="BQ64" s="231"/>
      <c r="BR64" s="231"/>
      <c r="BS64" s="433"/>
    </row>
    <row r="65" spans="2:71" ht="13.8">
      <c r="C65" s="6" t="s">
        <v>955</v>
      </c>
      <c r="D65" s="6" t="s">
        <v>961</v>
      </c>
      <c r="E65" s="82" t="s">
        <v>956</v>
      </c>
      <c r="F65" s="38">
        <v>0</v>
      </c>
      <c r="J65" s="25"/>
      <c r="K65" s="25"/>
      <c r="L65" s="25"/>
      <c r="M65" s="25"/>
      <c r="N65" s="77"/>
      <c r="O65" s="25"/>
      <c r="P65" s="25"/>
      <c r="Q65" s="25"/>
      <c r="R65" s="25"/>
      <c r="S65" s="25"/>
      <c r="T65" s="25"/>
      <c r="U65" s="25"/>
      <c r="AA65" s="25"/>
      <c r="AB65" s="25"/>
      <c r="AC65" s="25"/>
      <c r="AD65" s="25"/>
      <c r="AE65" s="25"/>
      <c r="AF65" s="25"/>
      <c r="AG65" s="25"/>
      <c r="AH65" s="25"/>
      <c r="AI65" s="25"/>
      <c r="AM65" s="25"/>
      <c r="AN65" s="25"/>
      <c r="AO65" s="25"/>
      <c r="AP65" s="25"/>
      <c r="AQ65" s="25"/>
      <c r="AR65" s="25"/>
      <c r="AS65" s="25"/>
      <c r="AT65" s="25"/>
      <c r="AU65" s="25"/>
      <c r="AV65" s="25"/>
      <c r="AW65" s="25"/>
      <c r="AX65" s="25"/>
      <c r="AY65" s="1042" t="s">
        <v>1363</v>
      </c>
      <c r="AZ65" s="231"/>
      <c r="BA65" s="231"/>
      <c r="BB65" s="231"/>
      <c r="BC65" s="231"/>
      <c r="BD65" s="231"/>
      <c r="BE65" s="231"/>
      <c r="BF65" s="231"/>
      <c r="BG65" s="231"/>
      <c r="BH65" s="231"/>
      <c r="BI65" s="231"/>
      <c r="BJ65" s="231"/>
      <c r="BK65" s="231"/>
      <c r="BL65" s="231"/>
      <c r="BM65" s="231"/>
      <c r="BN65" s="251"/>
      <c r="BO65" s="231"/>
      <c r="BP65" s="231"/>
      <c r="BQ65" s="231"/>
      <c r="BR65" s="231"/>
      <c r="BS65" s="433"/>
    </row>
    <row r="66" spans="2:71">
      <c r="C66" s="6" t="s">
        <v>957</v>
      </c>
      <c r="D66" s="6" t="s">
        <v>962</v>
      </c>
      <c r="E66" s="82" t="s">
        <v>512</v>
      </c>
      <c r="F66" s="38">
        <v>0</v>
      </c>
      <c r="J66" s="25"/>
      <c r="K66" s="25"/>
      <c r="L66" s="25"/>
      <c r="M66" s="25"/>
      <c r="N66" s="6"/>
      <c r="O66" s="25"/>
      <c r="P66" s="25"/>
      <c r="Q66" s="25"/>
      <c r="R66" s="25"/>
      <c r="S66" s="25"/>
      <c r="T66" s="25"/>
      <c r="U66" s="25"/>
      <c r="AA66" s="25"/>
      <c r="AB66" s="25"/>
      <c r="AC66" s="25"/>
      <c r="AD66" s="25"/>
      <c r="AE66" s="25"/>
      <c r="AF66" s="25"/>
      <c r="AG66" s="25"/>
      <c r="AH66" s="25"/>
      <c r="AI66" s="25"/>
      <c r="AM66" s="25"/>
      <c r="AN66" s="25"/>
      <c r="AO66" s="25"/>
      <c r="AP66" s="25"/>
      <c r="AQ66" s="25"/>
      <c r="AR66" s="25"/>
      <c r="AS66" s="25"/>
      <c r="AT66" s="25"/>
      <c r="AU66" s="25"/>
      <c r="AV66" s="25"/>
      <c r="AW66" s="25"/>
      <c r="AX66" s="25"/>
      <c r="AY66" s="235"/>
      <c r="AZ66" s="231"/>
      <c r="BA66" s="231"/>
      <c r="BB66" s="231"/>
      <c r="BC66" s="231"/>
      <c r="BD66" s="231"/>
      <c r="BE66" s="231"/>
      <c r="BF66" s="231"/>
      <c r="BG66" s="231"/>
      <c r="BH66" s="231"/>
      <c r="BI66" s="231"/>
      <c r="BJ66" s="437"/>
      <c r="BK66" s="231"/>
      <c r="BL66" s="231"/>
      <c r="BM66" s="231"/>
      <c r="BN66" s="231"/>
      <c r="BO66" s="231"/>
      <c r="BP66" s="231"/>
      <c r="BQ66" s="231"/>
      <c r="BR66" s="231"/>
      <c r="BS66" s="433"/>
    </row>
    <row r="67" spans="2:71">
      <c r="C67" s="6" t="s">
        <v>958</v>
      </c>
      <c r="D67" s="6" t="s">
        <v>963</v>
      </c>
      <c r="E67" s="82" t="s">
        <v>960</v>
      </c>
      <c r="F67" s="95">
        <v>1</v>
      </c>
      <c r="J67" s="25"/>
      <c r="K67" s="25"/>
      <c r="L67" s="25"/>
      <c r="M67" s="25"/>
      <c r="N67" s="25"/>
      <c r="O67" s="25"/>
      <c r="P67" s="25"/>
      <c r="Q67" s="25"/>
      <c r="R67" s="25"/>
      <c r="S67" s="25"/>
      <c r="T67" s="79"/>
      <c r="U67" s="25"/>
      <c r="AF67" s="25"/>
      <c r="AG67" s="25"/>
      <c r="AH67" s="25"/>
      <c r="AI67" s="25"/>
      <c r="AJ67" s="25"/>
      <c r="AK67" s="25"/>
      <c r="AL67" s="25"/>
      <c r="AM67" s="25"/>
      <c r="AN67" s="25"/>
      <c r="AR67" s="25"/>
      <c r="AS67" s="25"/>
      <c r="AT67" s="25"/>
      <c r="AU67" s="25"/>
      <c r="AV67" s="25"/>
      <c r="AW67" s="25"/>
      <c r="AX67" s="25"/>
      <c r="AY67" s="1023" t="s">
        <v>1364</v>
      </c>
      <c r="AZ67" s="233" t="s">
        <v>90</v>
      </c>
      <c r="BA67" s="233" t="s">
        <v>91</v>
      </c>
      <c r="BB67" s="231"/>
      <c r="BC67" s="231"/>
      <c r="BD67" s="233" t="s">
        <v>90</v>
      </c>
      <c r="BE67" s="231"/>
      <c r="BF67" s="231"/>
      <c r="BG67" s="231"/>
      <c r="BH67" s="231"/>
      <c r="BI67" s="231"/>
      <c r="BJ67" s="231"/>
      <c r="BK67" s="231"/>
      <c r="BL67" s="231"/>
      <c r="BM67" s="231"/>
      <c r="BN67" s="231"/>
      <c r="BO67" s="231"/>
      <c r="BP67" s="231"/>
      <c r="BQ67" s="231"/>
      <c r="BR67" s="231"/>
      <c r="BS67" s="433"/>
    </row>
    <row r="68" spans="2:71">
      <c r="C68" s="25"/>
      <c r="D68" s="25"/>
      <c r="E68" s="6"/>
      <c r="G68" s="264"/>
      <c r="H68" s="6"/>
      <c r="I68" s="67"/>
      <c r="J68" s="25"/>
      <c r="K68" s="25"/>
      <c r="L68" s="25"/>
      <c r="M68" s="25"/>
      <c r="N68" s="25"/>
      <c r="O68" s="25"/>
      <c r="P68" s="25"/>
      <c r="Q68" s="25"/>
      <c r="R68" s="25"/>
      <c r="S68" s="25"/>
      <c r="T68" s="25"/>
      <c r="U68" s="25"/>
      <c r="Y68" s="2" t="s">
        <v>723</v>
      </c>
      <c r="Z68" s="2" t="s">
        <v>722</v>
      </c>
      <c r="AI68" s="2" t="s">
        <v>786</v>
      </c>
      <c r="AJ68" s="25"/>
      <c r="AL68" s="2" t="s">
        <v>722</v>
      </c>
      <c r="AM68" s="25"/>
      <c r="AW68" s="25"/>
      <c r="AX68" s="25"/>
      <c r="AY68" s="235"/>
      <c r="AZ68" s="231"/>
      <c r="BA68" s="231"/>
      <c r="BB68" s="231"/>
      <c r="BC68" s="574" t="s">
        <v>1365</v>
      </c>
      <c r="BD68" s="574" t="s">
        <v>87</v>
      </c>
      <c r="BE68" s="1030">
        <v>0.2</v>
      </c>
      <c r="BF68" s="1030">
        <v>0.3</v>
      </c>
      <c r="BG68" s="1030">
        <v>0.4</v>
      </c>
      <c r="BH68" s="1030">
        <v>0.5</v>
      </c>
      <c r="BI68" s="1030">
        <v>0.6</v>
      </c>
      <c r="BJ68" s="1030">
        <v>0.7</v>
      </c>
      <c r="BK68" s="1030">
        <v>0.75</v>
      </c>
      <c r="BL68" s="1030">
        <v>0.8</v>
      </c>
      <c r="BM68" s="1030">
        <v>0.9</v>
      </c>
      <c r="BN68" s="1030">
        <v>0.95</v>
      </c>
      <c r="BO68" s="209">
        <v>0.97499999999999998</v>
      </c>
      <c r="BP68" s="231"/>
      <c r="BQ68" s="231"/>
      <c r="BR68" s="231"/>
      <c r="BS68" s="433"/>
    </row>
    <row r="69" spans="2:71">
      <c r="C69" s="25"/>
      <c r="D69" s="25"/>
      <c r="E69" s="25"/>
      <c r="G69" s="25"/>
      <c r="H69" s="25"/>
      <c r="I69" s="67"/>
      <c r="J69" s="25"/>
      <c r="K69" s="25"/>
      <c r="L69" s="25"/>
      <c r="M69" s="25"/>
      <c r="N69" s="25"/>
      <c r="O69" s="25"/>
      <c r="P69" s="25"/>
      <c r="Q69" s="25"/>
      <c r="R69" s="25"/>
      <c r="S69" s="27" t="s">
        <v>723</v>
      </c>
      <c r="T69" s="27" t="s">
        <v>723</v>
      </c>
      <c r="U69" s="27" t="s">
        <v>722</v>
      </c>
      <c r="W69" s="25"/>
      <c r="Y69" s="82" t="s">
        <v>2652</v>
      </c>
      <c r="Z69" s="82" t="s">
        <v>2652</v>
      </c>
      <c r="AH69" s="25"/>
      <c r="AI69" s="82" t="s">
        <v>2652</v>
      </c>
      <c r="AK69" s="82" t="s">
        <v>2731</v>
      </c>
      <c r="AL69" s="82" t="s">
        <v>2652</v>
      </c>
      <c r="AM69" s="25"/>
      <c r="AW69" s="25"/>
      <c r="AX69" s="25"/>
      <c r="AY69" s="235" t="s">
        <v>33</v>
      </c>
      <c r="AZ69" s="231" t="s">
        <v>188</v>
      </c>
      <c r="BA69" s="534">
        <f>'7b'!BA7</f>
        <v>7000</v>
      </c>
      <c r="BB69" s="231"/>
      <c r="BC69" s="574" t="s">
        <v>50</v>
      </c>
      <c r="BD69" s="574" t="s">
        <v>188</v>
      </c>
      <c r="BE69" s="334">
        <f t="shared" ref="BE69:BO69" si="5">BE68*($BA81/2)</f>
        <v>0.60000000000000009</v>
      </c>
      <c r="BF69" s="334">
        <f t="shared" si="5"/>
        <v>0.89999999999999991</v>
      </c>
      <c r="BG69" s="334">
        <f t="shared" si="5"/>
        <v>1.2000000000000002</v>
      </c>
      <c r="BH69" s="334">
        <f t="shared" si="5"/>
        <v>1.5</v>
      </c>
      <c r="BI69" s="334">
        <f t="shared" si="5"/>
        <v>1.7999999999999998</v>
      </c>
      <c r="BJ69" s="334">
        <f t="shared" si="5"/>
        <v>2.0999999999999996</v>
      </c>
      <c r="BK69" s="334">
        <f t="shared" si="5"/>
        <v>2.25</v>
      </c>
      <c r="BL69" s="334">
        <f t="shared" si="5"/>
        <v>2.4000000000000004</v>
      </c>
      <c r="BM69" s="334">
        <f t="shared" si="5"/>
        <v>2.7</v>
      </c>
      <c r="BN69" s="334">
        <f t="shared" si="5"/>
        <v>2.8499999999999996</v>
      </c>
      <c r="BO69" s="334">
        <f t="shared" si="5"/>
        <v>2.9249999999999998</v>
      </c>
      <c r="BP69" s="231"/>
      <c r="BQ69" s="231"/>
      <c r="BR69" s="231"/>
      <c r="BS69" s="433"/>
    </row>
    <row r="70" spans="2:71">
      <c r="C70" s="25"/>
      <c r="D70" s="25"/>
      <c r="N70" s="25"/>
      <c r="O70" s="25"/>
      <c r="P70" s="25"/>
      <c r="Q70" s="25"/>
      <c r="R70" s="25"/>
      <c r="S70" s="2" t="s">
        <v>2650</v>
      </c>
      <c r="T70" s="2" t="s">
        <v>2650</v>
      </c>
      <c r="U70" s="2" t="s">
        <v>2650</v>
      </c>
      <c r="W70" s="25"/>
      <c r="Y70" s="2" t="s">
        <v>2650</v>
      </c>
      <c r="Z70" s="2" t="s">
        <v>2650</v>
      </c>
      <c r="AI70" s="2" t="s">
        <v>2650</v>
      </c>
      <c r="AK70" s="27" t="s">
        <v>2572</v>
      </c>
      <c r="AL70" s="2" t="s">
        <v>2650</v>
      </c>
      <c r="AM70" s="25"/>
      <c r="AW70" s="25"/>
      <c r="AX70" s="25"/>
      <c r="AY70" s="235" t="s">
        <v>1366</v>
      </c>
      <c r="AZ70" s="231" t="s">
        <v>648</v>
      </c>
      <c r="BA70" s="534">
        <f>'7b'!BA8</f>
        <v>0</v>
      </c>
      <c r="BB70" s="231"/>
      <c r="BC70" s="231" t="s">
        <v>1367</v>
      </c>
      <c r="BD70" s="231" t="s">
        <v>188</v>
      </c>
      <c r="BE70" s="536">
        <f>'7b'!BA33</f>
        <v>0.5</v>
      </c>
      <c r="BF70" s="334">
        <f>$BE70</f>
        <v>0.5</v>
      </c>
      <c r="BG70" s="334">
        <f>$BE70</f>
        <v>0.5</v>
      </c>
      <c r="BH70" s="334">
        <f>$BE70</f>
        <v>0.5</v>
      </c>
      <c r="BI70" s="334">
        <f t="shared" ref="BI70:BN70" si="6">$BH70-(((BI69-$BH69)/($BO69-$BH69))*($BH70-$BO70))</f>
        <v>0.4578947368421053</v>
      </c>
      <c r="BJ70" s="334">
        <f t="shared" si="6"/>
        <v>0.41578947368421054</v>
      </c>
      <c r="BK70" s="334">
        <f t="shared" si="6"/>
        <v>0.39473684210526316</v>
      </c>
      <c r="BL70" s="334">
        <f t="shared" si="6"/>
        <v>0.37368421052631573</v>
      </c>
      <c r="BM70" s="334">
        <f t="shared" si="6"/>
        <v>0.33157894736842097</v>
      </c>
      <c r="BN70" s="334">
        <f t="shared" si="6"/>
        <v>0.31052631578947371</v>
      </c>
      <c r="BO70" s="536">
        <f>'7b'!BA34</f>
        <v>0.3</v>
      </c>
      <c r="BP70" s="231"/>
      <c r="BQ70" s="231"/>
      <c r="BR70" s="231"/>
      <c r="BS70" s="433"/>
    </row>
    <row r="71" spans="2:71">
      <c r="C71" s="25"/>
      <c r="D71" s="25"/>
      <c r="N71" s="25"/>
      <c r="O71" s="29" t="s">
        <v>732</v>
      </c>
      <c r="P71" s="25"/>
      <c r="Q71" s="27"/>
      <c r="S71" s="27" t="s">
        <v>626</v>
      </c>
      <c r="T71" s="27" t="s">
        <v>2651</v>
      </c>
      <c r="U71" s="27" t="s">
        <v>2651</v>
      </c>
      <c r="W71" s="25"/>
      <c r="Y71" s="27" t="s">
        <v>2651</v>
      </c>
      <c r="Z71" s="27" t="s">
        <v>2651</v>
      </c>
      <c r="AE71" s="82" t="s">
        <v>2654</v>
      </c>
      <c r="AF71" s="25"/>
      <c r="AG71" s="27" t="s">
        <v>791</v>
      </c>
      <c r="AI71" s="27" t="s">
        <v>2651</v>
      </c>
      <c r="AK71" s="6" t="s">
        <v>76</v>
      </c>
      <c r="AL71" s="27" t="s">
        <v>2651</v>
      </c>
      <c r="AM71" s="25"/>
      <c r="AW71" s="25"/>
      <c r="AX71" s="25"/>
      <c r="AY71" s="235" t="s">
        <v>1368</v>
      </c>
      <c r="AZ71" s="231" t="s">
        <v>1369</v>
      </c>
      <c r="BA71" s="251">
        <f>(-0.00356616*BA69)+59+459.6</f>
        <v>493.63688000000002</v>
      </c>
      <c r="BB71" s="231"/>
      <c r="BC71" s="231" t="s">
        <v>1370</v>
      </c>
      <c r="BD71" s="231" t="s">
        <v>188</v>
      </c>
      <c r="BE71" s="231">
        <f t="shared" ref="BE71:BO71" si="7">BE70/2</f>
        <v>0.25</v>
      </c>
      <c r="BF71" s="231">
        <f t="shared" si="7"/>
        <v>0.25</v>
      </c>
      <c r="BG71" s="231">
        <f t="shared" si="7"/>
        <v>0.25</v>
      </c>
      <c r="BH71" s="231">
        <f t="shared" si="7"/>
        <v>0.25</v>
      </c>
      <c r="BI71" s="231">
        <f t="shared" si="7"/>
        <v>0.22894736842105265</v>
      </c>
      <c r="BJ71" s="231">
        <f t="shared" si="7"/>
        <v>0.20789473684210527</v>
      </c>
      <c r="BK71" s="231">
        <f t="shared" si="7"/>
        <v>0.19736842105263158</v>
      </c>
      <c r="BL71" s="231">
        <f t="shared" si="7"/>
        <v>0.18684210526315786</v>
      </c>
      <c r="BM71" s="231">
        <f t="shared" si="7"/>
        <v>0.16578947368421049</v>
      </c>
      <c r="BN71" s="231">
        <f t="shared" si="7"/>
        <v>0.15526315789473685</v>
      </c>
      <c r="BO71" s="231">
        <f t="shared" si="7"/>
        <v>0.15</v>
      </c>
      <c r="BP71" s="231"/>
      <c r="BQ71" s="231"/>
      <c r="BR71" s="231"/>
      <c r="BS71" s="433"/>
    </row>
    <row r="72" spans="2:71">
      <c r="C72" s="25"/>
      <c r="D72" s="25"/>
      <c r="E72" s="25"/>
      <c r="F72" s="25"/>
      <c r="G72" s="25"/>
      <c r="N72" s="29" t="s">
        <v>733</v>
      </c>
      <c r="O72" s="29" t="s">
        <v>733</v>
      </c>
      <c r="P72" s="25"/>
      <c r="Q72" s="2" t="s">
        <v>37</v>
      </c>
      <c r="S72" s="6" t="s">
        <v>2746</v>
      </c>
      <c r="T72" s="6" t="s">
        <v>2746</v>
      </c>
      <c r="U72" s="6" t="s">
        <v>2746</v>
      </c>
      <c r="Y72" s="2"/>
      <c r="Z72" s="2"/>
      <c r="AE72" s="82" t="s">
        <v>2655</v>
      </c>
      <c r="AF72" s="27" t="s">
        <v>37</v>
      </c>
      <c r="AG72" s="6" t="s">
        <v>753</v>
      </c>
      <c r="AI72" s="2"/>
      <c r="AL72" s="2"/>
      <c r="AM72" s="2" t="s">
        <v>146</v>
      </c>
      <c r="AW72" s="25"/>
      <c r="AX72" s="25"/>
      <c r="AY72" s="235" t="s">
        <v>1371</v>
      </c>
      <c r="AZ72" s="231" t="s">
        <v>658</v>
      </c>
      <c r="BA72" s="587">
        <f xml:space="preserve"> (-0.00000000808691*(BA69^2)) + (-0.0038153*BA69) + 1116.38</f>
        <v>1089.2766414100001</v>
      </c>
      <c r="BB72" s="231"/>
      <c r="BC72" s="231" t="s">
        <v>1372</v>
      </c>
      <c r="BD72" s="231" t="s">
        <v>188</v>
      </c>
      <c r="BE72" s="231">
        <f t="shared" ref="BE72:BO72" si="8">(-1)*BE71</f>
        <v>-0.25</v>
      </c>
      <c r="BF72" s="231">
        <f t="shared" si="8"/>
        <v>-0.25</v>
      </c>
      <c r="BG72" s="231">
        <f t="shared" si="8"/>
        <v>-0.25</v>
      </c>
      <c r="BH72" s="231">
        <f t="shared" si="8"/>
        <v>-0.25</v>
      </c>
      <c r="BI72" s="231">
        <f t="shared" si="8"/>
        <v>-0.22894736842105265</v>
      </c>
      <c r="BJ72" s="231">
        <f t="shared" si="8"/>
        <v>-0.20789473684210527</v>
      </c>
      <c r="BK72" s="231">
        <f t="shared" si="8"/>
        <v>-0.19736842105263158</v>
      </c>
      <c r="BL72" s="231">
        <f t="shared" si="8"/>
        <v>-0.18684210526315786</v>
      </c>
      <c r="BM72" s="231">
        <f t="shared" si="8"/>
        <v>-0.16578947368421049</v>
      </c>
      <c r="BN72" s="231">
        <f t="shared" si="8"/>
        <v>-0.15526315789473685</v>
      </c>
      <c r="BO72" s="231">
        <f t="shared" si="8"/>
        <v>-0.15</v>
      </c>
      <c r="BP72" s="231"/>
      <c r="BQ72" s="231"/>
      <c r="BR72" s="231"/>
      <c r="BS72" s="433"/>
    </row>
    <row r="73" spans="2:71" ht="15.6">
      <c r="C73" s="25"/>
      <c r="D73" s="25"/>
      <c r="E73" s="25"/>
      <c r="F73" s="25"/>
      <c r="G73" s="1272"/>
      <c r="H73" s="25"/>
      <c r="I73" s="2" t="s">
        <v>2570</v>
      </c>
      <c r="J73" s="27" t="s">
        <v>723</v>
      </c>
      <c r="K73" s="29" t="s">
        <v>732</v>
      </c>
      <c r="L73" s="29" t="s">
        <v>732</v>
      </c>
      <c r="M73" s="29" t="s">
        <v>732</v>
      </c>
      <c r="N73" s="268">
        <v>7.15</v>
      </c>
      <c r="O73" s="268">
        <v>7.19</v>
      </c>
      <c r="P73" s="2" t="s">
        <v>37</v>
      </c>
      <c r="Q73" s="1273" t="s">
        <v>2570</v>
      </c>
      <c r="S73" s="6" t="s">
        <v>753</v>
      </c>
      <c r="T73" s="6" t="s">
        <v>753</v>
      </c>
      <c r="U73" s="6" t="s">
        <v>753</v>
      </c>
      <c r="W73" s="82"/>
      <c r="Y73" s="6" t="s">
        <v>2657</v>
      </c>
      <c r="Z73" s="6" t="s">
        <v>2657</v>
      </c>
      <c r="AE73" s="6" t="s">
        <v>2656</v>
      </c>
      <c r="AF73" s="27" t="s">
        <v>743</v>
      </c>
      <c r="AG73" s="27" t="s">
        <v>70</v>
      </c>
      <c r="AI73" s="6" t="s">
        <v>2657</v>
      </c>
      <c r="AK73" s="27" t="s">
        <v>82</v>
      </c>
      <c r="AL73" s="6" t="s">
        <v>2750</v>
      </c>
      <c r="AM73" s="6" t="s">
        <v>2606</v>
      </c>
      <c r="AW73" s="25"/>
      <c r="AX73" s="25"/>
      <c r="AY73" s="235" t="s">
        <v>671</v>
      </c>
      <c r="AZ73" s="231" t="s">
        <v>1369</v>
      </c>
      <c r="BA73" s="587">
        <f>((((5/9)*((BA71-32))+BA70)*(9/5))+32)</f>
        <v>493.63688000000008</v>
      </c>
      <c r="BB73" s="231"/>
      <c r="BC73" s="236" t="s">
        <v>1373</v>
      </c>
      <c r="BD73" s="231" t="s">
        <v>87</v>
      </c>
      <c r="BE73" s="437">
        <f t="shared" ref="BE73:BO73" si="9">$BA$80*BE70/(PI()*$BA$81/2)</f>
        <v>0.1061032953945969</v>
      </c>
      <c r="BF73" s="437">
        <f t="shared" si="9"/>
        <v>0.1061032953945969</v>
      </c>
      <c r="BG73" s="437">
        <f t="shared" si="9"/>
        <v>0.1061032953945969</v>
      </c>
      <c r="BH73" s="437">
        <f t="shared" si="9"/>
        <v>0.1061032953945969</v>
      </c>
      <c r="BI73" s="437">
        <f t="shared" si="9"/>
        <v>9.7168281045578217E-2</v>
      </c>
      <c r="BJ73" s="437">
        <f t="shared" si="9"/>
        <v>8.8233266696559523E-2</v>
      </c>
      <c r="BK73" s="437">
        <f t="shared" si="9"/>
        <v>8.3765759522050176E-2</v>
      </c>
      <c r="BL73" s="437">
        <f t="shared" si="9"/>
        <v>7.9298252347540829E-2</v>
      </c>
      <c r="BM73" s="437">
        <f t="shared" si="9"/>
        <v>7.0363237998522135E-2</v>
      </c>
      <c r="BN73" s="437">
        <f t="shared" si="9"/>
        <v>6.5895730824012816E-2</v>
      </c>
      <c r="BO73" s="437">
        <f t="shared" si="9"/>
        <v>6.3661977236758135E-2</v>
      </c>
      <c r="BP73" s="231"/>
      <c r="BQ73" s="231"/>
      <c r="BR73" s="231"/>
      <c r="BS73" s="433"/>
    </row>
    <row r="74" spans="2:71" ht="15.6">
      <c r="C74" s="25"/>
      <c r="D74" s="25" t="str">
        <f>'2'!D40</f>
        <v>(ft)</v>
      </c>
      <c r="E74" s="25" t="str">
        <f>'2'!E40</f>
        <v>(-)</v>
      </c>
      <c r="F74" s="25" t="str">
        <f>'2'!F40</f>
        <v>(deg C)</v>
      </c>
      <c r="G74" s="1272" t="str">
        <f>'2'!I40</f>
        <v>(ft/sec)</v>
      </c>
      <c r="H74" s="25"/>
      <c r="I74" s="27" t="s">
        <v>33</v>
      </c>
      <c r="J74" s="27" t="s">
        <v>626</v>
      </c>
      <c r="K74" s="29" t="s">
        <v>733</v>
      </c>
      <c r="L74" s="29" t="s">
        <v>733</v>
      </c>
      <c r="M74" s="29" t="s">
        <v>733</v>
      </c>
      <c r="N74" s="27" t="s">
        <v>37</v>
      </c>
      <c r="O74" s="27" t="s">
        <v>37</v>
      </c>
      <c r="P74" s="29" t="s">
        <v>146</v>
      </c>
      <c r="Q74" s="6" t="s">
        <v>70</v>
      </c>
      <c r="R74" s="6" t="s">
        <v>753</v>
      </c>
      <c r="S74" s="27" t="s">
        <v>735</v>
      </c>
      <c r="T74" s="27" t="s">
        <v>735</v>
      </c>
      <c r="U74" s="27" t="s">
        <v>735</v>
      </c>
      <c r="W74" s="6" t="s">
        <v>2674</v>
      </c>
      <c r="Y74" s="6" t="s">
        <v>735</v>
      </c>
      <c r="Z74" s="6" t="s">
        <v>735</v>
      </c>
      <c r="AB74" s="6" t="s">
        <v>722</v>
      </c>
      <c r="AD74" s="2" t="s">
        <v>786</v>
      </c>
      <c r="AE74" s="6" t="s">
        <v>2758</v>
      </c>
      <c r="AF74" s="27" t="s">
        <v>744</v>
      </c>
      <c r="AG74" s="27" t="s">
        <v>765</v>
      </c>
      <c r="AH74" s="6" t="s">
        <v>753</v>
      </c>
      <c r="AI74" s="6" t="s">
        <v>735</v>
      </c>
      <c r="AJ74" s="27" t="s">
        <v>81</v>
      </c>
      <c r="AK74" s="27" t="s">
        <v>80</v>
      </c>
      <c r="AL74" s="6" t="s">
        <v>735</v>
      </c>
      <c r="AM74" s="6" t="s">
        <v>2727</v>
      </c>
      <c r="AW74" s="25"/>
      <c r="AX74" s="25"/>
      <c r="AY74" s="235" t="s">
        <v>1374</v>
      </c>
      <c r="AZ74" s="231" t="s">
        <v>658</v>
      </c>
      <c r="BA74" s="587">
        <f>( (-0.00000000808691*(BA69^2)) + (-0.0038153*BA69) + 1116.38)*((BA73/BA71)^0.5)</f>
        <v>1089.2766414100001</v>
      </c>
      <c r="BB74" s="231"/>
      <c r="BC74" s="231" t="s">
        <v>1375</v>
      </c>
      <c r="BD74" s="231" t="s">
        <v>87</v>
      </c>
      <c r="BE74" s="437">
        <f t="shared" ref="BE74:BO74" si="10">((BE68^2)+($BA88^2))^0.5</f>
        <v>0.41626707207080138</v>
      </c>
      <c r="BF74" s="437">
        <f t="shared" si="10"/>
        <v>0.47252330661079328</v>
      </c>
      <c r="BG74" s="437">
        <f t="shared" si="10"/>
        <v>0.54155172909925953</v>
      </c>
      <c r="BH74" s="437">
        <f t="shared" si="10"/>
        <v>0.61909472238939145</v>
      </c>
      <c r="BI74" s="437">
        <f t="shared" si="10"/>
        <v>0.70233772167697051</v>
      </c>
      <c r="BJ74" s="437">
        <f t="shared" si="10"/>
        <v>0.78947974976588076</v>
      </c>
      <c r="BK74" s="437">
        <f t="shared" si="10"/>
        <v>0.83413324792289489</v>
      </c>
      <c r="BL74" s="437">
        <f t="shared" si="10"/>
        <v>0.87936242544834597</v>
      </c>
      <c r="BM74" s="437">
        <f t="shared" si="10"/>
        <v>0.9712251414015175</v>
      </c>
      <c r="BN74" s="437">
        <f t="shared" si="10"/>
        <v>1.0177319270271508</v>
      </c>
      <c r="BO74" s="437">
        <f t="shared" si="10"/>
        <v>1.0411067549922042</v>
      </c>
      <c r="BP74" s="231"/>
      <c r="BQ74" s="231"/>
      <c r="BR74" s="231"/>
      <c r="BS74" s="433"/>
    </row>
    <row r="75" spans="2:71">
      <c r="C75" s="25"/>
      <c r="D75" s="25" t="str">
        <f>'2'!D41</f>
        <v>Pressure</v>
      </c>
      <c r="E75" s="25" t="str">
        <f>'2'!E41</f>
        <v>Mach</v>
      </c>
      <c r="F75" s="25" t="str">
        <f>'2'!F41</f>
        <v>Delta Amb.</v>
      </c>
      <c r="G75" s="1272" t="str">
        <f>'2'!I41</f>
        <v>Flight</v>
      </c>
      <c r="H75" s="57" t="s">
        <v>753</v>
      </c>
      <c r="I75" s="27" t="s">
        <v>35</v>
      </c>
      <c r="J75" s="27" t="s">
        <v>2621</v>
      </c>
      <c r="K75" s="268">
        <v>7.16</v>
      </c>
      <c r="L75" s="268">
        <v>7.17</v>
      </c>
      <c r="M75" s="268">
        <v>7.18</v>
      </c>
      <c r="N75" s="27" t="s">
        <v>727</v>
      </c>
      <c r="O75" s="27" t="s">
        <v>730</v>
      </c>
      <c r="P75" s="27" t="s">
        <v>734</v>
      </c>
      <c r="Q75" s="6" t="s">
        <v>2612</v>
      </c>
      <c r="R75" s="6" t="s">
        <v>2623</v>
      </c>
      <c r="S75" s="27" t="s">
        <v>70</v>
      </c>
      <c r="T75" s="27" t="s">
        <v>70</v>
      </c>
      <c r="U75" s="27" t="s">
        <v>70</v>
      </c>
      <c r="W75" s="82" t="s">
        <v>2657</v>
      </c>
      <c r="Y75" s="6" t="s">
        <v>70</v>
      </c>
      <c r="Z75" s="6" t="s">
        <v>70</v>
      </c>
      <c r="AB75" s="82" t="s">
        <v>85</v>
      </c>
      <c r="AC75" s="82" t="s">
        <v>2747</v>
      </c>
      <c r="AD75" s="6" t="s">
        <v>70</v>
      </c>
      <c r="AE75" s="6" t="s">
        <v>2759</v>
      </c>
      <c r="AF75" s="27" t="s">
        <v>70</v>
      </c>
      <c r="AG75" s="27" t="s">
        <v>76</v>
      </c>
      <c r="AH75" s="2" t="s">
        <v>2755</v>
      </c>
      <c r="AI75" s="6" t="s">
        <v>70</v>
      </c>
      <c r="AJ75" s="27" t="s">
        <v>80</v>
      </c>
      <c r="AK75" s="27" t="s">
        <v>2573</v>
      </c>
      <c r="AL75" s="6" t="s">
        <v>70</v>
      </c>
      <c r="AM75" s="6" t="s">
        <v>708</v>
      </c>
      <c r="AW75" s="25"/>
      <c r="AX75" s="25"/>
      <c r="AY75" s="235" t="s">
        <v>1376</v>
      </c>
      <c r="AZ75" s="231" t="s">
        <v>1377</v>
      </c>
      <c r="BA75" s="1043">
        <f xml:space="preserve"> ( (-0.00000000000621692*(BA69^3)) + (0.00000107111*(BA69^2)) + (-0.0760997*BA69) + 2115.57)/144</f>
        <v>11.341833933611111</v>
      </c>
      <c r="BB75" s="231"/>
      <c r="BC75" s="231"/>
      <c r="BD75" s="231"/>
      <c r="BE75" s="231"/>
      <c r="BF75" s="231"/>
      <c r="BG75" s="231"/>
      <c r="BH75" s="231"/>
      <c r="BI75" s="231"/>
      <c r="BJ75" s="231"/>
      <c r="BK75" s="231"/>
      <c r="BL75" s="231"/>
      <c r="BM75" s="231"/>
      <c r="BN75" s="231"/>
      <c r="BO75" s="231"/>
      <c r="BP75" s="231"/>
      <c r="BQ75" s="231"/>
      <c r="BR75" s="231"/>
      <c r="BS75" s="433"/>
    </row>
    <row r="76" spans="2:71">
      <c r="C76" s="25"/>
      <c r="D76" s="25" t="str">
        <f>'2'!D42</f>
        <v>Altitude</v>
      </c>
      <c r="E76" s="25" t="str">
        <f>'2'!E42</f>
        <v>Number</v>
      </c>
      <c r="F76" s="25" t="str">
        <f>'2'!F42</f>
        <v>Temperature</v>
      </c>
      <c r="G76" s="1272" t="str">
        <f>'2'!I42</f>
        <v>Speed</v>
      </c>
      <c r="H76" s="57" t="s">
        <v>754</v>
      </c>
      <c r="I76" s="27" t="s">
        <v>737</v>
      </c>
      <c r="J76" s="27" t="s">
        <v>70</v>
      </c>
      <c r="K76" s="27" t="s">
        <v>37</v>
      </c>
      <c r="L76" s="27" t="s">
        <v>37</v>
      </c>
      <c r="M76" s="27" t="s">
        <v>37</v>
      </c>
      <c r="N76" s="27" t="s">
        <v>728</v>
      </c>
      <c r="O76" s="27" t="s">
        <v>728</v>
      </c>
      <c r="P76" s="27" t="s">
        <v>728</v>
      </c>
      <c r="Q76" s="6" t="s">
        <v>728</v>
      </c>
      <c r="R76" s="6" t="s">
        <v>145</v>
      </c>
      <c r="S76" s="6" t="s">
        <v>790</v>
      </c>
      <c r="T76" s="6" t="s">
        <v>790</v>
      </c>
      <c r="U76" s="6" t="s">
        <v>790</v>
      </c>
      <c r="W76" s="6" t="s">
        <v>70</v>
      </c>
      <c r="X76" s="82" t="s">
        <v>2657</v>
      </c>
      <c r="Y76" s="6" t="s">
        <v>790</v>
      </c>
      <c r="Z76" s="6" t="s">
        <v>790</v>
      </c>
      <c r="AB76" s="6" t="s">
        <v>59</v>
      </c>
      <c r="AC76" s="6" t="s">
        <v>74</v>
      </c>
      <c r="AD76" s="2" t="s">
        <v>789</v>
      </c>
      <c r="AE76" s="6" t="s">
        <v>63</v>
      </c>
      <c r="AF76" s="27" t="s">
        <v>145</v>
      </c>
      <c r="AG76" s="27" t="s">
        <v>766</v>
      </c>
      <c r="AH76" s="2" t="s">
        <v>74</v>
      </c>
      <c r="AI76" s="6" t="s">
        <v>790</v>
      </c>
      <c r="AJ76" s="27" t="s">
        <v>75</v>
      </c>
      <c r="AK76" s="6" t="s">
        <v>84</v>
      </c>
      <c r="AL76" s="6" t="s">
        <v>790</v>
      </c>
      <c r="AM76" s="6" t="s">
        <v>736</v>
      </c>
      <c r="AW76" s="25"/>
      <c r="AX76" s="25"/>
      <c r="AY76" s="235" t="s">
        <v>1378</v>
      </c>
      <c r="AZ76" s="231" t="s">
        <v>673</v>
      </c>
      <c r="BA76" s="1044">
        <f xml:space="preserve"> (( -3.4153E-18*(BA69^3)) + (0.000000000000764697*(BA69^2)) + (-0.0000000694512*BA69) + 0.00237699) * (BA71/BA73)</f>
        <v>1.9271303050999997E-3</v>
      </c>
      <c r="BB76" s="231"/>
      <c r="BC76" s="236" t="s">
        <v>1379</v>
      </c>
      <c r="BD76" s="231" t="s">
        <v>1380</v>
      </c>
      <c r="BE76" s="437">
        <f t="shared" ref="BE76:BO76" si="11">ATAN($BA88/BE68)</f>
        <v>1.0696163007302755</v>
      </c>
      <c r="BF76" s="437">
        <f t="shared" si="11"/>
        <v>0.88293107339613175</v>
      </c>
      <c r="BG76" s="437">
        <f t="shared" si="11"/>
        <v>0.73977794775326045</v>
      </c>
      <c r="BH76" s="437">
        <f t="shared" si="11"/>
        <v>0.63067295909858845</v>
      </c>
      <c r="BI76" s="437">
        <f t="shared" si="11"/>
        <v>0.54661319563536692</v>
      </c>
      <c r="BJ76" s="437">
        <f t="shared" si="11"/>
        <v>0.4807250981064794</v>
      </c>
      <c r="BK76" s="437">
        <f t="shared" si="11"/>
        <v>0.45300282175750151</v>
      </c>
      <c r="BL76" s="437">
        <f t="shared" si="11"/>
        <v>0.42811475372087443</v>
      </c>
      <c r="BM76" s="437">
        <f t="shared" si="11"/>
        <v>0.38535608191700549</v>
      </c>
      <c r="BN76" s="437">
        <f t="shared" si="11"/>
        <v>0.36688803118037622</v>
      </c>
      <c r="BO76" s="437">
        <f t="shared" si="11"/>
        <v>0.35827419916230024</v>
      </c>
      <c r="BP76" s="228"/>
      <c r="BQ76" s="228"/>
      <c r="BR76" s="231"/>
      <c r="BS76" s="433"/>
    </row>
    <row r="77" spans="2:71" ht="19.8">
      <c r="C77" s="25" t="str">
        <f>'2'!C43</f>
        <v>Mission Segment</v>
      </c>
      <c r="D77" s="25" t="str">
        <f>'2'!D43</f>
        <v>h</v>
      </c>
      <c r="E77" s="25" t="str">
        <f>'2'!E43</f>
        <v>M</v>
      </c>
      <c r="F77" s="25" t="str">
        <f>'2'!F43</f>
        <v>DTamb</v>
      </c>
      <c r="G77" s="1272" t="str">
        <f>'2'!I43</f>
        <v>V</v>
      </c>
      <c r="H77" s="182" t="s">
        <v>536</v>
      </c>
      <c r="I77" s="31" t="s">
        <v>787</v>
      </c>
      <c r="J77" s="31" t="s">
        <v>788</v>
      </c>
      <c r="K77" s="31" t="s">
        <v>724</v>
      </c>
      <c r="L77" s="31" t="s">
        <v>725</v>
      </c>
      <c r="M77" s="31" t="s">
        <v>726</v>
      </c>
      <c r="N77" s="31" t="s">
        <v>729</v>
      </c>
      <c r="O77" s="31" t="s">
        <v>731</v>
      </c>
      <c r="P77" s="31" t="s">
        <v>721</v>
      </c>
      <c r="Q77" s="39" t="s">
        <v>2613</v>
      </c>
      <c r="R77" s="39" t="s">
        <v>775</v>
      </c>
      <c r="S77" s="31" t="s">
        <v>2745</v>
      </c>
      <c r="T77" s="31" t="s">
        <v>2745</v>
      </c>
      <c r="U77" s="31" t="s">
        <v>2745</v>
      </c>
      <c r="W77" s="39" t="s">
        <v>2673</v>
      </c>
      <c r="X77" s="6" t="s">
        <v>708</v>
      </c>
      <c r="Y77" s="39" t="s">
        <v>2730</v>
      </c>
      <c r="Z77" s="39" t="s">
        <v>2730</v>
      </c>
      <c r="AB77" s="39" t="s">
        <v>2728</v>
      </c>
      <c r="AC77" s="1270" t="s">
        <v>2748</v>
      </c>
      <c r="AD77" s="2" t="s">
        <v>2749</v>
      </c>
      <c r="AE77" s="39" t="s">
        <v>2757</v>
      </c>
      <c r="AF77" s="31" t="s">
        <v>742</v>
      </c>
      <c r="AG77" s="31" t="s">
        <v>68</v>
      </c>
      <c r="AH77" s="1344" t="s">
        <v>2756</v>
      </c>
      <c r="AI77" s="39" t="s">
        <v>2730</v>
      </c>
      <c r="AJ77" s="31" t="s">
        <v>77</v>
      </c>
      <c r="AK77" s="31" t="s">
        <v>2594</v>
      </c>
      <c r="AL77" s="39" t="s">
        <v>2752</v>
      </c>
      <c r="AM77" s="39" t="s">
        <v>2751</v>
      </c>
      <c r="AW77" s="25"/>
      <c r="AX77" s="25"/>
      <c r="AY77" s="235" t="s">
        <v>1381</v>
      </c>
      <c r="AZ77" s="231" t="s">
        <v>1026</v>
      </c>
      <c r="BA77" s="534">
        <f>'7b'!BA15</f>
        <v>103.26264090484118</v>
      </c>
      <c r="BB77" s="231"/>
      <c r="BC77" s="236" t="s">
        <v>1379</v>
      </c>
      <c r="BD77" s="231" t="s">
        <v>165</v>
      </c>
      <c r="BE77" s="227">
        <f t="shared" ref="BE77:BO77" si="12">BE76*(180/PI())</f>
        <v>61.284499730240618</v>
      </c>
      <c r="BF77" s="227">
        <f t="shared" si="12"/>
        <v>50.588224106553874</v>
      </c>
      <c r="BG77" s="227">
        <f t="shared" si="12"/>
        <v>42.386154183111344</v>
      </c>
      <c r="BH77" s="227">
        <f t="shared" si="12"/>
        <v>36.134898809375912</v>
      </c>
      <c r="BI77" s="227">
        <f t="shared" si="12"/>
        <v>31.318629136065315</v>
      </c>
      <c r="BJ77" s="227">
        <f t="shared" si="12"/>
        <v>27.543519227513713</v>
      </c>
      <c r="BK77" s="227">
        <f t="shared" si="12"/>
        <v>25.955149794221938</v>
      </c>
      <c r="BL77" s="227">
        <f t="shared" si="12"/>
        <v>24.529168535488761</v>
      </c>
      <c r="BM77" s="227">
        <f t="shared" si="12"/>
        <v>22.079277103542037</v>
      </c>
      <c r="BN77" s="227">
        <f t="shared" si="12"/>
        <v>21.021135740499709</v>
      </c>
      <c r="BO77" s="227">
        <f t="shared" si="12"/>
        <v>20.527599520429298</v>
      </c>
      <c r="BP77" s="231"/>
      <c r="BQ77" s="231"/>
      <c r="BR77" s="231"/>
      <c r="BS77" s="433"/>
    </row>
    <row r="78" spans="2:71">
      <c r="B78" s="25">
        <f>'2'!B44</f>
        <v>1</v>
      </c>
      <c r="C78" s="428" t="str">
        <f>'2'!C44</f>
        <v>Start-up &amp; Takeoff</v>
      </c>
      <c r="D78" s="428">
        <f>'2'!D44</f>
        <v>0</v>
      </c>
      <c r="E78" s="1193">
        <f>'2'!E44</f>
        <v>8.1522808931001889E-2</v>
      </c>
      <c r="F78" s="1025">
        <f>'2'!F44</f>
        <v>0</v>
      </c>
      <c r="G78" s="1276">
        <f>'2'!I44</f>
        <v>91.141732439999998</v>
      </c>
      <c r="H78" s="25">
        <f>IF('3'!$J$21=2,(IF('2'!E44&lt;1,1,'3'!$J$21)),'3'!$J$21)</f>
        <v>5</v>
      </c>
      <c r="I78" s="244">
        <f>IF(H78=1,((($F$158*((('2'!H44/0.00238333)^$F$159)))+$F$160)*$F$161*($F$162+($F$163*(('2'!E44-$F$164)^$F$165)))),
  IF(H78=2,((($G$158*((('2'!H44/0.00238333)^$G$159)))+$G$160)*$G$161*($G$162+($G$163*(('2'!E44-$G$164)^$G$165)))),
  IF(H78=3,((($H$158*((('2'!H44/0.00238333)^$H$159)))+$H$160)*$H$161*($H$162+($H$163*(('2'!E44-$H$164)^$H$165)))),
  IF(H78=4,((($I$158*((('2'!H44/0.00238333)^$I$159)))+$I$160)*$I$161*($I$162+($I$163*(('2'!E44-$I$164)^$I$165)))),
  IF(H78=5,((($J$158*((('2'!H44/0.00238333)^$J$159)))+$J$160)*$J$161*($J$162+($J$163*(('2'!E44-$J$164)^$J$165)))),
                        (($K$158*((('2'!H44/0.00238333)^$K$159)))+$K$160)*$K$161*($K$162+($K$163*(('2'!E44-$K$164)^$K$165))))))))</f>
        <v>1.0000014248970976</v>
      </c>
      <c r="J78" s="52">
        <f t="shared" ref="J78:J109" si="13">I78*F$10</f>
        <v>170.00024223250659</v>
      </c>
      <c r="K78" s="67">
        <f>IF('2'!E44=1,0.995,(IF('2'!E44&lt;1,0.995,(0.995-(0.075*(('2'!E44-1)^1.35))))))</f>
        <v>0.995</v>
      </c>
      <c r="L78" s="67">
        <f>IF('2'!E44&lt;2.5,1,((-0.1*'2'!E44)+1.25))</f>
        <v>1</v>
      </c>
      <c r="M78" s="67">
        <f>1.35-(0.15*('2'!E44-1))</f>
        <v>1.4877715786603498</v>
      </c>
      <c r="N78" s="67">
        <f t="shared" ref="N78:N109" si="14">M78*(K78-L78)</f>
        <v>-7.4388578933017556E-3</v>
      </c>
      <c r="O78" s="25">
        <f t="shared" ref="O78:O109" si="15">-2*F$13</f>
        <v>-0.02</v>
      </c>
      <c r="P78" s="34">
        <f>(1+N78)*(1+O78)</f>
        <v>0.97270991926456418</v>
      </c>
      <c r="Q78" s="1274">
        <f t="shared" ref="Q78:Q109" si="16">F$30</f>
        <v>1</v>
      </c>
      <c r="R78" s="1274">
        <f t="shared" ref="R78:R109" si="17">Q$18</f>
        <v>0.99141408850831303</v>
      </c>
      <c r="S78" s="1275">
        <f>J78*P78*Q78*R78</f>
        <v>163.94114765734696</v>
      </c>
      <c r="T78" s="1275">
        <f>S78*H$174</f>
        <v>163.94114765734696</v>
      </c>
      <c r="U78" s="1275">
        <f t="shared" ref="U78:U109" si="18">T78*Q$11</f>
        <v>163.94114765734696</v>
      </c>
      <c r="W78" s="1294">
        <v>1</v>
      </c>
      <c r="X78" s="1292">
        <v>0</v>
      </c>
      <c r="Y78" s="1272">
        <f t="shared" ref="Y78:Y109" si="19">IF(W78=1,Q$29*X78,0)</f>
        <v>0</v>
      </c>
      <c r="Z78" s="1275">
        <f t="shared" ref="Z78:Z109" si="20">Y78*Q$24</f>
        <v>0</v>
      </c>
      <c r="AB78" s="1315">
        <f>'3'!BC15</f>
        <v>197.62105710767028</v>
      </c>
      <c r="AC78" s="1251">
        <f>BG48</f>
        <v>0.66942832302823629</v>
      </c>
      <c r="AD78" s="1275">
        <f>AL78</f>
        <v>163.94114765734696</v>
      </c>
      <c r="AE78" s="1291">
        <f>AD78/AL78</f>
        <v>1</v>
      </c>
      <c r="AF78" s="34">
        <f t="shared" ref="AF78:AF109" si="21">((0.1/AE78)+(0.24/(AE78^0.8))+(0.66*(AE78^0.8))+(0.1*B$36*((1/AE78)-AE78)))</f>
        <v>1</v>
      </c>
      <c r="AG78" s="1271">
        <f>IF(H78=1,($F$12*$F$11*AF78*$N$158*($N$159+($N$160*((E78-$N$161)^$N$162)))),
  IF(H78=2,($F$12*$F$11*AF78*$O$158*($O$159+($O$160*((E78-$O$161)^$O$162)))),
IF(H78=3,($F$12*$F$11*AF78*$P$158*($P$159+($P$160*((E78-$P$161)^$P$162)))),
IF(H78=4,($F$12*$F$11*AF78*$Q$158*($Q$159+($Q$160*((E78-$Q$161)^$Q$162)))),
IF(H78=5,($F$12*$F$11*AF78*$R$158*($R$159+($R$160*((E78-$R$161)^$R$162)))),
                    ($F$67*$F$12*$F$11*AF78*$S$158*($S$159+($S$160*((E78-$S$161)^$S$162)))))))))</f>
        <v>0.51</v>
      </c>
      <c r="AH78" s="1330">
        <f>((550*3600)/778.17)*(1/(AG78*$F$28))</f>
        <v>0.2682301460496076</v>
      </c>
      <c r="AI78" s="1272">
        <f t="shared" ref="AI78:AI109" si="22">Z78</f>
        <v>0</v>
      </c>
      <c r="AJ78" s="1317">
        <f>'2'!S44</f>
        <v>2</v>
      </c>
      <c r="AK78" s="1272">
        <f>AI78*(AJ78/60)*2544.433748/(G$28*G$37)</f>
        <v>0</v>
      </c>
      <c r="AL78" s="1275">
        <f t="shared" ref="AL78:AL109" si="23">U78+Z78</f>
        <v>163.94114765734696</v>
      </c>
      <c r="AM78" s="1346">
        <f>AD78/AL78</f>
        <v>1</v>
      </c>
      <c r="AW78" s="25"/>
      <c r="AX78" s="25"/>
      <c r="AY78" s="235" t="s">
        <v>1381</v>
      </c>
      <c r="AZ78" s="231" t="s">
        <v>658</v>
      </c>
      <c r="BA78" s="239">
        <f>1.689*BA77</f>
        <v>174.41060048827674</v>
      </c>
      <c r="BB78" s="231"/>
      <c r="BC78" s="223" t="s">
        <v>1382</v>
      </c>
      <c r="BD78" s="223" t="s">
        <v>1380</v>
      </c>
      <c r="BE78" s="437">
        <f t="shared" ref="BE78:BO78" si="24">BE79*(PI()/180)</f>
        <v>1.0374166610893578</v>
      </c>
      <c r="BF78" s="437">
        <f t="shared" si="24"/>
        <v>0.96227546018834453</v>
      </c>
      <c r="BG78" s="437">
        <f t="shared" si="24"/>
        <v>0.88713425928733147</v>
      </c>
      <c r="BH78" s="437">
        <f t="shared" si="24"/>
        <v>0.81199305838631819</v>
      </c>
      <c r="BI78" s="437">
        <f t="shared" si="24"/>
        <v>0.73685185748530502</v>
      </c>
      <c r="BJ78" s="437">
        <f t="shared" si="24"/>
        <v>0.66171065658429173</v>
      </c>
      <c r="BK78" s="437">
        <f t="shared" si="24"/>
        <v>0.6241400561337852</v>
      </c>
      <c r="BL78" s="437">
        <f t="shared" si="24"/>
        <v>0.58656945568327856</v>
      </c>
      <c r="BM78" s="437">
        <f t="shared" si="24"/>
        <v>0.51142825478226539</v>
      </c>
      <c r="BN78" s="437">
        <f t="shared" si="24"/>
        <v>0.4738576543317588</v>
      </c>
      <c r="BO78" s="437">
        <f t="shared" si="24"/>
        <v>0.45507235410650548</v>
      </c>
      <c r="BP78" s="231"/>
      <c r="BQ78" s="231"/>
      <c r="BR78" s="231"/>
      <c r="BS78" s="433"/>
    </row>
    <row r="79" spans="2:71">
      <c r="B79" s="25">
        <f>'2'!B45</f>
        <v>2</v>
      </c>
      <c r="C79" s="428" t="str">
        <f>'2'!C45</f>
        <v>Climb+Accel1</v>
      </c>
      <c r="D79" s="428">
        <f>'2'!D45</f>
        <v>7000</v>
      </c>
      <c r="E79" s="1193">
        <f>'2'!E45</f>
        <v>0.16</v>
      </c>
      <c r="F79" s="1025">
        <f>'2'!F45</f>
        <v>0</v>
      </c>
      <c r="G79" s="1276">
        <f>'2'!I45</f>
        <v>174.28771794559998</v>
      </c>
      <c r="H79" s="25">
        <f>IF('3'!$J$21=2,(IF('2'!E45&lt;1,1,'3'!$J$21)),'3'!$J$21)</f>
        <v>5</v>
      </c>
      <c r="I79" s="244">
        <f>IF(H79=1,((($F$158*((('2'!H45/0.00238333)^$F$159)))+$F$160)*$F$161*($F$162+($F$163*(('2'!E45-$F$164)^$F$165)))),
  IF(H79=2,((($G$158*((('2'!H45/0.00238333)^$G$159)))+$G$160)*$G$161*($G$162+($G$163*(('2'!E45-$G$164)^$G$165)))),
  IF(H79=3,((($H$158*((('2'!H45/0.00238333)^$H$159)))+$H$160)*$H$161*($H$162+($H$163*(('2'!E45-$H$164)^$H$165)))),
  IF(H79=4,((($I$158*((('2'!H45/0.00238333)^$I$159)))+$I$160)*$I$161*($I$162+($I$163*(('2'!E45-$I$164)^$I$165)))),
  IF(H79=5,((($J$158*((('2'!H45/0.00238333)^$J$159)))+$J$160)*$J$161*($J$162+($J$163*(('2'!E45-$J$164)^$J$165)))),
                        (($K$158*((('2'!H45/0.00238333)^$K$159)))+$K$160)*$K$161*($K$162+($K$163*(('2'!E45-$K$164)^$K$165))))))))</f>
        <v>0.78152196230937632</v>
      </c>
      <c r="J79" s="52">
        <f t="shared" si="13"/>
        <v>132.85873359259398</v>
      </c>
      <c r="K79" s="67">
        <f>IF('2'!E45=1,0.995,(IF('2'!E45&lt;1,0.995,(0.995-(0.075*(('2'!E45-1)^1.35))))))</f>
        <v>0.995</v>
      </c>
      <c r="L79" s="67">
        <f>IF('2'!E45&lt;2.5,1,((-0.1*'2'!E45)+1.25))</f>
        <v>1</v>
      </c>
      <c r="M79" s="67">
        <f>1.35-(0.15*('2'!E45-1))</f>
        <v>1.476</v>
      </c>
      <c r="N79" s="67">
        <f t="shared" si="14"/>
        <v>-7.3800000000000063E-3</v>
      </c>
      <c r="O79" s="25">
        <f t="shared" si="15"/>
        <v>-0.02</v>
      </c>
      <c r="P79" s="34">
        <f>(1+N79)*(1+O79)</f>
        <v>0.97276759999999995</v>
      </c>
      <c r="Q79" s="1274">
        <f t="shared" si="16"/>
        <v>1</v>
      </c>
      <c r="R79" s="1274">
        <f t="shared" si="17"/>
        <v>0.99141408850831303</v>
      </c>
      <c r="S79" s="1275">
        <f t="shared" ref="S79:S109" si="25">J79*P79*Q79*R79</f>
        <v>128.13102245000383</v>
      </c>
      <c r="T79" s="1275">
        <f>S79*H$175</f>
        <v>115.31792020500345</v>
      </c>
      <c r="U79" s="1275">
        <f t="shared" si="18"/>
        <v>115.31792020500345</v>
      </c>
      <c r="W79" s="1294">
        <v>1</v>
      </c>
      <c r="X79" s="1292">
        <v>0</v>
      </c>
      <c r="Y79" s="1272">
        <f t="shared" si="19"/>
        <v>0</v>
      </c>
      <c r="Z79" s="1275">
        <f t="shared" si="20"/>
        <v>0</v>
      </c>
      <c r="AB79" s="1315">
        <f>'3'!BC16</f>
        <v>185.34137991382161</v>
      </c>
      <c r="AC79" s="1330">
        <f>(AC78+AC80)/2</f>
        <v>0.7893917469724514</v>
      </c>
      <c r="AD79" s="1275">
        <f>AL79</f>
        <v>115.31792020500345</v>
      </c>
      <c r="AE79" s="1291">
        <f>AD79/AL79</f>
        <v>1</v>
      </c>
      <c r="AF79" s="34">
        <f t="shared" si="21"/>
        <v>1</v>
      </c>
      <c r="AG79" s="1271">
        <f t="shared" ref="AG79:AG109" si="26">IF(H79=1,($F$12*$F$11*AF79*$N$158*($N$159+($N$160*((E79-$N$161)^$N$162)))),
  IF(H79=2,($F$12*$F$11*AF79*$O$158*($O$159+($O$160*((E79-$O$161)^$O$162)))),
IF(H79=3,($F$12*$F$11*AF79*$P$158*($P$159+($P$160*((E79-$P$161)^$P$162)))),
IF(H79=4,($F$12*$F$11*AF79*$Q$158*($Q$159+($Q$160*((E79-$Q$161)^$Q$162)))),
IF(H79=5,($F$12*$F$11*AF79*$R$158*($R$159+($R$160*((E79-$R$161)^$R$162)))),
                    ($F$67*$F$12*$F$11*AF79*$S$158*($S$159+($S$160*((E79-$S$161)^$S$162)))))))))</f>
        <v>0.51</v>
      </c>
      <c r="AH79" s="1330">
        <f t="shared" ref="AH79:AH109" si="27">((550*3600)/778.17)*(1/(AG79*$F$28))</f>
        <v>0.2682301460496076</v>
      </c>
      <c r="AI79" s="1272">
        <f t="shared" si="22"/>
        <v>0</v>
      </c>
      <c r="AJ79" s="1317">
        <f>'2'!S45</f>
        <v>25</v>
      </c>
      <c r="AK79" s="1272">
        <f t="shared" ref="AK79:AK109" si="28">AI79*(AJ79/60)*2544.433748/(G$28*G$37)</f>
        <v>0</v>
      </c>
      <c r="AL79" s="1275">
        <f t="shared" si="23"/>
        <v>115.31792020500345</v>
      </c>
      <c r="AM79" s="1346">
        <f t="shared" ref="AM79:AM109" si="29">AD79/AL79</f>
        <v>1</v>
      </c>
      <c r="AW79" s="25"/>
      <c r="AX79" s="25"/>
      <c r="AY79" s="235" t="s">
        <v>1383</v>
      </c>
      <c r="AZ79" s="231" t="s">
        <v>87</v>
      </c>
      <c r="BA79" s="248">
        <f>BA78/BA74</f>
        <v>0.16011598326620974</v>
      </c>
      <c r="BB79" s="231"/>
      <c r="BC79" s="223" t="s">
        <v>1382</v>
      </c>
      <c r="BD79" s="223" t="s">
        <v>165</v>
      </c>
      <c r="BE79" s="228">
        <f t="shared" ref="BE79:BJ79" si="30">$BK79+($BA93*(BE68-$BK68))</f>
        <v>59.439596276973894</v>
      </c>
      <c r="BF79" s="228">
        <f t="shared" si="30"/>
        <v>55.134322597801216</v>
      </c>
      <c r="BG79" s="228">
        <f t="shared" si="30"/>
        <v>50.829048918628544</v>
      </c>
      <c r="BH79" s="228">
        <f t="shared" si="30"/>
        <v>46.523775239455865</v>
      </c>
      <c r="BI79" s="228">
        <f t="shared" si="30"/>
        <v>42.218501560283194</v>
      </c>
      <c r="BJ79" s="228">
        <f t="shared" si="30"/>
        <v>37.913227881110515</v>
      </c>
      <c r="BK79" s="852">
        <f>'7b'!BA32</f>
        <v>35.760591041524179</v>
      </c>
      <c r="BL79" s="228">
        <f>$BK79+($BA93*(BL68-$BK68))</f>
        <v>33.607954201937844</v>
      </c>
      <c r="BM79" s="228">
        <f>$BK79+($BA93*(BM68-$BK68))</f>
        <v>29.302680522765165</v>
      </c>
      <c r="BN79" s="228">
        <f>$BK79+($BA93*(BN68-$BK68))</f>
        <v>27.150043683178829</v>
      </c>
      <c r="BO79" s="228">
        <f>$BK79+($BA93*(BO68-$BK68))</f>
        <v>26.073725263385661</v>
      </c>
      <c r="BP79" s="231"/>
      <c r="BQ79" s="231"/>
      <c r="BR79" s="231"/>
      <c r="BS79" s="433"/>
    </row>
    <row r="80" spans="2:71">
      <c r="B80" s="25">
        <f>'2'!B46</f>
        <v>3</v>
      </c>
      <c r="C80" s="428" t="str">
        <f>'2'!C46</f>
        <v>Cruise 1a</v>
      </c>
      <c r="D80" s="428">
        <f>'2'!D46</f>
        <v>7000</v>
      </c>
      <c r="E80" s="1193">
        <f>'2'!E46</f>
        <v>0.16</v>
      </c>
      <c r="F80" s="1025">
        <f>'2'!F46</f>
        <v>0</v>
      </c>
      <c r="G80" s="1276">
        <f>'2'!I46</f>
        <v>174.28771794559998</v>
      </c>
      <c r="H80" s="25">
        <f>IF('3'!$J$21=2,(IF('2'!E46&lt;1,1,'3'!$J$21)),'3'!$J$21)</f>
        <v>5</v>
      </c>
      <c r="I80" s="244">
        <f>IF(H80=1,((($F$158*((('2'!H46/0.00238333)^$F$159)))+$F$160)*$F$161*($F$162+($F$163*(('2'!E46-$F$164)^$F$165)))),
  IF(H80=2,((($G$158*((('2'!H46/0.00238333)^$G$159)))+$G$160)*$G$161*($G$162+($G$163*(('2'!E46-$G$164)^$G$165)))),
  IF(H80=3,((($H$158*((('2'!H46/0.00238333)^$H$159)))+$H$160)*$H$161*($H$162+($H$163*(('2'!E46-$H$164)^$H$165)))),
  IF(H80=4,((($I$158*((('2'!H46/0.00238333)^$I$159)))+$I$160)*$I$161*($I$162+($I$163*(('2'!E46-$I$164)^$I$165)))),
  IF(H80=5,((($J$158*((('2'!H46/0.00238333)^$J$159)))+$J$160)*$J$161*($J$162+($J$163*(('2'!E46-$J$164)^$J$165)))),
                        (($K$158*((('2'!H46/0.00238333)^$K$159)))+$K$160)*$K$161*($K$162+($K$163*(('2'!E46-$K$164)^$K$165))))))))</f>
        <v>0.78152196230937632</v>
      </c>
      <c r="J80" s="52">
        <f t="shared" si="13"/>
        <v>132.85873359259398</v>
      </c>
      <c r="K80" s="67">
        <f>IF('2'!E46=1,0.995,(IF('2'!E46&lt;1,0.995,(0.995-(0.075*(('2'!E46-1)^1.35))))))</f>
        <v>0.995</v>
      </c>
      <c r="L80" s="67">
        <f>IF('2'!E46&lt;2.5,1,((-0.1*'2'!E46)+1.25))</f>
        <v>1</v>
      </c>
      <c r="M80" s="67">
        <f>1.35-(0.15*('2'!E46-1))</f>
        <v>1.476</v>
      </c>
      <c r="N80" s="67">
        <f t="shared" si="14"/>
        <v>-7.3800000000000063E-3</v>
      </c>
      <c r="O80" s="25">
        <f t="shared" si="15"/>
        <v>-0.02</v>
      </c>
      <c r="P80" s="34">
        <f t="shared" ref="P80:P109" si="31">(1+N80)*(1+O80)</f>
        <v>0.97276759999999995</v>
      </c>
      <c r="Q80" s="1274">
        <f t="shared" si="16"/>
        <v>1</v>
      </c>
      <c r="R80" s="1274">
        <f t="shared" si="17"/>
        <v>0.99141408850831303</v>
      </c>
      <c r="S80" s="1275">
        <f t="shared" si="25"/>
        <v>128.13102245000383</v>
      </c>
      <c r="T80" s="1275">
        <f t="shared" ref="T80:T89" si="32">S80*H$176</f>
        <v>102.50481796000307</v>
      </c>
      <c r="U80" s="1275">
        <f t="shared" si="18"/>
        <v>102.50481796000307</v>
      </c>
      <c r="W80" s="1294">
        <v>1</v>
      </c>
      <c r="X80" s="1292">
        <v>0</v>
      </c>
      <c r="Y80" s="1272">
        <f t="shared" si="19"/>
        <v>0</v>
      </c>
      <c r="Z80" s="1275">
        <f t="shared" si="20"/>
        <v>0</v>
      </c>
      <c r="AB80" s="1315">
        <f>'3'!BC17</f>
        <v>185.02244139783605</v>
      </c>
      <c r="AC80" s="1251">
        <f>BA48</f>
        <v>0.90935517091666662</v>
      </c>
      <c r="AD80" s="1275">
        <f t="shared" ref="AD80:AD89" si="33">(AB80*G80)/(550*AC80)</f>
        <v>64.475535894789218</v>
      </c>
      <c r="AE80" s="1291">
        <f t="shared" ref="AE80:AE89" si="34">AD80/U80</f>
        <v>0.62900005266042514</v>
      </c>
      <c r="AF80" s="34">
        <f t="shared" si="21"/>
        <v>0.96222629563615869</v>
      </c>
      <c r="AG80" s="1271">
        <f t="shared" si="26"/>
        <v>0.49073541077444094</v>
      </c>
      <c r="AH80" s="1330">
        <f t="shared" si="27"/>
        <v>0.27875994167491763</v>
      </c>
      <c r="AI80" s="1272">
        <f t="shared" si="22"/>
        <v>0</v>
      </c>
      <c r="AJ80" s="1317">
        <f>'2'!S46</f>
        <v>11.628281617062916</v>
      </c>
      <c r="AK80" s="1272">
        <f t="shared" si="28"/>
        <v>0</v>
      </c>
      <c r="AL80" s="1275">
        <f t="shared" si="23"/>
        <v>102.50481796000307</v>
      </c>
      <c r="AM80" s="1346">
        <f t="shared" si="29"/>
        <v>0.62900005266042514</v>
      </c>
      <c r="AW80" s="25"/>
      <c r="AX80" s="25"/>
      <c r="AY80" s="235" t="s">
        <v>1384</v>
      </c>
      <c r="AZ80" s="231" t="s">
        <v>87</v>
      </c>
      <c r="BA80" s="534">
        <f>'7b'!BA18</f>
        <v>2</v>
      </c>
      <c r="BB80" s="231"/>
      <c r="BC80" s="574" t="s">
        <v>199</v>
      </c>
      <c r="BD80" s="231"/>
      <c r="BE80" s="231">
        <f>1</f>
        <v>1</v>
      </c>
      <c r="BF80" s="231">
        <f>1</f>
        <v>1</v>
      </c>
      <c r="BG80" s="231">
        <f>1</f>
        <v>1</v>
      </c>
      <c r="BH80" s="231">
        <f>1</f>
        <v>1</v>
      </c>
      <c r="BI80" s="231">
        <f>1</f>
        <v>1</v>
      </c>
      <c r="BJ80" s="231">
        <f>1</f>
        <v>1</v>
      </c>
      <c r="BK80" s="231">
        <f>1</f>
        <v>1</v>
      </c>
      <c r="BL80" s="231">
        <f>1</f>
        <v>1</v>
      </c>
      <c r="BM80" s="231">
        <f>1</f>
        <v>1</v>
      </c>
      <c r="BN80" s="231">
        <f>1</f>
        <v>1</v>
      </c>
      <c r="BO80" s="231">
        <f>1</f>
        <v>1</v>
      </c>
      <c r="BP80" s="231"/>
      <c r="BQ80" s="231"/>
      <c r="BR80" s="231"/>
      <c r="BS80" s="433"/>
    </row>
    <row r="81" spans="2:71">
      <c r="B81" s="25">
        <f>'2'!B47</f>
        <v>4</v>
      </c>
      <c r="C81" s="428" t="str">
        <f>'2'!C47</f>
        <v>Cruise 1b</v>
      </c>
      <c r="D81" s="428">
        <f>'2'!D47</f>
        <v>7000</v>
      </c>
      <c r="E81" s="1193">
        <f>'2'!E47</f>
        <v>0.16</v>
      </c>
      <c r="F81" s="1025">
        <f>'2'!F47</f>
        <v>0</v>
      </c>
      <c r="G81" s="1276">
        <f>'2'!I47</f>
        <v>174.28771794559998</v>
      </c>
      <c r="H81" s="25">
        <f>IF('3'!$J$21=2,(IF('2'!E47&lt;1,1,'3'!$J$21)),'3'!$J$21)</f>
        <v>5</v>
      </c>
      <c r="I81" s="244">
        <f>IF(H81=1,((($F$158*((('2'!H47/0.00238333)^$F$159)))+$F$160)*$F$161*($F$162+($F$163*(('2'!E47-$F$164)^$F$165)))),
  IF(H81=2,((($G$158*((('2'!H47/0.00238333)^$G$159)))+$G$160)*$G$161*($G$162+($G$163*(('2'!E47-$G$164)^$G$165)))),
  IF(H81=3,((($H$158*((('2'!H47/0.00238333)^$H$159)))+$H$160)*$H$161*($H$162+($H$163*(('2'!E47-$H$164)^$H$165)))),
  IF(H81=4,((($I$158*((('2'!H47/0.00238333)^$I$159)))+$I$160)*$I$161*($I$162+($I$163*(('2'!E47-$I$164)^$I$165)))),
  IF(H81=5,((($J$158*((('2'!H47/0.00238333)^$J$159)))+$J$160)*$J$161*($J$162+($J$163*(('2'!E47-$J$164)^$J$165)))),
                        (($K$158*((('2'!H47/0.00238333)^$K$159)))+$K$160)*$K$161*($K$162+($K$163*(('2'!E47-$K$164)^$K$165))))))))</f>
        <v>0.78152196230937632</v>
      </c>
      <c r="J81" s="52">
        <f t="shared" si="13"/>
        <v>132.85873359259398</v>
      </c>
      <c r="K81" s="67">
        <f>IF('2'!E47=1,0.995,(IF('2'!E47&lt;1,0.995,(0.995-(0.075*(('2'!E47-1)^1.35))))))</f>
        <v>0.995</v>
      </c>
      <c r="L81" s="67">
        <f>IF('2'!E47&lt;2.5,1,((-0.1*'2'!E47)+1.25))</f>
        <v>1</v>
      </c>
      <c r="M81" s="67">
        <f>1.35-(0.15*('2'!E47-1))</f>
        <v>1.476</v>
      </c>
      <c r="N81" s="67">
        <f t="shared" si="14"/>
        <v>-7.3800000000000063E-3</v>
      </c>
      <c r="O81" s="25">
        <f t="shared" si="15"/>
        <v>-0.02</v>
      </c>
      <c r="P81" s="34">
        <f>(1+N81)*(1+O81)</f>
        <v>0.97276759999999995</v>
      </c>
      <c r="Q81" s="1274">
        <f t="shared" si="16"/>
        <v>1</v>
      </c>
      <c r="R81" s="1274">
        <f t="shared" si="17"/>
        <v>0.99141408850831303</v>
      </c>
      <c r="S81" s="1275">
        <f t="shared" si="25"/>
        <v>128.13102245000383</v>
      </c>
      <c r="T81" s="1275">
        <f t="shared" si="32"/>
        <v>102.50481796000307</v>
      </c>
      <c r="U81" s="1275">
        <f t="shared" si="18"/>
        <v>102.50481796000307</v>
      </c>
      <c r="W81" s="1294">
        <v>1</v>
      </c>
      <c r="X81" s="1292">
        <v>0</v>
      </c>
      <c r="Y81" s="1272">
        <f t="shared" si="19"/>
        <v>0</v>
      </c>
      <c r="Z81" s="1275">
        <f t="shared" si="20"/>
        <v>0</v>
      </c>
      <c r="AB81" s="1315">
        <f>'3'!BC18</f>
        <v>184.67709643309468</v>
      </c>
      <c r="AC81" s="1251">
        <f>AC$80</f>
        <v>0.90935517091666662</v>
      </c>
      <c r="AD81" s="1275">
        <f t="shared" si="33"/>
        <v>64.355192105668038</v>
      </c>
      <c r="AE81" s="1291">
        <f t="shared" si="34"/>
        <v>0.62782602209760674</v>
      </c>
      <c r="AF81" s="34">
        <f t="shared" si="21"/>
        <v>0.96236351171150192</v>
      </c>
      <c r="AG81" s="1271">
        <f t="shared" si="26"/>
        <v>0.49080539097286596</v>
      </c>
      <c r="AH81" s="1330">
        <f t="shared" si="27"/>
        <v>0.27872019542031212</v>
      </c>
      <c r="AI81" s="1272">
        <f t="shared" si="22"/>
        <v>0</v>
      </c>
      <c r="AJ81" s="1317">
        <f>'2'!S47</f>
        <v>11.628281617062916</v>
      </c>
      <c r="AK81" s="1272">
        <f>AI81*(AJ81/60)*2544.433748/(G$28*G$37)</f>
        <v>0</v>
      </c>
      <c r="AL81" s="1275">
        <f t="shared" si="23"/>
        <v>102.50481796000307</v>
      </c>
      <c r="AM81" s="1346">
        <f t="shared" si="29"/>
        <v>0.62782602209760674</v>
      </c>
      <c r="AW81" s="25"/>
      <c r="AX81" s="25"/>
      <c r="AY81" s="235" t="s">
        <v>1385</v>
      </c>
      <c r="AZ81" s="231" t="s">
        <v>188</v>
      </c>
      <c r="BA81" s="534">
        <f>'7b'!BA19</f>
        <v>6</v>
      </c>
      <c r="BB81" s="231"/>
      <c r="BC81" s="574" t="s">
        <v>189</v>
      </c>
      <c r="BD81" s="231"/>
      <c r="BE81" s="251">
        <f t="shared" ref="BE81:BO81" si="35">(($BA88/BE68)+(BE73*$BA89*BE74/(8*(BE68^2))))</f>
        <v>2.6535018898574672</v>
      </c>
      <c r="BF81" s="251">
        <f t="shared" si="35"/>
        <v>1.6347122417024651</v>
      </c>
      <c r="BG81" s="251">
        <f t="shared" si="35"/>
        <v>1.1820281645949637</v>
      </c>
      <c r="BH81" s="251">
        <f t="shared" si="35"/>
        <v>0.92720991573144829</v>
      </c>
      <c r="BI81" s="251">
        <f t="shared" si="35"/>
        <v>0.75063193161061925</v>
      </c>
      <c r="BJ81" s="251">
        <f t="shared" si="35"/>
        <v>0.62815278321063883</v>
      </c>
      <c r="BK81" s="251">
        <f t="shared" si="35"/>
        <v>0.57992637014693826</v>
      </c>
      <c r="BL81" s="251">
        <f t="shared" si="35"/>
        <v>0.538058290129515</v>
      </c>
      <c r="BM81" s="251">
        <f t="shared" si="35"/>
        <v>0.46891306744537098</v>
      </c>
      <c r="BN81" s="251">
        <f t="shared" si="35"/>
        <v>0.44001935264639247</v>
      </c>
      <c r="BO81" s="251">
        <f t="shared" si="35"/>
        <v>0.42672487483968524</v>
      </c>
      <c r="BP81" s="231"/>
      <c r="BQ81" s="231"/>
      <c r="BR81" s="231"/>
      <c r="BS81" s="433"/>
    </row>
    <row r="82" spans="2:71">
      <c r="B82" s="25">
        <f>'2'!B48</f>
        <v>5</v>
      </c>
      <c r="C82" s="428" t="str">
        <f>'2'!C48</f>
        <v>Cruise 1c</v>
      </c>
      <c r="D82" s="428">
        <f>'2'!D48</f>
        <v>7000</v>
      </c>
      <c r="E82" s="1193">
        <f>'2'!E48</f>
        <v>0.16</v>
      </c>
      <c r="F82" s="1025">
        <f>'2'!F48</f>
        <v>0</v>
      </c>
      <c r="G82" s="1276">
        <f>'2'!I48</f>
        <v>174.28771794559998</v>
      </c>
      <c r="H82" s="25">
        <f>IF('3'!$J$21=2,(IF('2'!E48&lt;1,1,'3'!$J$21)),'3'!$J$21)</f>
        <v>5</v>
      </c>
      <c r="I82" s="244">
        <f>IF(H82=1,((($F$158*((('2'!H48/0.00238333)^$F$159)))+$F$160)*$F$161*($F$162+($F$163*(('2'!E48-$F$164)^$F$165)))),
  IF(H82=2,((($G$158*((('2'!H48/0.00238333)^$G$159)))+$G$160)*$G$161*($G$162+($G$163*(('2'!E48-$G$164)^$G$165)))),
  IF(H82=3,((($H$158*((('2'!H48/0.00238333)^$H$159)))+$H$160)*$H$161*($H$162+($H$163*(('2'!E48-$H$164)^$H$165)))),
  IF(H82=4,((($I$158*((('2'!H48/0.00238333)^$I$159)))+$I$160)*$I$161*($I$162+($I$163*(('2'!E48-$I$164)^$I$165)))),
  IF(H82=5,((($J$158*((('2'!H48/0.00238333)^$J$159)))+$J$160)*$J$161*($J$162+($J$163*(('2'!E48-$J$164)^$J$165)))),
                        (($K$158*((('2'!H48/0.00238333)^$K$159)))+$K$160)*$K$161*($K$162+($K$163*(('2'!E48-$K$164)^$K$165))))))))</f>
        <v>0.78152196230937632</v>
      </c>
      <c r="J82" s="52">
        <f t="shared" si="13"/>
        <v>132.85873359259398</v>
      </c>
      <c r="K82" s="67">
        <f>IF('2'!E48=1,0.995,(IF('2'!E48&lt;1,0.995,(0.995-(0.075*(('2'!E48-1)^1.35))))))</f>
        <v>0.995</v>
      </c>
      <c r="L82" s="67">
        <f>IF('2'!E48&lt;2.5,1,((-0.1*'2'!E48)+1.25))</f>
        <v>1</v>
      </c>
      <c r="M82" s="67">
        <f>1.35-(0.15*('2'!E48-1))</f>
        <v>1.476</v>
      </c>
      <c r="N82" s="67">
        <f t="shared" si="14"/>
        <v>-7.3800000000000063E-3</v>
      </c>
      <c r="O82" s="25">
        <f t="shared" si="15"/>
        <v>-0.02</v>
      </c>
      <c r="P82" s="34">
        <f t="shared" si="31"/>
        <v>0.97276759999999995</v>
      </c>
      <c r="Q82" s="1274">
        <f t="shared" si="16"/>
        <v>1</v>
      </c>
      <c r="R82" s="1274">
        <f t="shared" si="17"/>
        <v>0.99141408850831303</v>
      </c>
      <c r="S82" s="1275">
        <f>J82*P82*Q82*R82</f>
        <v>128.13102245000383</v>
      </c>
      <c r="T82" s="1275">
        <f t="shared" si="32"/>
        <v>102.50481796000307</v>
      </c>
      <c r="U82" s="1275">
        <f t="shared" si="18"/>
        <v>102.50481796000307</v>
      </c>
      <c r="W82" s="1294">
        <v>1</v>
      </c>
      <c r="X82" s="1292">
        <v>0</v>
      </c>
      <c r="Y82" s="1272">
        <f t="shared" si="19"/>
        <v>0</v>
      </c>
      <c r="Z82" s="1275">
        <f t="shared" si="20"/>
        <v>0</v>
      </c>
      <c r="AB82" s="1315">
        <f>'3'!BC19</f>
        <v>184.33482890851053</v>
      </c>
      <c r="AC82" s="1251">
        <f>AC$80</f>
        <v>0.90935517091666662</v>
      </c>
      <c r="AD82" s="1275">
        <f t="shared" si="33"/>
        <v>64.235920724854864</v>
      </c>
      <c r="AE82" s="1291">
        <f t="shared" si="34"/>
        <v>0.62666245356310413</v>
      </c>
      <c r="AF82" s="34">
        <f t="shared" si="21"/>
        <v>0.96250208347884025</v>
      </c>
      <c r="AG82" s="1271">
        <f t="shared" si="26"/>
        <v>0.49087606257420852</v>
      </c>
      <c r="AH82" s="1330">
        <f t="shared" si="27"/>
        <v>0.27868006797463152</v>
      </c>
      <c r="AI82" s="1272">
        <f t="shared" si="22"/>
        <v>0</v>
      </c>
      <c r="AJ82" s="1317">
        <f>'2'!S48</f>
        <v>11.628281617062916</v>
      </c>
      <c r="AK82" s="1272">
        <f t="shared" si="28"/>
        <v>0</v>
      </c>
      <c r="AL82" s="1275">
        <f t="shared" si="23"/>
        <v>102.50481796000307</v>
      </c>
      <c r="AM82" s="1346">
        <f t="shared" si="29"/>
        <v>0.62666245356310413</v>
      </c>
      <c r="AW82" s="25"/>
      <c r="AX82" s="25"/>
      <c r="AY82" s="235" t="s">
        <v>1386</v>
      </c>
      <c r="AZ82" s="231" t="s">
        <v>1387</v>
      </c>
      <c r="BA82" s="534">
        <f>'7b'!BA20</f>
        <v>1520.699218079016</v>
      </c>
      <c r="BB82" s="231"/>
      <c r="BC82" s="574" t="s">
        <v>164</v>
      </c>
      <c r="BD82" s="231"/>
      <c r="BE82" s="251">
        <f t="shared" ref="BE82:BO82" si="36">(-1)*((BE73*$BA89*BE74/(8*(BE68^2)))*(BE78-BE76))</f>
        <v>2.666571384530032E-2</v>
      </c>
      <c r="BF82" s="251">
        <f t="shared" si="36"/>
        <v>-3.3150269926890956E-2</v>
      </c>
      <c r="BG82" s="251">
        <f t="shared" si="36"/>
        <v>-3.9689793772763687E-2</v>
      </c>
      <c r="BH82" s="251">
        <f t="shared" si="36"/>
        <v>-3.5731658718989132E-2</v>
      </c>
      <c r="BI82" s="251">
        <f t="shared" si="36"/>
        <v>-2.7047557917257537E-2</v>
      </c>
      <c r="BJ82" s="251">
        <f t="shared" si="36"/>
        <v>-1.9296673960077244E-2</v>
      </c>
      <c r="BK82" s="251">
        <f t="shared" si="36"/>
        <v>-1.5943556637289164E-2</v>
      </c>
      <c r="BL82" s="251">
        <f t="shared" si="36"/>
        <v>-1.294845467488985E-2</v>
      </c>
      <c r="BM82" s="251">
        <f t="shared" si="36"/>
        <v>-7.9773971817164273E-3</v>
      </c>
      <c r="BN82" s="251">
        <f t="shared" si="36"/>
        <v>-5.961632440320345E-3</v>
      </c>
      <c r="BO82" s="251">
        <f t="shared" si="36"/>
        <v>-5.0616778216331587E-3</v>
      </c>
      <c r="BP82" s="231"/>
      <c r="BQ82" s="231"/>
      <c r="BR82" s="231"/>
      <c r="BS82" s="433"/>
    </row>
    <row r="83" spans="2:71" ht="15.6">
      <c r="B83" s="25">
        <f>'2'!B49</f>
        <v>6</v>
      </c>
      <c r="C83" s="428" t="str">
        <f>'2'!C49</f>
        <v>Cruise 1d</v>
      </c>
      <c r="D83" s="428">
        <f>'2'!D49</f>
        <v>7000</v>
      </c>
      <c r="E83" s="1193">
        <f>'2'!E49</f>
        <v>0.16</v>
      </c>
      <c r="F83" s="1025">
        <f>'2'!F49</f>
        <v>0</v>
      </c>
      <c r="G83" s="1276">
        <f>'2'!I49</f>
        <v>174.28771794559998</v>
      </c>
      <c r="H83" s="25">
        <f>IF('3'!$J$21=2,(IF('2'!E49&lt;1,1,'3'!$J$21)),'3'!$J$21)</f>
        <v>5</v>
      </c>
      <c r="I83" s="244">
        <f>IF(H83=1,((($F$158*((('2'!H49/0.00238333)^$F$159)))+$F$160)*$F$161*($F$162+($F$163*(('2'!E49-$F$164)^$F$165)))),
  IF(H83=2,((($G$158*((('2'!H49/0.00238333)^$G$159)))+$G$160)*$G$161*($G$162+($G$163*(('2'!E49-$G$164)^$G$165)))),
  IF(H83=3,((($H$158*((('2'!H49/0.00238333)^$H$159)))+$H$160)*$H$161*($H$162+($H$163*(('2'!E49-$H$164)^$H$165)))),
  IF(H83=4,((($I$158*((('2'!H49/0.00238333)^$I$159)))+$I$160)*$I$161*($I$162+($I$163*(('2'!E49-$I$164)^$I$165)))),
  IF(H83=5,((($J$158*((('2'!H49/0.00238333)^$J$159)))+$J$160)*$J$161*($J$162+($J$163*(('2'!E49-$J$164)^$J$165)))),
                        (($K$158*((('2'!H49/0.00238333)^$K$159)))+$K$160)*$K$161*($K$162+($K$163*(('2'!E49-$K$164)^$K$165))))))))</f>
        <v>0.78152196230937632</v>
      </c>
      <c r="J83" s="52">
        <f t="shared" si="13"/>
        <v>132.85873359259398</v>
      </c>
      <c r="K83" s="67">
        <f>IF('2'!E49=1,0.995,(IF('2'!E49&lt;1,0.995,(0.995-(0.075*(('2'!E49-1)^1.35))))))</f>
        <v>0.995</v>
      </c>
      <c r="L83" s="67">
        <f>IF('2'!E49&lt;2.5,1,((-0.1*'2'!E49)+1.25))</f>
        <v>1</v>
      </c>
      <c r="M83" s="67">
        <f>1.35-(0.15*('2'!E49-1))</f>
        <v>1.476</v>
      </c>
      <c r="N83" s="67">
        <f t="shared" si="14"/>
        <v>-7.3800000000000063E-3</v>
      </c>
      <c r="O83" s="25">
        <f t="shared" si="15"/>
        <v>-0.02</v>
      </c>
      <c r="P83" s="34">
        <f t="shared" si="31"/>
        <v>0.97276759999999995</v>
      </c>
      <c r="Q83" s="1274">
        <f t="shared" si="16"/>
        <v>1</v>
      </c>
      <c r="R83" s="1274">
        <f t="shared" si="17"/>
        <v>0.99141408850831303</v>
      </c>
      <c r="S83" s="1275">
        <f t="shared" si="25"/>
        <v>128.13102245000383</v>
      </c>
      <c r="T83" s="1275">
        <f t="shared" si="32"/>
        <v>102.50481796000307</v>
      </c>
      <c r="U83" s="1275">
        <f t="shared" si="18"/>
        <v>102.50481796000307</v>
      </c>
      <c r="W83" s="1294">
        <v>1</v>
      </c>
      <c r="X83" s="1292">
        <v>0</v>
      </c>
      <c r="Y83" s="1272">
        <f t="shared" si="19"/>
        <v>0</v>
      </c>
      <c r="Z83" s="1275">
        <f t="shared" si="20"/>
        <v>0</v>
      </c>
      <c r="AB83" s="1315">
        <f>'3'!BC20</f>
        <v>183.99561951658714</v>
      </c>
      <c r="AC83" s="1251">
        <f>AC$80</f>
        <v>0.90935517091666662</v>
      </c>
      <c r="AD83" s="1275">
        <f t="shared" si="33"/>
        <v>64.117715024186481</v>
      </c>
      <c r="AE83" s="1291">
        <f t="shared" si="34"/>
        <v>0.62550928141938589</v>
      </c>
      <c r="AF83" s="34">
        <f t="shared" si="21"/>
        <v>0.96264196405747804</v>
      </c>
      <c r="AG83" s="1271">
        <f t="shared" si="26"/>
        <v>0.49094740166931383</v>
      </c>
      <c r="AH83" s="1330">
        <f t="shared" si="27"/>
        <v>0.27863957324178312</v>
      </c>
      <c r="AI83" s="1272">
        <f t="shared" si="22"/>
        <v>0</v>
      </c>
      <c r="AJ83" s="1317">
        <f>'2'!S49</f>
        <v>11.628281617062916</v>
      </c>
      <c r="AK83" s="1272">
        <f t="shared" si="28"/>
        <v>0</v>
      </c>
      <c r="AL83" s="1275">
        <f t="shared" si="23"/>
        <v>102.50481796000307</v>
      </c>
      <c r="AM83" s="1346">
        <f t="shared" si="29"/>
        <v>0.62550928141938589</v>
      </c>
      <c r="AW83" s="25"/>
      <c r="AX83" s="25"/>
      <c r="AY83" s="235" t="s">
        <v>1388</v>
      </c>
      <c r="AZ83" s="231" t="s">
        <v>1389</v>
      </c>
      <c r="BA83" s="437">
        <f>BA82/60</f>
        <v>25.344986967983598</v>
      </c>
      <c r="BB83" s="231"/>
      <c r="BC83" s="223" t="s">
        <v>1390</v>
      </c>
      <c r="BD83" s="223" t="s">
        <v>1380</v>
      </c>
      <c r="BE83" s="437">
        <f t="shared" ref="BE83:BO83" si="37">(((-1)*BE81)+(((BE81^2)-(4*BE80*BE82))^0.5))/(2*BE80)</f>
        <v>-1.0087602982894017E-2</v>
      </c>
      <c r="BF83" s="437">
        <f t="shared" si="37"/>
        <v>2.0033452895578341E-2</v>
      </c>
      <c r="BG83" s="437">
        <f t="shared" si="37"/>
        <v>3.2674493232564439E-2</v>
      </c>
      <c r="BH83" s="437">
        <f t="shared" si="37"/>
        <v>3.7055821181994963E-2</v>
      </c>
      <c r="BI83" s="437">
        <f t="shared" si="37"/>
        <v>3.4451812461393394E-2</v>
      </c>
      <c r="BJ83" s="437">
        <f t="shared" si="37"/>
        <v>2.9348496432654914E-2</v>
      </c>
      <c r="BK83" s="437">
        <f t="shared" si="37"/>
        <v>2.6299688712310643E-2</v>
      </c>
      <c r="BL83" s="437">
        <f t="shared" si="37"/>
        <v>2.3075520370706204E-2</v>
      </c>
      <c r="BM83" s="437">
        <f t="shared" si="37"/>
        <v>1.6436398395724694E-2</v>
      </c>
      <c r="BN83" s="437">
        <f t="shared" si="37"/>
        <v>1.315526554448232E-2</v>
      </c>
      <c r="BO83" s="437">
        <f t="shared" si="37"/>
        <v>1.1549117470895293E-2</v>
      </c>
      <c r="BP83" s="231"/>
      <c r="BQ83" s="231"/>
      <c r="BR83" s="231"/>
      <c r="BS83" s="433"/>
    </row>
    <row r="84" spans="2:71" ht="15.6">
      <c r="B84" s="25">
        <f>'2'!B50</f>
        <v>7</v>
      </c>
      <c r="C84" s="428" t="str">
        <f>'2'!C50</f>
        <v>Cruise 1e</v>
      </c>
      <c r="D84" s="428">
        <f>'2'!D50</f>
        <v>7000</v>
      </c>
      <c r="E84" s="1193">
        <f>'2'!E50</f>
        <v>0.16</v>
      </c>
      <c r="F84" s="1025">
        <f>'2'!F50</f>
        <v>0</v>
      </c>
      <c r="G84" s="1276">
        <f>'2'!I50</f>
        <v>174.28771794559998</v>
      </c>
      <c r="H84" s="25">
        <f>IF('3'!$J$21=2,(IF('2'!E50&lt;1,1,'3'!$J$21)),'3'!$J$21)</f>
        <v>5</v>
      </c>
      <c r="I84" s="244">
        <f>IF(H84=1,((($F$158*((('2'!H50/0.00238333)^$F$159)))+$F$160)*$F$161*($F$162+($F$163*(('2'!E50-$F$164)^$F$165)))),
  IF(H84=2,((($G$158*((('2'!H50/0.00238333)^$G$159)))+$G$160)*$G$161*($G$162+($G$163*(('2'!E50-$G$164)^$G$165)))),
  IF(H84=3,((($H$158*((('2'!H50/0.00238333)^$H$159)))+$H$160)*$H$161*($H$162+($H$163*(('2'!E50-$H$164)^$H$165)))),
  IF(H84=4,((($I$158*((('2'!H50/0.00238333)^$I$159)))+$I$160)*$I$161*($I$162+($I$163*(('2'!E50-$I$164)^$I$165)))),
  IF(H84=5,((($J$158*((('2'!H50/0.00238333)^$J$159)))+$J$160)*$J$161*($J$162+($J$163*(('2'!E50-$J$164)^$J$165)))),
                        (($K$158*((('2'!H50/0.00238333)^$K$159)))+$K$160)*$K$161*($K$162+($K$163*(('2'!E50-$K$164)^$K$165))))))))</f>
        <v>0.78152196230937632</v>
      </c>
      <c r="J84" s="52">
        <f t="shared" si="13"/>
        <v>132.85873359259398</v>
      </c>
      <c r="K84" s="67">
        <f>IF('2'!E50=1,0.995,(IF('2'!E50&lt;1,0.995,(0.995-(0.075*(('2'!E50-1)^1.35))))))</f>
        <v>0.995</v>
      </c>
      <c r="L84" s="67">
        <f>IF('2'!E50&lt;2.5,1,((-0.1*'2'!E50)+1.25))</f>
        <v>1</v>
      </c>
      <c r="M84" s="67">
        <f>1.35-(0.15*('2'!E50-1))</f>
        <v>1.476</v>
      </c>
      <c r="N84" s="67">
        <f t="shared" si="14"/>
        <v>-7.3800000000000063E-3</v>
      </c>
      <c r="O84" s="25">
        <f t="shared" si="15"/>
        <v>-0.02</v>
      </c>
      <c r="P84" s="34">
        <f t="shared" si="31"/>
        <v>0.97276759999999995</v>
      </c>
      <c r="Q84" s="1274">
        <f t="shared" si="16"/>
        <v>1</v>
      </c>
      <c r="R84" s="1274">
        <f t="shared" si="17"/>
        <v>0.99141408850831303</v>
      </c>
      <c r="S84" s="1275">
        <f t="shared" si="25"/>
        <v>128.13102245000383</v>
      </c>
      <c r="T84" s="1275">
        <f t="shared" si="32"/>
        <v>102.50481796000307</v>
      </c>
      <c r="U84" s="1275">
        <f t="shared" si="18"/>
        <v>102.50481796000307</v>
      </c>
      <c r="W84" s="1294">
        <v>1</v>
      </c>
      <c r="X84" s="1292">
        <v>0</v>
      </c>
      <c r="Y84" s="1272">
        <f t="shared" si="19"/>
        <v>0</v>
      </c>
      <c r="Z84" s="1275">
        <f t="shared" si="20"/>
        <v>0</v>
      </c>
      <c r="AB84" s="1315">
        <f>'3'!BC21</f>
        <v>183.65944917145174</v>
      </c>
      <c r="AC84" s="1251">
        <f>AC$80</f>
        <v>0.90935517091666662</v>
      </c>
      <c r="AD84" s="1275">
        <f t="shared" si="33"/>
        <v>64.000568352729829</v>
      </c>
      <c r="AE84" s="1291">
        <f t="shared" si="34"/>
        <v>0.62436644078235004</v>
      </c>
      <c r="AF84" s="34">
        <f t="shared" si="21"/>
        <v>0.96278310700150915</v>
      </c>
      <c r="AG84" s="1271">
        <f t="shared" si="26"/>
        <v>0.49101938457076966</v>
      </c>
      <c r="AH84" s="1330">
        <f t="shared" si="27"/>
        <v>0.27859872498696342</v>
      </c>
      <c r="AI84" s="1272">
        <f t="shared" si="22"/>
        <v>0</v>
      </c>
      <c r="AJ84" s="1317">
        <f>'2'!S50</f>
        <v>11.628281617062916</v>
      </c>
      <c r="AK84" s="1272">
        <f t="shared" si="28"/>
        <v>0</v>
      </c>
      <c r="AL84" s="1275">
        <f t="shared" si="23"/>
        <v>102.50481796000307</v>
      </c>
      <c r="AM84" s="1346">
        <f t="shared" si="29"/>
        <v>0.62436644078235004</v>
      </c>
      <c r="AW84" s="25"/>
      <c r="AX84" s="25"/>
      <c r="AY84" s="235" t="s">
        <v>1391</v>
      </c>
      <c r="AZ84" s="231" t="s">
        <v>1392</v>
      </c>
      <c r="BA84" s="227">
        <f>2*PI()*BA83</f>
        <v>159.24724972789264</v>
      </c>
      <c r="BB84" s="231"/>
      <c r="BC84" s="223" t="s">
        <v>1390</v>
      </c>
      <c r="BD84" s="223" t="s">
        <v>165</v>
      </c>
      <c r="BE84" s="437">
        <f t="shared" ref="BE84:BO84" si="38">BE83*(180/PI())</f>
        <v>-0.57797707632340711</v>
      </c>
      <c r="BF84" s="437">
        <f t="shared" si="38"/>
        <v>1.1478322999907773</v>
      </c>
      <c r="BG84" s="437">
        <f t="shared" si="38"/>
        <v>1.8721105599547125</v>
      </c>
      <c r="BH84" s="437">
        <f t="shared" si="38"/>
        <v>2.1231421601197891</v>
      </c>
      <c r="BI84" s="437">
        <f t="shared" si="38"/>
        <v>1.9739434506140578</v>
      </c>
      <c r="BJ84" s="437">
        <f t="shared" si="38"/>
        <v>1.6815449806458791</v>
      </c>
      <c r="BK84" s="437">
        <f t="shared" si="38"/>
        <v>1.5068611657232505</v>
      </c>
      <c r="BL84" s="437">
        <f t="shared" si="38"/>
        <v>1.3221299273096223</v>
      </c>
      <c r="BM84" s="437">
        <f t="shared" si="38"/>
        <v>0.94173625847062203</v>
      </c>
      <c r="BN84" s="437">
        <f t="shared" si="38"/>
        <v>0.7537411940727079</v>
      </c>
      <c r="BO84" s="437">
        <f t="shared" si="38"/>
        <v>0.66171568818310367</v>
      </c>
      <c r="BP84" s="231"/>
      <c r="BQ84" s="231"/>
      <c r="BR84" s="231"/>
      <c r="BS84" s="433"/>
    </row>
    <row r="85" spans="2:71" ht="15.6">
      <c r="B85" s="25">
        <f>'2'!B51</f>
        <v>8</v>
      </c>
      <c r="C85" s="428" t="str">
        <f>'2'!C51</f>
        <v>Loiter 1a</v>
      </c>
      <c r="D85" s="428">
        <f>'2'!D51</f>
        <v>3500</v>
      </c>
      <c r="E85" s="1193">
        <f>'2'!E51</f>
        <v>0.15</v>
      </c>
      <c r="F85" s="1025">
        <f>'2'!F51</f>
        <v>0</v>
      </c>
      <c r="G85" s="1276">
        <f>'2'!I51</f>
        <v>165.54666128699998</v>
      </c>
      <c r="H85" s="25">
        <f>IF('3'!$J$21=2,(IF('2'!E51&lt;1,1,'3'!$J$21)),'3'!$J$21)</f>
        <v>5</v>
      </c>
      <c r="I85" s="244">
        <f>IF(H85=1,((($F$158*((('2'!H51/0.00238333)^$F$159)))+$F$160)*$F$161*($F$162+($F$163*(('2'!E51-$F$164)^$F$165)))),
  IF(H85=2,((($G$158*((('2'!H51/0.00238333)^$G$159)))+$G$160)*$G$161*($G$162+($G$163*(('2'!E51-$G$164)^$G$165)))),
  IF(H85=3,((($H$158*((('2'!H51/0.00238333)^$H$159)))+$H$160)*$H$161*($H$162+($H$163*(('2'!E51-$H$164)^$H$165)))),
  IF(H85=4,((($I$158*((('2'!H51/0.00238333)^$I$159)))+$I$160)*$I$161*($I$162+($I$163*(('2'!E51-$I$164)^$I$165)))),
  IF(H85=5,((($J$158*((('2'!H51/0.00238333)^$J$159)))+$J$160)*$J$161*($J$162+($J$163*(('2'!E51-$J$164)^$J$165)))),
                        (($K$158*((('2'!H51/0.00238333)^$K$159)))+$K$160)*$K$161*($K$162+($K$163*(('2'!E51-$K$164)^$K$165))))))))</f>
        <v>0.88476391829209711</v>
      </c>
      <c r="J85" s="52">
        <f t="shared" si="13"/>
        <v>150.40986610965652</v>
      </c>
      <c r="K85" s="67">
        <f>IF('2'!E51=1,0.995,(IF('2'!E51&lt;1,0.995,(0.995-(0.075*(('2'!E51-1)^1.35))))))</f>
        <v>0.995</v>
      </c>
      <c r="L85" s="67">
        <f>IF('2'!E51&lt;2.5,1,((-0.1*'2'!E51)+1.25))</f>
        <v>1</v>
      </c>
      <c r="M85" s="67">
        <f>1.35-(0.15*('2'!E51-1))</f>
        <v>1.4775</v>
      </c>
      <c r="N85" s="67">
        <f t="shared" si="14"/>
        <v>-7.3875000000000069E-3</v>
      </c>
      <c r="O85" s="25">
        <f t="shared" si="15"/>
        <v>-0.02</v>
      </c>
      <c r="P85" s="34">
        <f t="shared" si="31"/>
        <v>0.97276024999999999</v>
      </c>
      <c r="Q85" s="1274">
        <f t="shared" si="16"/>
        <v>1</v>
      </c>
      <c r="R85" s="1274">
        <f t="shared" si="17"/>
        <v>0.99141408850831303</v>
      </c>
      <c r="S85" s="1275">
        <f t="shared" si="25"/>
        <v>145.05651073248521</v>
      </c>
      <c r="T85" s="1275">
        <f t="shared" si="32"/>
        <v>116.04520858598818</v>
      </c>
      <c r="U85" s="1275">
        <f t="shared" si="18"/>
        <v>116.04520858598818</v>
      </c>
      <c r="W85" s="1294">
        <v>1</v>
      </c>
      <c r="X85" s="1292">
        <v>1</v>
      </c>
      <c r="Y85" s="1272">
        <f t="shared" si="19"/>
        <v>0</v>
      </c>
      <c r="Z85" s="1275">
        <f t="shared" si="20"/>
        <v>0</v>
      </c>
      <c r="AB85" s="1315">
        <f>'3'!BC22</f>
        <v>182.91180219309081</v>
      </c>
      <c r="AC85" s="1251">
        <f>BB48</f>
        <v>0.91001076022376093</v>
      </c>
      <c r="AD85" s="1275">
        <f t="shared" si="33"/>
        <v>60.499660576658236</v>
      </c>
      <c r="AE85" s="1291">
        <f t="shared" si="34"/>
        <v>0.52134561447083505</v>
      </c>
      <c r="AF85" s="34">
        <f t="shared" si="21"/>
        <v>0.98789413047032215</v>
      </c>
      <c r="AG85" s="1271">
        <f t="shared" si="26"/>
        <v>0.50382600653986431</v>
      </c>
      <c r="AH85" s="1330">
        <f t="shared" si="27"/>
        <v>0.27151709659607665</v>
      </c>
      <c r="AI85" s="1272">
        <f t="shared" si="22"/>
        <v>0</v>
      </c>
      <c r="AJ85" s="1317">
        <f>'2'!S51</f>
        <v>7</v>
      </c>
      <c r="AK85" s="1272">
        <f t="shared" si="28"/>
        <v>0</v>
      </c>
      <c r="AL85" s="1275">
        <f t="shared" si="23"/>
        <v>116.04520858598818</v>
      </c>
      <c r="AM85" s="1346">
        <f t="shared" si="29"/>
        <v>0.52134561447083505</v>
      </c>
      <c r="AW85" s="25"/>
      <c r="AX85" s="25"/>
      <c r="AY85" s="235" t="s">
        <v>1393</v>
      </c>
      <c r="AZ85" s="231" t="s">
        <v>658</v>
      </c>
      <c r="BA85" s="227">
        <f>PI()*BA83*BA81</f>
        <v>477.74174918367794</v>
      </c>
      <c r="BB85" s="231"/>
      <c r="BC85" s="223" t="s">
        <v>1394</v>
      </c>
      <c r="BD85" s="223" t="s">
        <v>1380</v>
      </c>
      <c r="BE85" s="437">
        <f t="shared" ref="BE85:BO85" si="39">BE78-BE76-BE83</f>
        <v>-2.2112036658023637E-2</v>
      </c>
      <c r="BF85" s="437">
        <f t="shared" si="39"/>
        <v>5.9310933896634443E-2</v>
      </c>
      <c r="BG85" s="437">
        <f t="shared" si="39"/>
        <v>0.11468181830150659</v>
      </c>
      <c r="BH85" s="437">
        <f t="shared" si="39"/>
        <v>0.14426427810573478</v>
      </c>
      <c r="BI85" s="437">
        <f t="shared" si="39"/>
        <v>0.1557868493885447</v>
      </c>
      <c r="BJ85" s="437">
        <f t="shared" si="39"/>
        <v>0.15163706204515742</v>
      </c>
      <c r="BK85" s="437">
        <f t="shared" si="39"/>
        <v>0.14483754566397306</v>
      </c>
      <c r="BL85" s="437">
        <f t="shared" si="39"/>
        <v>0.13537918159169793</v>
      </c>
      <c r="BM85" s="437">
        <f t="shared" si="39"/>
        <v>0.10963577446953521</v>
      </c>
      <c r="BN85" s="437">
        <f t="shared" si="39"/>
        <v>9.3814357606900267E-2</v>
      </c>
      <c r="BO85" s="437">
        <f t="shared" si="39"/>
        <v>8.5249037473309947E-2</v>
      </c>
      <c r="BP85" s="231"/>
      <c r="BQ85" s="231"/>
      <c r="BR85" s="231"/>
      <c r="BS85" s="433"/>
    </row>
    <row r="86" spans="2:71">
      <c r="B86" s="25">
        <f>'2'!B52</f>
        <v>9</v>
      </c>
      <c r="C86" s="428" t="str">
        <f>'2'!C52</f>
        <v>Loiter 1b</v>
      </c>
      <c r="D86" s="428">
        <f>'2'!D52</f>
        <v>3500</v>
      </c>
      <c r="E86" s="1193">
        <f>'2'!E52</f>
        <v>0.15</v>
      </c>
      <c r="F86" s="1025">
        <f>'2'!F52</f>
        <v>0</v>
      </c>
      <c r="G86" s="1276">
        <f>'2'!I52</f>
        <v>165.54666128699998</v>
      </c>
      <c r="H86" s="25">
        <f>IF('3'!$J$21=2,(IF('2'!E52&lt;1,1,'3'!$J$21)),'3'!$J$21)</f>
        <v>5</v>
      </c>
      <c r="I86" s="244">
        <f>IF(H86=1,((($F$158*((('2'!H52/0.00238333)^$F$159)))+$F$160)*$F$161*($F$162+($F$163*(('2'!E52-$F$164)^$F$165)))),
  IF(H86=2,((($G$158*((('2'!H52/0.00238333)^$G$159)))+$G$160)*$G$161*($G$162+($G$163*(('2'!E52-$G$164)^$G$165)))),
  IF(H86=3,((($H$158*((('2'!H52/0.00238333)^$H$159)))+$H$160)*$H$161*($H$162+($H$163*(('2'!E52-$H$164)^$H$165)))),
  IF(H86=4,((($I$158*((('2'!H52/0.00238333)^$I$159)))+$I$160)*$I$161*($I$162+($I$163*(('2'!E52-$I$164)^$I$165)))),
  IF(H86=5,((($J$158*((('2'!H52/0.00238333)^$J$159)))+$J$160)*$J$161*($J$162+($J$163*(('2'!E52-$J$164)^$J$165)))),
                        (($K$158*((('2'!H52/0.00238333)^$K$159)))+$K$160)*$K$161*($K$162+($K$163*(('2'!E52-$K$164)^$K$165))))))))</f>
        <v>0.88476391829209711</v>
      </c>
      <c r="J86" s="52">
        <f t="shared" si="13"/>
        <v>150.40986610965652</v>
      </c>
      <c r="K86" s="67">
        <f>IF('2'!E52=1,0.995,(IF('2'!E52&lt;1,0.995,(0.995-(0.075*(('2'!E52-1)^1.35))))))</f>
        <v>0.995</v>
      </c>
      <c r="L86" s="67">
        <f>IF('2'!E52&lt;2.5,1,((-0.1*'2'!E52)+1.25))</f>
        <v>1</v>
      </c>
      <c r="M86" s="67">
        <f>1.35-(0.15*('2'!E52-1))</f>
        <v>1.4775</v>
      </c>
      <c r="N86" s="67">
        <f t="shared" si="14"/>
        <v>-7.3875000000000069E-3</v>
      </c>
      <c r="O86" s="25">
        <f t="shared" si="15"/>
        <v>-0.02</v>
      </c>
      <c r="P86" s="34">
        <f t="shared" si="31"/>
        <v>0.97276024999999999</v>
      </c>
      <c r="Q86" s="1274">
        <f t="shared" si="16"/>
        <v>1</v>
      </c>
      <c r="R86" s="1274">
        <f t="shared" si="17"/>
        <v>0.99141408850831303</v>
      </c>
      <c r="S86" s="1275">
        <f t="shared" si="25"/>
        <v>145.05651073248521</v>
      </c>
      <c r="T86" s="1275">
        <f t="shared" si="32"/>
        <v>116.04520858598818</v>
      </c>
      <c r="U86" s="1275">
        <f t="shared" si="18"/>
        <v>116.04520858598818</v>
      </c>
      <c r="W86" s="1294">
        <v>1</v>
      </c>
      <c r="X86" s="1292">
        <v>1</v>
      </c>
      <c r="Y86" s="1272">
        <f t="shared" si="19"/>
        <v>0</v>
      </c>
      <c r="Z86" s="1275">
        <f t="shared" si="20"/>
        <v>0</v>
      </c>
      <c r="AB86" s="1315">
        <f>'3'!BC23</f>
        <v>182.72365352150484</v>
      </c>
      <c r="AC86" s="1251">
        <f>AC$85</f>
        <v>0.91001076022376093</v>
      </c>
      <c r="AD86" s="1275">
        <f t="shared" si="33"/>
        <v>60.437428776236288</v>
      </c>
      <c r="AE86" s="1291">
        <f t="shared" si="34"/>
        <v>0.52080934243358135</v>
      </c>
      <c r="AF86" s="34">
        <f t="shared" si="21"/>
        <v>0.98810191631479349</v>
      </c>
      <c r="AG86" s="1271">
        <f t="shared" si="26"/>
        <v>0.50393197732054473</v>
      </c>
      <c r="AH86" s="1330">
        <f t="shared" si="27"/>
        <v>0.27145999984494895</v>
      </c>
      <c r="AI86" s="1272">
        <f t="shared" si="22"/>
        <v>0</v>
      </c>
      <c r="AJ86" s="1317">
        <f>'2'!S52</f>
        <v>7</v>
      </c>
      <c r="AK86" s="1272">
        <f>AI86*(AJ86/60)*2544.433748/(G$28*G$37)</f>
        <v>0</v>
      </c>
      <c r="AL86" s="1275">
        <f t="shared" si="23"/>
        <v>116.04520858598818</v>
      </c>
      <c r="AM86" s="1346">
        <f t="shared" si="29"/>
        <v>0.52080934243358135</v>
      </c>
      <c r="AW86" s="25"/>
      <c r="AX86" s="25"/>
      <c r="AY86" s="235" t="s">
        <v>1395</v>
      </c>
      <c r="AZ86" s="231" t="s">
        <v>87</v>
      </c>
      <c r="BA86" s="231">
        <f>BA85/BA74</f>
        <v>0.4385862424859045</v>
      </c>
      <c r="BB86" s="231"/>
      <c r="BC86" s="223" t="s">
        <v>1394</v>
      </c>
      <c r="BD86" s="223" t="s">
        <v>165</v>
      </c>
      <c r="BE86" s="437">
        <f t="shared" ref="BE86:BO86" si="40">BE85*(180/PI())</f>
        <v>-1.2669263769433161</v>
      </c>
      <c r="BF86" s="437">
        <f t="shared" si="40"/>
        <v>3.3982661912565675</v>
      </c>
      <c r="BG86" s="437">
        <f t="shared" si="40"/>
        <v>6.5707841755624905</v>
      </c>
      <c r="BH86" s="437">
        <f t="shared" si="40"/>
        <v>8.2657342699601699</v>
      </c>
      <c r="BI86" s="437">
        <f t="shared" si="40"/>
        <v>8.9259289736038205</v>
      </c>
      <c r="BJ86" s="437">
        <f t="shared" si="40"/>
        <v>8.6881636729509228</v>
      </c>
      <c r="BK86" s="437">
        <f t="shared" si="40"/>
        <v>8.2985800815789936</v>
      </c>
      <c r="BL86" s="437">
        <f t="shared" si="40"/>
        <v>7.7566557391394575</v>
      </c>
      <c r="BM86" s="437">
        <f t="shared" si="40"/>
        <v>6.2816671607525096</v>
      </c>
      <c r="BN86" s="437">
        <f t="shared" si="40"/>
        <v>5.3751667486064152</v>
      </c>
      <c r="BO86" s="437">
        <f t="shared" si="40"/>
        <v>4.8844100547732596</v>
      </c>
      <c r="BP86" s="231"/>
      <c r="BQ86" s="231"/>
      <c r="BR86" s="231"/>
      <c r="BS86" s="433"/>
    </row>
    <row r="87" spans="2:71" ht="15.6">
      <c r="B87" s="25">
        <f>'2'!B53</f>
        <v>10</v>
      </c>
      <c r="C87" s="428" t="str">
        <f>'2'!C53</f>
        <v>Loiter 1c</v>
      </c>
      <c r="D87" s="428">
        <f>'2'!D53</f>
        <v>3500</v>
      </c>
      <c r="E87" s="1193">
        <f>'2'!E53</f>
        <v>0.15</v>
      </c>
      <c r="F87" s="1025">
        <f>'2'!F53</f>
        <v>0</v>
      </c>
      <c r="G87" s="1276">
        <f>'2'!I53</f>
        <v>165.54666128699998</v>
      </c>
      <c r="H87" s="25">
        <f>IF('3'!$J$21=2,(IF('2'!E53&lt;1,1,'3'!$J$21)),'3'!$J$21)</f>
        <v>5</v>
      </c>
      <c r="I87" s="244">
        <f>IF(H87=1,((($F$158*((('2'!H53/0.00238333)^$F$159)))+$F$160)*$F$161*($F$162+($F$163*(('2'!E53-$F$164)^$F$165)))),
  IF(H87=2,((($G$158*((('2'!H53/0.00238333)^$G$159)))+$G$160)*$G$161*($G$162+($G$163*(('2'!E53-$G$164)^$G$165)))),
  IF(H87=3,((($H$158*((('2'!H53/0.00238333)^$H$159)))+$H$160)*$H$161*($H$162+($H$163*(('2'!E53-$H$164)^$H$165)))),
  IF(H87=4,((($I$158*((('2'!H53/0.00238333)^$I$159)))+$I$160)*$I$161*($I$162+($I$163*(('2'!E53-$I$164)^$I$165)))),
  IF(H87=5,((($J$158*((('2'!H53/0.00238333)^$J$159)))+$J$160)*$J$161*($J$162+($J$163*(('2'!E53-$J$164)^$J$165)))),
                        (($K$158*((('2'!H53/0.00238333)^$K$159)))+$K$160)*$K$161*($K$162+($K$163*(('2'!E53-$K$164)^$K$165))))))))</f>
        <v>0.88476391829209711</v>
      </c>
      <c r="J87" s="52">
        <f t="shared" si="13"/>
        <v>150.40986610965652</v>
      </c>
      <c r="K87" s="67">
        <f>IF('2'!E53=1,0.995,(IF('2'!E53&lt;1,0.995,(0.995-(0.075*(('2'!E53-1)^1.35))))))</f>
        <v>0.995</v>
      </c>
      <c r="L87" s="67">
        <f>IF('2'!E53&lt;2.5,1,((-0.1*'2'!E53)+1.25))</f>
        <v>1</v>
      </c>
      <c r="M87" s="67">
        <f>1.35-(0.15*('2'!E53-1))</f>
        <v>1.4775</v>
      </c>
      <c r="N87" s="67">
        <f t="shared" si="14"/>
        <v>-7.3875000000000069E-3</v>
      </c>
      <c r="O87" s="25">
        <f t="shared" si="15"/>
        <v>-0.02</v>
      </c>
      <c r="P87" s="34">
        <f t="shared" si="31"/>
        <v>0.97276024999999999</v>
      </c>
      <c r="Q87" s="1274">
        <f t="shared" si="16"/>
        <v>1</v>
      </c>
      <c r="R87" s="1274">
        <f t="shared" si="17"/>
        <v>0.99141408850831303</v>
      </c>
      <c r="S87" s="1275">
        <f t="shared" si="25"/>
        <v>145.05651073248521</v>
      </c>
      <c r="T87" s="1275">
        <f t="shared" si="32"/>
        <v>116.04520858598818</v>
      </c>
      <c r="U87" s="1275">
        <f t="shared" si="18"/>
        <v>116.04520858598818</v>
      </c>
      <c r="W87" s="1294">
        <v>1</v>
      </c>
      <c r="X87" s="1292">
        <v>1</v>
      </c>
      <c r="Y87" s="1272">
        <f t="shared" si="19"/>
        <v>0</v>
      </c>
      <c r="Z87" s="1275">
        <f t="shared" si="20"/>
        <v>0</v>
      </c>
      <c r="AB87" s="1315">
        <f>'3'!BC24</f>
        <v>182.53647495896263</v>
      </c>
      <c r="AC87" s="1251">
        <f>AC$85</f>
        <v>0.91001076022376093</v>
      </c>
      <c r="AD87" s="1275">
        <f t="shared" si="33"/>
        <v>60.375517847771007</v>
      </c>
      <c r="AE87" s="1291">
        <f t="shared" si="34"/>
        <v>0.52027583545626044</v>
      </c>
      <c r="AF87" s="34">
        <f t="shared" si="21"/>
        <v>0.98830958162683413</v>
      </c>
      <c r="AG87" s="1271">
        <f t="shared" si="26"/>
        <v>0.50403788662968541</v>
      </c>
      <c r="AH87" s="1330">
        <f t="shared" si="27"/>
        <v>0.27140296020208571</v>
      </c>
      <c r="AI87" s="1272">
        <f t="shared" si="22"/>
        <v>0</v>
      </c>
      <c r="AJ87" s="1317">
        <f>'2'!S53</f>
        <v>7</v>
      </c>
      <c r="AK87" s="1272">
        <f t="shared" si="28"/>
        <v>0</v>
      </c>
      <c r="AL87" s="1275">
        <f t="shared" si="23"/>
        <v>116.04520858598818</v>
      </c>
      <c r="AM87" s="1346">
        <f t="shared" si="29"/>
        <v>0.52027583545626044</v>
      </c>
      <c r="AW87" s="25"/>
      <c r="AX87" s="25"/>
      <c r="AY87" s="235" t="s">
        <v>1396</v>
      </c>
      <c r="AZ87" s="231" t="s">
        <v>1397</v>
      </c>
      <c r="BA87" s="248">
        <f>60*BA78/(BA82*BA81)</f>
        <v>1.1469105686040688</v>
      </c>
      <c r="BB87" s="231"/>
      <c r="BC87" s="223" t="s">
        <v>1398</v>
      </c>
      <c r="BD87" s="223" t="s">
        <v>87</v>
      </c>
      <c r="BE87" s="437">
        <f t="shared" ref="BE87:BO87" si="41">$BA89*BE85</f>
        <v>-0.13267221994814182</v>
      </c>
      <c r="BF87" s="437">
        <f t="shared" si="41"/>
        <v>0.35586560337980666</v>
      </c>
      <c r="BG87" s="437">
        <f t="shared" si="41"/>
        <v>0.68809090980903953</v>
      </c>
      <c r="BH87" s="437">
        <f t="shared" si="41"/>
        <v>0.86558566863440867</v>
      </c>
      <c r="BI87" s="437">
        <f t="shared" si="41"/>
        <v>0.93472109633126821</v>
      </c>
      <c r="BJ87" s="437">
        <f t="shared" si="41"/>
        <v>0.90982237227094453</v>
      </c>
      <c r="BK87" s="437">
        <f t="shared" si="41"/>
        <v>0.86902527398383833</v>
      </c>
      <c r="BL87" s="437">
        <f t="shared" si="41"/>
        <v>0.81227508955018757</v>
      </c>
      <c r="BM87" s="437">
        <f t="shared" si="41"/>
        <v>0.65781464681721125</v>
      </c>
      <c r="BN87" s="437">
        <f t="shared" si="41"/>
        <v>0.5628861456414016</v>
      </c>
      <c r="BO87" s="437">
        <f t="shared" si="41"/>
        <v>0.51149422483985973</v>
      </c>
      <c r="BP87" s="231"/>
      <c r="BQ87" s="231"/>
      <c r="BR87" s="231"/>
      <c r="BS87" s="433"/>
    </row>
    <row r="88" spans="2:71" ht="15.6">
      <c r="B88" s="25">
        <f>'2'!B54</f>
        <v>11</v>
      </c>
      <c r="C88" s="428" t="str">
        <f>'2'!C54</f>
        <v>Loiter 1d</v>
      </c>
      <c r="D88" s="428">
        <f>'2'!D54</f>
        <v>3500</v>
      </c>
      <c r="E88" s="1193">
        <f>'2'!E54</f>
        <v>0.15</v>
      </c>
      <c r="F88" s="1025">
        <f>'2'!F54</f>
        <v>0</v>
      </c>
      <c r="G88" s="1276">
        <f>'2'!I54</f>
        <v>165.54666128699998</v>
      </c>
      <c r="H88" s="25">
        <f>IF('3'!$J$21=2,(IF('2'!E54&lt;1,1,'3'!$J$21)),'3'!$J$21)</f>
        <v>5</v>
      </c>
      <c r="I88" s="244">
        <f>IF(H88=1,((($F$158*((('2'!H54/0.00238333)^$F$159)))+$F$160)*$F$161*($F$162+($F$163*(('2'!E54-$F$164)^$F$165)))),
  IF(H88=2,((($G$158*((('2'!H54/0.00238333)^$G$159)))+$G$160)*$G$161*($G$162+($G$163*(('2'!E54-$G$164)^$G$165)))),
  IF(H88=3,((($H$158*((('2'!H54/0.00238333)^$H$159)))+$H$160)*$H$161*($H$162+($H$163*(('2'!E54-$H$164)^$H$165)))),
  IF(H88=4,((($I$158*((('2'!H54/0.00238333)^$I$159)))+$I$160)*$I$161*($I$162+($I$163*(('2'!E54-$I$164)^$I$165)))),
  IF(H88=5,((($J$158*((('2'!H54/0.00238333)^$J$159)))+$J$160)*$J$161*($J$162+($J$163*(('2'!E54-$J$164)^$J$165)))),
                        (($K$158*((('2'!H54/0.00238333)^$K$159)))+$K$160)*$K$161*($K$162+($K$163*(('2'!E54-$K$164)^$K$165))))))))</f>
        <v>0.88476391829209711</v>
      </c>
      <c r="J88" s="52">
        <f t="shared" si="13"/>
        <v>150.40986610965652</v>
      </c>
      <c r="K88" s="67">
        <f>IF('2'!E54=1,0.995,(IF('2'!E54&lt;1,0.995,(0.995-(0.075*(('2'!E54-1)^1.35))))))</f>
        <v>0.995</v>
      </c>
      <c r="L88" s="67">
        <f>IF('2'!E54&lt;2.5,1,((-0.1*'2'!E54)+1.25))</f>
        <v>1</v>
      </c>
      <c r="M88" s="67">
        <f>1.35-(0.15*('2'!E54-1))</f>
        <v>1.4775</v>
      </c>
      <c r="N88" s="67">
        <f t="shared" si="14"/>
        <v>-7.3875000000000069E-3</v>
      </c>
      <c r="O88" s="25">
        <f t="shared" si="15"/>
        <v>-0.02</v>
      </c>
      <c r="P88" s="34">
        <f t="shared" si="31"/>
        <v>0.97276024999999999</v>
      </c>
      <c r="Q88" s="1274">
        <f t="shared" si="16"/>
        <v>1</v>
      </c>
      <c r="R88" s="1274">
        <f t="shared" si="17"/>
        <v>0.99141408850831303</v>
      </c>
      <c r="S88" s="1275">
        <f t="shared" si="25"/>
        <v>145.05651073248521</v>
      </c>
      <c r="T88" s="1275">
        <f t="shared" si="32"/>
        <v>116.04520858598818</v>
      </c>
      <c r="U88" s="1275">
        <f t="shared" si="18"/>
        <v>116.04520858598818</v>
      </c>
      <c r="W88" s="1294">
        <v>1</v>
      </c>
      <c r="X88" s="1292">
        <v>1</v>
      </c>
      <c r="Y88" s="1272">
        <f t="shared" si="19"/>
        <v>0</v>
      </c>
      <c r="Z88" s="1275">
        <f t="shared" si="20"/>
        <v>0</v>
      </c>
      <c r="AB88" s="1315">
        <f>'3'!BC25</f>
        <v>182.35026311685732</v>
      </c>
      <c r="AC88" s="1251">
        <f>AC$85</f>
        <v>0.91001076022376093</v>
      </c>
      <c r="AD88" s="1275">
        <f t="shared" si="33"/>
        <v>60.313926670451394</v>
      </c>
      <c r="AE88" s="1291">
        <f t="shared" si="34"/>
        <v>0.5197450838804728</v>
      </c>
      <c r="AF88" s="34">
        <f t="shared" si="21"/>
        <v>0.98851711833979305</v>
      </c>
      <c r="AG88" s="1271">
        <f t="shared" si="26"/>
        <v>0.50414373035329452</v>
      </c>
      <c r="AH88" s="1330">
        <f t="shared" si="27"/>
        <v>0.27134597982490993</v>
      </c>
      <c r="AI88" s="1272">
        <f t="shared" si="22"/>
        <v>0</v>
      </c>
      <c r="AJ88" s="1317">
        <f>'2'!S54</f>
        <v>7</v>
      </c>
      <c r="AK88" s="1272">
        <f t="shared" si="28"/>
        <v>0</v>
      </c>
      <c r="AL88" s="1275">
        <f t="shared" si="23"/>
        <v>116.04520858598818</v>
      </c>
      <c r="AM88" s="1346">
        <f t="shared" si="29"/>
        <v>0.5197450838804728</v>
      </c>
      <c r="AW88" s="25"/>
      <c r="AX88" s="25"/>
      <c r="AY88" s="235" t="s">
        <v>1399</v>
      </c>
      <c r="AZ88" s="231" t="s">
        <v>87</v>
      </c>
      <c r="BA88" s="248">
        <f>BA87/PI()</f>
        <v>0.36507297255534782</v>
      </c>
      <c r="BB88" s="231"/>
      <c r="BC88" s="223" t="s">
        <v>1400</v>
      </c>
      <c r="BD88" s="223" t="s">
        <v>87</v>
      </c>
      <c r="BE88" s="248">
        <f t="shared" ref="BE88:BO88" si="42">$BA90+($BA91*((BE87-$BA92)^2))</f>
        <v>6.7990358393041073E-3</v>
      </c>
      <c r="BF88" s="248">
        <f t="shared" si="42"/>
        <v>6.4238064665493189E-3</v>
      </c>
      <c r="BG88" s="248">
        <f t="shared" si="42"/>
        <v>8.8954182721911988E-3</v>
      </c>
      <c r="BH88" s="248">
        <f t="shared" si="42"/>
        <v>1.1120628491549538E-2</v>
      </c>
      <c r="BI88" s="248">
        <f t="shared" si="42"/>
        <v>1.2157871990273475E-2</v>
      </c>
      <c r="BJ88" s="248">
        <f t="shared" si="42"/>
        <v>1.1773300374034458E-2</v>
      </c>
      <c r="BK88" s="248">
        <f t="shared" si="42"/>
        <v>1.1169973446275338E-2</v>
      </c>
      <c r="BL88" s="248">
        <f t="shared" si="42"/>
        <v>1.038608294238709E-2</v>
      </c>
      <c r="BM88" s="248">
        <f t="shared" si="42"/>
        <v>8.5787571552208911E-3</v>
      </c>
      <c r="BN88" s="248">
        <f t="shared" si="42"/>
        <v>7.7047496926261269E-3</v>
      </c>
      <c r="BO88" s="248">
        <f t="shared" si="42"/>
        <v>7.3067807459257107E-3</v>
      </c>
      <c r="BP88" s="231"/>
      <c r="BQ88" s="231"/>
      <c r="BR88" s="231"/>
      <c r="BS88" s="433"/>
    </row>
    <row r="89" spans="2:71" ht="15.6">
      <c r="B89" s="25">
        <f>'2'!B55</f>
        <v>12</v>
      </c>
      <c r="C89" s="428" t="str">
        <f>'2'!C55</f>
        <v>Loiter 1e</v>
      </c>
      <c r="D89" s="428">
        <f>'2'!D55</f>
        <v>3500</v>
      </c>
      <c r="E89" s="1193">
        <f>'2'!E55</f>
        <v>0.15</v>
      </c>
      <c r="F89" s="1025">
        <f>'2'!F55</f>
        <v>0</v>
      </c>
      <c r="G89" s="1276">
        <f>'2'!I55</f>
        <v>165.54666128699998</v>
      </c>
      <c r="H89" s="25">
        <f>IF('3'!$J$21=2,(IF('2'!E55&lt;1,1,'3'!$J$21)),'3'!$J$21)</f>
        <v>5</v>
      </c>
      <c r="I89" s="244">
        <f>IF(H89=1,((($F$158*((('2'!H55/0.00238333)^$F$159)))+$F$160)*$F$161*($F$162+($F$163*(('2'!E55-$F$164)^$F$165)))),
  IF(H89=2,((($G$158*((('2'!H55/0.00238333)^$G$159)))+$G$160)*$G$161*($G$162+($G$163*(('2'!E55-$G$164)^$G$165)))),
  IF(H89=3,((($H$158*((('2'!H55/0.00238333)^$H$159)))+$H$160)*$H$161*($H$162+($H$163*(('2'!E55-$H$164)^$H$165)))),
  IF(H89=4,((($I$158*((('2'!H55/0.00238333)^$I$159)))+$I$160)*$I$161*($I$162+($I$163*(('2'!E55-$I$164)^$I$165)))),
  IF(H89=5,((($J$158*((('2'!H55/0.00238333)^$J$159)))+$J$160)*$J$161*($J$162+($J$163*(('2'!E55-$J$164)^$J$165)))),
                        (($K$158*((('2'!H55/0.00238333)^$K$159)))+$K$160)*$K$161*($K$162+($K$163*(('2'!E55-$K$164)^$K$165))))))))</f>
        <v>0.88476391829209711</v>
      </c>
      <c r="J89" s="52">
        <f t="shared" si="13"/>
        <v>150.40986610965652</v>
      </c>
      <c r="K89" s="67">
        <f>IF('2'!E55=1,0.995,(IF('2'!E55&lt;1,0.995,(0.995-(0.075*(('2'!E55-1)^1.35))))))</f>
        <v>0.995</v>
      </c>
      <c r="L89" s="67">
        <f>IF('2'!E55&lt;2.5,1,((-0.1*'2'!E55)+1.25))</f>
        <v>1</v>
      </c>
      <c r="M89" s="67">
        <f>1.35-(0.15*('2'!E55-1))</f>
        <v>1.4775</v>
      </c>
      <c r="N89" s="67">
        <f t="shared" si="14"/>
        <v>-7.3875000000000069E-3</v>
      </c>
      <c r="O89" s="25">
        <f t="shared" si="15"/>
        <v>-0.02</v>
      </c>
      <c r="P89" s="34">
        <f t="shared" si="31"/>
        <v>0.97276024999999999</v>
      </c>
      <c r="Q89" s="1274">
        <f t="shared" si="16"/>
        <v>1</v>
      </c>
      <c r="R89" s="1274">
        <f t="shared" si="17"/>
        <v>0.99141408850831303</v>
      </c>
      <c r="S89" s="1275">
        <f t="shared" si="25"/>
        <v>145.05651073248521</v>
      </c>
      <c r="T89" s="1275">
        <f t="shared" si="32"/>
        <v>116.04520858598818</v>
      </c>
      <c r="U89" s="1275">
        <f t="shared" si="18"/>
        <v>116.04520858598818</v>
      </c>
      <c r="W89" s="1294">
        <v>1</v>
      </c>
      <c r="X89" s="1292">
        <v>1</v>
      </c>
      <c r="Y89" s="1272">
        <f t="shared" si="19"/>
        <v>0</v>
      </c>
      <c r="Z89" s="1275">
        <f t="shared" si="20"/>
        <v>0</v>
      </c>
      <c r="AB89" s="1315">
        <f>'3'!BC26</f>
        <v>182.16501462890815</v>
      </c>
      <c r="AC89" s="1251">
        <f>AC$85</f>
        <v>0.91001076022376093</v>
      </c>
      <c r="AD89" s="1275">
        <f t="shared" si="33"/>
        <v>60.252654130850956</v>
      </c>
      <c r="AE89" s="1291">
        <f t="shared" si="34"/>
        <v>0.51921707811145368</v>
      </c>
      <c r="AF89" s="34">
        <f t="shared" si="21"/>
        <v>0.98872451842836462</v>
      </c>
      <c r="AG89" s="1271">
        <f t="shared" si="26"/>
        <v>0.50424950439846594</v>
      </c>
      <c r="AH89" s="1330">
        <f t="shared" si="27"/>
        <v>0.27128906085587429</v>
      </c>
      <c r="AI89" s="1272">
        <f t="shared" si="22"/>
        <v>0</v>
      </c>
      <c r="AJ89" s="1317">
        <f>'2'!S55</f>
        <v>7</v>
      </c>
      <c r="AK89" s="1272">
        <f t="shared" si="28"/>
        <v>0</v>
      </c>
      <c r="AL89" s="1275">
        <f t="shared" si="23"/>
        <v>116.04520858598818</v>
      </c>
      <c r="AM89" s="1346">
        <f t="shared" si="29"/>
        <v>0.51921707811145368</v>
      </c>
      <c r="AW89" s="25"/>
      <c r="AX89" s="25"/>
      <c r="AY89" s="235" t="s">
        <v>1401</v>
      </c>
      <c r="AZ89" s="231" t="s">
        <v>1402</v>
      </c>
      <c r="BA89" s="534">
        <f>'7b'!BA27</f>
        <v>6</v>
      </c>
      <c r="BB89" s="231"/>
      <c r="BC89" s="223" t="s">
        <v>1403</v>
      </c>
      <c r="BD89" s="223" t="s">
        <v>87</v>
      </c>
      <c r="BE89" s="227">
        <f t="shared" ref="BE89:BO89" si="43">BE87/BE88</f>
        <v>-19.513387351363196</v>
      </c>
      <c r="BF89" s="227">
        <f t="shared" si="43"/>
        <v>55.397933488953207</v>
      </c>
      <c r="BG89" s="227">
        <f t="shared" si="43"/>
        <v>77.353406973581556</v>
      </c>
      <c r="BH89" s="227">
        <f t="shared" si="43"/>
        <v>77.836038609882451</v>
      </c>
      <c r="BI89" s="227">
        <f t="shared" si="43"/>
        <v>76.881965616932192</v>
      </c>
      <c r="BJ89" s="227">
        <f t="shared" si="43"/>
        <v>77.278447280383787</v>
      </c>
      <c r="BK89" s="227">
        <f t="shared" si="43"/>
        <v>77.800119952265192</v>
      </c>
      <c r="BL89" s="227">
        <f t="shared" si="43"/>
        <v>78.208030309018312</v>
      </c>
      <c r="BM89" s="227">
        <f t="shared" si="43"/>
        <v>76.679481061761493</v>
      </c>
      <c r="BN89" s="227">
        <f t="shared" si="43"/>
        <v>73.057032103212237</v>
      </c>
      <c r="BO89" s="227">
        <f t="shared" si="43"/>
        <v>70.00267869335903</v>
      </c>
      <c r="BP89" s="231"/>
      <c r="BQ89" s="231"/>
      <c r="BR89" s="231"/>
      <c r="BS89" s="433"/>
    </row>
    <row r="90" spans="2:71" ht="15.6">
      <c r="B90" s="25">
        <f>'2'!B56</f>
        <v>13</v>
      </c>
      <c r="C90" s="428" t="str">
        <f>'2'!C56</f>
        <v>Climb+Accel2</v>
      </c>
      <c r="D90" s="428">
        <f>'2'!D56</f>
        <v>3500</v>
      </c>
      <c r="E90" s="1193">
        <f>'2'!E56</f>
        <v>0.16</v>
      </c>
      <c r="F90" s="1025">
        <f>'2'!F56</f>
        <v>0</v>
      </c>
      <c r="G90" s="1276">
        <f>'2'!I56</f>
        <v>176.58310537279999</v>
      </c>
      <c r="H90" s="25">
        <f>IF('3'!$J$21=2,(IF('2'!E56&lt;1,1,'3'!$J$21)),'3'!$J$21)</f>
        <v>5</v>
      </c>
      <c r="I90" s="244">
        <f>IF(H90=1,((($F$158*((('2'!H56/0.00238333)^$F$159)))+$F$160)*$F$161*($F$162+($F$163*(('2'!E56-$F$164)^$F$165)))),
  IF(H90=2,((($G$158*((('2'!H56/0.00238333)^$G$159)))+$G$160)*$G$161*($G$162+($G$163*(('2'!E56-$G$164)^$G$165)))),
  IF(H90=3,((($H$158*((('2'!H56/0.00238333)^$H$159)))+$H$160)*$H$161*($H$162+($H$163*(('2'!E56-$H$164)^$H$165)))),
  IF(H90=4,((($I$158*((('2'!H56/0.00238333)^$I$159)))+$I$160)*$I$161*($I$162+($I$163*(('2'!E56-$I$164)^$I$165)))),
  IF(H90=5,((($J$158*((('2'!H56/0.00238333)^$J$159)))+$J$160)*$J$161*($J$162+($J$163*(('2'!E56-$J$164)^$J$165)))),
                        (($K$158*((('2'!H56/0.00238333)^$K$159)))+$K$160)*$K$161*($K$162+($K$163*(('2'!E56-$K$164)^$K$165))))))))</f>
        <v>0.88476391829209711</v>
      </c>
      <c r="J90" s="52">
        <f t="shared" si="13"/>
        <v>150.40986610965652</v>
      </c>
      <c r="K90" s="67">
        <f>IF('2'!E56=1,0.995,(IF('2'!E56&lt;1,0.995,(0.995-(0.075*(('2'!E56-1)^1.35))))))</f>
        <v>0.995</v>
      </c>
      <c r="L90" s="67">
        <f>IF('2'!E56&lt;2.5,1,((-0.1*'2'!E56)+1.25))</f>
        <v>1</v>
      </c>
      <c r="M90" s="67">
        <f>1.35-(0.15*('2'!E56-1))</f>
        <v>1.476</v>
      </c>
      <c r="N90" s="67">
        <f t="shared" si="14"/>
        <v>-7.3800000000000063E-3</v>
      </c>
      <c r="O90" s="25">
        <f t="shared" si="15"/>
        <v>-0.02</v>
      </c>
      <c r="P90" s="34">
        <f t="shared" si="31"/>
        <v>0.97276759999999995</v>
      </c>
      <c r="Q90" s="1274">
        <f t="shared" si="16"/>
        <v>1</v>
      </c>
      <c r="R90" s="1274">
        <f t="shared" si="17"/>
        <v>0.99141408850831303</v>
      </c>
      <c r="S90" s="1275">
        <f t="shared" si="25"/>
        <v>145.05760675316847</v>
      </c>
      <c r="T90" s="1275">
        <f>S90*H$175</f>
        <v>130.55184607785162</v>
      </c>
      <c r="U90" s="1275">
        <f t="shared" si="18"/>
        <v>130.55184607785162</v>
      </c>
      <c r="W90" s="1294">
        <v>1</v>
      </c>
      <c r="X90" s="1292">
        <v>1</v>
      </c>
      <c r="Y90" s="1272">
        <f t="shared" si="19"/>
        <v>0</v>
      </c>
      <c r="Z90" s="1275">
        <f t="shared" si="20"/>
        <v>0</v>
      </c>
      <c r="AB90" s="1315">
        <f>'3'!BC27</f>
        <v>201.20638934618401</v>
      </c>
      <c r="AC90" s="1250">
        <f>AC79</f>
        <v>0.7893917469724514</v>
      </c>
      <c r="AD90" s="1275">
        <f>AL90</f>
        <v>130.55184607785162</v>
      </c>
      <c r="AE90" s="1291">
        <f>AD90/AL90</f>
        <v>1</v>
      </c>
      <c r="AF90" s="34">
        <f t="shared" si="21"/>
        <v>1</v>
      </c>
      <c r="AG90" s="1271">
        <f t="shared" si="26"/>
        <v>0.51</v>
      </c>
      <c r="AH90" s="1330">
        <f t="shared" si="27"/>
        <v>0.2682301460496076</v>
      </c>
      <c r="AI90" s="1272">
        <f t="shared" si="22"/>
        <v>0</v>
      </c>
      <c r="AJ90" s="1317">
        <f>'2'!S56</f>
        <v>0</v>
      </c>
      <c r="AK90" s="1272">
        <f t="shared" si="28"/>
        <v>0</v>
      </c>
      <c r="AL90" s="1275">
        <f t="shared" si="23"/>
        <v>130.55184607785162</v>
      </c>
      <c r="AM90" s="1346">
        <f t="shared" si="29"/>
        <v>1</v>
      </c>
      <c r="AW90" s="25"/>
      <c r="AX90" s="25"/>
      <c r="AY90" s="235" t="s">
        <v>86</v>
      </c>
      <c r="AZ90" s="231"/>
      <c r="BA90" s="534">
        <f>'7b'!BA28</f>
        <v>6.0000000000000001E-3</v>
      </c>
      <c r="BB90" s="231"/>
      <c r="BC90" s="223" t="s">
        <v>1404</v>
      </c>
      <c r="BD90" s="223" t="s">
        <v>87</v>
      </c>
      <c r="BE90" s="244">
        <f t="shared" ref="BE90:BO90" si="44">(PI()/8)*((($BA$87^2)+(PI()^2)*(BE$68^2))*BE$73*((BE$87*COS(BE$76+BE$83))-(BE$88*SIN(BE$76+BE$83))))</f>
        <v>-5.0481824340485992E-3</v>
      </c>
      <c r="BF90" s="244">
        <f t="shared" si="44"/>
        <v>1.9772274795500706E-2</v>
      </c>
      <c r="BG90" s="244">
        <f t="shared" si="44"/>
        <v>5.8687236071436041E-2</v>
      </c>
      <c r="BH90" s="244">
        <f t="shared" si="44"/>
        <v>0.10604430569324395</v>
      </c>
      <c r="BI90" s="244">
        <f t="shared" si="44"/>
        <v>0.14390499483316554</v>
      </c>
      <c r="BJ90" s="244">
        <f t="shared" si="44"/>
        <v>0.16801356080447818</v>
      </c>
      <c r="BK90" s="244">
        <f t="shared" si="44"/>
        <v>0.17302035661181642</v>
      </c>
      <c r="BL90" s="244">
        <f t="shared" si="44"/>
        <v>0.17265189425239508</v>
      </c>
      <c r="BM90" s="244">
        <f t="shared" si="44"/>
        <v>0.15487951794464461</v>
      </c>
      <c r="BN90" s="244">
        <f t="shared" si="44"/>
        <v>0.13752273559117531</v>
      </c>
      <c r="BO90" s="244">
        <f t="shared" si="44"/>
        <v>0.12684036393336498</v>
      </c>
      <c r="BP90" s="231"/>
      <c r="BQ90" s="231"/>
      <c r="BR90" s="231"/>
      <c r="BS90" s="433"/>
    </row>
    <row r="91" spans="2:71" ht="15.6">
      <c r="B91" s="25">
        <f>'2'!B57</f>
        <v>14</v>
      </c>
      <c r="C91" s="428" t="str">
        <f>'2'!C57</f>
        <v>Combat</v>
      </c>
      <c r="D91" s="428">
        <f>'2'!D57</f>
        <v>3500</v>
      </c>
      <c r="E91" s="1193">
        <f>'2'!E57</f>
        <v>0.15</v>
      </c>
      <c r="F91" s="1025">
        <f>'2'!F57</f>
        <v>0</v>
      </c>
      <c r="G91" s="1276">
        <f>'2'!I57</f>
        <v>165.54666128699998</v>
      </c>
      <c r="H91" s="25">
        <f>IF('3'!$J$21=2,(IF('2'!E57&lt;1,1,'3'!$J$21)),'3'!$J$21)</f>
        <v>5</v>
      </c>
      <c r="I91" s="244">
        <f>IF(H91=1,((($F$158*((('2'!H57/0.00238333)^$F$159)))+$F$160)*$F$161*($F$162+($F$163*(('2'!E57-$F$164)^$F$165)))),
  IF(H91=2,((($G$158*((('2'!H57/0.00238333)^$G$159)))+$G$160)*$G$161*($G$162+($G$163*(('2'!E57-$G$164)^$G$165)))),
  IF(H91=3,((($H$158*((('2'!H57/0.00238333)^$H$159)))+$H$160)*$H$161*($H$162+($H$163*(('2'!E57-$H$164)^$H$165)))),
  IF(H91=4,((($I$158*((('2'!H57/0.00238333)^$I$159)))+$I$160)*$I$161*($I$162+($I$163*(('2'!E57-$I$164)^$I$165)))),
  IF(H91=5,((($J$158*((('2'!H57/0.00238333)^$J$159)))+$J$160)*$J$161*($J$162+($J$163*(('2'!E57-$J$164)^$J$165)))),
                        (($K$158*((('2'!H57/0.00238333)^$K$159)))+$K$160)*$K$161*($K$162+($K$163*(('2'!E57-$K$164)^$K$165))))))))</f>
        <v>0.88476391829209711</v>
      </c>
      <c r="J91" s="52">
        <f t="shared" si="13"/>
        <v>150.40986610965652</v>
      </c>
      <c r="K91" s="67">
        <f>IF('2'!E57=1,0.995,(IF('2'!E57&lt;1,0.995,(0.995-(0.075*(('2'!E57-1)^1.35))))))</f>
        <v>0.995</v>
      </c>
      <c r="L91" s="67">
        <f>IF('2'!E57&lt;2.5,1,((-0.1*'2'!E57)+1.25))</f>
        <v>1</v>
      </c>
      <c r="M91" s="67">
        <f>1.35-(0.15*('2'!E57-1))</f>
        <v>1.4775</v>
      </c>
      <c r="N91" s="67">
        <f t="shared" si="14"/>
        <v>-7.3875000000000069E-3</v>
      </c>
      <c r="O91" s="25">
        <f t="shared" si="15"/>
        <v>-0.02</v>
      </c>
      <c r="P91" s="34">
        <f t="shared" si="31"/>
        <v>0.97276024999999999</v>
      </c>
      <c r="Q91" s="1274">
        <f t="shared" si="16"/>
        <v>1</v>
      </c>
      <c r="R91" s="1274">
        <f t="shared" si="17"/>
        <v>0.99141408850831303</v>
      </c>
      <c r="S91" s="1275">
        <f t="shared" si="25"/>
        <v>145.05651073248521</v>
      </c>
      <c r="T91" s="1275">
        <f>S91*H171</f>
        <v>217.58476609872781</v>
      </c>
      <c r="U91" s="1275">
        <f t="shared" si="18"/>
        <v>217.58476609872781</v>
      </c>
      <c r="W91" s="1294">
        <v>1</v>
      </c>
      <c r="X91" s="1292">
        <v>1</v>
      </c>
      <c r="Y91" s="1272">
        <f t="shared" si="19"/>
        <v>0</v>
      </c>
      <c r="Z91" s="1275">
        <f t="shared" si="20"/>
        <v>0</v>
      </c>
      <c r="AB91" s="1315">
        <f>'3'!BC28</f>
        <v>181.96305935929129</v>
      </c>
      <c r="AC91" s="1250">
        <f>AC79</f>
        <v>0.7893917469724514</v>
      </c>
      <c r="AD91" s="1275">
        <f>AL91</f>
        <v>217.58476609872781</v>
      </c>
      <c r="AE91" s="1291">
        <f>AD91/AL91</f>
        <v>1</v>
      </c>
      <c r="AF91" s="34">
        <f t="shared" si="21"/>
        <v>1</v>
      </c>
      <c r="AG91" s="1271">
        <f t="shared" si="26"/>
        <v>0.51</v>
      </c>
      <c r="AH91" s="1330">
        <f t="shared" si="27"/>
        <v>0.2682301460496076</v>
      </c>
      <c r="AI91" s="1272">
        <f t="shared" si="22"/>
        <v>0</v>
      </c>
      <c r="AJ91" s="1317">
        <f>'2'!S57</f>
        <v>10</v>
      </c>
      <c r="AK91" s="1272">
        <f t="shared" si="28"/>
        <v>0</v>
      </c>
      <c r="AL91" s="1275">
        <f t="shared" si="23"/>
        <v>217.58476609872781</v>
      </c>
      <c r="AM91" s="1346">
        <f t="shared" si="29"/>
        <v>1</v>
      </c>
      <c r="AW91" s="25"/>
      <c r="AX91" s="25"/>
      <c r="AY91" s="235" t="s">
        <v>1405</v>
      </c>
      <c r="AZ91" s="231"/>
      <c r="BA91" s="534">
        <f>'7b'!BA29</f>
        <v>0.01</v>
      </c>
      <c r="BB91" s="231"/>
      <c r="BC91" s="223" t="s">
        <v>1406</v>
      </c>
      <c r="BD91" s="231" t="s">
        <v>87</v>
      </c>
      <c r="BE91" s="244">
        <f t="shared" ref="BE91:BO91" si="45">(PI()/8)*(PI()*BE68*(($BA$87^2)+(PI()^2)*(BE$68^2))*BE$73*((BE$87*SIN(BE$76+BE$83))+(BE$88*COS(BE$76+BE$83))))</f>
        <v>-5.0315514193500083E-3</v>
      </c>
      <c r="BF91" s="244">
        <f t="shared" si="45"/>
        <v>2.4524119297809975E-2</v>
      </c>
      <c r="BG91" s="244">
        <f t="shared" si="45"/>
        <v>7.3745788339341381E-2</v>
      </c>
      <c r="BH91" s="244">
        <f t="shared" si="45"/>
        <v>0.13486061560174836</v>
      </c>
      <c r="BI91" s="244">
        <f t="shared" si="45"/>
        <v>0.18322379788407098</v>
      </c>
      <c r="BJ91" s="244">
        <f t="shared" si="45"/>
        <v>0.21303158776784936</v>
      </c>
      <c r="BK91" s="244">
        <f t="shared" si="45"/>
        <v>0.21857604333358355</v>
      </c>
      <c r="BL91" s="244">
        <f t="shared" si="45"/>
        <v>0.2171389117495795</v>
      </c>
      <c r="BM91" s="244">
        <f t="shared" si="45"/>
        <v>0.19285157690601964</v>
      </c>
      <c r="BN91" s="244">
        <f t="shared" si="45"/>
        <v>0.17050526955165521</v>
      </c>
      <c r="BO91" s="244">
        <f t="shared" si="45"/>
        <v>0.15703280889028434</v>
      </c>
      <c r="BP91" s="231"/>
      <c r="BQ91" s="231"/>
      <c r="BR91" s="231"/>
      <c r="BS91" s="433"/>
    </row>
    <row r="92" spans="2:71">
      <c r="B92" s="25">
        <f>'2'!B58</f>
        <v>15</v>
      </c>
      <c r="C92" s="428" t="str">
        <f>'2'!C58</f>
        <v>Drop Expendable Payload</v>
      </c>
      <c r="D92" s="428">
        <f>'2'!D58</f>
        <v>3500</v>
      </c>
      <c r="E92" s="1193">
        <f>'2'!E58</f>
        <v>0.15</v>
      </c>
      <c r="F92" s="1025">
        <f>'2'!F58</f>
        <v>0</v>
      </c>
      <c r="G92" s="1276">
        <f>'2'!I58</f>
        <v>165.54666128699998</v>
      </c>
      <c r="H92" s="25">
        <f>IF('3'!$J$21=2,(IF('2'!E58&lt;1,1,'3'!$J$21)),'3'!$J$21)</f>
        <v>5</v>
      </c>
      <c r="I92" s="244">
        <f>IF(H92=1,((($F$158*((('2'!H58/0.00238333)^$F$159)))+$F$160)*$F$161*($F$162+($F$163*(('2'!E58-$F$164)^$F$165)))),
  IF(H92=2,((($G$158*((('2'!H58/0.00238333)^$G$159)))+$G$160)*$G$161*($G$162+($G$163*(('2'!E58-$G$164)^$G$165)))),
  IF(H92=3,((($H$158*((('2'!H58/0.00238333)^$H$159)))+$H$160)*$H$161*($H$162+($H$163*(('2'!E58-$H$164)^$H$165)))),
  IF(H92=4,((($I$158*((('2'!H58/0.00238333)^$I$159)))+$I$160)*$I$161*($I$162+($I$163*(('2'!E58-$I$164)^$I$165)))),
  IF(H92=5,((($J$158*((('2'!H58/0.00238333)^$J$159)))+$J$160)*$J$161*($J$162+($J$163*(('2'!E58-$J$164)^$J$165)))),
                        (($K$158*((('2'!H58/0.00238333)^$K$159)))+$K$160)*$K$161*($K$162+($K$163*(('2'!E58-$K$164)^$K$165))))))))</f>
        <v>0.88476391829209711</v>
      </c>
      <c r="J92" s="52">
        <f t="shared" si="13"/>
        <v>150.40986610965652</v>
      </c>
      <c r="K92" s="67">
        <f>IF('2'!E58=1,0.995,(IF('2'!E58&lt;1,0.995,(0.995-(0.075*(('2'!E58-1)^1.35))))))</f>
        <v>0.995</v>
      </c>
      <c r="L92" s="67">
        <f>IF('2'!E58&lt;2.5,1,((-0.1*'2'!E58)+1.25))</f>
        <v>1</v>
      </c>
      <c r="M92" s="67">
        <f>1.35-(0.15*('2'!E58-1))</f>
        <v>1.4775</v>
      </c>
      <c r="N92" s="67">
        <f t="shared" si="14"/>
        <v>-7.3875000000000069E-3</v>
      </c>
      <c r="O92" s="25">
        <f t="shared" si="15"/>
        <v>-0.02</v>
      </c>
      <c r="P92" s="34">
        <f t="shared" si="31"/>
        <v>0.97276024999999999</v>
      </c>
      <c r="Q92" s="1274">
        <f t="shared" si="16"/>
        <v>1</v>
      </c>
      <c r="R92" s="1274">
        <f t="shared" si="17"/>
        <v>0.99141408850831303</v>
      </c>
      <c r="S92" s="1275">
        <f t="shared" si="25"/>
        <v>145.05651073248521</v>
      </c>
      <c r="T92" s="1275">
        <f>S92*H174</f>
        <v>145.05651073248521</v>
      </c>
      <c r="U92" s="1275">
        <f t="shared" si="18"/>
        <v>145.05651073248521</v>
      </c>
      <c r="W92" s="1294">
        <v>1</v>
      </c>
      <c r="X92" s="1292">
        <v>1</v>
      </c>
      <c r="Y92" s="1272">
        <f t="shared" si="19"/>
        <v>0</v>
      </c>
      <c r="Z92" s="1275">
        <f t="shared" si="20"/>
        <v>0</v>
      </c>
      <c r="AB92" s="1315">
        <f>'3'!BC29</f>
        <v>180.80864675511717</v>
      </c>
      <c r="AC92" s="1251">
        <f>AC79</f>
        <v>0.7893917469724514</v>
      </c>
      <c r="AD92" s="1275">
        <f>AL92</f>
        <v>145.05651073248521</v>
      </c>
      <c r="AE92" s="1291">
        <f>AD92/AL92</f>
        <v>1</v>
      </c>
      <c r="AF92" s="34">
        <f t="shared" si="21"/>
        <v>1</v>
      </c>
      <c r="AG92" s="1271">
        <f t="shared" si="26"/>
        <v>0.51</v>
      </c>
      <c r="AH92" s="1330">
        <f t="shared" si="27"/>
        <v>0.2682301460496076</v>
      </c>
      <c r="AI92" s="1272">
        <f t="shared" si="22"/>
        <v>0</v>
      </c>
      <c r="AJ92" s="1317">
        <f>'2'!S58</f>
        <v>0</v>
      </c>
      <c r="AK92" s="1272">
        <f t="shared" si="28"/>
        <v>0</v>
      </c>
      <c r="AL92" s="1275">
        <f t="shared" si="23"/>
        <v>145.05651073248521</v>
      </c>
      <c r="AM92" s="1346">
        <f t="shared" si="29"/>
        <v>1</v>
      </c>
      <c r="AW92" s="25"/>
      <c r="AX92" s="25"/>
      <c r="AY92" s="235" t="s">
        <v>1407</v>
      </c>
      <c r="AZ92" s="231"/>
      <c r="BA92" s="534">
        <f>'7b'!BA30</f>
        <v>0.15</v>
      </c>
      <c r="BB92" s="231"/>
      <c r="BC92" s="231"/>
      <c r="BD92" s="231"/>
      <c r="BE92" s="231"/>
      <c r="BF92" s="244">
        <f>0.5*(BF68-BE68)*(BF90+BE90)</f>
        <v>7.3620461807260521E-4</v>
      </c>
      <c r="BG92" s="244">
        <f>0.5*(BG68-BF68)*(BG90+BF90)</f>
        <v>3.9229755433468393E-3</v>
      </c>
      <c r="BH92" s="244">
        <f>0.5*(BH68-BG68)*(BH90+BG90)</f>
        <v>8.2365770882339984E-3</v>
      </c>
      <c r="BI92" s="244">
        <f>0.5*(BI68-BH68)*(BI90+BH90)</f>
        <v>1.2497465026320473E-2</v>
      </c>
      <c r="BJ92" s="244">
        <f>0.5*(BJ68-BF68)*(BJ90+BF90)</f>
        <v>3.7557167119995773E-2</v>
      </c>
      <c r="BK92" s="244">
        <f>0.5*(BK68-BJ68)*(BK90+BJ90)</f>
        <v>8.5258479354073727E-3</v>
      </c>
      <c r="BL92" s="244">
        <f>0.5*(BL68-BK68)*(BL90+BK90)</f>
        <v>8.6418062716052957E-3</v>
      </c>
      <c r="BM92" s="244">
        <f>0.5*(BM68-BK68)*(BM90+BK90)</f>
        <v>2.459249059173458E-2</v>
      </c>
      <c r="BN92" s="244">
        <f>0.5*(BN68-BM68)*(BN90+BM90)</f>
        <v>7.3100563383954893E-3</v>
      </c>
      <c r="BO92" s="244">
        <f>0.5*(BO68-BN68)*(BO90+BN90)</f>
        <v>3.3045387440567564E-3</v>
      </c>
      <c r="BP92" s="231"/>
      <c r="BQ92" s="231"/>
      <c r="BR92" s="231"/>
      <c r="BS92" s="433"/>
    </row>
    <row r="93" spans="2:71">
      <c r="B93" s="25">
        <f>'2'!B59</f>
        <v>16</v>
      </c>
      <c r="C93" s="428" t="str">
        <f>'2'!C59</f>
        <v>Loiter 2a</v>
      </c>
      <c r="D93" s="428">
        <f>'2'!D59</f>
        <v>3500</v>
      </c>
      <c r="E93" s="1193">
        <f>'2'!E59</f>
        <v>0.14000000000000001</v>
      </c>
      <c r="F93" s="1025">
        <f>'2'!F59</f>
        <v>0</v>
      </c>
      <c r="G93" s="1276">
        <f>'2'!I59</f>
        <v>154.51021720119999</v>
      </c>
      <c r="H93" s="25">
        <f>IF('3'!$J$21=2,(IF('2'!E59&lt;1,1,'3'!$J$21)),'3'!$J$21)</f>
        <v>5</v>
      </c>
      <c r="I93" s="244">
        <f>IF(H93=1,((($F$158*((('2'!H59/0.00238333)^$F$159)))+$F$160)*$F$161*($F$162+($F$163*(('2'!E59-$F$164)^$F$165)))),
  IF(H93=2,((($G$158*((('2'!H59/0.00238333)^$G$159)))+$G$160)*$G$161*($G$162+($G$163*(('2'!E59-$G$164)^$G$165)))),
  IF(H93=3,((($H$158*((('2'!H59/0.00238333)^$H$159)))+$H$160)*$H$161*($H$162+($H$163*(('2'!E59-$H$164)^$H$165)))),
  IF(H93=4,((($I$158*((('2'!H59/0.00238333)^$I$159)))+$I$160)*$I$161*($I$162+($I$163*(('2'!E59-$I$164)^$I$165)))),
  IF(H93=5,((($J$158*((('2'!H59/0.00238333)^$J$159)))+$J$160)*$J$161*($J$162+($J$163*(('2'!E59-$J$164)^$J$165)))),
                        (($K$158*((('2'!H59/0.00238333)^$K$159)))+$K$160)*$K$161*($K$162+($K$163*(('2'!E59-$K$164)^$K$165))))))))</f>
        <v>0.88476391829209711</v>
      </c>
      <c r="J93" s="52">
        <f t="shared" si="13"/>
        <v>150.40986610965652</v>
      </c>
      <c r="K93" s="67">
        <f>IF('2'!E59=1,0.995,(IF('2'!E59&lt;1,0.995,(0.995-(0.075*(('2'!E59-1)^1.35))))))</f>
        <v>0.995</v>
      </c>
      <c r="L93" s="67">
        <f>IF('2'!E59&lt;2.5,1,((-0.1*'2'!E59)+1.25))</f>
        <v>1</v>
      </c>
      <c r="M93" s="67">
        <f>1.35-(0.15*('2'!E59-1))</f>
        <v>1.4790000000000001</v>
      </c>
      <c r="N93" s="67">
        <f t="shared" si="14"/>
        <v>-7.3950000000000066E-3</v>
      </c>
      <c r="O93" s="25">
        <f t="shared" si="15"/>
        <v>-0.02</v>
      </c>
      <c r="P93" s="34">
        <f t="shared" si="31"/>
        <v>0.97275289999999992</v>
      </c>
      <c r="Q93" s="1274">
        <f t="shared" si="16"/>
        <v>1</v>
      </c>
      <c r="R93" s="1274">
        <f t="shared" si="17"/>
        <v>0.99141408850831303</v>
      </c>
      <c r="S93" s="1275">
        <f t="shared" si="25"/>
        <v>145.05541471180189</v>
      </c>
      <c r="T93" s="1275">
        <f>S93*H$176</f>
        <v>116.04433176944151</v>
      </c>
      <c r="U93" s="1275">
        <f t="shared" si="18"/>
        <v>116.04433176944151</v>
      </c>
      <c r="W93" s="1294">
        <v>1</v>
      </c>
      <c r="X93" s="1292">
        <v>1</v>
      </c>
      <c r="Y93" s="1272">
        <f t="shared" si="19"/>
        <v>0</v>
      </c>
      <c r="Z93" s="1275">
        <f t="shared" si="20"/>
        <v>0</v>
      </c>
      <c r="AB93" s="1315">
        <f>'3'!BC30</f>
        <v>163.39495490590821</v>
      </c>
      <c r="AC93" s="1251">
        <f>BC48</f>
        <v>0.90889017958501206</v>
      </c>
      <c r="AD93" s="1275">
        <f>(AB93*G93)/(550*AC93)</f>
        <v>50.503531247945105</v>
      </c>
      <c r="AE93" s="1291">
        <f t="shared" ref="AE93:AE108" si="46">AD93/U93</f>
        <v>0.43520894539068244</v>
      </c>
      <c r="AF93" s="34">
        <f t="shared" si="21"/>
        <v>1.035942190229882</v>
      </c>
      <c r="AG93" s="1271">
        <f t="shared" si="26"/>
        <v>0.52833051701723988</v>
      </c>
      <c r="AH93" s="1330">
        <f t="shared" si="27"/>
        <v>0.2589238555773905</v>
      </c>
      <c r="AI93" s="1272">
        <f t="shared" si="22"/>
        <v>0</v>
      </c>
      <c r="AJ93" s="1317">
        <f>'2'!S59</f>
        <v>7</v>
      </c>
      <c r="AK93" s="1272">
        <f t="shared" si="28"/>
        <v>0</v>
      </c>
      <c r="AL93" s="1275">
        <f t="shared" si="23"/>
        <v>116.04433176944151</v>
      </c>
      <c r="AM93" s="1346">
        <f t="shared" si="29"/>
        <v>0.43520894539068244</v>
      </c>
      <c r="AW93" s="25"/>
      <c r="AX93" s="25"/>
      <c r="AY93" s="246" t="s">
        <v>1408</v>
      </c>
      <c r="AZ93" s="223" t="s">
        <v>165</v>
      </c>
      <c r="BA93" s="534">
        <f>'7b'!BA31</f>
        <v>-43.052736791726751</v>
      </c>
      <c r="BB93" s="231"/>
      <c r="BC93" s="231"/>
      <c r="BD93" s="231"/>
      <c r="BE93" s="231"/>
      <c r="BF93" s="244">
        <f>0.5*(BF68-BE68)*(BF91+BE91)</f>
        <v>9.7462839392299812E-4</v>
      </c>
      <c r="BG93" s="244">
        <f>0.5*(BG68-BF68)*(BG91+BF91)</f>
        <v>4.9134953818575694E-3</v>
      </c>
      <c r="BH93" s="244">
        <f>0.5*(BH68-BG68)*(BH91+BG91)</f>
        <v>1.0430320197054485E-2</v>
      </c>
      <c r="BI93" s="244">
        <f>0.5*(BI68-BH68)*(BI91+BH91)</f>
        <v>1.5904220674290964E-2</v>
      </c>
      <c r="BJ93" s="244">
        <f>0.5*(BJ68-BF68)*(BJ91+BF91)</f>
        <v>4.7511141413131862E-2</v>
      </c>
      <c r="BK93" s="244">
        <f>0.5*(BK68-BJ68)*(BK91+BJ91)</f>
        <v>1.0790190777535832E-2</v>
      </c>
      <c r="BL93" s="244">
        <f>0.5*(BL68-BK68)*(BL91+BK91)</f>
        <v>1.0892873877079086E-2</v>
      </c>
      <c r="BM93" s="244">
        <f>0.5*(BM68-BK68)*(BM91+BK91)</f>
        <v>3.0857071517970246E-2</v>
      </c>
      <c r="BN93" s="244">
        <f>0.5*(BN68-BM68)*(BN91+BM91)</f>
        <v>9.0839211614418599E-3</v>
      </c>
      <c r="BO93" s="244">
        <f>0.5*(BO68-BN68)*(BO91+BN91)</f>
        <v>4.0942259805242477E-3</v>
      </c>
      <c r="BP93" s="231"/>
      <c r="BQ93" s="231"/>
      <c r="BR93" s="231"/>
      <c r="BS93" s="433"/>
    </row>
    <row r="94" spans="2:71" ht="13.8" thickBot="1">
      <c r="B94" s="25">
        <f>'2'!B60</f>
        <v>17</v>
      </c>
      <c r="C94" s="428" t="str">
        <f>'2'!C60</f>
        <v>Loiter 2b</v>
      </c>
      <c r="D94" s="428">
        <f>'2'!D60</f>
        <v>3500</v>
      </c>
      <c r="E94" s="1193">
        <f>'2'!E60</f>
        <v>0.14000000000000001</v>
      </c>
      <c r="F94" s="1025">
        <f>'2'!F60</f>
        <v>0</v>
      </c>
      <c r="G94" s="1276">
        <f>'2'!I60</f>
        <v>154.51021720119999</v>
      </c>
      <c r="H94" s="25">
        <f>IF('3'!$J$21=2,(IF('2'!E60&lt;1,1,'3'!$J$21)),'3'!$J$21)</f>
        <v>5</v>
      </c>
      <c r="I94" s="244">
        <f>IF(H94=1,((($F$158*((('2'!H60/0.00238333)^$F$159)))+$F$160)*$F$161*($F$162+($F$163*(('2'!E60-$F$164)^$F$165)))),
  IF(H94=2,((($G$158*((('2'!H60/0.00238333)^$G$159)))+$G$160)*$G$161*($G$162+($G$163*(('2'!E60-$G$164)^$G$165)))),
  IF(H94=3,((($H$158*((('2'!H60/0.00238333)^$H$159)))+$H$160)*$H$161*($H$162+($H$163*(('2'!E60-$H$164)^$H$165)))),
  IF(H94=4,((($I$158*((('2'!H60/0.00238333)^$I$159)))+$I$160)*$I$161*($I$162+($I$163*(('2'!E60-$I$164)^$I$165)))),
  IF(H94=5,((($J$158*((('2'!H60/0.00238333)^$J$159)))+$J$160)*$J$161*($J$162+($J$163*(('2'!E60-$J$164)^$J$165)))),
                        (($K$158*((('2'!H60/0.00238333)^$K$159)))+$K$160)*$K$161*($K$162+($K$163*(('2'!E60-$K$164)^$K$165))))))))</f>
        <v>0.88476391829209711</v>
      </c>
      <c r="J94" s="52">
        <f t="shared" si="13"/>
        <v>150.40986610965652</v>
      </c>
      <c r="K94" s="67">
        <f>IF('2'!E60=1,0.995,(IF('2'!E60&lt;1,0.995,(0.995-(0.075*(('2'!E60-1)^1.35))))))</f>
        <v>0.995</v>
      </c>
      <c r="L94" s="67">
        <f>IF('2'!E60&lt;2.5,1,((-0.1*'2'!E60)+1.25))</f>
        <v>1</v>
      </c>
      <c r="M94" s="67">
        <f>1.35-(0.15*('2'!E60-1))</f>
        <v>1.4790000000000001</v>
      </c>
      <c r="N94" s="67">
        <f t="shared" si="14"/>
        <v>-7.3950000000000066E-3</v>
      </c>
      <c r="O94" s="25">
        <f t="shared" si="15"/>
        <v>-0.02</v>
      </c>
      <c r="P94" s="34">
        <f t="shared" si="31"/>
        <v>0.97275289999999992</v>
      </c>
      <c r="Q94" s="1274">
        <f t="shared" si="16"/>
        <v>1</v>
      </c>
      <c r="R94" s="1274">
        <f t="shared" si="17"/>
        <v>0.99141408850831303</v>
      </c>
      <c r="S94" s="1275">
        <f t="shared" si="25"/>
        <v>145.05541471180189</v>
      </c>
      <c r="T94" s="1275">
        <f>S94*H$176</f>
        <v>116.04433176944151</v>
      </c>
      <c r="U94" s="1275">
        <f t="shared" si="18"/>
        <v>116.04433176944151</v>
      </c>
      <c r="W94" s="1294">
        <v>1</v>
      </c>
      <c r="X94" s="1292">
        <v>1</v>
      </c>
      <c r="Y94" s="1272">
        <f t="shared" si="19"/>
        <v>0</v>
      </c>
      <c r="Z94" s="1275">
        <f t="shared" si="20"/>
        <v>0</v>
      </c>
      <c r="AB94" s="1315">
        <f>'3'!BC31</f>
        <v>163.22326165033826</v>
      </c>
      <c r="AC94" s="1251">
        <f>AC$93</f>
        <v>0.90889017958501206</v>
      </c>
      <c r="AD94" s="1275">
        <f>(AB94*G94)/(550*AC94)</f>
        <v>50.450462805882559</v>
      </c>
      <c r="AE94" s="1291">
        <f t="shared" si="46"/>
        <v>0.43475163359222263</v>
      </c>
      <c r="AF94" s="34">
        <f t="shared" si="21"/>
        <v>1.0362915742587124</v>
      </c>
      <c r="AG94" s="1271">
        <f t="shared" si="26"/>
        <v>0.5285087028719434</v>
      </c>
      <c r="AH94" s="1330">
        <f t="shared" si="27"/>
        <v>0.25883655981809939</v>
      </c>
      <c r="AI94" s="1272">
        <f t="shared" si="22"/>
        <v>0</v>
      </c>
      <c r="AJ94" s="1317">
        <f>'2'!S60</f>
        <v>7</v>
      </c>
      <c r="AK94" s="1272">
        <f t="shared" si="28"/>
        <v>0</v>
      </c>
      <c r="AL94" s="1275">
        <f t="shared" si="23"/>
        <v>116.04433176944151</v>
      </c>
      <c r="AM94" s="1346">
        <f t="shared" si="29"/>
        <v>0.43475163359222263</v>
      </c>
      <c r="AW94" s="25"/>
      <c r="AX94" s="25"/>
      <c r="AY94" s="235"/>
      <c r="AZ94" s="231"/>
      <c r="BA94" s="231"/>
      <c r="BB94" s="231"/>
      <c r="BC94" s="231"/>
      <c r="BD94" s="231"/>
      <c r="BE94" s="231"/>
      <c r="BF94" s="231"/>
      <c r="BG94" s="231"/>
      <c r="BH94" s="231"/>
      <c r="BI94" s="231"/>
      <c r="BJ94" s="231"/>
      <c r="BK94" s="231"/>
      <c r="BL94" s="231"/>
      <c r="BM94" s="231"/>
      <c r="BN94" s="231"/>
      <c r="BO94" s="231"/>
      <c r="BP94" s="231"/>
      <c r="BQ94" s="231"/>
      <c r="BR94" s="231"/>
      <c r="BS94" s="433"/>
    </row>
    <row r="95" spans="2:71" ht="17.399999999999999">
      <c r="B95" s="25">
        <f>'2'!B61</f>
        <v>18</v>
      </c>
      <c r="C95" s="428" t="str">
        <f>'2'!C61</f>
        <v>Loiter 2c</v>
      </c>
      <c r="D95" s="428">
        <f>'2'!D61</f>
        <v>3500</v>
      </c>
      <c r="E95" s="1193">
        <f>'2'!E61</f>
        <v>0.14000000000000001</v>
      </c>
      <c r="F95" s="1025">
        <f>'2'!F61</f>
        <v>0</v>
      </c>
      <c r="G95" s="1276">
        <f>'2'!I61</f>
        <v>154.51021720119999</v>
      </c>
      <c r="H95" s="25">
        <f>IF('3'!$J$21=2,(IF('2'!E61&lt;1,1,'3'!$J$21)),'3'!$J$21)</f>
        <v>5</v>
      </c>
      <c r="I95" s="244">
        <f>IF(H95=1,((($F$158*((('2'!H61/0.00238333)^$F$159)))+$F$160)*$F$161*($F$162+($F$163*(('2'!E61-$F$164)^$F$165)))),
  IF(H95=2,((($G$158*((('2'!H61/0.00238333)^$G$159)))+$G$160)*$G$161*($G$162+($G$163*(('2'!E61-$G$164)^$G$165)))),
  IF(H95=3,((($H$158*((('2'!H61/0.00238333)^$H$159)))+$H$160)*$H$161*($H$162+($H$163*(('2'!E61-$H$164)^$H$165)))),
  IF(H95=4,((($I$158*((('2'!H61/0.00238333)^$I$159)))+$I$160)*$I$161*($I$162+($I$163*(('2'!E61-$I$164)^$I$165)))),
  IF(H95=5,((($J$158*((('2'!H61/0.00238333)^$J$159)))+$J$160)*$J$161*($J$162+($J$163*(('2'!E61-$J$164)^$J$165)))),
                        (($K$158*((('2'!H61/0.00238333)^$K$159)))+$K$160)*$K$161*($K$162+($K$163*(('2'!E61-$K$164)^$K$165))))))))</f>
        <v>0.88476391829209711</v>
      </c>
      <c r="J95" s="52">
        <f t="shared" si="13"/>
        <v>150.40986610965652</v>
      </c>
      <c r="K95" s="67">
        <f>IF('2'!E61=1,0.995,(IF('2'!E61&lt;1,0.995,(0.995-(0.075*(('2'!E61-1)^1.35))))))</f>
        <v>0.995</v>
      </c>
      <c r="L95" s="67">
        <f>IF('2'!E61&lt;2.5,1,((-0.1*'2'!E61)+1.25))</f>
        <v>1</v>
      </c>
      <c r="M95" s="67">
        <f>1.35-(0.15*('2'!E61-1))</f>
        <v>1.4790000000000001</v>
      </c>
      <c r="N95" s="67">
        <f t="shared" si="14"/>
        <v>-7.3950000000000066E-3</v>
      </c>
      <c r="O95" s="25">
        <f t="shared" si="15"/>
        <v>-0.02</v>
      </c>
      <c r="P95" s="34">
        <f t="shared" si="31"/>
        <v>0.97275289999999992</v>
      </c>
      <c r="Q95" s="1274">
        <f t="shared" si="16"/>
        <v>1</v>
      </c>
      <c r="R95" s="1274">
        <f t="shared" si="17"/>
        <v>0.99141408850831303</v>
      </c>
      <c r="S95" s="1275">
        <f t="shared" si="25"/>
        <v>145.05541471180189</v>
      </c>
      <c r="T95" s="1275">
        <f>S95*H$176</f>
        <v>116.04433176944151</v>
      </c>
      <c r="U95" s="1275">
        <f t="shared" si="18"/>
        <v>116.04433176944151</v>
      </c>
      <c r="W95" s="1294">
        <v>1</v>
      </c>
      <c r="X95" s="1292">
        <v>1</v>
      </c>
      <c r="Y95" s="1272">
        <f t="shared" si="19"/>
        <v>0</v>
      </c>
      <c r="Z95" s="1275">
        <f t="shared" si="20"/>
        <v>0</v>
      </c>
      <c r="AB95" s="1315">
        <f>'3'!BC32</f>
        <v>163.05236863435215</v>
      </c>
      <c r="AC95" s="1251">
        <f>AC$93</f>
        <v>0.90889017958501206</v>
      </c>
      <c r="AD95" s="1275">
        <f>(AB95*G95)/(550*AC95)</f>
        <v>50.397641708818199</v>
      </c>
      <c r="AE95" s="1291">
        <f t="shared" si="46"/>
        <v>0.43429645326364524</v>
      </c>
      <c r="AF95" s="34">
        <f t="shared" si="21"/>
        <v>1.0366405151275186</v>
      </c>
      <c r="AG95" s="1271">
        <f t="shared" si="26"/>
        <v>0.52868666271503451</v>
      </c>
      <c r="AH95" s="1330">
        <f t="shared" si="27"/>
        <v>0.25874943351660556</v>
      </c>
      <c r="AI95" s="1272">
        <f t="shared" si="22"/>
        <v>0</v>
      </c>
      <c r="AJ95" s="1317">
        <f>'2'!S61</f>
        <v>7</v>
      </c>
      <c r="AK95" s="1272">
        <f t="shared" si="28"/>
        <v>0</v>
      </c>
      <c r="AL95" s="1275">
        <f t="shared" si="23"/>
        <v>116.04433176944151</v>
      </c>
      <c r="AM95" s="1346">
        <f t="shared" si="29"/>
        <v>0.43429645326364524</v>
      </c>
      <c r="AW95" s="25"/>
      <c r="AX95" s="25"/>
      <c r="AY95" s="401" t="s">
        <v>1409</v>
      </c>
      <c r="AZ95" s="402"/>
      <c r="BA95" s="403"/>
      <c r="BB95" s="231"/>
      <c r="BC95" s="231"/>
      <c r="BD95" s="231"/>
      <c r="BE95" s="231"/>
      <c r="BF95" s="231"/>
      <c r="BG95" s="231"/>
      <c r="BH95" s="231"/>
      <c r="BI95" s="231"/>
      <c r="BJ95" s="231"/>
      <c r="BK95" s="231"/>
      <c r="BL95" s="231"/>
      <c r="BM95" s="231"/>
      <c r="BN95" s="231"/>
      <c r="BO95" s="231"/>
      <c r="BP95" s="231"/>
      <c r="BQ95" s="231"/>
      <c r="BR95" s="231"/>
      <c r="BS95" s="433"/>
    </row>
    <row r="96" spans="2:71" ht="15.6">
      <c r="B96" s="25">
        <f>'2'!B62</f>
        <v>19</v>
      </c>
      <c r="C96" s="428" t="str">
        <f>'2'!C62</f>
        <v>Loiter 2d</v>
      </c>
      <c r="D96" s="428">
        <f>'2'!D62</f>
        <v>3500</v>
      </c>
      <c r="E96" s="1193">
        <f>'2'!E62</f>
        <v>0.14000000000000001</v>
      </c>
      <c r="F96" s="1025">
        <f>'2'!F62</f>
        <v>0</v>
      </c>
      <c r="G96" s="1276">
        <f>'2'!I62</f>
        <v>154.51021720119999</v>
      </c>
      <c r="H96" s="25">
        <f>IF('3'!$J$21=2,(IF('2'!E62&lt;1,1,'3'!$J$21)),'3'!$J$21)</f>
        <v>5</v>
      </c>
      <c r="I96" s="244">
        <f>IF(H96=1,((($F$158*((('2'!H62/0.00238333)^$F$159)))+$F$160)*$F$161*($F$162+($F$163*(('2'!E62-$F$164)^$F$165)))),
  IF(H96=2,((($G$158*((('2'!H62/0.00238333)^$G$159)))+$G$160)*$G$161*($G$162+($G$163*(('2'!E62-$G$164)^$G$165)))),
  IF(H96=3,((($H$158*((('2'!H62/0.00238333)^$H$159)))+$H$160)*$H$161*($H$162+($H$163*(('2'!E62-$H$164)^$H$165)))),
  IF(H96=4,((($I$158*((('2'!H62/0.00238333)^$I$159)))+$I$160)*$I$161*($I$162+($I$163*(('2'!E62-$I$164)^$I$165)))),
  IF(H96=5,((($J$158*((('2'!H62/0.00238333)^$J$159)))+$J$160)*$J$161*($J$162+($J$163*(('2'!E62-$J$164)^$J$165)))),
                        (($K$158*((('2'!H62/0.00238333)^$K$159)))+$K$160)*$K$161*($K$162+($K$163*(('2'!E62-$K$164)^$K$165))))))))</f>
        <v>0.88476391829209711</v>
      </c>
      <c r="J96" s="52">
        <f t="shared" si="13"/>
        <v>150.40986610965652</v>
      </c>
      <c r="K96" s="67">
        <f>IF('2'!E62=1,0.995,(IF('2'!E62&lt;1,0.995,(0.995-(0.075*(('2'!E62-1)^1.35))))))</f>
        <v>0.995</v>
      </c>
      <c r="L96" s="67">
        <f>IF('2'!E62&lt;2.5,1,((-0.1*'2'!E62)+1.25))</f>
        <v>1</v>
      </c>
      <c r="M96" s="67">
        <f>1.35-(0.15*('2'!E62-1))</f>
        <v>1.4790000000000001</v>
      </c>
      <c r="N96" s="67">
        <f t="shared" si="14"/>
        <v>-7.3950000000000066E-3</v>
      </c>
      <c r="O96" s="25">
        <f t="shared" si="15"/>
        <v>-0.02</v>
      </c>
      <c r="P96" s="34">
        <f t="shared" si="31"/>
        <v>0.97275289999999992</v>
      </c>
      <c r="Q96" s="1274">
        <f t="shared" si="16"/>
        <v>1</v>
      </c>
      <c r="R96" s="1274">
        <f t="shared" si="17"/>
        <v>0.99141408850831303</v>
      </c>
      <c r="S96" s="1275">
        <f t="shared" si="25"/>
        <v>145.05541471180189</v>
      </c>
      <c r="T96" s="1275">
        <f>S96*H$176</f>
        <v>116.04433176944151</v>
      </c>
      <c r="U96" s="1275">
        <f t="shared" si="18"/>
        <v>116.04433176944151</v>
      </c>
      <c r="W96" s="1294">
        <v>1</v>
      </c>
      <c r="X96" s="1292">
        <v>1</v>
      </c>
      <c r="Y96" s="1272">
        <f t="shared" si="19"/>
        <v>0</v>
      </c>
      <c r="Z96" s="1275">
        <f t="shared" si="20"/>
        <v>0</v>
      </c>
      <c r="AB96" s="1315">
        <f>'3'!BC33</f>
        <v>162.88227306800221</v>
      </c>
      <c r="AC96" s="1251">
        <f>AC$93</f>
        <v>0.90889017958501206</v>
      </c>
      <c r="AD96" s="1275">
        <f>(AB96*G96)/(550*AC96)</f>
        <v>50.345067094410815</v>
      </c>
      <c r="AE96" s="1291">
        <f t="shared" si="46"/>
        <v>0.43384339697381424</v>
      </c>
      <c r="AF96" s="34">
        <f t="shared" si="21"/>
        <v>1.0369890056035711</v>
      </c>
      <c r="AG96" s="1271">
        <f t="shared" si="26"/>
        <v>0.52886439285782127</v>
      </c>
      <c r="AH96" s="1330">
        <f t="shared" si="27"/>
        <v>0.25866247819424704</v>
      </c>
      <c r="AI96" s="1272">
        <f t="shared" si="22"/>
        <v>0</v>
      </c>
      <c r="AJ96" s="1317">
        <f>'2'!S62</f>
        <v>7</v>
      </c>
      <c r="AK96" s="1272">
        <f t="shared" si="28"/>
        <v>0</v>
      </c>
      <c r="AL96" s="1275">
        <f t="shared" si="23"/>
        <v>116.04433176944151</v>
      </c>
      <c r="AM96" s="1346">
        <f t="shared" si="29"/>
        <v>0.43384339697381424</v>
      </c>
      <c r="AW96" s="25"/>
      <c r="AX96" s="25"/>
      <c r="AY96" s="404" t="s">
        <v>641</v>
      </c>
      <c r="AZ96" s="405" t="s">
        <v>90</v>
      </c>
      <c r="BA96" s="406" t="s">
        <v>91</v>
      </c>
      <c r="BB96" s="231"/>
      <c r="BC96" s="231"/>
      <c r="BD96" s="231"/>
      <c r="BE96" s="231"/>
      <c r="BF96" s="231"/>
      <c r="BG96" s="231"/>
      <c r="BH96" s="231"/>
      <c r="BI96" s="231"/>
      <c r="BJ96" s="231"/>
      <c r="BK96" s="231"/>
      <c r="BL96" s="231"/>
      <c r="BM96" s="231"/>
      <c r="BN96" s="231"/>
      <c r="BO96" s="231"/>
      <c r="BP96" s="231"/>
      <c r="BQ96" s="1045"/>
      <c r="BR96" s="1046"/>
      <c r="BS96" s="1047"/>
    </row>
    <row r="97" spans="2:71">
      <c r="B97" s="25">
        <f>'2'!B63</f>
        <v>20</v>
      </c>
      <c r="C97" s="428" t="str">
        <f>'2'!C63</f>
        <v>Loiter 2e</v>
      </c>
      <c r="D97" s="428">
        <f>'2'!D63</f>
        <v>3500</v>
      </c>
      <c r="E97" s="1193">
        <f>'2'!E63</f>
        <v>0.14000000000000001</v>
      </c>
      <c r="F97" s="1025">
        <f>'2'!F63</f>
        <v>0</v>
      </c>
      <c r="G97" s="1276">
        <f>'2'!I63</f>
        <v>154.51021720119999</v>
      </c>
      <c r="H97" s="25">
        <f>IF('3'!$J$21=2,(IF('2'!E63&lt;1,1,'3'!$J$21)),'3'!$J$21)</f>
        <v>5</v>
      </c>
      <c r="I97" s="244">
        <f>IF(H97=1,((($F$158*((('2'!H63/0.00238333)^$F$159)))+$F$160)*$F$161*($F$162+($F$163*(('2'!E63-$F$164)^$F$165)))),
  IF(H97=2,((($G$158*((('2'!H63/0.00238333)^$G$159)))+$G$160)*$G$161*($G$162+($G$163*(('2'!E63-$G$164)^$G$165)))),
  IF(H97=3,((($H$158*((('2'!H63/0.00238333)^$H$159)))+$H$160)*$H$161*($H$162+($H$163*(('2'!E63-$H$164)^$H$165)))),
  IF(H97=4,((($I$158*((('2'!H63/0.00238333)^$I$159)))+$I$160)*$I$161*($I$162+($I$163*(('2'!E63-$I$164)^$I$165)))),
  IF(H97=5,((($J$158*((('2'!H63/0.00238333)^$J$159)))+$J$160)*$J$161*($J$162+($J$163*(('2'!E63-$J$164)^$J$165)))),
                        (($K$158*((('2'!H63/0.00238333)^$K$159)))+$K$160)*$K$161*($K$162+($K$163*(('2'!E63-$K$164)^$K$165))))))))</f>
        <v>0.88476391829209711</v>
      </c>
      <c r="J97" s="52">
        <f t="shared" si="13"/>
        <v>150.40986610965652</v>
      </c>
      <c r="K97" s="67">
        <f>IF('2'!E63=1,0.995,(IF('2'!E63&lt;1,0.995,(0.995-(0.075*(('2'!E63-1)^1.35))))))</f>
        <v>0.995</v>
      </c>
      <c r="L97" s="67">
        <f>IF('2'!E63&lt;2.5,1,((-0.1*'2'!E63)+1.25))</f>
        <v>1</v>
      </c>
      <c r="M97" s="67">
        <f>1.35-(0.15*('2'!E63-1))</f>
        <v>1.4790000000000001</v>
      </c>
      <c r="N97" s="67">
        <f t="shared" si="14"/>
        <v>-7.3950000000000066E-3</v>
      </c>
      <c r="O97" s="25">
        <f t="shared" si="15"/>
        <v>-0.02</v>
      </c>
      <c r="P97" s="34">
        <f t="shared" si="31"/>
        <v>0.97275289999999992</v>
      </c>
      <c r="Q97" s="1274">
        <f t="shared" si="16"/>
        <v>1</v>
      </c>
      <c r="R97" s="1274">
        <f t="shared" si="17"/>
        <v>0.99141408850831303</v>
      </c>
      <c r="S97" s="1275">
        <f t="shared" si="25"/>
        <v>145.05541471180189</v>
      </c>
      <c r="T97" s="1275">
        <f>S97*H$176</f>
        <v>116.04433176944151</v>
      </c>
      <c r="U97" s="1275">
        <f t="shared" si="18"/>
        <v>116.04433176944151</v>
      </c>
      <c r="W97" s="1294">
        <v>1</v>
      </c>
      <c r="X97" s="1292">
        <v>1</v>
      </c>
      <c r="Y97" s="1272">
        <f t="shared" si="19"/>
        <v>0</v>
      </c>
      <c r="Z97" s="1275">
        <f t="shared" si="20"/>
        <v>0</v>
      </c>
      <c r="AB97" s="1315">
        <f>'3'!BC34</f>
        <v>162.71297217840086</v>
      </c>
      <c r="AC97" s="1251">
        <f>AC$93</f>
        <v>0.90889017958501206</v>
      </c>
      <c r="AD97" s="1275">
        <f>(AB97*G97)/(550*AC97)</f>
        <v>50.292738105592214</v>
      </c>
      <c r="AE97" s="1291">
        <f t="shared" si="46"/>
        <v>0.43339245733703324</v>
      </c>
      <c r="AF97" s="34">
        <f t="shared" si="21"/>
        <v>1.0373370384860361</v>
      </c>
      <c r="AG97" s="1271">
        <f t="shared" si="26"/>
        <v>0.52904188962787846</v>
      </c>
      <c r="AH97" s="1330">
        <f t="shared" si="27"/>
        <v>0.25857569536038344</v>
      </c>
      <c r="AI97" s="1272">
        <f t="shared" si="22"/>
        <v>0</v>
      </c>
      <c r="AJ97" s="1317">
        <f>'2'!S63</f>
        <v>7</v>
      </c>
      <c r="AK97" s="1272">
        <f t="shared" si="28"/>
        <v>0</v>
      </c>
      <c r="AL97" s="1275">
        <f t="shared" si="23"/>
        <v>116.04433176944151</v>
      </c>
      <c r="AM97" s="1346">
        <f t="shared" si="29"/>
        <v>0.43339245733703324</v>
      </c>
      <c r="AW97" s="25"/>
      <c r="AX97" s="25"/>
      <c r="AY97" s="216" t="s">
        <v>1384</v>
      </c>
      <c r="AZ97" s="217" t="s">
        <v>87</v>
      </c>
      <c r="BA97" s="218">
        <f>BA80</f>
        <v>2</v>
      </c>
      <c r="BB97" s="231"/>
      <c r="BC97" s="231"/>
      <c r="BD97" s="231"/>
      <c r="BE97" s="231"/>
      <c r="BF97" s="231"/>
      <c r="BG97" s="231"/>
      <c r="BH97" s="231"/>
      <c r="BI97" s="231"/>
      <c r="BJ97" s="231"/>
      <c r="BK97" s="231"/>
      <c r="BL97" s="231"/>
      <c r="BM97" s="231"/>
      <c r="BN97" s="231"/>
      <c r="BO97" s="231"/>
      <c r="BP97" s="231"/>
      <c r="BQ97" s="1048"/>
      <c r="BR97" s="1046"/>
      <c r="BS97" s="1047"/>
    </row>
    <row r="98" spans="2:71">
      <c r="B98" s="25">
        <f>'2'!B64</f>
        <v>21</v>
      </c>
      <c r="C98" s="428" t="str">
        <f>'2'!C64</f>
        <v>Climb+Accel3</v>
      </c>
      <c r="D98" s="428">
        <f>'2'!D64</f>
        <v>10000</v>
      </c>
      <c r="E98" s="1193">
        <f>'2'!E64</f>
        <v>0.16</v>
      </c>
      <c r="F98" s="1025">
        <f>'2'!F64</f>
        <v>0</v>
      </c>
      <c r="G98" s="1276">
        <f>'2'!I64</f>
        <v>172.32024300800001</v>
      </c>
      <c r="H98" s="25">
        <f>IF('3'!$J$21=2,(IF('2'!E64&lt;1,1,'3'!$J$21)),'3'!$J$21)</f>
        <v>5</v>
      </c>
      <c r="I98" s="244">
        <f>IF(H98=1,((($F$158*((('2'!H64/0.00238333)^$F$159)))+$F$160)*$F$161*($F$162+($F$163*(('2'!E64-$F$164)^$F$165)))),
  IF(H98=2,((($G$158*((('2'!H64/0.00238333)^$G$159)))+$G$160)*$G$161*($G$162+($G$163*(('2'!E64-$G$164)^$G$165)))),
  IF(H98=3,((($H$158*((('2'!H64/0.00238333)^$H$159)))+$H$160)*$H$161*($H$162+($H$163*(('2'!E64-$H$164)^$H$165)))),
  IF(H98=4,((($I$158*((('2'!H64/0.00238333)^$I$159)))+$I$160)*$I$161*($I$162+($I$163*(('2'!E64-$I$164)^$I$165)))),
  IF(H98=5,((($J$158*((('2'!H64/0.00238333)^$J$159)))+$J$160)*$J$161*($J$162+($J$163*(('2'!E64-$J$164)^$J$165)))),
                        (($K$158*((('2'!H64/0.00238333)^$K$159)))+$K$160)*$K$161*($K$162+($K$163*(('2'!E64-$K$164)^$K$165))))))))</f>
        <v>0.70086799633573194</v>
      </c>
      <c r="J98" s="52">
        <f t="shared" si="13"/>
        <v>119.14755937707443</v>
      </c>
      <c r="K98" s="67">
        <f>IF('2'!E64=1,0.995,(IF('2'!E64&lt;1,0.995,(0.995-(0.075*(('2'!E64-1)^1.35))))))</f>
        <v>0.995</v>
      </c>
      <c r="L98" s="67">
        <f>IF('2'!E64&lt;2.5,1,((-0.1*'2'!E64)+1.25))</f>
        <v>1</v>
      </c>
      <c r="M98" s="67">
        <f>1.35-(0.15*('2'!E64-1))</f>
        <v>1.476</v>
      </c>
      <c r="N98" s="67">
        <f t="shared" si="14"/>
        <v>-7.3800000000000063E-3</v>
      </c>
      <c r="O98" s="25">
        <f t="shared" si="15"/>
        <v>-0.02</v>
      </c>
      <c r="P98" s="34">
        <f t="shared" si="31"/>
        <v>0.97276759999999995</v>
      </c>
      <c r="Q98" s="1274">
        <f t="shared" si="16"/>
        <v>1</v>
      </c>
      <c r="R98" s="1274">
        <f t="shared" si="17"/>
        <v>0.99141408850831303</v>
      </c>
      <c r="S98" s="1275">
        <f t="shared" si="25"/>
        <v>114.90775346558097</v>
      </c>
      <c r="T98" s="1275">
        <f>S98*H$175</f>
        <v>103.41697811902287</v>
      </c>
      <c r="U98" s="1275">
        <f t="shared" si="18"/>
        <v>103.41697811902287</v>
      </c>
      <c r="W98" s="1294">
        <v>1</v>
      </c>
      <c r="X98" s="1292">
        <v>1</v>
      </c>
      <c r="Y98" s="1272">
        <f t="shared" si="19"/>
        <v>0</v>
      </c>
      <c r="Z98" s="1275">
        <f t="shared" si="20"/>
        <v>0</v>
      </c>
      <c r="AB98" s="1315">
        <f>'3'!BC35</f>
        <v>166.33671587359396</v>
      </c>
      <c r="AC98" s="1251">
        <f>AC79</f>
        <v>0.7893917469724514</v>
      </c>
      <c r="AD98" s="1275">
        <f>AL98</f>
        <v>103.41697811902287</v>
      </c>
      <c r="AE98" s="1291">
        <f t="shared" si="46"/>
        <v>1</v>
      </c>
      <c r="AF98" s="34">
        <f t="shared" si="21"/>
        <v>1</v>
      </c>
      <c r="AG98" s="1271">
        <f t="shared" si="26"/>
        <v>0.51</v>
      </c>
      <c r="AH98" s="1330">
        <f t="shared" si="27"/>
        <v>0.2682301460496076</v>
      </c>
      <c r="AI98" s="1272">
        <f t="shared" si="22"/>
        <v>0</v>
      </c>
      <c r="AJ98" s="1317">
        <f>'2'!S64</f>
        <v>0</v>
      </c>
      <c r="AK98" s="1272">
        <f t="shared" si="28"/>
        <v>0</v>
      </c>
      <c r="AL98" s="1275">
        <f t="shared" si="23"/>
        <v>103.41697811902287</v>
      </c>
      <c r="AM98" s="1346">
        <f t="shared" si="29"/>
        <v>1</v>
      </c>
      <c r="AW98" s="25"/>
      <c r="AX98" s="25"/>
      <c r="AY98" s="216" t="s">
        <v>1385</v>
      </c>
      <c r="AZ98" s="217" t="s">
        <v>188</v>
      </c>
      <c r="BA98" s="218">
        <f>BA81</f>
        <v>6</v>
      </c>
      <c r="BB98" s="231"/>
      <c r="BC98" s="231"/>
      <c r="BD98" s="231"/>
      <c r="BE98" s="231"/>
      <c r="BF98" s="231"/>
      <c r="BG98" s="231"/>
      <c r="BH98" s="231"/>
      <c r="BI98" s="231"/>
      <c r="BJ98" s="231"/>
      <c r="BK98" s="231"/>
      <c r="BL98" s="231"/>
      <c r="BM98" s="231"/>
      <c r="BN98" s="231"/>
      <c r="BO98" s="231"/>
      <c r="BP98" s="231"/>
      <c r="BQ98" s="1048"/>
      <c r="BR98" s="239"/>
      <c r="BS98" s="693"/>
    </row>
    <row r="99" spans="2:71">
      <c r="B99" s="25">
        <f>'2'!B65</f>
        <v>22</v>
      </c>
      <c r="C99" s="428" t="str">
        <f>'2'!C65</f>
        <v>Cruise 2a</v>
      </c>
      <c r="D99" s="428">
        <f>'2'!D65</f>
        <v>10000</v>
      </c>
      <c r="E99" s="1193">
        <f>'2'!E65</f>
        <v>0.16</v>
      </c>
      <c r="F99" s="1025">
        <f>'2'!F65</f>
        <v>0</v>
      </c>
      <c r="G99" s="1276">
        <f>'2'!I65</f>
        <v>172.32024300800001</v>
      </c>
      <c r="H99" s="25">
        <f>IF('3'!$J$21=2,(IF('2'!E65&lt;1,1,'3'!$J$21)),'3'!$J$21)</f>
        <v>5</v>
      </c>
      <c r="I99" s="244">
        <f>IF(H99=1,((($F$158*((('2'!H65/0.00238333)^$F$159)))+$F$160)*$F$161*($F$162+($F$163*(('2'!E65-$F$164)^$F$165)))),
  IF(H99=2,((($G$158*((('2'!H65/0.00238333)^$G$159)))+$G$160)*$G$161*($G$162+($G$163*(('2'!E65-$G$164)^$G$165)))),
  IF(H99=3,((($H$158*((('2'!H65/0.00238333)^$H$159)))+$H$160)*$H$161*($H$162+($H$163*(('2'!E65-$H$164)^$H$165)))),
  IF(H99=4,((($I$158*((('2'!H65/0.00238333)^$I$159)))+$I$160)*$I$161*($I$162+($I$163*(('2'!E65-$I$164)^$I$165)))),
  IF(H99=5,((($J$158*((('2'!H65/0.00238333)^$J$159)))+$J$160)*$J$161*($J$162+($J$163*(('2'!E65-$J$164)^$J$165)))),
                        (($K$158*((('2'!H65/0.00238333)^$K$159)))+$K$160)*$K$161*($K$162+($K$163*(('2'!E65-$K$164)^$K$165))))))))</f>
        <v>0.70086799633573194</v>
      </c>
      <c r="J99" s="52">
        <f t="shared" si="13"/>
        <v>119.14755937707443</v>
      </c>
      <c r="K99" s="67">
        <f>IF('2'!E65=1,0.995,(IF('2'!E65&lt;1,0.995,(0.995-(0.075*(('2'!E65-1)^1.35))))))</f>
        <v>0.995</v>
      </c>
      <c r="L99" s="67">
        <f>IF('2'!E65&lt;2.5,1,((-0.1*'2'!E65)+1.25))</f>
        <v>1</v>
      </c>
      <c r="M99" s="67">
        <f>1.35-(0.15*('2'!E65-1))</f>
        <v>1.476</v>
      </c>
      <c r="N99" s="67">
        <f t="shared" si="14"/>
        <v>-7.3800000000000063E-3</v>
      </c>
      <c r="O99" s="25">
        <f t="shared" si="15"/>
        <v>-0.02</v>
      </c>
      <c r="P99" s="34">
        <f t="shared" si="31"/>
        <v>0.97276759999999995</v>
      </c>
      <c r="Q99" s="1274">
        <f t="shared" si="16"/>
        <v>1</v>
      </c>
      <c r="R99" s="1274">
        <f t="shared" si="17"/>
        <v>0.99141408850831303</v>
      </c>
      <c r="S99" s="1275">
        <f t="shared" si="25"/>
        <v>114.90775346558097</v>
      </c>
      <c r="T99" s="1275">
        <f t="shared" ref="T99:T108" si="47">S99*H$176</f>
        <v>91.926202772464777</v>
      </c>
      <c r="U99" s="1275">
        <f t="shared" si="18"/>
        <v>91.926202772464777</v>
      </c>
      <c r="W99" s="1294">
        <v>1</v>
      </c>
      <c r="X99" s="1292">
        <v>0</v>
      </c>
      <c r="Y99" s="1272">
        <f t="shared" si="19"/>
        <v>0</v>
      </c>
      <c r="Z99" s="1275">
        <f t="shared" si="20"/>
        <v>0</v>
      </c>
      <c r="AB99" s="1315">
        <f>'3'!BC36</f>
        <v>166.3003957562976</v>
      </c>
      <c r="AC99" s="1251">
        <f>BD48</f>
        <v>0.90893836705592534</v>
      </c>
      <c r="AD99" s="1275">
        <f t="shared" ref="AD99:AD108" si="48">(AB99*G99)/(550*AC99)</f>
        <v>57.323467880390631</v>
      </c>
      <c r="AE99" s="1291">
        <f t="shared" si="46"/>
        <v>0.6235813745323231</v>
      </c>
      <c r="AF99" s="34">
        <f t="shared" si="21"/>
        <v>0.96288152242084446</v>
      </c>
      <c r="AG99" s="1271">
        <f t="shared" si="26"/>
        <v>0.49106957643463067</v>
      </c>
      <c r="AH99" s="1330">
        <f t="shared" si="27"/>
        <v>0.27857024961412946</v>
      </c>
      <c r="AI99" s="1272">
        <f t="shared" si="22"/>
        <v>0</v>
      </c>
      <c r="AJ99" s="1317">
        <f>'2'!S65</f>
        <v>11.761048100266306</v>
      </c>
      <c r="AK99" s="1272">
        <f t="shared" si="28"/>
        <v>0</v>
      </c>
      <c r="AL99" s="1275">
        <f t="shared" si="23"/>
        <v>91.926202772464777</v>
      </c>
      <c r="AM99" s="1346">
        <f t="shared" si="29"/>
        <v>0.6235813745323231</v>
      </c>
      <c r="AW99" s="25"/>
      <c r="AX99" s="25"/>
      <c r="AY99" s="216" t="s">
        <v>1386</v>
      </c>
      <c r="AZ99" s="217" t="s">
        <v>1387</v>
      </c>
      <c r="BA99" s="218">
        <f>BA82</f>
        <v>1520.699218079016</v>
      </c>
      <c r="BB99" s="231"/>
      <c r="BC99" s="231"/>
      <c r="BD99" s="231"/>
      <c r="BE99" s="231"/>
      <c r="BF99" s="231"/>
      <c r="BG99" s="231"/>
      <c r="BH99" s="231"/>
      <c r="BI99" s="231"/>
      <c r="BJ99" s="231"/>
      <c r="BK99" s="231"/>
      <c r="BL99" s="231"/>
      <c r="BM99" s="231"/>
      <c r="BN99" s="231"/>
      <c r="BO99" s="231"/>
      <c r="BP99" s="231"/>
      <c r="BQ99" s="1048"/>
      <c r="BR99" s="239"/>
      <c r="BS99" s="693"/>
    </row>
    <row r="100" spans="2:71" ht="15.6">
      <c r="B100" s="25">
        <f>'2'!B66</f>
        <v>23</v>
      </c>
      <c r="C100" s="428" t="str">
        <f>'2'!C66</f>
        <v>Cruise 2b</v>
      </c>
      <c r="D100" s="428">
        <f>'2'!D66</f>
        <v>10000</v>
      </c>
      <c r="E100" s="1193">
        <f>'2'!E66</f>
        <v>0.16</v>
      </c>
      <c r="F100" s="1025">
        <f>'2'!F66</f>
        <v>0</v>
      </c>
      <c r="G100" s="1276">
        <f>'2'!I66</f>
        <v>172.32024300800001</v>
      </c>
      <c r="H100" s="25">
        <f>IF('3'!$J$21=2,(IF('2'!E66&lt;1,1,'3'!$J$21)),'3'!$J$21)</f>
        <v>5</v>
      </c>
      <c r="I100" s="244">
        <f>IF(H100=1,((($F$158*((('2'!H66/0.00238333)^$F$159)))+$F$160)*$F$161*($F$162+($F$163*(('2'!E66-$F$164)^$F$165)))),
  IF(H100=2,((($G$158*((('2'!H66/0.00238333)^$G$159)))+$G$160)*$G$161*($G$162+($G$163*(('2'!E66-$G$164)^$G$165)))),
  IF(H100=3,((($H$158*((('2'!H66/0.00238333)^$H$159)))+$H$160)*$H$161*($H$162+($H$163*(('2'!E66-$H$164)^$H$165)))),
  IF(H100=4,((($I$158*((('2'!H66/0.00238333)^$I$159)))+$I$160)*$I$161*($I$162+($I$163*(('2'!E66-$I$164)^$I$165)))),
  IF(H100=5,((($J$158*((('2'!H66/0.00238333)^$J$159)))+$J$160)*$J$161*($J$162+($J$163*(('2'!E66-$J$164)^$J$165)))),
                        (($K$158*((('2'!H66/0.00238333)^$K$159)))+$K$160)*$K$161*($K$162+($K$163*(('2'!E66-$K$164)^$K$165))))))))</f>
        <v>0.70086799633573194</v>
      </c>
      <c r="J100" s="52">
        <f t="shared" si="13"/>
        <v>119.14755937707443</v>
      </c>
      <c r="K100" s="67">
        <f>IF('2'!E66=1,0.995,(IF('2'!E66&lt;1,0.995,(0.995-(0.075*(('2'!E66-1)^1.35))))))</f>
        <v>0.995</v>
      </c>
      <c r="L100" s="67">
        <f>IF('2'!E66&lt;2.5,1,((-0.1*'2'!E66)+1.25))</f>
        <v>1</v>
      </c>
      <c r="M100" s="67">
        <f>1.35-(0.15*('2'!E66-1))</f>
        <v>1.476</v>
      </c>
      <c r="N100" s="67">
        <f t="shared" si="14"/>
        <v>-7.3800000000000063E-3</v>
      </c>
      <c r="O100" s="25">
        <f t="shared" si="15"/>
        <v>-0.02</v>
      </c>
      <c r="P100" s="34">
        <f t="shared" si="31"/>
        <v>0.97276759999999995</v>
      </c>
      <c r="Q100" s="1274">
        <f t="shared" si="16"/>
        <v>1</v>
      </c>
      <c r="R100" s="1274">
        <f t="shared" si="17"/>
        <v>0.99141408850831303</v>
      </c>
      <c r="S100" s="1275">
        <f t="shared" si="25"/>
        <v>114.90775346558097</v>
      </c>
      <c r="T100" s="1275">
        <f t="shared" si="47"/>
        <v>91.926202772464777</v>
      </c>
      <c r="U100" s="1275">
        <f t="shared" si="18"/>
        <v>91.926202772464777</v>
      </c>
      <c r="W100" s="1294">
        <v>1</v>
      </c>
      <c r="X100" s="1292">
        <v>0</v>
      </c>
      <c r="Y100" s="1272">
        <f t="shared" si="19"/>
        <v>0</v>
      </c>
      <c r="Z100" s="1275">
        <f t="shared" si="20"/>
        <v>0</v>
      </c>
      <c r="AB100" s="1315">
        <f>'3'!BC37</f>
        <v>165.98611932395934</v>
      </c>
      <c r="AC100" s="1251">
        <f>AC$99</f>
        <v>0.90893836705592534</v>
      </c>
      <c r="AD100" s="1275">
        <f t="shared" si="48"/>
        <v>57.215137320545743</v>
      </c>
      <c r="AE100" s="1291">
        <f t="shared" si="46"/>
        <v>0.62240292315961676</v>
      </c>
      <c r="AF100" s="34">
        <f t="shared" si="21"/>
        <v>0.96303149306085245</v>
      </c>
      <c r="AG100" s="1271">
        <f t="shared" si="26"/>
        <v>0.49114606146103473</v>
      </c>
      <c r="AH100" s="1330">
        <f t="shared" si="27"/>
        <v>0.27852686852127545</v>
      </c>
      <c r="AI100" s="1272">
        <f t="shared" si="22"/>
        <v>0</v>
      </c>
      <c r="AJ100" s="1317">
        <f>'2'!S66</f>
        <v>11.761048100266306</v>
      </c>
      <c r="AK100" s="1272">
        <f t="shared" si="28"/>
        <v>0</v>
      </c>
      <c r="AL100" s="1275">
        <f t="shared" si="23"/>
        <v>91.926202772464777</v>
      </c>
      <c r="AM100" s="1346">
        <f t="shared" si="29"/>
        <v>0.62240292315961676</v>
      </c>
      <c r="AW100" s="25"/>
      <c r="AX100" s="25"/>
      <c r="AY100" s="129" t="s">
        <v>1410</v>
      </c>
      <c r="AZ100" s="122" t="s">
        <v>165</v>
      </c>
      <c r="BA100" s="408">
        <f>BK79</f>
        <v>35.760591041524179</v>
      </c>
      <c r="BB100" s="231"/>
      <c r="BC100" s="231"/>
      <c r="BD100" s="231"/>
      <c r="BE100" s="231"/>
      <c r="BF100" s="231"/>
      <c r="BG100" s="231"/>
      <c r="BH100" s="231"/>
      <c r="BI100" s="231"/>
      <c r="BJ100" s="231"/>
      <c r="BK100" s="231"/>
      <c r="BL100" s="231"/>
      <c r="BM100" s="231"/>
      <c r="BN100" s="231"/>
      <c r="BO100" s="231"/>
      <c r="BP100" s="231"/>
      <c r="BQ100" s="1048"/>
      <c r="BR100" s="239"/>
      <c r="BS100" s="693"/>
    </row>
    <row r="101" spans="2:71">
      <c r="B101" s="25">
        <f>'2'!B67</f>
        <v>24</v>
      </c>
      <c r="C101" s="428" t="str">
        <f>'2'!C67</f>
        <v>Cruise 2c</v>
      </c>
      <c r="D101" s="428">
        <f>'2'!D67</f>
        <v>10000</v>
      </c>
      <c r="E101" s="1193">
        <f>'2'!E67</f>
        <v>0.16</v>
      </c>
      <c r="F101" s="1025">
        <f>'2'!F67</f>
        <v>0</v>
      </c>
      <c r="G101" s="1276">
        <f>'2'!I67</f>
        <v>172.32024300800001</v>
      </c>
      <c r="H101" s="25">
        <f>IF('3'!$J$21=2,(IF('2'!E67&lt;1,1,'3'!$J$21)),'3'!$J$21)</f>
        <v>5</v>
      </c>
      <c r="I101" s="244">
        <f>IF(H101=1,((($F$158*((('2'!H67/0.00238333)^$F$159)))+$F$160)*$F$161*($F$162+($F$163*(('2'!E67-$F$164)^$F$165)))),
  IF(H101=2,((($G$158*((('2'!H67/0.00238333)^$G$159)))+$G$160)*$G$161*($G$162+($G$163*(('2'!E67-$G$164)^$G$165)))),
  IF(H101=3,((($H$158*((('2'!H67/0.00238333)^$H$159)))+$H$160)*$H$161*($H$162+($H$163*(('2'!E67-$H$164)^$H$165)))),
  IF(H101=4,((($I$158*((('2'!H67/0.00238333)^$I$159)))+$I$160)*$I$161*($I$162+($I$163*(('2'!E67-$I$164)^$I$165)))),
  IF(H101=5,((($J$158*((('2'!H67/0.00238333)^$J$159)))+$J$160)*$J$161*($J$162+($J$163*(('2'!E67-$J$164)^$J$165)))),
                        (($K$158*((('2'!H67/0.00238333)^$K$159)))+$K$160)*$K$161*($K$162+($K$163*(('2'!E67-$K$164)^$K$165))))))))</f>
        <v>0.70086799633573194</v>
      </c>
      <c r="J101" s="52">
        <f t="shared" si="13"/>
        <v>119.14755937707443</v>
      </c>
      <c r="K101" s="67">
        <f>IF('2'!E67=1,0.995,(IF('2'!E67&lt;1,0.995,(0.995-(0.075*(('2'!E67-1)^1.35))))))</f>
        <v>0.995</v>
      </c>
      <c r="L101" s="67">
        <f>IF('2'!E67&lt;2.5,1,((-0.1*'2'!E67)+1.25))</f>
        <v>1</v>
      </c>
      <c r="M101" s="67">
        <f>1.35-(0.15*('2'!E67-1))</f>
        <v>1.476</v>
      </c>
      <c r="N101" s="67">
        <f t="shared" si="14"/>
        <v>-7.3800000000000063E-3</v>
      </c>
      <c r="O101" s="25">
        <f t="shared" si="15"/>
        <v>-0.02</v>
      </c>
      <c r="P101" s="34">
        <f t="shared" si="31"/>
        <v>0.97276759999999995</v>
      </c>
      <c r="Q101" s="1274">
        <f t="shared" si="16"/>
        <v>1</v>
      </c>
      <c r="R101" s="1274">
        <f t="shared" si="17"/>
        <v>0.99141408850831303</v>
      </c>
      <c r="S101" s="1275">
        <f t="shared" si="25"/>
        <v>114.90775346558097</v>
      </c>
      <c r="T101" s="1275">
        <f t="shared" si="47"/>
        <v>91.926202772464777</v>
      </c>
      <c r="U101" s="1275">
        <f t="shared" si="18"/>
        <v>91.926202772464777</v>
      </c>
      <c r="W101" s="1294">
        <v>1</v>
      </c>
      <c r="X101" s="1292">
        <v>0</v>
      </c>
      <c r="Y101" s="1272">
        <f t="shared" si="19"/>
        <v>0</v>
      </c>
      <c r="Z101" s="1275">
        <f t="shared" si="20"/>
        <v>0</v>
      </c>
      <c r="AB101" s="1315">
        <f>'3'!BC38</f>
        <v>165.67464199067422</v>
      </c>
      <c r="AC101" s="1251">
        <f>AC$99</f>
        <v>0.90893836705592534</v>
      </c>
      <c r="AD101" s="1275">
        <f t="shared" si="48"/>
        <v>57.10777160545625</v>
      </c>
      <c r="AE101" s="1291">
        <f t="shared" si="46"/>
        <v>0.62123496764909447</v>
      </c>
      <c r="AF101" s="34">
        <f t="shared" si="21"/>
        <v>0.96318279533765028</v>
      </c>
      <c r="AG101" s="1271">
        <f t="shared" si="26"/>
        <v>0.49122322562220166</v>
      </c>
      <c r="AH101" s="1330">
        <f t="shared" si="27"/>
        <v>0.27848311592357472</v>
      </c>
      <c r="AI101" s="1272">
        <f t="shared" si="22"/>
        <v>0</v>
      </c>
      <c r="AJ101" s="1317">
        <f>'2'!S67</f>
        <v>11.761048100266306</v>
      </c>
      <c r="AK101" s="1272">
        <f t="shared" si="28"/>
        <v>0</v>
      </c>
      <c r="AL101" s="1275">
        <f t="shared" si="23"/>
        <v>91.926202772464777</v>
      </c>
      <c r="AM101" s="1346">
        <f t="shared" si="29"/>
        <v>0.62123496764909447</v>
      </c>
      <c r="AW101" s="25"/>
      <c r="AX101" s="25"/>
      <c r="AY101" s="129" t="s">
        <v>1408</v>
      </c>
      <c r="AZ101" s="122" t="s">
        <v>165</v>
      </c>
      <c r="BA101" s="408">
        <f>BA93</f>
        <v>-43.052736791726751</v>
      </c>
      <c r="BB101" s="231"/>
      <c r="BC101" s="231"/>
      <c r="BD101" s="231"/>
      <c r="BE101" s="231"/>
      <c r="BF101" s="231"/>
      <c r="BG101" s="231"/>
      <c r="BH101" s="231"/>
      <c r="BI101" s="231"/>
      <c r="BJ101" s="231"/>
      <c r="BK101" s="231"/>
      <c r="BL101" s="231"/>
      <c r="BM101" s="231"/>
      <c r="BN101" s="231"/>
      <c r="BO101" s="231"/>
      <c r="BP101" s="231"/>
      <c r="BQ101" s="1048"/>
      <c r="BR101" s="239"/>
      <c r="BS101" s="693"/>
    </row>
    <row r="102" spans="2:71">
      <c r="B102" s="25">
        <f>'2'!B68</f>
        <v>25</v>
      </c>
      <c r="C102" s="428" t="str">
        <f>'2'!C68</f>
        <v>Cruise 2d</v>
      </c>
      <c r="D102" s="428">
        <f>'2'!D68</f>
        <v>10000</v>
      </c>
      <c r="E102" s="1193">
        <f>'2'!E68</f>
        <v>0.16</v>
      </c>
      <c r="F102" s="1025">
        <f>'2'!F68</f>
        <v>0</v>
      </c>
      <c r="G102" s="1276">
        <f>'2'!I68</f>
        <v>172.32024300800001</v>
      </c>
      <c r="H102" s="25">
        <f>IF('3'!$J$21=2,(IF('2'!E68&lt;1,1,'3'!$J$21)),'3'!$J$21)</f>
        <v>5</v>
      </c>
      <c r="I102" s="244">
        <f>IF(H102=1,((($F$158*((('2'!H68/0.00238333)^$F$159)))+$F$160)*$F$161*($F$162+($F$163*(('2'!E68-$F$164)^$F$165)))),
  IF(H102=2,((($G$158*((('2'!H68/0.00238333)^$G$159)))+$G$160)*$G$161*($G$162+($G$163*(('2'!E68-$G$164)^$G$165)))),
  IF(H102=3,((($H$158*((('2'!H68/0.00238333)^$H$159)))+$H$160)*$H$161*($H$162+($H$163*(('2'!E68-$H$164)^$H$165)))),
  IF(H102=4,((($I$158*((('2'!H68/0.00238333)^$I$159)))+$I$160)*$I$161*($I$162+($I$163*(('2'!E68-$I$164)^$I$165)))),
  IF(H102=5,((($J$158*((('2'!H68/0.00238333)^$J$159)))+$J$160)*$J$161*($J$162+($J$163*(('2'!E68-$J$164)^$J$165)))),
                        (($K$158*((('2'!H68/0.00238333)^$K$159)))+$K$160)*$K$161*($K$162+($K$163*(('2'!E68-$K$164)^$K$165))))))))</f>
        <v>0.70086799633573194</v>
      </c>
      <c r="J102" s="52">
        <f t="shared" si="13"/>
        <v>119.14755937707443</v>
      </c>
      <c r="K102" s="67">
        <f>IF('2'!E68=1,0.995,(IF('2'!E68&lt;1,0.995,(0.995-(0.075*(('2'!E68-1)^1.35))))))</f>
        <v>0.995</v>
      </c>
      <c r="L102" s="67">
        <f>IF('2'!E68&lt;2.5,1,((-0.1*'2'!E68)+1.25))</f>
        <v>1</v>
      </c>
      <c r="M102" s="67">
        <f>1.35-(0.15*('2'!E68-1))</f>
        <v>1.476</v>
      </c>
      <c r="N102" s="67">
        <f t="shared" si="14"/>
        <v>-7.3800000000000063E-3</v>
      </c>
      <c r="O102" s="25">
        <f t="shared" si="15"/>
        <v>-0.02</v>
      </c>
      <c r="P102" s="34">
        <f t="shared" si="31"/>
        <v>0.97276759999999995</v>
      </c>
      <c r="Q102" s="1274">
        <f t="shared" si="16"/>
        <v>1</v>
      </c>
      <c r="R102" s="1274">
        <f t="shared" si="17"/>
        <v>0.99141408850831303</v>
      </c>
      <c r="S102" s="1275">
        <f t="shared" si="25"/>
        <v>114.90775346558097</v>
      </c>
      <c r="T102" s="1275">
        <f t="shared" si="47"/>
        <v>91.926202772464777</v>
      </c>
      <c r="U102" s="1275">
        <f t="shared" si="18"/>
        <v>91.926202772464777</v>
      </c>
      <c r="W102" s="1294">
        <v>1</v>
      </c>
      <c r="X102" s="1292">
        <v>0</v>
      </c>
      <c r="Y102" s="1272">
        <f t="shared" si="19"/>
        <v>0</v>
      </c>
      <c r="Z102" s="1275">
        <f t="shared" si="20"/>
        <v>0</v>
      </c>
      <c r="AB102" s="1315">
        <f>'3'!BC39</f>
        <v>165.36594601985087</v>
      </c>
      <c r="AC102" s="1251">
        <f>AC$99</f>
        <v>0.90893836705592534</v>
      </c>
      <c r="AD102" s="1275">
        <f t="shared" si="48"/>
        <v>57.001364621348834</v>
      </c>
      <c r="AE102" s="1291">
        <f t="shared" si="46"/>
        <v>0.62007744149334976</v>
      </c>
      <c r="AF102" s="34">
        <f t="shared" si="21"/>
        <v>0.96333538149775233</v>
      </c>
      <c r="AG102" s="1271">
        <f t="shared" si="26"/>
        <v>0.49130104456385371</v>
      </c>
      <c r="AH102" s="1330">
        <f t="shared" si="27"/>
        <v>0.27843900598000976</v>
      </c>
      <c r="AI102" s="1272">
        <f t="shared" si="22"/>
        <v>0</v>
      </c>
      <c r="AJ102" s="1317">
        <f>'2'!S68</f>
        <v>11.761048100266306</v>
      </c>
      <c r="AK102" s="1272">
        <f t="shared" si="28"/>
        <v>0</v>
      </c>
      <c r="AL102" s="1275">
        <f t="shared" si="23"/>
        <v>91.926202772464777</v>
      </c>
      <c r="AM102" s="1346">
        <f t="shared" si="29"/>
        <v>0.62007744149334976</v>
      </c>
      <c r="AW102" s="25"/>
      <c r="AX102" s="25"/>
      <c r="AY102" s="129" t="s">
        <v>1411</v>
      </c>
      <c r="AZ102" s="122" t="s">
        <v>619</v>
      </c>
      <c r="BA102" s="408">
        <f>BA111/((PI()/4)*(BA81^2))</f>
        <v>6.5438267840312934</v>
      </c>
      <c r="BB102" s="231"/>
      <c r="BC102" s="231"/>
      <c r="BD102" s="231"/>
      <c r="BE102" s="231"/>
      <c r="BF102" s="231"/>
      <c r="BG102" s="231"/>
      <c r="BH102" s="231"/>
      <c r="BI102" s="231"/>
      <c r="BJ102" s="231"/>
      <c r="BK102" s="231"/>
      <c r="BL102" s="231"/>
      <c r="BM102" s="231"/>
      <c r="BN102" s="231"/>
      <c r="BO102" s="231"/>
      <c r="BP102" s="231"/>
      <c r="BQ102" s="1048"/>
      <c r="BR102" s="239"/>
      <c r="BS102" s="693"/>
    </row>
    <row r="103" spans="2:71">
      <c r="B103" s="25">
        <f>'2'!B69</f>
        <v>26</v>
      </c>
      <c r="C103" s="428" t="str">
        <f>'2'!C69</f>
        <v>Cruise 2e</v>
      </c>
      <c r="D103" s="428">
        <f>'2'!D69</f>
        <v>10000</v>
      </c>
      <c r="E103" s="1193">
        <f>'2'!E69</f>
        <v>0.16</v>
      </c>
      <c r="F103" s="1025">
        <f>'2'!F69</f>
        <v>0</v>
      </c>
      <c r="G103" s="1276">
        <f>'2'!I69</f>
        <v>172.32024300800001</v>
      </c>
      <c r="H103" s="25">
        <f>IF('3'!$J$21=2,(IF('2'!E69&lt;1,1,'3'!$J$21)),'3'!$J$21)</f>
        <v>5</v>
      </c>
      <c r="I103" s="244">
        <f>IF(H103=1,((($F$158*((('2'!H69/0.00238333)^$F$159)))+$F$160)*$F$161*($F$162+($F$163*(('2'!E69-$F$164)^$F$165)))),
  IF(H103=2,((($G$158*((('2'!H69/0.00238333)^$G$159)))+$G$160)*$G$161*($G$162+($G$163*(('2'!E69-$G$164)^$G$165)))),
  IF(H103=3,((($H$158*((('2'!H69/0.00238333)^$H$159)))+$H$160)*$H$161*($H$162+($H$163*(('2'!E69-$H$164)^$H$165)))),
  IF(H103=4,((($I$158*((('2'!H69/0.00238333)^$I$159)))+$I$160)*$I$161*($I$162+($I$163*(('2'!E69-$I$164)^$I$165)))),
  IF(H103=5,((($J$158*((('2'!H69/0.00238333)^$J$159)))+$J$160)*$J$161*($J$162+($J$163*(('2'!E69-$J$164)^$J$165)))),
                        (($K$158*((('2'!H69/0.00238333)^$K$159)))+$K$160)*$K$161*($K$162+($K$163*(('2'!E69-$K$164)^$K$165))))))))</f>
        <v>0.70086799633573194</v>
      </c>
      <c r="J103" s="52">
        <f t="shared" si="13"/>
        <v>119.14755937707443</v>
      </c>
      <c r="K103" s="67">
        <f>IF('2'!E69=1,0.995,(IF('2'!E69&lt;1,0.995,(0.995-(0.075*(('2'!E69-1)^1.35))))))</f>
        <v>0.995</v>
      </c>
      <c r="L103" s="67">
        <f>IF('2'!E69&lt;2.5,1,((-0.1*'2'!E69)+1.25))</f>
        <v>1</v>
      </c>
      <c r="M103" s="67">
        <f>1.35-(0.15*('2'!E69-1))</f>
        <v>1.476</v>
      </c>
      <c r="N103" s="67">
        <f t="shared" si="14"/>
        <v>-7.3800000000000063E-3</v>
      </c>
      <c r="O103" s="25">
        <f t="shared" si="15"/>
        <v>-0.02</v>
      </c>
      <c r="P103" s="34">
        <f t="shared" si="31"/>
        <v>0.97276759999999995</v>
      </c>
      <c r="Q103" s="1274">
        <f t="shared" si="16"/>
        <v>1</v>
      </c>
      <c r="R103" s="1274">
        <f t="shared" si="17"/>
        <v>0.99141408850831303</v>
      </c>
      <c r="S103" s="1275">
        <f t="shared" si="25"/>
        <v>114.90775346558097</v>
      </c>
      <c r="T103" s="1275">
        <f t="shared" si="47"/>
        <v>91.926202772464777</v>
      </c>
      <c r="U103" s="1275">
        <f t="shared" si="18"/>
        <v>91.926202772464777</v>
      </c>
      <c r="W103" s="1294">
        <v>1</v>
      </c>
      <c r="X103" s="1292">
        <v>0</v>
      </c>
      <c r="Y103" s="1272">
        <f t="shared" si="19"/>
        <v>0</v>
      </c>
      <c r="Z103" s="1275">
        <f t="shared" si="20"/>
        <v>0</v>
      </c>
      <c r="AB103" s="1315">
        <f>'3'!BC40</f>
        <v>165.06001387894821</v>
      </c>
      <c r="AC103" s="1251">
        <f>AC$99</f>
        <v>0.90893836705592534</v>
      </c>
      <c r="AD103" s="1275">
        <f t="shared" si="48"/>
        <v>56.89591032478593</v>
      </c>
      <c r="AE103" s="1291">
        <f t="shared" si="46"/>
        <v>0.61893027895010921</v>
      </c>
      <c r="AF103" s="34">
        <f t="shared" si="21"/>
        <v>0.96348920422976803</v>
      </c>
      <c r="AG103" s="1271">
        <f t="shared" si="26"/>
        <v>0.49137949415718168</v>
      </c>
      <c r="AH103" s="1330">
        <f t="shared" si="27"/>
        <v>0.27839455270703939</v>
      </c>
      <c r="AI103" s="1272">
        <f t="shared" si="22"/>
        <v>0</v>
      </c>
      <c r="AJ103" s="1317">
        <f>'2'!S69</f>
        <v>11.761048100266306</v>
      </c>
      <c r="AK103" s="1272">
        <f t="shared" si="28"/>
        <v>0</v>
      </c>
      <c r="AL103" s="1275">
        <f t="shared" si="23"/>
        <v>91.926202772464777</v>
      </c>
      <c r="AM103" s="1346">
        <f t="shared" si="29"/>
        <v>0.61893027895010921</v>
      </c>
      <c r="AW103" s="25"/>
      <c r="AX103" s="25"/>
      <c r="AY103" s="129" t="s">
        <v>1412</v>
      </c>
      <c r="AZ103" s="122" t="s">
        <v>87</v>
      </c>
      <c r="BA103" s="411">
        <f>BA80*BK70/(PI()*(BA81/2))</f>
        <v>8.3765759522050176E-2</v>
      </c>
      <c r="BB103" s="231"/>
      <c r="BC103" s="231"/>
      <c r="BD103" s="231"/>
      <c r="BE103" s="231"/>
      <c r="BF103" s="227"/>
      <c r="BG103" s="1049"/>
      <c r="BH103" s="231"/>
      <c r="BI103" s="231"/>
      <c r="BJ103" s="231"/>
      <c r="BK103" s="231"/>
      <c r="BL103" s="231"/>
      <c r="BM103" s="231"/>
      <c r="BN103" s="231"/>
      <c r="BO103" s="231"/>
      <c r="BP103" s="231"/>
      <c r="BQ103" s="1048"/>
      <c r="BR103" s="239"/>
      <c r="BS103" s="693"/>
    </row>
    <row r="104" spans="2:71">
      <c r="B104" s="25">
        <f>'2'!B70</f>
        <v>27</v>
      </c>
      <c r="C104" s="428" t="str">
        <f>'2'!C70</f>
        <v>Loiter 3a</v>
      </c>
      <c r="D104" s="428">
        <f>'2'!D70</f>
        <v>3500</v>
      </c>
      <c r="E104" s="1193">
        <f>'2'!E70</f>
        <v>0.15</v>
      </c>
      <c r="F104" s="1025">
        <f>'2'!F70</f>
        <v>0</v>
      </c>
      <c r="G104" s="1276">
        <f>'2'!I70</f>
        <v>165.54666128699998</v>
      </c>
      <c r="H104" s="25">
        <f>IF('3'!$J$21=2,(IF('2'!E70&lt;1,1,'3'!$J$21)),'3'!$J$21)</f>
        <v>5</v>
      </c>
      <c r="I104" s="244">
        <f>IF(H104=1,((($F$158*((('2'!H70/0.00238333)^$F$159)))+$F$160)*$F$161*($F$162+($F$163*(('2'!E70-$F$164)^$F$165)))),
  IF(H104=2,((($G$158*((('2'!H70/0.00238333)^$G$159)))+$G$160)*$G$161*($G$162+($G$163*(('2'!E70-$G$164)^$G$165)))),
  IF(H104=3,((($H$158*((('2'!H70/0.00238333)^$H$159)))+$H$160)*$H$161*($H$162+($H$163*(('2'!E70-$H$164)^$H$165)))),
  IF(H104=4,((($I$158*((('2'!H70/0.00238333)^$I$159)))+$I$160)*$I$161*($I$162+($I$163*(('2'!E70-$I$164)^$I$165)))),
  IF(H104=5,((($J$158*((('2'!H70/0.00238333)^$J$159)))+$J$160)*$J$161*($J$162+($J$163*(('2'!E70-$J$164)^$J$165)))),
                        (($K$158*((('2'!H70/0.00238333)^$K$159)))+$K$160)*$K$161*($K$162+($K$163*(('2'!E70-$K$164)^$K$165))))))))</f>
        <v>0.88476391829209711</v>
      </c>
      <c r="J104" s="52">
        <f t="shared" si="13"/>
        <v>150.40986610965652</v>
      </c>
      <c r="K104" s="67">
        <f>IF('2'!E70=1,0.995,(IF('2'!E70&lt;1,0.995,(0.995-(0.075*(('2'!E70-1)^1.35))))))</f>
        <v>0.995</v>
      </c>
      <c r="L104" s="67">
        <f>IF('2'!E70&lt;2.5,1,((-0.1*'2'!E70)+1.25))</f>
        <v>1</v>
      </c>
      <c r="M104" s="67">
        <f>1.35-(0.15*('2'!E70-1))</f>
        <v>1.4775</v>
      </c>
      <c r="N104" s="67">
        <f t="shared" si="14"/>
        <v>-7.3875000000000069E-3</v>
      </c>
      <c r="O104" s="25">
        <f t="shared" si="15"/>
        <v>-0.02</v>
      </c>
      <c r="P104" s="34">
        <f t="shared" si="31"/>
        <v>0.97276024999999999</v>
      </c>
      <c r="Q104" s="1274">
        <f t="shared" si="16"/>
        <v>1</v>
      </c>
      <c r="R104" s="1274">
        <f t="shared" si="17"/>
        <v>0.99141408850831303</v>
      </c>
      <c r="S104" s="1275">
        <f t="shared" si="25"/>
        <v>145.05651073248521</v>
      </c>
      <c r="T104" s="1275">
        <f t="shared" si="47"/>
        <v>116.04520858598818</v>
      </c>
      <c r="U104" s="1275">
        <f t="shared" si="18"/>
        <v>116.04520858598818</v>
      </c>
      <c r="W104" s="1294">
        <v>1</v>
      </c>
      <c r="X104" s="1292">
        <v>1</v>
      </c>
      <c r="Y104" s="1272">
        <f t="shared" si="19"/>
        <v>0</v>
      </c>
      <c r="Z104" s="1275">
        <f t="shared" si="20"/>
        <v>0</v>
      </c>
      <c r="AB104" s="1315">
        <f>'3'!BC41</f>
        <v>178.66556097737774</v>
      </c>
      <c r="AC104" s="1251">
        <f>BE48</f>
        <v>0.91102882753078263</v>
      </c>
      <c r="AD104" s="1275">
        <f t="shared" si="48"/>
        <v>59.02914118623341</v>
      </c>
      <c r="AE104" s="1291">
        <f t="shared" si="46"/>
        <v>0.50867366180391227</v>
      </c>
      <c r="AF104" s="34">
        <f t="shared" si="21"/>
        <v>0.99306608049796963</v>
      </c>
      <c r="AG104" s="1271">
        <f t="shared" si="26"/>
        <v>0.50646370105396454</v>
      </c>
      <c r="AH104" s="1330">
        <f t="shared" si="27"/>
        <v>0.2701030186380996</v>
      </c>
      <c r="AI104" s="1272">
        <f t="shared" si="22"/>
        <v>0</v>
      </c>
      <c r="AJ104" s="1317">
        <f>'2'!S70</f>
        <v>2</v>
      </c>
      <c r="AK104" s="1272">
        <f t="shared" si="28"/>
        <v>0</v>
      </c>
      <c r="AL104" s="1275">
        <f t="shared" si="23"/>
        <v>116.04520858598818</v>
      </c>
      <c r="AM104" s="1346">
        <f t="shared" si="29"/>
        <v>0.50867366180391227</v>
      </c>
      <c r="AW104" s="25"/>
      <c r="AX104" s="25"/>
      <c r="AY104" s="216" t="s">
        <v>33</v>
      </c>
      <c r="AZ104" s="217" t="s">
        <v>188</v>
      </c>
      <c r="BA104" s="413">
        <f>BA69</f>
        <v>7000</v>
      </c>
      <c r="BB104" s="231"/>
      <c r="BC104" s="231"/>
      <c r="BD104" s="231"/>
      <c r="BE104" s="231"/>
      <c r="BF104" s="451"/>
      <c r="BG104" s="1049"/>
      <c r="BH104" s="231"/>
      <c r="BI104" s="231"/>
      <c r="BJ104" s="231"/>
      <c r="BK104" s="231"/>
      <c r="BL104" s="231"/>
      <c r="BM104" s="231"/>
      <c r="BN104" s="231"/>
      <c r="BO104" s="231"/>
      <c r="BP104" s="231"/>
      <c r="BQ104" s="1048"/>
      <c r="BR104" s="239"/>
      <c r="BS104" s="693"/>
    </row>
    <row r="105" spans="2:71">
      <c r="B105" s="25">
        <f>'2'!B71</f>
        <v>28</v>
      </c>
      <c r="C105" s="428" t="str">
        <f>'2'!C71</f>
        <v>Loiter 3b</v>
      </c>
      <c r="D105" s="428">
        <f>'2'!D71</f>
        <v>3500</v>
      </c>
      <c r="E105" s="1193">
        <f>'2'!E71</f>
        <v>0.15</v>
      </c>
      <c r="F105" s="1025">
        <f>'2'!F71</f>
        <v>0</v>
      </c>
      <c r="G105" s="1276">
        <f>'2'!I71</f>
        <v>165.54666128699998</v>
      </c>
      <c r="H105" s="25">
        <f>IF('3'!$J$21=2,(IF('2'!E71&lt;1,1,'3'!$J$21)),'3'!$J$21)</f>
        <v>5</v>
      </c>
      <c r="I105" s="244">
        <f>IF(H105=1,((($F$158*((('2'!H71/0.00238333)^$F$159)))+$F$160)*$F$161*($F$162+($F$163*(('2'!E71-$F$164)^$F$165)))),
  IF(H105=2,((($G$158*((('2'!H71/0.00238333)^$G$159)))+$G$160)*$G$161*($G$162+($G$163*(('2'!E71-$G$164)^$G$165)))),
  IF(H105=3,((($H$158*((('2'!H71/0.00238333)^$H$159)))+$H$160)*$H$161*($H$162+($H$163*(('2'!E71-$H$164)^$H$165)))),
  IF(H105=4,((($I$158*((('2'!H71/0.00238333)^$I$159)))+$I$160)*$I$161*($I$162+($I$163*(('2'!E71-$I$164)^$I$165)))),
  IF(H105=5,((($J$158*((('2'!H71/0.00238333)^$J$159)))+$J$160)*$J$161*($J$162+($J$163*(('2'!E71-$J$164)^$J$165)))),
                        (($K$158*((('2'!H71/0.00238333)^$K$159)))+$K$160)*$K$161*($K$162+($K$163*(('2'!E71-$K$164)^$K$165))))))))</f>
        <v>0.88476391829209711</v>
      </c>
      <c r="J105" s="52">
        <f t="shared" si="13"/>
        <v>150.40986610965652</v>
      </c>
      <c r="K105" s="67">
        <f>IF('2'!E71=1,0.995,(IF('2'!E71&lt;1,0.995,(0.995-(0.075*(('2'!E71-1)^1.35))))))</f>
        <v>0.995</v>
      </c>
      <c r="L105" s="67">
        <f>IF('2'!E71&lt;2.5,1,((-0.1*'2'!E71)+1.25))</f>
        <v>1</v>
      </c>
      <c r="M105" s="67">
        <f>1.35-(0.15*('2'!E71-1))</f>
        <v>1.4775</v>
      </c>
      <c r="N105" s="67">
        <f t="shared" si="14"/>
        <v>-7.3875000000000069E-3</v>
      </c>
      <c r="O105" s="25">
        <f t="shared" si="15"/>
        <v>-0.02</v>
      </c>
      <c r="P105" s="34">
        <f t="shared" si="31"/>
        <v>0.97276024999999999</v>
      </c>
      <c r="Q105" s="1274">
        <f t="shared" si="16"/>
        <v>1</v>
      </c>
      <c r="R105" s="1274">
        <f t="shared" si="17"/>
        <v>0.99141408850831303</v>
      </c>
      <c r="S105" s="1275">
        <f t="shared" si="25"/>
        <v>145.05651073248521</v>
      </c>
      <c r="T105" s="1275">
        <f t="shared" si="47"/>
        <v>116.04520858598818</v>
      </c>
      <c r="U105" s="1275">
        <f t="shared" si="18"/>
        <v>116.04520858598818</v>
      </c>
      <c r="W105" s="1294">
        <v>1</v>
      </c>
      <c r="X105" s="1292">
        <v>1</v>
      </c>
      <c r="Y105" s="1272">
        <f t="shared" si="19"/>
        <v>0</v>
      </c>
      <c r="Z105" s="1275">
        <f t="shared" si="20"/>
        <v>0</v>
      </c>
      <c r="AB105" s="1315">
        <f>'3'!BC42</f>
        <v>178.61803778925878</v>
      </c>
      <c r="AC105" s="1251">
        <f>AC$104</f>
        <v>0.91102882753078263</v>
      </c>
      <c r="AD105" s="1275">
        <f t="shared" si="48"/>
        <v>59.013440046261344</v>
      </c>
      <c r="AE105" s="1291">
        <f t="shared" si="46"/>
        <v>0.50853835988008977</v>
      </c>
      <c r="AF105" s="34">
        <f t="shared" si="21"/>
        <v>0.99312432652430283</v>
      </c>
      <c r="AG105" s="1271">
        <f t="shared" si="26"/>
        <v>0.5064934065273945</v>
      </c>
      <c r="AH105" s="1330">
        <f t="shared" si="27"/>
        <v>0.27008717729063075</v>
      </c>
      <c r="AI105" s="1272">
        <f t="shared" si="22"/>
        <v>0</v>
      </c>
      <c r="AJ105" s="1317">
        <f>'2'!S71</f>
        <v>2</v>
      </c>
      <c r="AK105" s="1272">
        <f t="shared" si="28"/>
        <v>0</v>
      </c>
      <c r="AL105" s="1275">
        <f t="shared" si="23"/>
        <v>116.04520858598818</v>
      </c>
      <c r="AM105" s="1346">
        <f t="shared" si="29"/>
        <v>0.50853835988008977</v>
      </c>
      <c r="AW105" s="25"/>
      <c r="AX105" s="25"/>
      <c r="AY105" s="216" t="s">
        <v>1366</v>
      </c>
      <c r="AZ105" s="217" t="s">
        <v>648</v>
      </c>
      <c r="BA105" s="218">
        <f>BA70</f>
        <v>0</v>
      </c>
      <c r="BB105" s="231"/>
      <c r="BC105" s="231"/>
      <c r="BD105" s="231"/>
      <c r="BE105" s="231"/>
      <c r="BF105" s="231"/>
      <c r="BG105" s="231"/>
      <c r="BH105" s="231"/>
      <c r="BI105" s="231"/>
      <c r="BJ105" s="231"/>
      <c r="BK105" s="231"/>
      <c r="BL105" s="231"/>
      <c r="BM105" s="231"/>
      <c r="BN105" s="231"/>
      <c r="BO105" s="231"/>
      <c r="BP105" s="231"/>
      <c r="BQ105" s="1048"/>
      <c r="BR105" s="239"/>
      <c r="BS105" s="693"/>
    </row>
    <row r="106" spans="2:71">
      <c r="B106" s="25">
        <f>'2'!B72</f>
        <v>29</v>
      </c>
      <c r="C106" s="428" t="str">
        <f>'2'!C72</f>
        <v>Loiter 3c</v>
      </c>
      <c r="D106" s="428">
        <f>'2'!D72</f>
        <v>3500</v>
      </c>
      <c r="E106" s="1193">
        <f>'2'!E72</f>
        <v>0.15</v>
      </c>
      <c r="F106" s="1025">
        <f>'2'!F72</f>
        <v>0</v>
      </c>
      <c r="G106" s="1276">
        <f>'2'!I72</f>
        <v>165.54666128699998</v>
      </c>
      <c r="H106" s="25">
        <f>IF('3'!$J$21=2,(IF('2'!E72&lt;1,1,'3'!$J$21)),'3'!$J$21)</f>
        <v>5</v>
      </c>
      <c r="I106" s="244">
        <f>IF(H106=1,((($F$158*((('2'!H72/0.00238333)^$F$159)))+$F$160)*$F$161*($F$162+($F$163*(('2'!E72-$F$164)^$F$165)))),
  IF(H106=2,((($G$158*((('2'!H72/0.00238333)^$G$159)))+$G$160)*$G$161*($G$162+($G$163*(('2'!E72-$G$164)^$G$165)))),
  IF(H106=3,((($H$158*((('2'!H72/0.00238333)^$H$159)))+$H$160)*$H$161*($H$162+($H$163*(('2'!E72-$H$164)^$H$165)))),
  IF(H106=4,((($I$158*((('2'!H72/0.00238333)^$I$159)))+$I$160)*$I$161*($I$162+($I$163*(('2'!E72-$I$164)^$I$165)))),
  IF(H106=5,((($J$158*((('2'!H72/0.00238333)^$J$159)))+$J$160)*$J$161*($J$162+($J$163*(('2'!E72-$J$164)^$J$165)))),
                        (($K$158*((('2'!H72/0.00238333)^$K$159)))+$K$160)*$K$161*($K$162+($K$163*(('2'!E72-$K$164)^$K$165))))))))</f>
        <v>0.88476391829209711</v>
      </c>
      <c r="J106" s="52">
        <f t="shared" si="13"/>
        <v>150.40986610965652</v>
      </c>
      <c r="K106" s="67">
        <f>IF('2'!E72=1,0.995,(IF('2'!E72&lt;1,0.995,(0.995-(0.075*(('2'!E72-1)^1.35))))))</f>
        <v>0.995</v>
      </c>
      <c r="L106" s="67">
        <f>IF('2'!E72&lt;2.5,1,((-0.1*'2'!E72)+1.25))</f>
        <v>1</v>
      </c>
      <c r="M106" s="67">
        <f>1.35-(0.15*('2'!E72-1))</f>
        <v>1.4775</v>
      </c>
      <c r="N106" s="67">
        <f t="shared" si="14"/>
        <v>-7.3875000000000069E-3</v>
      </c>
      <c r="O106" s="25">
        <f t="shared" si="15"/>
        <v>-0.02</v>
      </c>
      <c r="P106" s="34">
        <f t="shared" si="31"/>
        <v>0.97276024999999999</v>
      </c>
      <c r="Q106" s="1274">
        <f t="shared" si="16"/>
        <v>1</v>
      </c>
      <c r="R106" s="1274">
        <f t="shared" si="17"/>
        <v>0.99141408850831303</v>
      </c>
      <c r="S106" s="1275">
        <f t="shared" si="25"/>
        <v>145.05651073248521</v>
      </c>
      <c r="T106" s="1275">
        <f t="shared" si="47"/>
        <v>116.04520858598818</v>
      </c>
      <c r="U106" s="1275">
        <f t="shared" si="18"/>
        <v>116.04520858598818</v>
      </c>
      <c r="W106" s="1294">
        <v>1</v>
      </c>
      <c r="X106" s="1292">
        <v>1</v>
      </c>
      <c r="Y106" s="1272">
        <f t="shared" si="19"/>
        <v>0</v>
      </c>
      <c r="Z106" s="1275">
        <f t="shared" si="20"/>
        <v>0</v>
      </c>
      <c r="AB106" s="1315">
        <f>'3'!BC43</f>
        <v>178.57058790559654</v>
      </c>
      <c r="AC106" s="1251">
        <f>AC$104</f>
        <v>0.91102882753078263</v>
      </c>
      <c r="AD106" s="1275">
        <f t="shared" si="48"/>
        <v>58.997763125277551</v>
      </c>
      <c r="AE106" s="1291">
        <f t="shared" si="46"/>
        <v>0.50840326665931135</v>
      </c>
      <c r="AF106" s="34">
        <f t="shared" si="21"/>
        <v>0.99318254806445538</v>
      </c>
      <c r="AG106" s="1271">
        <f t="shared" si="26"/>
        <v>0.50652309951287222</v>
      </c>
      <c r="AH106" s="1330">
        <f t="shared" si="27"/>
        <v>0.27007134445962905</v>
      </c>
      <c r="AI106" s="1272">
        <f t="shared" si="22"/>
        <v>0</v>
      </c>
      <c r="AJ106" s="1317">
        <f>'2'!S72</f>
        <v>2</v>
      </c>
      <c r="AK106" s="1272">
        <f t="shared" si="28"/>
        <v>0</v>
      </c>
      <c r="AL106" s="1275">
        <f t="shared" si="23"/>
        <v>116.04520858598818</v>
      </c>
      <c r="AM106" s="1346">
        <f t="shared" si="29"/>
        <v>0.50840326665931135</v>
      </c>
      <c r="AW106" s="25"/>
      <c r="AX106" s="25"/>
      <c r="AY106" s="216" t="s">
        <v>1381</v>
      </c>
      <c r="AZ106" s="122" t="s">
        <v>1026</v>
      </c>
      <c r="BA106" s="218">
        <f>BA77</f>
        <v>103.26264090484118</v>
      </c>
      <c r="BB106" s="231"/>
      <c r="BC106" s="231"/>
      <c r="BD106" s="231"/>
      <c r="BE106" s="231"/>
      <c r="BF106" s="231"/>
      <c r="BG106" s="231"/>
      <c r="BH106" s="231"/>
      <c r="BI106" s="231"/>
      <c r="BJ106" s="231"/>
      <c r="BK106" s="231"/>
      <c r="BL106" s="231"/>
      <c r="BM106" s="231"/>
      <c r="BN106" s="231"/>
      <c r="BO106" s="231"/>
      <c r="BP106" s="231"/>
      <c r="BQ106" s="1048"/>
      <c r="BR106" s="239"/>
      <c r="BS106" s="693"/>
    </row>
    <row r="107" spans="2:71">
      <c r="B107" s="25">
        <f>'2'!B73</f>
        <v>30</v>
      </c>
      <c r="C107" s="428" t="str">
        <f>'2'!C73</f>
        <v>Loiter 3d</v>
      </c>
      <c r="D107" s="428">
        <f>'2'!D73</f>
        <v>3500</v>
      </c>
      <c r="E107" s="1193">
        <f>'2'!E73</f>
        <v>0.15</v>
      </c>
      <c r="F107" s="1025">
        <f>'2'!F73</f>
        <v>0</v>
      </c>
      <c r="G107" s="1276">
        <f>'2'!I73</f>
        <v>165.54666128699998</v>
      </c>
      <c r="H107" s="25">
        <f>IF('3'!$J$21=2,(IF('2'!E73&lt;1,1,'3'!$J$21)),'3'!$J$21)</f>
        <v>5</v>
      </c>
      <c r="I107" s="244">
        <f>IF(H107=1,((($F$158*((('2'!H73/0.00238333)^$F$159)))+$F$160)*$F$161*($F$162+($F$163*(('2'!E73-$F$164)^$F$165)))),
  IF(H107=2,((($G$158*((('2'!H73/0.00238333)^$G$159)))+$G$160)*$G$161*($G$162+($G$163*(('2'!E73-$G$164)^$G$165)))),
  IF(H107=3,((($H$158*((('2'!H73/0.00238333)^$H$159)))+$H$160)*$H$161*($H$162+($H$163*(('2'!E73-$H$164)^$H$165)))),
  IF(H107=4,((($I$158*((('2'!H73/0.00238333)^$I$159)))+$I$160)*$I$161*($I$162+($I$163*(('2'!E73-$I$164)^$I$165)))),
  IF(H107=5,((($J$158*((('2'!H73/0.00238333)^$J$159)))+$J$160)*$J$161*($J$162+($J$163*(('2'!E73-$J$164)^$J$165)))),
                        (($K$158*((('2'!H73/0.00238333)^$K$159)))+$K$160)*$K$161*($K$162+($K$163*(('2'!E73-$K$164)^$K$165))))))))</f>
        <v>0.88476391829209711</v>
      </c>
      <c r="J107" s="52">
        <f t="shared" si="13"/>
        <v>150.40986610965652</v>
      </c>
      <c r="K107" s="67">
        <f>IF('2'!E73=1,0.995,(IF('2'!E73&lt;1,0.995,(0.995-(0.075*(('2'!E73-1)^1.35))))))</f>
        <v>0.995</v>
      </c>
      <c r="L107" s="67">
        <f>IF('2'!E73&lt;2.5,1,((-0.1*'2'!E73)+1.25))</f>
        <v>1</v>
      </c>
      <c r="M107" s="67">
        <f>1.35-(0.15*('2'!E73-1))</f>
        <v>1.4775</v>
      </c>
      <c r="N107" s="67">
        <f t="shared" si="14"/>
        <v>-7.3875000000000069E-3</v>
      </c>
      <c r="O107" s="25">
        <f t="shared" si="15"/>
        <v>-0.02</v>
      </c>
      <c r="P107" s="34">
        <f t="shared" si="31"/>
        <v>0.97276024999999999</v>
      </c>
      <c r="Q107" s="1274">
        <f t="shared" si="16"/>
        <v>1</v>
      </c>
      <c r="R107" s="1274">
        <f t="shared" si="17"/>
        <v>0.99141408850831303</v>
      </c>
      <c r="S107" s="1275">
        <f t="shared" si="25"/>
        <v>145.05651073248521</v>
      </c>
      <c r="T107" s="1275">
        <f t="shared" si="47"/>
        <v>116.04520858598818</v>
      </c>
      <c r="U107" s="1275">
        <f t="shared" si="18"/>
        <v>116.04520858598818</v>
      </c>
      <c r="W107" s="1294">
        <v>1</v>
      </c>
      <c r="X107" s="1292">
        <v>1</v>
      </c>
      <c r="Y107" s="1272">
        <f t="shared" si="19"/>
        <v>0</v>
      </c>
      <c r="Z107" s="1275">
        <f t="shared" si="20"/>
        <v>0</v>
      </c>
      <c r="AB107" s="1315">
        <f>'3'!BC44</f>
        <v>178.52321125851196</v>
      </c>
      <c r="AC107" s="1251">
        <f>AC$104</f>
        <v>0.91102882753078263</v>
      </c>
      <c r="AD107" s="1275">
        <f t="shared" si="48"/>
        <v>58.982110400855518</v>
      </c>
      <c r="AE107" s="1291">
        <f t="shared" si="46"/>
        <v>0.50826838194832014</v>
      </c>
      <c r="AF107" s="34">
        <f t="shared" si="21"/>
        <v>0.99324074495098014</v>
      </c>
      <c r="AG107" s="1271">
        <f t="shared" si="26"/>
        <v>0.50655277992499992</v>
      </c>
      <c r="AH107" s="1330">
        <f t="shared" si="27"/>
        <v>0.2700555201879537</v>
      </c>
      <c r="AI107" s="1272">
        <f t="shared" si="22"/>
        <v>0</v>
      </c>
      <c r="AJ107" s="1317">
        <f>'2'!S73</f>
        <v>2</v>
      </c>
      <c r="AK107" s="1272">
        <f t="shared" si="28"/>
        <v>0</v>
      </c>
      <c r="AL107" s="1275">
        <f t="shared" si="23"/>
        <v>116.04520858598818</v>
      </c>
      <c r="AM107" s="1346">
        <f t="shared" si="29"/>
        <v>0.50826838194832014</v>
      </c>
      <c r="AW107" s="25"/>
      <c r="AX107" s="25"/>
      <c r="AY107" s="129" t="s">
        <v>1413</v>
      </c>
      <c r="AZ107" s="122" t="s">
        <v>87</v>
      </c>
      <c r="BA107" s="411">
        <f>SUM(BF92:BO92)</f>
        <v>0.11532512927716917</v>
      </c>
      <c r="BB107" s="231"/>
      <c r="BC107" s="231"/>
      <c r="BD107" s="231"/>
      <c r="BE107" s="231"/>
      <c r="BF107" s="231"/>
      <c r="BG107" s="231"/>
      <c r="BH107" s="231"/>
      <c r="BI107" s="231"/>
      <c r="BJ107" s="231"/>
      <c r="BK107" s="231"/>
      <c r="BL107" s="231"/>
      <c r="BM107" s="231"/>
      <c r="BN107" s="231"/>
      <c r="BO107" s="231"/>
      <c r="BP107" s="231"/>
      <c r="BQ107" s="1048"/>
      <c r="BR107" s="239"/>
      <c r="BS107" s="693"/>
    </row>
    <row r="108" spans="2:71">
      <c r="B108" s="25">
        <f>'2'!B74</f>
        <v>31</v>
      </c>
      <c r="C108" s="428" t="str">
        <f>'2'!C74</f>
        <v>Loiter 3e</v>
      </c>
      <c r="D108" s="428">
        <f>'2'!D74</f>
        <v>3500</v>
      </c>
      <c r="E108" s="1193">
        <f>'2'!E74</f>
        <v>0.15</v>
      </c>
      <c r="F108" s="1025">
        <f>'2'!F74</f>
        <v>0</v>
      </c>
      <c r="G108" s="1276">
        <f>'2'!I74</f>
        <v>165.54666128699998</v>
      </c>
      <c r="H108" s="25">
        <f>IF('3'!$J$21=2,(IF('2'!E74&lt;1,1,'3'!$J$21)),'3'!$J$21)</f>
        <v>5</v>
      </c>
      <c r="I108" s="244">
        <f>IF(H108=1,((($F$158*((('2'!H74/0.00238333)^$F$159)))+$F$160)*$F$161*($F$162+($F$163*(('2'!E74-$F$164)^$F$165)))),
  IF(H108=2,((($G$158*((('2'!H74/0.00238333)^$G$159)))+$G$160)*$G$161*($G$162+($G$163*(('2'!E74-$G$164)^$G$165)))),
  IF(H108=3,((($H$158*((('2'!H74/0.00238333)^$H$159)))+$H$160)*$H$161*($H$162+($H$163*(('2'!E74-$H$164)^$H$165)))),
  IF(H108=4,((($I$158*((('2'!H74/0.00238333)^$I$159)))+$I$160)*$I$161*($I$162+($I$163*(('2'!E74-$I$164)^$I$165)))),
  IF(H108=5,((($J$158*((('2'!H74/0.00238333)^$J$159)))+$J$160)*$J$161*($J$162+($J$163*(('2'!E74-$J$164)^$J$165)))),
                        (($K$158*((('2'!H74/0.00238333)^$K$159)))+$K$160)*$K$161*($K$162+($K$163*(('2'!E74-$K$164)^$K$165))))))))</f>
        <v>0.88476391829209711</v>
      </c>
      <c r="J108" s="52">
        <f t="shared" si="13"/>
        <v>150.40986610965652</v>
      </c>
      <c r="K108" s="67">
        <f>IF('2'!E74=1,0.995,(IF('2'!E74&lt;1,0.995,(0.995-(0.075*(('2'!E74-1)^1.35))))))</f>
        <v>0.995</v>
      </c>
      <c r="L108" s="67">
        <f>IF('2'!E74&lt;2.5,1,((-0.1*'2'!E74)+1.25))</f>
        <v>1</v>
      </c>
      <c r="M108" s="67">
        <f>1.35-(0.15*('2'!E74-1))</f>
        <v>1.4775</v>
      </c>
      <c r="N108" s="67">
        <f t="shared" si="14"/>
        <v>-7.3875000000000069E-3</v>
      </c>
      <c r="O108" s="25">
        <f t="shared" si="15"/>
        <v>-0.02</v>
      </c>
      <c r="P108" s="34">
        <f t="shared" si="31"/>
        <v>0.97276024999999999</v>
      </c>
      <c r="Q108" s="1274">
        <f t="shared" si="16"/>
        <v>1</v>
      </c>
      <c r="R108" s="1274">
        <f t="shared" si="17"/>
        <v>0.99141408850831303</v>
      </c>
      <c r="S108" s="1275">
        <f t="shared" si="25"/>
        <v>145.05651073248521</v>
      </c>
      <c r="T108" s="1275">
        <f t="shared" si="47"/>
        <v>116.04520858598818</v>
      </c>
      <c r="U108" s="1275">
        <f t="shared" si="18"/>
        <v>116.04520858598818</v>
      </c>
      <c r="W108" s="1294">
        <v>1</v>
      </c>
      <c r="X108" s="1292">
        <v>1</v>
      </c>
      <c r="Y108" s="1272">
        <f t="shared" si="19"/>
        <v>0</v>
      </c>
      <c r="Z108" s="1275">
        <f t="shared" si="20"/>
        <v>0</v>
      </c>
      <c r="AB108" s="1315">
        <f>'3'!BC45</f>
        <v>178.47590778025608</v>
      </c>
      <c r="AC108" s="1251">
        <f>AC$104</f>
        <v>0.91102882753078263</v>
      </c>
      <c r="AD108" s="1275">
        <f t="shared" si="48"/>
        <v>58.96648185061175</v>
      </c>
      <c r="AE108" s="1291">
        <f t="shared" si="46"/>
        <v>0.50813370555423021</v>
      </c>
      <c r="AF108" s="34">
        <f t="shared" si="21"/>
        <v>0.99329891701668438</v>
      </c>
      <c r="AG108" s="1271">
        <f t="shared" si="26"/>
        <v>0.50658244767850902</v>
      </c>
      <c r="AH108" s="1330">
        <f t="shared" si="27"/>
        <v>0.27003970451837528</v>
      </c>
      <c r="AI108" s="1272">
        <f t="shared" si="22"/>
        <v>0</v>
      </c>
      <c r="AJ108" s="1317">
        <f>'2'!S74</f>
        <v>2</v>
      </c>
      <c r="AK108" s="1272">
        <f t="shared" si="28"/>
        <v>0</v>
      </c>
      <c r="AL108" s="1275">
        <f t="shared" si="23"/>
        <v>116.04520858598818</v>
      </c>
      <c r="AM108" s="1346">
        <f t="shared" si="29"/>
        <v>0.50813370555423021</v>
      </c>
      <c r="AW108" s="25"/>
      <c r="AX108" s="25"/>
      <c r="AY108" s="129" t="s">
        <v>1414</v>
      </c>
      <c r="AZ108" s="122" t="s">
        <v>87</v>
      </c>
      <c r="BA108" s="411">
        <f>SUM(BF93:BO93)</f>
        <v>0.14545208937480913</v>
      </c>
      <c r="BB108" s="231"/>
      <c r="BC108" s="231"/>
      <c r="BD108" s="231"/>
      <c r="BE108" s="231"/>
      <c r="BF108" s="248"/>
      <c r="BG108" s="1049"/>
      <c r="BH108" s="231"/>
      <c r="BI108" s="231"/>
      <c r="BJ108" s="231"/>
      <c r="BK108" s="231"/>
      <c r="BL108" s="231"/>
      <c r="BM108" s="231"/>
      <c r="BN108" s="231"/>
      <c r="BO108" s="231"/>
      <c r="BP108" s="231"/>
      <c r="BQ108" s="1048"/>
      <c r="BR108" s="239"/>
      <c r="BS108" s="693"/>
    </row>
    <row r="109" spans="2:71">
      <c r="B109" s="25">
        <f>'2'!B75</f>
        <v>32</v>
      </c>
      <c r="C109" s="428" t="str">
        <f>'2'!C75</f>
        <v>Land and Taxi In</v>
      </c>
      <c r="D109" s="428">
        <f>'2'!D75</f>
        <v>0</v>
      </c>
      <c r="E109" s="1193">
        <f>'2'!E75</f>
        <v>0.1</v>
      </c>
      <c r="F109" s="1025">
        <f>'2'!F75</f>
        <v>0</v>
      </c>
      <c r="G109" s="1276">
        <f>'2'!I75</f>
        <v>111.79905800000002</v>
      </c>
      <c r="H109" s="25">
        <f>IF('3'!$J$21=2,(IF('2'!E75&lt;1,1,'3'!$J$21)),'3'!$J$21)</f>
        <v>5</v>
      </c>
      <c r="I109" s="244">
        <f>IF(H109=1,((($F$158*((('2'!H75/0.00238333)^$F$159)))+$F$160)*$F$161*($F$162+($F$163*(('2'!E75-$F$164)^$F$165)))),
  IF(H109=2,((($G$158*((('2'!H75/0.00238333)^$G$159)))+$G$160)*$G$161*($G$162+($G$163*(('2'!E75-$G$164)^$G$165)))),
  IF(H109=3,((($H$158*((('2'!H75/0.00238333)^$H$159)))+$H$160)*$H$161*($H$162+($H$163*(('2'!E75-$H$164)^$H$165)))),
  IF(H109=4,((($I$158*((('2'!H75/0.00238333)^$I$159)))+$I$160)*$I$161*($I$162+($I$163*(('2'!E75-$I$164)^$I$165)))),
  IF(H109=5,((($J$158*((('2'!H75/0.00238333)^$J$159)))+$J$160)*$J$161*($J$162+($J$163*(('2'!E75-$J$164)^$J$165)))),
                        (($K$158*((('2'!H75/0.00238333)^$K$159)))+$K$160)*$K$161*($K$162+($K$163*(('2'!E75-$K$164)^$K$165))))))))</f>
        <v>1.0000014248970976</v>
      </c>
      <c r="J109" s="52">
        <f t="shared" si="13"/>
        <v>170.00024223250659</v>
      </c>
      <c r="K109" s="67">
        <f>IF('2'!E75=1,0.995,(IF('2'!E75&lt;1,0.995,(0.995-(0.075*(('2'!E75-1)^1.35))))))</f>
        <v>0.995</v>
      </c>
      <c r="L109" s="67">
        <f>IF('2'!E75&lt;2.5,1,((-0.1*'2'!E75)+1.25))</f>
        <v>1</v>
      </c>
      <c r="M109" s="67">
        <f>1.35-(0.15*('2'!E75-1))</f>
        <v>1.4850000000000001</v>
      </c>
      <c r="N109" s="67">
        <f t="shared" si="14"/>
        <v>-7.4250000000000071E-3</v>
      </c>
      <c r="O109" s="25">
        <f t="shared" si="15"/>
        <v>-0.02</v>
      </c>
      <c r="P109" s="34">
        <f t="shared" si="31"/>
        <v>0.97272349999999996</v>
      </c>
      <c r="Q109" s="1274">
        <f t="shared" si="16"/>
        <v>1</v>
      </c>
      <c r="R109" s="1274">
        <f t="shared" si="17"/>
        <v>0.99141408850831303</v>
      </c>
      <c r="S109" s="1275">
        <f t="shared" si="25"/>
        <v>163.94343656312378</v>
      </c>
      <c r="T109" s="1275">
        <f>S109*H$174</f>
        <v>163.94343656312378</v>
      </c>
      <c r="U109" s="1275">
        <f t="shared" si="18"/>
        <v>163.94343656312378</v>
      </c>
      <c r="W109" s="1294">
        <v>1</v>
      </c>
      <c r="X109" s="1292">
        <v>1</v>
      </c>
      <c r="Y109" s="1272">
        <f t="shared" si="19"/>
        <v>0</v>
      </c>
      <c r="Z109" s="1275">
        <f t="shared" si="20"/>
        <v>0</v>
      </c>
      <c r="AB109" s="1315">
        <f>'3'!BC46</f>
        <v>331.22867380691281</v>
      </c>
      <c r="AC109" s="1251">
        <f>AC$104</f>
        <v>0.91102882753078263</v>
      </c>
      <c r="AD109" s="1275">
        <f>AL109</f>
        <v>163.94343656312378</v>
      </c>
      <c r="AE109" s="1291">
        <f>AD109/AL109</f>
        <v>1</v>
      </c>
      <c r="AF109" s="34">
        <f t="shared" si="21"/>
        <v>1</v>
      </c>
      <c r="AG109" s="1271">
        <f t="shared" si="26"/>
        <v>0.51</v>
      </c>
      <c r="AH109" s="1330">
        <f t="shared" si="27"/>
        <v>0.2682301460496076</v>
      </c>
      <c r="AI109" s="1272">
        <f t="shared" si="22"/>
        <v>0</v>
      </c>
      <c r="AJ109" s="1317">
        <f>'2'!S75</f>
        <v>2</v>
      </c>
      <c r="AK109" s="1272">
        <f t="shared" si="28"/>
        <v>0</v>
      </c>
      <c r="AL109" s="1275">
        <f t="shared" si="23"/>
        <v>163.94343656312378</v>
      </c>
      <c r="AM109" s="1346">
        <f t="shared" si="29"/>
        <v>1</v>
      </c>
      <c r="AW109" s="25"/>
      <c r="AX109" s="25"/>
      <c r="AY109" s="415" t="s">
        <v>1415</v>
      </c>
      <c r="AZ109" s="122" t="s">
        <v>87</v>
      </c>
      <c r="BA109" s="411">
        <f>BA107*BA87/BA108</f>
        <v>0.90935517091666662</v>
      </c>
      <c r="BB109" s="231"/>
      <c r="BC109" s="231"/>
      <c r="BD109" s="231"/>
      <c r="BE109" s="231"/>
      <c r="BF109" s="231"/>
      <c r="BG109" s="231"/>
      <c r="BH109" s="231"/>
      <c r="BI109" s="231"/>
      <c r="BJ109" s="231"/>
      <c r="BK109" s="231"/>
      <c r="BL109" s="231"/>
      <c r="BM109" s="231"/>
      <c r="BN109" s="231"/>
      <c r="BO109" s="231"/>
      <c r="BP109" s="231"/>
      <c r="BQ109" s="1048"/>
      <c r="BR109" s="239"/>
      <c r="BS109" s="693"/>
    </row>
    <row r="110" spans="2:71">
      <c r="B110" s="25"/>
      <c r="G110" s="25"/>
      <c r="K110" s="25"/>
      <c r="L110" s="25"/>
      <c r="M110" s="25"/>
      <c r="N110" s="25"/>
      <c r="O110" s="25"/>
      <c r="P110" s="25"/>
      <c r="Q110" s="25"/>
      <c r="R110" s="1275"/>
      <c r="S110" s="25"/>
      <c r="T110" s="25"/>
      <c r="U110" s="25"/>
      <c r="V110" s="25"/>
      <c r="W110" s="25"/>
      <c r="X110" s="25"/>
      <c r="Y110" s="25"/>
      <c r="Z110" s="25"/>
      <c r="AB110" s="25"/>
      <c r="AC110" s="25"/>
      <c r="AI110" s="25"/>
      <c r="AJ110" s="25"/>
      <c r="AK110" s="25"/>
      <c r="AL110" s="25"/>
      <c r="AM110" s="25"/>
      <c r="AN110" s="25"/>
      <c r="AQ110" s="25"/>
      <c r="AR110" s="25"/>
      <c r="AS110" s="25"/>
      <c r="AT110" s="25"/>
      <c r="AU110" s="25"/>
      <c r="AV110" s="25"/>
      <c r="AW110" s="25"/>
      <c r="AX110" s="25"/>
      <c r="AY110" s="129" t="s">
        <v>70</v>
      </c>
      <c r="AZ110" s="122" t="s">
        <v>1416</v>
      </c>
      <c r="BA110" s="413">
        <f>BA108*BA76*(BA83^3)*(BA81^5)/550</f>
        <v>64.520960548706157</v>
      </c>
      <c r="BB110" s="231"/>
      <c r="BC110" s="231"/>
      <c r="BD110" s="231"/>
      <c r="BE110" s="231"/>
      <c r="BF110" s="231"/>
      <c r="BG110" s="231"/>
      <c r="BH110" s="231"/>
      <c r="BI110" s="231"/>
      <c r="BJ110" s="231"/>
      <c r="BK110" s="231"/>
      <c r="BL110" s="231"/>
      <c r="BM110" s="231"/>
      <c r="BN110" s="231"/>
      <c r="BO110" s="231"/>
      <c r="BP110" s="231"/>
      <c r="BQ110" s="1048"/>
      <c r="BR110" s="239"/>
      <c r="BS110" s="693"/>
    </row>
    <row r="111" spans="2:71" ht="13.8" thickBot="1">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L111" s="25"/>
      <c r="AM111" s="25"/>
      <c r="AN111" s="25"/>
      <c r="AO111" s="25"/>
      <c r="AP111" s="25"/>
      <c r="AQ111" s="25"/>
      <c r="AR111" s="25"/>
      <c r="AS111" s="25"/>
      <c r="AT111" s="25"/>
      <c r="AU111" s="25"/>
      <c r="AV111" s="25"/>
      <c r="AW111" s="25"/>
      <c r="AX111" s="25"/>
      <c r="AY111" s="416" t="s">
        <v>69</v>
      </c>
      <c r="AZ111" s="137" t="s">
        <v>436</v>
      </c>
      <c r="BA111" s="226">
        <f>BA107*BA76*(BA83^2)*(BA81^4)</f>
        <v>185.02234335969149</v>
      </c>
      <c r="BB111" s="231"/>
      <c r="BC111" s="231"/>
      <c r="BD111" s="231"/>
      <c r="BE111" s="231"/>
      <c r="BF111" s="227"/>
      <c r="BG111" s="1049"/>
      <c r="BH111" s="231"/>
      <c r="BI111" s="231"/>
      <c r="BJ111" s="231"/>
      <c r="BK111" s="231"/>
      <c r="BL111" s="231"/>
      <c r="BM111" s="231"/>
      <c r="BN111" s="231"/>
      <c r="BO111" s="231"/>
      <c r="BP111" s="231"/>
      <c r="BQ111" s="1048"/>
      <c r="BR111" s="239"/>
      <c r="BS111" s="693"/>
    </row>
    <row r="112" spans="2:71">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L112" s="25"/>
      <c r="AM112" s="25"/>
      <c r="AN112" s="25"/>
      <c r="AO112" s="25"/>
      <c r="AP112" s="25"/>
      <c r="AQ112" s="25"/>
      <c r="AR112" s="25"/>
      <c r="AS112" s="25"/>
      <c r="AT112" s="25"/>
      <c r="AU112" s="25"/>
      <c r="AV112" s="25"/>
      <c r="AW112" s="25"/>
      <c r="AX112" s="25"/>
      <c r="AY112" s="235"/>
      <c r="AZ112" s="231"/>
      <c r="BA112" s="231"/>
      <c r="BB112" s="231"/>
      <c r="BC112" s="417"/>
      <c r="BD112" s="418"/>
      <c r="BE112" s="419"/>
      <c r="BF112" s="231"/>
      <c r="BG112" s="1049"/>
      <c r="BH112" s="231"/>
      <c r="BI112" s="231"/>
      <c r="BJ112" s="231"/>
      <c r="BK112" s="231"/>
      <c r="BL112" s="231"/>
      <c r="BM112" s="231"/>
      <c r="BN112" s="231"/>
      <c r="BO112" s="231"/>
      <c r="BP112" s="231"/>
      <c r="BQ112" s="1048"/>
      <c r="BR112" s="239"/>
      <c r="BS112" s="693"/>
    </row>
    <row r="113" spans="2:72">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L113" s="25"/>
      <c r="AM113" s="25"/>
      <c r="AN113" s="25"/>
      <c r="AO113" s="25"/>
      <c r="AP113" s="25"/>
      <c r="AQ113" s="25"/>
      <c r="AR113" s="25"/>
      <c r="AS113" s="25"/>
      <c r="AT113" s="25"/>
      <c r="AU113" s="25"/>
      <c r="AV113" s="25"/>
      <c r="AW113" s="25"/>
      <c r="AX113" s="25"/>
      <c r="AY113" s="235"/>
      <c r="AZ113" s="231"/>
      <c r="BA113" s="231"/>
      <c r="BB113" s="231"/>
      <c r="BC113" s="417"/>
      <c r="BD113" s="418"/>
      <c r="BE113" s="420"/>
      <c r="BF113" s="248"/>
      <c r="BG113" s="1049"/>
      <c r="BH113" s="231"/>
      <c r="BI113" s="231"/>
      <c r="BJ113" s="231"/>
      <c r="BK113" s="231"/>
      <c r="BL113" s="231"/>
      <c r="BM113" s="231"/>
      <c r="BN113" s="231"/>
      <c r="BO113" s="231"/>
      <c r="BP113" s="231"/>
      <c r="BQ113" s="231"/>
      <c r="BR113" s="231"/>
      <c r="BS113" s="433"/>
    </row>
    <row r="114" spans="2:72">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L114" s="25"/>
      <c r="AM114" s="25"/>
      <c r="AN114" s="25"/>
      <c r="AO114" s="25"/>
      <c r="AP114" s="25"/>
      <c r="AQ114" s="25"/>
      <c r="AR114" s="25"/>
      <c r="AS114" s="25"/>
      <c r="AT114" s="25"/>
      <c r="AU114" s="25"/>
      <c r="AV114" s="25"/>
      <c r="AW114" s="25"/>
      <c r="AX114" s="25"/>
      <c r="AY114" s="235"/>
      <c r="AZ114" s="231"/>
      <c r="BA114" s="231"/>
      <c r="BB114" s="231"/>
      <c r="BC114" s="417"/>
      <c r="BD114" s="418"/>
      <c r="BE114" s="421"/>
      <c r="BF114" s="248"/>
      <c r="BG114" s="1049"/>
      <c r="BH114" s="231"/>
      <c r="BI114" s="231"/>
      <c r="BJ114" s="231"/>
      <c r="BK114" s="231"/>
      <c r="BL114" s="231"/>
      <c r="BM114" s="231"/>
      <c r="BN114" s="231"/>
      <c r="BO114" s="231"/>
      <c r="BP114" s="231"/>
      <c r="BQ114" s="231"/>
      <c r="BR114" s="231"/>
      <c r="BS114" s="433"/>
    </row>
    <row r="115" spans="2:72" ht="21">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L115" s="25"/>
      <c r="AM115" s="25"/>
      <c r="AN115" s="25"/>
      <c r="AO115" s="25"/>
      <c r="AP115" s="25"/>
      <c r="AQ115" s="25"/>
      <c r="AR115" s="25"/>
      <c r="AS115" s="25"/>
      <c r="AT115" s="25"/>
      <c r="AU115" s="25"/>
      <c r="AV115" s="25"/>
      <c r="AW115" s="25"/>
      <c r="AX115" s="25"/>
      <c r="AY115" s="1039" t="s">
        <v>2559</v>
      </c>
      <c r="AZ115" s="231"/>
      <c r="BA115" s="231"/>
      <c r="BB115" s="231"/>
      <c r="BC115" s="231"/>
      <c r="BD115" s="231"/>
      <c r="BE115" s="231"/>
      <c r="BF115" s="231"/>
      <c r="BG115" s="231"/>
      <c r="BH115" s="231"/>
      <c r="BI115" s="231"/>
      <c r="BJ115" s="231"/>
      <c r="BK115" s="231"/>
      <c r="BL115" s="231"/>
      <c r="BM115" s="231"/>
      <c r="BN115" s="231"/>
      <c r="BO115" s="231"/>
      <c r="BP115" s="231"/>
      <c r="BQ115" s="231"/>
      <c r="BR115" s="231"/>
      <c r="BS115" s="433"/>
      <c r="BT115" s="303"/>
    </row>
    <row r="116" spans="2:72">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L116" s="25"/>
      <c r="AM116" s="25"/>
      <c r="AN116" s="25"/>
      <c r="AO116" s="25"/>
      <c r="AP116" s="25"/>
      <c r="AQ116" s="25"/>
      <c r="AR116" s="25"/>
      <c r="AS116" s="25"/>
      <c r="AT116" s="25"/>
      <c r="AU116" s="25"/>
      <c r="AV116" s="25"/>
      <c r="AW116" s="25"/>
      <c r="AX116" s="25"/>
      <c r="AY116" s="1040" t="s">
        <v>1361</v>
      </c>
      <c r="AZ116" s="231"/>
      <c r="BA116" s="231"/>
      <c r="BB116" s="231"/>
      <c r="BC116" s="231"/>
      <c r="BD116" s="231"/>
      <c r="BE116" s="231"/>
      <c r="BF116" s="231"/>
      <c r="BG116" s="231"/>
      <c r="BH116" s="231"/>
      <c r="BI116" s="231"/>
      <c r="BJ116" s="231"/>
      <c r="BK116" s="231"/>
      <c r="BL116" s="231"/>
      <c r="BM116" s="231"/>
      <c r="BN116" s="251"/>
      <c r="BO116" s="231"/>
      <c r="BP116" s="231"/>
      <c r="BQ116" s="231"/>
      <c r="BR116" s="231"/>
      <c r="BS116" s="433"/>
      <c r="BT116" s="303"/>
    </row>
    <row r="117" spans="2:72">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L117" s="25"/>
      <c r="AM117" s="25"/>
      <c r="AN117" s="25"/>
      <c r="AO117" s="25"/>
      <c r="AP117" s="25"/>
      <c r="AQ117" s="25"/>
      <c r="AR117" s="25"/>
      <c r="AS117" s="25"/>
      <c r="AT117" s="25"/>
      <c r="AU117" s="25"/>
      <c r="AV117" s="25"/>
      <c r="AW117" s="25"/>
      <c r="AX117" s="25"/>
      <c r="AY117" s="235"/>
      <c r="AZ117" s="231"/>
      <c r="BA117" s="231"/>
      <c r="BB117" s="231"/>
      <c r="BC117" s="231"/>
      <c r="BD117" s="231"/>
      <c r="BE117" s="231"/>
      <c r="BF117" s="231"/>
      <c r="BG117" s="231"/>
      <c r="BH117" s="231"/>
      <c r="BI117" s="231"/>
      <c r="BJ117" s="231"/>
      <c r="BK117" s="231"/>
      <c r="BL117" s="231"/>
      <c r="BM117" s="231"/>
      <c r="BN117" s="251"/>
      <c r="BO117" s="231"/>
      <c r="BP117" s="231"/>
      <c r="BQ117" s="231"/>
      <c r="BR117" s="231"/>
      <c r="BS117" s="433"/>
      <c r="BT117" s="303"/>
    </row>
    <row r="118" spans="2:72" ht="17.399999999999999">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L118" s="25"/>
      <c r="AM118" s="25"/>
      <c r="AN118" s="25"/>
      <c r="AO118" s="25"/>
      <c r="AP118" s="25"/>
      <c r="AQ118" s="25"/>
      <c r="AR118" s="25"/>
      <c r="AS118" s="25"/>
      <c r="AT118" s="25"/>
      <c r="AU118" s="25"/>
      <c r="AV118" s="25"/>
      <c r="AW118" s="25"/>
      <c r="AX118" s="25"/>
      <c r="AY118" s="1041" t="s">
        <v>1362</v>
      </c>
      <c r="AZ118" s="231"/>
      <c r="BA118" s="231"/>
      <c r="BB118" s="231"/>
      <c r="BC118" s="231"/>
      <c r="BD118" s="231"/>
      <c r="BE118" s="231"/>
      <c r="BF118" s="231"/>
      <c r="BG118" s="231"/>
      <c r="BH118" s="231"/>
      <c r="BI118" s="231"/>
      <c r="BJ118" s="231"/>
      <c r="BK118" s="231"/>
      <c r="BL118" s="231"/>
      <c r="BM118" s="231"/>
      <c r="BN118" s="251"/>
      <c r="BO118" s="231"/>
      <c r="BP118" s="231"/>
      <c r="BQ118" s="231"/>
      <c r="BR118" s="231"/>
      <c r="BS118" s="433"/>
      <c r="BT118" s="303"/>
    </row>
    <row r="119" spans="2:72" ht="13.8">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L119" s="25"/>
      <c r="AM119" s="25"/>
      <c r="AN119" s="25"/>
      <c r="AO119" s="25"/>
      <c r="AP119" s="25"/>
      <c r="AQ119" s="25"/>
      <c r="AR119" s="25"/>
      <c r="AS119" s="25"/>
      <c r="AT119" s="25"/>
      <c r="AU119" s="25"/>
      <c r="AV119" s="25"/>
      <c r="AW119" s="25"/>
      <c r="AX119" s="25"/>
      <c r="AY119" s="1042" t="s">
        <v>1363</v>
      </c>
      <c r="AZ119" s="231"/>
      <c r="BA119" s="231"/>
      <c r="BB119" s="231"/>
      <c r="BC119" s="231"/>
      <c r="BD119" s="231"/>
      <c r="BE119" s="231"/>
      <c r="BF119" s="231"/>
      <c r="BG119" s="231"/>
      <c r="BH119" s="231"/>
      <c r="BI119" s="231"/>
      <c r="BJ119" s="231"/>
      <c r="BK119" s="231"/>
      <c r="BL119" s="231"/>
      <c r="BM119" s="231"/>
      <c r="BN119" s="251"/>
      <c r="BO119" s="231"/>
      <c r="BP119" s="231"/>
      <c r="BQ119" s="231"/>
      <c r="BR119" s="231"/>
      <c r="BS119" s="433"/>
      <c r="BT119" s="303"/>
    </row>
    <row r="120" spans="2:72">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35"/>
      <c r="AZ120" s="231"/>
      <c r="BA120" s="231"/>
      <c r="BB120" s="231"/>
      <c r="BC120" s="231"/>
      <c r="BD120" s="231"/>
      <c r="BE120" s="231"/>
      <c r="BF120" s="231"/>
      <c r="BG120" s="231"/>
      <c r="BH120" s="231"/>
      <c r="BI120" s="231"/>
      <c r="BJ120" s="437"/>
      <c r="BK120" s="231"/>
      <c r="BL120" s="231"/>
      <c r="BM120" s="231"/>
      <c r="BN120" s="231"/>
      <c r="BO120" s="231"/>
      <c r="BP120" s="231"/>
      <c r="BQ120" s="231"/>
      <c r="BR120" s="231"/>
      <c r="BS120" s="433"/>
      <c r="BT120" s="303"/>
    </row>
    <row r="121" spans="2:72">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1023" t="s">
        <v>1364</v>
      </c>
      <c r="AZ121" s="233" t="s">
        <v>90</v>
      </c>
      <c r="BA121" s="233" t="s">
        <v>91</v>
      </c>
      <c r="BB121" s="231"/>
      <c r="BC121" s="231"/>
      <c r="BD121" s="233" t="s">
        <v>90</v>
      </c>
      <c r="BE121" s="231"/>
      <c r="BF121" s="231"/>
      <c r="BG121" s="231"/>
      <c r="BH121" s="231"/>
      <c r="BI121" s="231"/>
      <c r="BJ121" s="231"/>
      <c r="BK121" s="231"/>
      <c r="BL121" s="231"/>
      <c r="BM121" s="231"/>
      <c r="BN121" s="231"/>
      <c r="BO121" s="231"/>
      <c r="BP121" s="231"/>
      <c r="BQ121" s="231"/>
      <c r="BR121" s="231"/>
      <c r="BS121" s="433"/>
      <c r="BT121" s="303"/>
    </row>
    <row r="122" spans="2:72">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35"/>
      <c r="AZ122" s="231"/>
      <c r="BA122" s="231"/>
      <c r="BB122" s="231"/>
      <c r="BC122" s="574" t="s">
        <v>1365</v>
      </c>
      <c r="BD122" s="574" t="s">
        <v>87</v>
      </c>
      <c r="BE122" s="334">
        <f t="shared" ref="BE122:BO122" si="49">BE$68</f>
        <v>0.2</v>
      </c>
      <c r="BF122" s="334">
        <f t="shared" si="49"/>
        <v>0.3</v>
      </c>
      <c r="BG122" s="334">
        <f t="shared" si="49"/>
        <v>0.4</v>
      </c>
      <c r="BH122" s="334">
        <f t="shared" si="49"/>
        <v>0.5</v>
      </c>
      <c r="BI122" s="334">
        <f t="shared" si="49"/>
        <v>0.6</v>
      </c>
      <c r="BJ122" s="334">
        <f t="shared" si="49"/>
        <v>0.7</v>
      </c>
      <c r="BK122" s="334">
        <f t="shared" si="49"/>
        <v>0.75</v>
      </c>
      <c r="BL122" s="334">
        <f t="shared" si="49"/>
        <v>0.8</v>
      </c>
      <c r="BM122" s="334">
        <f t="shared" si="49"/>
        <v>0.9</v>
      </c>
      <c r="BN122" s="334">
        <f t="shared" si="49"/>
        <v>0.95</v>
      </c>
      <c r="BO122" s="334">
        <f t="shared" si="49"/>
        <v>0.97499999999999998</v>
      </c>
      <c r="BP122" s="231"/>
      <c r="BQ122" s="231"/>
      <c r="BR122" s="231"/>
      <c r="BS122" s="433"/>
      <c r="BT122" s="303"/>
    </row>
    <row r="123" spans="2:72">
      <c r="B123" s="25"/>
      <c r="C123" s="25"/>
      <c r="D123" s="27" t="s">
        <v>745</v>
      </c>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35" t="s">
        <v>33</v>
      </c>
      <c r="AZ123" s="231" t="s">
        <v>188</v>
      </c>
      <c r="BA123" s="535">
        <f>'7b'!BB7</f>
        <v>3500</v>
      </c>
      <c r="BB123" s="231"/>
      <c r="BC123" s="574" t="s">
        <v>50</v>
      </c>
      <c r="BD123" s="574" t="s">
        <v>188</v>
      </c>
      <c r="BE123" s="334">
        <f t="shared" ref="BE123:BO123" si="50">BE122*($BA135/2)</f>
        <v>0.60000000000000009</v>
      </c>
      <c r="BF123" s="334">
        <f t="shared" si="50"/>
        <v>0.89999999999999991</v>
      </c>
      <c r="BG123" s="334">
        <f t="shared" si="50"/>
        <v>1.2000000000000002</v>
      </c>
      <c r="BH123" s="334">
        <f t="shared" si="50"/>
        <v>1.5</v>
      </c>
      <c r="BI123" s="334">
        <f t="shared" si="50"/>
        <v>1.7999999999999998</v>
      </c>
      <c r="BJ123" s="334">
        <f t="shared" si="50"/>
        <v>2.0999999999999996</v>
      </c>
      <c r="BK123" s="334">
        <f t="shared" si="50"/>
        <v>2.25</v>
      </c>
      <c r="BL123" s="334">
        <f t="shared" si="50"/>
        <v>2.4000000000000004</v>
      </c>
      <c r="BM123" s="334">
        <f t="shared" si="50"/>
        <v>2.7</v>
      </c>
      <c r="BN123" s="334">
        <f t="shared" si="50"/>
        <v>2.8499999999999996</v>
      </c>
      <c r="BO123" s="334">
        <f t="shared" si="50"/>
        <v>2.9249999999999998</v>
      </c>
      <c r="BP123" s="231"/>
      <c r="BQ123" s="231"/>
      <c r="BR123" s="231"/>
      <c r="BS123" s="433"/>
      <c r="BT123" s="303"/>
    </row>
    <row r="124" spans="2:72">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35" t="s">
        <v>1366</v>
      </c>
      <c r="AZ124" s="231" t="s">
        <v>648</v>
      </c>
      <c r="BA124" s="535">
        <f>'7b'!BB8</f>
        <v>0</v>
      </c>
      <c r="BB124" s="231"/>
      <c r="BC124" s="231" t="s">
        <v>1367</v>
      </c>
      <c r="BD124" s="231" t="s">
        <v>188</v>
      </c>
      <c r="BE124" s="536">
        <f>'7b'!BB33</f>
        <v>0.5</v>
      </c>
      <c r="BF124" s="334">
        <f>$BE124</f>
        <v>0.5</v>
      </c>
      <c r="BG124" s="334">
        <f>$BE124</f>
        <v>0.5</v>
      </c>
      <c r="BH124" s="334">
        <f>$BE124</f>
        <v>0.5</v>
      </c>
      <c r="BI124" s="334">
        <f t="shared" ref="BI124:BN124" si="51">$BH124-(((BI123-$BH123)/($BO123-$BH123))*($BH124-$BO124))</f>
        <v>0.4578947368421053</v>
      </c>
      <c r="BJ124" s="334">
        <f t="shared" si="51"/>
        <v>0.41578947368421054</v>
      </c>
      <c r="BK124" s="334">
        <f t="shared" si="51"/>
        <v>0.39473684210526316</v>
      </c>
      <c r="BL124" s="334">
        <f t="shared" si="51"/>
        <v>0.37368421052631573</v>
      </c>
      <c r="BM124" s="334">
        <f t="shared" si="51"/>
        <v>0.33157894736842097</v>
      </c>
      <c r="BN124" s="334">
        <f t="shared" si="51"/>
        <v>0.31052631578947371</v>
      </c>
      <c r="BO124" s="536">
        <f>'7b'!BB34</f>
        <v>0.3</v>
      </c>
      <c r="BP124" s="231"/>
      <c r="BQ124" s="231"/>
      <c r="BR124" s="231"/>
      <c r="BS124" s="433"/>
      <c r="BT124" s="303"/>
    </row>
    <row r="125" spans="2:72">
      <c r="B125" s="25"/>
      <c r="C125" s="25"/>
      <c r="D125" s="27" t="s">
        <v>746</v>
      </c>
      <c r="E125" s="27" t="s">
        <v>742</v>
      </c>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35" t="s">
        <v>1368</v>
      </c>
      <c r="AZ125" s="231" t="s">
        <v>1369</v>
      </c>
      <c r="BA125" s="251">
        <f>(-0.00356616*BA123)+59+459.6</f>
        <v>506.11844000000002</v>
      </c>
      <c r="BB125" s="231"/>
      <c r="BC125" s="231" t="s">
        <v>1370</v>
      </c>
      <c r="BD125" s="231" t="s">
        <v>188</v>
      </c>
      <c r="BE125" s="231">
        <f t="shared" ref="BE125:BO125" si="52">BE124/2</f>
        <v>0.25</v>
      </c>
      <c r="BF125" s="231">
        <f t="shared" si="52"/>
        <v>0.25</v>
      </c>
      <c r="BG125" s="231">
        <f t="shared" si="52"/>
        <v>0.25</v>
      </c>
      <c r="BH125" s="231">
        <f t="shared" si="52"/>
        <v>0.25</v>
      </c>
      <c r="BI125" s="231">
        <f t="shared" si="52"/>
        <v>0.22894736842105265</v>
      </c>
      <c r="BJ125" s="231">
        <f t="shared" si="52"/>
        <v>0.20789473684210527</v>
      </c>
      <c r="BK125" s="231">
        <f t="shared" si="52"/>
        <v>0.19736842105263158</v>
      </c>
      <c r="BL125" s="231">
        <f t="shared" si="52"/>
        <v>0.18684210526315786</v>
      </c>
      <c r="BM125" s="231">
        <f t="shared" si="52"/>
        <v>0.16578947368421049</v>
      </c>
      <c r="BN125" s="231">
        <f t="shared" si="52"/>
        <v>0.15526315789473685</v>
      </c>
      <c r="BO125" s="231">
        <f t="shared" si="52"/>
        <v>0.15</v>
      </c>
      <c r="BP125" s="231"/>
      <c r="BQ125" s="231"/>
      <c r="BR125" s="231"/>
      <c r="BS125" s="433"/>
      <c r="BT125" s="303"/>
    </row>
    <row r="126" spans="2:72">
      <c r="B126" s="25"/>
      <c r="C126" s="25"/>
      <c r="D126" s="35">
        <v>0.05</v>
      </c>
      <c r="E126" s="34">
        <f>((0.1/D126)+(0.24/(D126^0.8))+(0.66*(D126^0.8))+(0.1*'6'!Y$26*((1/D126)-D126)))</f>
        <v>4.6966239226345436</v>
      </c>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35" t="s">
        <v>1371</v>
      </c>
      <c r="AZ126" s="231" t="s">
        <v>658</v>
      </c>
      <c r="BA126" s="587">
        <f xml:space="preserve"> (-0.00000000808691*(BA123^2)) + (-0.0038153*BA123) + 1116.38</f>
        <v>1102.9273853525001</v>
      </c>
      <c r="BB126" s="231"/>
      <c r="BC126" s="231" t="s">
        <v>1372</v>
      </c>
      <c r="BD126" s="231" t="s">
        <v>188</v>
      </c>
      <c r="BE126" s="231">
        <f t="shared" ref="BE126:BO126" si="53">(-1)*BE125</f>
        <v>-0.25</v>
      </c>
      <c r="BF126" s="231">
        <f t="shared" si="53"/>
        <v>-0.25</v>
      </c>
      <c r="BG126" s="231">
        <f t="shared" si="53"/>
        <v>-0.25</v>
      </c>
      <c r="BH126" s="231">
        <f t="shared" si="53"/>
        <v>-0.25</v>
      </c>
      <c r="BI126" s="231">
        <f t="shared" si="53"/>
        <v>-0.22894736842105265</v>
      </c>
      <c r="BJ126" s="231">
        <f t="shared" si="53"/>
        <v>-0.20789473684210527</v>
      </c>
      <c r="BK126" s="231">
        <f t="shared" si="53"/>
        <v>-0.19736842105263158</v>
      </c>
      <c r="BL126" s="231">
        <f t="shared" si="53"/>
        <v>-0.18684210526315786</v>
      </c>
      <c r="BM126" s="231">
        <f t="shared" si="53"/>
        <v>-0.16578947368421049</v>
      </c>
      <c r="BN126" s="231">
        <f t="shared" si="53"/>
        <v>-0.15526315789473685</v>
      </c>
      <c r="BO126" s="231">
        <f t="shared" si="53"/>
        <v>-0.15</v>
      </c>
      <c r="BP126" s="231"/>
      <c r="BQ126" s="231"/>
      <c r="BR126" s="231"/>
      <c r="BS126" s="433"/>
      <c r="BT126" s="303"/>
    </row>
    <row r="127" spans="2:72" ht="15.6">
      <c r="B127" s="25"/>
      <c r="C127" s="25"/>
      <c r="D127" s="50">
        <v>0.1</v>
      </c>
      <c r="E127" s="34">
        <f>((0.1/D127)+(0.24/(D127^0.8))+(0.66*(D127^0.8))+(0.1*'6'!Y$26*((1/D127)-D127)))</f>
        <v>2.6189005774548968</v>
      </c>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35" t="s">
        <v>671</v>
      </c>
      <c r="AZ127" s="231" t="s">
        <v>1369</v>
      </c>
      <c r="BA127" s="587">
        <f>((((5/9)*((BA125-32))+BA124)*(9/5))+32)</f>
        <v>506.11844000000002</v>
      </c>
      <c r="BB127" s="231"/>
      <c r="BC127" s="236" t="s">
        <v>1373</v>
      </c>
      <c r="BD127" s="231" t="s">
        <v>87</v>
      </c>
      <c r="BE127" s="437">
        <f t="shared" ref="BE127:BO127" si="54">$BA$134*BE124/(PI()*$BA$135/2)</f>
        <v>0.1061032953945969</v>
      </c>
      <c r="BF127" s="437">
        <f t="shared" si="54"/>
        <v>0.1061032953945969</v>
      </c>
      <c r="BG127" s="437">
        <f t="shared" si="54"/>
        <v>0.1061032953945969</v>
      </c>
      <c r="BH127" s="437">
        <f t="shared" si="54"/>
        <v>0.1061032953945969</v>
      </c>
      <c r="BI127" s="437">
        <f t="shared" si="54"/>
        <v>9.7168281045578217E-2</v>
      </c>
      <c r="BJ127" s="437">
        <f t="shared" si="54"/>
        <v>8.8233266696559523E-2</v>
      </c>
      <c r="BK127" s="437">
        <f t="shared" si="54"/>
        <v>8.3765759522050176E-2</v>
      </c>
      <c r="BL127" s="437">
        <f t="shared" si="54"/>
        <v>7.9298252347540829E-2</v>
      </c>
      <c r="BM127" s="437">
        <f t="shared" si="54"/>
        <v>7.0363237998522135E-2</v>
      </c>
      <c r="BN127" s="437">
        <f t="shared" si="54"/>
        <v>6.5895730824012816E-2</v>
      </c>
      <c r="BO127" s="437">
        <f t="shared" si="54"/>
        <v>6.3661977236758135E-2</v>
      </c>
      <c r="BP127" s="231"/>
      <c r="BQ127" s="231"/>
      <c r="BR127" s="231"/>
      <c r="BS127" s="433"/>
      <c r="BT127" s="303"/>
    </row>
    <row r="128" spans="2:72" ht="15.6">
      <c r="B128" s="25"/>
      <c r="C128" s="25"/>
      <c r="D128" s="50">
        <f t="shared" ref="D128:D146" si="55">D127+0.1</f>
        <v>0.2</v>
      </c>
      <c r="E128" s="34">
        <f>((0.1/D128)+(0.24/(D128^0.8))+(0.66*(D128^0.8))+(0.1*'6'!Y$26*((1/D128)-D128)))</f>
        <v>1.5518599117261151</v>
      </c>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35" t="s">
        <v>1374</v>
      </c>
      <c r="AZ128" s="231" t="s">
        <v>658</v>
      </c>
      <c r="BA128" s="587">
        <f>( (-0.00000000808691*(BA123^2)) + (-0.0038153*BA123) + 1116.38)*((BA127/BA125)^0.5)</f>
        <v>1102.9273853525001</v>
      </c>
      <c r="BB128" s="231"/>
      <c r="BC128" s="231" t="s">
        <v>1375</v>
      </c>
      <c r="BD128" s="231" t="s">
        <v>87</v>
      </c>
      <c r="BE128" s="437">
        <f t="shared" ref="BE128:BO128" si="56">((BE122^2)+($BA142^2))^0.5</f>
        <v>0.41735089027158645</v>
      </c>
      <c r="BF128" s="437">
        <f t="shared" si="56"/>
        <v>0.47347836868275806</v>
      </c>
      <c r="BG128" s="437">
        <f t="shared" si="56"/>
        <v>0.542385255708971</v>
      </c>
      <c r="BH128" s="437">
        <f t="shared" si="56"/>
        <v>0.61982397953813129</v>
      </c>
      <c r="BI128" s="437">
        <f t="shared" si="56"/>
        <v>0.70298062961257035</v>
      </c>
      <c r="BJ128" s="437">
        <f t="shared" si="56"/>
        <v>0.79005174869149286</v>
      </c>
      <c r="BK128" s="437">
        <f t="shared" si="56"/>
        <v>0.83467464656025447</v>
      </c>
      <c r="BL128" s="437">
        <f t="shared" si="56"/>
        <v>0.87987599445063047</v>
      </c>
      <c r="BM128" s="437">
        <f t="shared" si="56"/>
        <v>0.97169015926399394</v>
      </c>
      <c r="BN128" s="437">
        <f t="shared" si="56"/>
        <v>1.0181757046848476</v>
      </c>
      <c r="BO128" s="437">
        <f t="shared" si="56"/>
        <v>1.0415405731945759</v>
      </c>
      <c r="BP128" s="231"/>
      <c r="BQ128" s="231"/>
      <c r="BR128" s="231"/>
      <c r="BS128" s="433"/>
      <c r="BT128" s="303"/>
    </row>
    <row r="129" spans="2:72">
      <c r="B129" s="25"/>
      <c r="C129" s="25"/>
      <c r="D129" s="50">
        <f t="shared" si="55"/>
        <v>0.30000000000000004</v>
      </c>
      <c r="E129" s="34">
        <f>((0.1/D129)+(0.24/(D129^0.8))+(0.66*(D129^0.8))+(0.1*'6'!Y$26*((1/D129)-D129)))</f>
        <v>1.214043209845431</v>
      </c>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35" t="s">
        <v>1376</v>
      </c>
      <c r="AZ129" s="231" t="s">
        <v>1377</v>
      </c>
      <c r="BA129" s="1043">
        <f xml:space="preserve"> ( (-0.00000000000621692*(BA123^3)) + (0.00000107111*(BA123^2)) + (-0.0760997*BA123) + 2115.57)/144</f>
        <v>12.931080535104167</v>
      </c>
      <c r="BB129" s="231"/>
      <c r="BC129" s="231"/>
      <c r="BD129" s="231"/>
      <c r="BE129" s="231"/>
      <c r="BF129" s="231"/>
      <c r="BG129" s="231"/>
      <c r="BH129" s="231"/>
      <c r="BI129" s="231"/>
      <c r="BJ129" s="231"/>
      <c r="BK129" s="231"/>
      <c r="BL129" s="231"/>
      <c r="BM129" s="231"/>
      <c r="BN129" s="231"/>
      <c r="BO129" s="231"/>
      <c r="BP129" s="231"/>
      <c r="BQ129" s="231"/>
      <c r="BR129" s="231"/>
      <c r="BS129" s="433"/>
      <c r="BT129" s="303"/>
    </row>
    <row r="130" spans="2:72">
      <c r="B130" s="25"/>
      <c r="C130" s="25"/>
      <c r="D130" s="50">
        <f t="shared" si="55"/>
        <v>0.4</v>
      </c>
      <c r="E130" s="34">
        <f>((0.1/D130)+(0.24/(D130^0.8))+(0.66*(D130^0.8))+(0.1*'6'!Y$26*((1/D130)-D130)))</f>
        <v>1.0666287750122216</v>
      </c>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35" t="s">
        <v>1378</v>
      </c>
      <c r="AZ130" s="231" t="s">
        <v>673</v>
      </c>
      <c r="BA130" s="1044">
        <f xml:space="preserve"> (( -3.4153E-18*(BA123^3)) + (0.000000000000764697*(BA123^2)) + (-0.0000000694512*BA123) + 0.00237699) * (BA125/BA127)</f>
        <v>2.1431319072624999E-3</v>
      </c>
      <c r="BB130" s="231"/>
      <c r="BC130" s="236" t="s">
        <v>1379</v>
      </c>
      <c r="BD130" s="231" t="s">
        <v>1380</v>
      </c>
      <c r="BE130" s="437">
        <f t="shared" ref="BE130:BO130" si="57">ATAN($BA142/BE122)</f>
        <v>1.0710384212789803</v>
      </c>
      <c r="BF130" s="437">
        <f t="shared" si="57"/>
        <v>0.884587521173688</v>
      </c>
      <c r="BG130" s="437">
        <f t="shared" si="57"/>
        <v>0.74146020360046394</v>
      </c>
      <c r="BH130" s="437">
        <f t="shared" si="57"/>
        <v>0.63228258291090156</v>
      </c>
      <c r="BI130" s="437">
        <f t="shared" si="57"/>
        <v>0.54811440661783006</v>
      </c>
      <c r="BJ130" s="437">
        <f t="shared" si="57"/>
        <v>0.48211147502055895</v>
      </c>
      <c r="BK130" s="437">
        <f t="shared" si="57"/>
        <v>0.45433354704481965</v>
      </c>
      <c r="BL130" s="437">
        <f t="shared" si="57"/>
        <v>0.42939201693275858</v>
      </c>
      <c r="BM130" s="437">
        <f t="shared" si="57"/>
        <v>0.3865341613158737</v>
      </c>
      <c r="BN130" s="437">
        <f t="shared" si="57"/>
        <v>0.36802055473039624</v>
      </c>
      <c r="BO130" s="437">
        <f t="shared" si="57"/>
        <v>0.35938494046257663</v>
      </c>
      <c r="BP130" s="228"/>
      <c r="BQ130" s="228"/>
      <c r="BR130" s="231"/>
      <c r="BS130" s="433"/>
      <c r="BT130" s="303"/>
    </row>
    <row r="131" spans="2:72">
      <c r="B131" s="25"/>
      <c r="C131" s="25"/>
      <c r="D131" s="50">
        <f t="shared" si="55"/>
        <v>0.5</v>
      </c>
      <c r="E131" s="34">
        <f>((0.1/D131)+(0.24/(D131^0.8))+(0.66*(D131^0.8))+(0.1*'6'!Y$26*((1/D131)-D131)))</f>
        <v>0.99693472753116108</v>
      </c>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35" t="s">
        <v>1381</v>
      </c>
      <c r="AZ131" s="231" t="s">
        <v>1026</v>
      </c>
      <c r="BA131" s="852">
        <f>'7b'!BB15</f>
        <v>98.083706866886658</v>
      </c>
      <c r="BB131" s="231"/>
      <c r="BC131" s="236" t="s">
        <v>1379</v>
      </c>
      <c r="BD131" s="231" t="s">
        <v>165</v>
      </c>
      <c r="BE131" s="227">
        <f t="shared" ref="BE131:BO131" si="58">BE130*(180/PI())</f>
        <v>61.365981235640234</v>
      </c>
      <c r="BF131" s="227">
        <f t="shared" si="58"/>
        <v>50.683131573191666</v>
      </c>
      <c r="BG131" s="227">
        <f t="shared" si="58"/>
        <v>42.482540343217309</v>
      </c>
      <c r="BH131" s="227">
        <f t="shared" si="58"/>
        <v>36.227123460425211</v>
      </c>
      <c r="BI131" s="227">
        <f t="shared" si="58"/>
        <v>31.404642189519141</v>
      </c>
      <c r="BJ131" s="227">
        <f t="shared" si="58"/>
        <v>27.622952773504842</v>
      </c>
      <c r="BK131" s="227">
        <f t="shared" si="58"/>
        <v>26.031394736876603</v>
      </c>
      <c r="BL131" s="227">
        <f t="shared" si="58"/>
        <v>24.602350326857046</v>
      </c>
      <c r="BM131" s="227">
        <f t="shared" si="58"/>
        <v>22.146776081028495</v>
      </c>
      <c r="BN131" s="227">
        <f t="shared" si="58"/>
        <v>21.086024560115028</v>
      </c>
      <c r="BO131" s="227">
        <f t="shared" si="58"/>
        <v>20.591240309066009</v>
      </c>
      <c r="BP131" s="231"/>
      <c r="BQ131" s="231"/>
      <c r="BR131" s="231"/>
      <c r="BS131" s="433"/>
      <c r="BT131" s="303"/>
    </row>
    <row r="132" spans="2:72">
      <c r="B132" s="25"/>
      <c r="C132" s="25"/>
      <c r="D132" s="50">
        <f t="shared" si="55"/>
        <v>0.6</v>
      </c>
      <c r="E132" s="34">
        <f>((0.1/D132)+(0.24/(D132^0.8))+(0.66*(D132^0.8))+(0.1*'6'!Y$26*((1/D132)-D132)))</f>
        <v>0.96641511917196321</v>
      </c>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35" t="s">
        <v>1381</v>
      </c>
      <c r="AZ132" s="231" t="s">
        <v>658</v>
      </c>
      <c r="BA132" s="239">
        <f>1.689*BA131</f>
        <v>165.66338089817157</v>
      </c>
      <c r="BB132" s="231"/>
      <c r="BC132" s="223" t="s">
        <v>1382</v>
      </c>
      <c r="BD132" s="223" t="s">
        <v>1380</v>
      </c>
      <c r="BE132" s="437">
        <f t="shared" ref="BE132:BO132" si="59">BE133*(PI()/180)</f>
        <v>1.0374166610893578</v>
      </c>
      <c r="BF132" s="437">
        <f t="shared" si="59"/>
        <v>0.96227546018834453</v>
      </c>
      <c r="BG132" s="437">
        <f t="shared" si="59"/>
        <v>0.88713425928733147</v>
      </c>
      <c r="BH132" s="437">
        <f t="shared" si="59"/>
        <v>0.81199305838631819</v>
      </c>
      <c r="BI132" s="437">
        <f t="shared" si="59"/>
        <v>0.73685185748530502</v>
      </c>
      <c r="BJ132" s="437">
        <f t="shared" si="59"/>
        <v>0.66171065658429173</v>
      </c>
      <c r="BK132" s="437">
        <f t="shared" si="59"/>
        <v>0.6241400561337852</v>
      </c>
      <c r="BL132" s="437">
        <f t="shared" si="59"/>
        <v>0.58656945568327856</v>
      </c>
      <c r="BM132" s="437">
        <f t="shared" si="59"/>
        <v>0.51142825478226539</v>
      </c>
      <c r="BN132" s="437">
        <f t="shared" si="59"/>
        <v>0.4738576543317588</v>
      </c>
      <c r="BO132" s="437">
        <f t="shared" si="59"/>
        <v>0.45507235410650548</v>
      </c>
      <c r="BP132" s="231"/>
      <c r="BQ132" s="231"/>
      <c r="BR132" s="231"/>
      <c r="BS132" s="433"/>
      <c r="BT132" s="303"/>
    </row>
    <row r="133" spans="2:72">
      <c r="B133" s="25"/>
      <c r="C133" s="25"/>
      <c r="D133" s="50">
        <f t="shared" si="55"/>
        <v>0.7</v>
      </c>
      <c r="E133" s="34">
        <f>((0.1/D133)+(0.24/(D133^0.8))+(0.66*(D133^0.8))+(0.1*'6'!Y$26*((1/D133)-D133)))</f>
        <v>0.95826924910726019</v>
      </c>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35" t="s">
        <v>1383</v>
      </c>
      <c r="AZ133" s="231" t="s">
        <v>87</v>
      </c>
      <c r="BA133" s="248">
        <f>BA132/BA128</f>
        <v>0.15020334348233169</v>
      </c>
      <c r="BB133" s="231"/>
      <c r="BC133" s="223" t="s">
        <v>1382</v>
      </c>
      <c r="BD133" s="223" t="s">
        <v>165</v>
      </c>
      <c r="BE133" s="228">
        <f t="shared" ref="BE133:BJ133" si="60">$BK133+($BA147*(BE122-$BK122))</f>
        <v>59.439596276973894</v>
      </c>
      <c r="BF133" s="228">
        <f t="shared" si="60"/>
        <v>55.134322597801216</v>
      </c>
      <c r="BG133" s="228">
        <f t="shared" si="60"/>
        <v>50.829048918628544</v>
      </c>
      <c r="BH133" s="228">
        <f t="shared" si="60"/>
        <v>46.523775239455865</v>
      </c>
      <c r="BI133" s="228">
        <f t="shared" si="60"/>
        <v>42.218501560283194</v>
      </c>
      <c r="BJ133" s="228">
        <f t="shared" si="60"/>
        <v>37.913227881110515</v>
      </c>
      <c r="BK133" s="852">
        <f>'7b'!BB32</f>
        <v>35.760591041524179</v>
      </c>
      <c r="BL133" s="228">
        <f>$BK133+($BA147*(BL122-$BK122))</f>
        <v>33.607954201937844</v>
      </c>
      <c r="BM133" s="228">
        <f>$BK133+($BA147*(BM122-$BK122))</f>
        <v>29.302680522765165</v>
      </c>
      <c r="BN133" s="228">
        <f>$BK133+($BA147*(BN122-$BK122))</f>
        <v>27.150043683178829</v>
      </c>
      <c r="BO133" s="228">
        <f>$BK133+($BA147*(BO122-$BK122))</f>
        <v>26.073725263385661</v>
      </c>
      <c r="BP133" s="231"/>
      <c r="BQ133" s="231"/>
      <c r="BR133" s="231"/>
      <c r="BS133" s="433"/>
      <c r="BT133" s="303"/>
    </row>
    <row r="134" spans="2:72">
      <c r="B134" s="25"/>
      <c r="C134" s="25"/>
      <c r="D134" s="50">
        <f t="shared" si="55"/>
        <v>0.79999999999999993</v>
      </c>
      <c r="E134" s="34">
        <f>((0.1/D134)+(0.24/(D134^0.8))+(0.66*(D134^0.8))+(0.1*'6'!Y$26*((1/D134)-D134)))</f>
        <v>0.96400343370520336</v>
      </c>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35" t="s">
        <v>1384</v>
      </c>
      <c r="AZ134" s="231" t="s">
        <v>87</v>
      </c>
      <c r="BA134" s="534">
        <f>'7b'!BB18</f>
        <v>2</v>
      </c>
      <c r="BB134" s="231"/>
      <c r="BC134" s="574" t="s">
        <v>199</v>
      </c>
      <c r="BD134" s="231"/>
      <c r="BE134" s="231">
        <f>1</f>
        <v>1</v>
      </c>
      <c r="BF134" s="231">
        <f>1</f>
        <v>1</v>
      </c>
      <c r="BG134" s="231">
        <f>1</f>
        <v>1</v>
      </c>
      <c r="BH134" s="231">
        <f>1</f>
        <v>1</v>
      </c>
      <c r="BI134" s="231">
        <f>1</f>
        <v>1</v>
      </c>
      <c r="BJ134" s="231">
        <f>1</f>
        <v>1</v>
      </c>
      <c r="BK134" s="231">
        <f>1</f>
        <v>1</v>
      </c>
      <c r="BL134" s="231">
        <f>1</f>
        <v>1</v>
      </c>
      <c r="BM134" s="231">
        <f>1</f>
        <v>1</v>
      </c>
      <c r="BN134" s="231">
        <f>1</f>
        <v>1</v>
      </c>
      <c r="BO134" s="231">
        <f>1</f>
        <v>1</v>
      </c>
      <c r="BP134" s="231"/>
      <c r="BQ134" s="231"/>
      <c r="BR134" s="231"/>
      <c r="BS134" s="433"/>
      <c r="BT134" s="303"/>
    </row>
    <row r="135" spans="2:72">
      <c r="B135" s="25"/>
      <c r="C135" s="25"/>
      <c r="D135" s="50">
        <f t="shared" si="55"/>
        <v>0.89999999999999991</v>
      </c>
      <c r="E135" s="34">
        <f>((0.1/D135)+(0.24/(D135^0.8))+(0.66*(D135^0.8))+(0.1*'6'!Y$26*((1/D135)-D135)))</f>
        <v>0.97886697950851842</v>
      </c>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35" t="s">
        <v>1385</v>
      </c>
      <c r="AZ135" s="231" t="s">
        <v>188</v>
      </c>
      <c r="BA135" s="534">
        <f>'7b'!BB19</f>
        <v>6</v>
      </c>
      <c r="BB135" s="231"/>
      <c r="BC135" s="574" t="s">
        <v>189</v>
      </c>
      <c r="BD135" s="231"/>
      <c r="BE135" s="251">
        <f t="shared" ref="BE135:BO135" si="61">(($BA142/BE122)+(BE127*$BA143*BE128/(8*(BE122^2))))</f>
        <v>2.6618346804952129</v>
      </c>
      <c r="BF135" s="251">
        <f t="shared" si="61"/>
        <v>1.6396744372032448</v>
      </c>
      <c r="BG135" s="251">
        <f t="shared" si="61"/>
        <v>1.1855310281388314</v>
      </c>
      <c r="BH135" s="251">
        <f t="shared" si="61"/>
        <v>0.92991268662622106</v>
      </c>
      <c r="BI135" s="251">
        <f t="shared" si="61"/>
        <v>0.75282094559577795</v>
      </c>
      <c r="BJ135" s="251">
        <f t="shared" si="61"/>
        <v>0.62999477585855879</v>
      </c>
      <c r="BK135" s="251">
        <f t="shared" si="61"/>
        <v>0.5816339317941942</v>
      </c>
      <c r="BL135" s="251">
        <f t="shared" si="61"/>
        <v>0.53965016559382628</v>
      </c>
      <c r="BM135" s="251">
        <f t="shared" si="61"/>
        <v>0.47031594230035817</v>
      </c>
      <c r="BN135" s="251">
        <f t="shared" si="61"/>
        <v>0.44134399179189748</v>
      </c>
      <c r="BO135" s="251">
        <f t="shared" si="61"/>
        <v>0.42801365942518216</v>
      </c>
      <c r="BP135" s="231"/>
      <c r="BQ135" s="231"/>
      <c r="BR135" s="231"/>
      <c r="BS135" s="433"/>
      <c r="BT135" s="303"/>
    </row>
    <row r="136" spans="2:72">
      <c r="B136" s="25"/>
      <c r="C136" s="25"/>
      <c r="D136" s="50">
        <f t="shared" si="55"/>
        <v>0.99999999999999989</v>
      </c>
      <c r="E136" s="34">
        <f>((0.1/D136)+(0.24/(D136^0.8))+(0.66*(D136^0.8))+(0.1*'6'!Y$26*((1/D136)-D136)))</f>
        <v>1</v>
      </c>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35" t="s">
        <v>1386</v>
      </c>
      <c r="AZ136" s="231" t="s">
        <v>1387</v>
      </c>
      <c r="BA136" s="534">
        <f>'7b'!BB20</f>
        <v>1439.5604169641786</v>
      </c>
      <c r="BB136" s="231"/>
      <c r="BC136" s="574" t="s">
        <v>164</v>
      </c>
      <c r="BD136" s="231"/>
      <c r="BE136" s="251">
        <f t="shared" ref="BE136:BO136" si="62">(-1)*((BE127*$BA143*BE128/(8*(BE122^2)))*(BE132-BE130))</f>
        <v>2.7915919357819081E-2</v>
      </c>
      <c r="BF136" s="251">
        <f t="shared" si="62"/>
        <v>-3.2523806559065782E-2</v>
      </c>
      <c r="BG136" s="251">
        <f t="shared" si="62"/>
        <v>-3.9297076284301589E-2</v>
      </c>
      <c r="BH136" s="251">
        <f t="shared" si="62"/>
        <v>-3.5456176008873123E-2</v>
      </c>
      <c r="BI136" s="251">
        <f t="shared" si="62"/>
        <v>-2.6858683772056986E-2</v>
      </c>
      <c r="BJ136" s="251">
        <f t="shared" si="62"/>
        <v>-1.9162732355267689E-2</v>
      </c>
      <c r="BK136" s="251">
        <f t="shared" si="62"/>
        <v>-1.5829850851651176E-2</v>
      </c>
      <c r="BL136" s="251">
        <f t="shared" si="62"/>
        <v>-1.2851581716700398E-2</v>
      </c>
      <c r="BM136" s="251">
        <f t="shared" si="62"/>
        <v>-7.9066363688569188E-3</v>
      </c>
      <c r="BN136" s="251">
        <f t="shared" si="62"/>
        <v>-5.9010866450733817E-3</v>
      </c>
      <c r="BO136" s="251">
        <f t="shared" si="62"/>
        <v>-5.0056809308373692E-3</v>
      </c>
      <c r="BP136" s="231"/>
      <c r="BQ136" s="231"/>
      <c r="BR136" s="231"/>
      <c r="BS136" s="433"/>
      <c r="BT136" s="303"/>
    </row>
    <row r="137" spans="2:72" ht="15.6">
      <c r="B137" s="25"/>
      <c r="C137" s="25"/>
      <c r="D137" s="50">
        <f t="shared" si="55"/>
        <v>1.0999999999999999</v>
      </c>
      <c r="E137" s="34">
        <f>((0.1/D137)+(0.24/(D137^0.8))+(0.66*(D137^0.8))+(0.1*'6'!Y$26*((1/D137)-D137)))</f>
        <v>1.0255818191317676</v>
      </c>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35" t="s">
        <v>1388</v>
      </c>
      <c r="AZ137" s="231" t="s">
        <v>1389</v>
      </c>
      <c r="BA137" s="437">
        <f>BA136/60</f>
        <v>23.992673616069641</v>
      </c>
      <c r="BB137" s="231"/>
      <c r="BC137" s="223" t="s">
        <v>1390</v>
      </c>
      <c r="BD137" s="223" t="s">
        <v>1380</v>
      </c>
      <c r="BE137" s="437">
        <f t="shared" ref="BE137:BO137" si="63">(((-1)*BE135)+(((BE135^2)-(4*BE134*BE136))^0.5))/(2*BE134)</f>
        <v>-1.0529121876227565E-2</v>
      </c>
      <c r="BF137" s="437">
        <f t="shared" si="63"/>
        <v>1.9601207707008128E-2</v>
      </c>
      <c r="BG137" s="437">
        <f t="shared" si="63"/>
        <v>3.2268909746009267E-2</v>
      </c>
      <c r="BH137" s="437">
        <f t="shared" si="63"/>
        <v>3.6681551184476469E-2</v>
      </c>
      <c r="BI137" s="437">
        <f t="shared" si="63"/>
        <v>3.4130058458145873E-2</v>
      </c>
      <c r="BJ137" s="437">
        <f t="shared" si="63"/>
        <v>2.907540488865995E-2</v>
      </c>
      <c r="BK137" s="437">
        <f t="shared" si="63"/>
        <v>2.6049502043649975E-2</v>
      </c>
      <c r="BL137" s="437">
        <f t="shared" si="63"/>
        <v>2.2847357010905844E-2</v>
      </c>
      <c r="BM137" s="437">
        <f t="shared" si="63"/>
        <v>1.6249880287132618E-2</v>
      </c>
      <c r="BN137" s="437">
        <f t="shared" si="63"/>
        <v>1.2988476622992712E-2</v>
      </c>
      <c r="BO137" s="437">
        <f t="shared" si="63"/>
        <v>1.1391937130688978E-2</v>
      </c>
      <c r="BP137" s="231"/>
      <c r="BQ137" s="231"/>
      <c r="BR137" s="231"/>
      <c r="BS137" s="433"/>
      <c r="BT137" s="303"/>
    </row>
    <row r="138" spans="2:72" ht="15.6">
      <c r="B138" s="25"/>
      <c r="C138" s="25"/>
      <c r="D138" s="50">
        <f t="shared" si="55"/>
        <v>1.2</v>
      </c>
      <c r="E138" s="34">
        <f>((0.1/D138)+(0.24/(D138^0.8))+(0.66*(D138^0.8))+(0.1*'6'!Y$26*((1/D138)-D138)))</f>
        <v>1.0544012543707437</v>
      </c>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35" t="s">
        <v>1391</v>
      </c>
      <c r="AZ138" s="231" t="s">
        <v>1392</v>
      </c>
      <c r="BA138" s="227">
        <f>2*PI()*BA137</f>
        <v>150.7504143444441</v>
      </c>
      <c r="BB138" s="231"/>
      <c r="BC138" s="223" t="s">
        <v>1390</v>
      </c>
      <c r="BD138" s="223" t="s">
        <v>165</v>
      </c>
      <c r="BE138" s="437">
        <f t="shared" ref="BE138:BO138" si="64">BE137*(180/PI())</f>
        <v>-0.60327424548670627</v>
      </c>
      <c r="BF138" s="437">
        <f t="shared" si="64"/>
        <v>1.1230664749708676</v>
      </c>
      <c r="BG138" s="437">
        <f t="shared" si="64"/>
        <v>1.8488723379349001</v>
      </c>
      <c r="BH138" s="437">
        <f t="shared" si="64"/>
        <v>2.1016980688636075</v>
      </c>
      <c r="BI138" s="437">
        <f t="shared" si="64"/>
        <v>1.9555083041865364</v>
      </c>
      <c r="BJ138" s="437">
        <f t="shared" si="64"/>
        <v>1.6658979877542563</v>
      </c>
      <c r="BK138" s="437">
        <f t="shared" si="64"/>
        <v>1.4925265255185562</v>
      </c>
      <c r="BL138" s="437">
        <f t="shared" si="64"/>
        <v>1.3090571297535369</v>
      </c>
      <c r="BM138" s="437">
        <f t="shared" si="64"/>
        <v>0.93104955804553335</v>
      </c>
      <c r="BN138" s="437">
        <f t="shared" si="64"/>
        <v>0.74418489280181443</v>
      </c>
      <c r="BO138" s="437">
        <f t="shared" si="64"/>
        <v>0.65270991806685141</v>
      </c>
      <c r="BP138" s="231"/>
      <c r="BQ138" s="231"/>
      <c r="BR138" s="231"/>
      <c r="BS138" s="433"/>
      <c r="BT138" s="303"/>
    </row>
    <row r="139" spans="2:72" ht="15.6">
      <c r="B139" s="25"/>
      <c r="C139" s="25"/>
      <c r="D139" s="50">
        <f t="shared" si="55"/>
        <v>1.3</v>
      </c>
      <c r="E139" s="34">
        <f>((0.1/D139)+(0.24/(D139^0.8))+(0.66*(D139^0.8))+(0.1*'6'!Y$26*((1/D139)-D139)))</f>
        <v>1.0856235306060733</v>
      </c>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35" t="s">
        <v>1393</v>
      </c>
      <c r="AZ139" s="231" t="s">
        <v>658</v>
      </c>
      <c r="BA139" s="227">
        <f>PI()*BA137*BA135</f>
        <v>452.25124303333229</v>
      </c>
      <c r="BB139" s="231"/>
      <c r="BC139" s="223" t="s">
        <v>1394</v>
      </c>
      <c r="BD139" s="223" t="s">
        <v>1380</v>
      </c>
      <c r="BE139" s="437">
        <f t="shared" ref="BE139:BO139" si="65">BE132-BE130-BE137</f>
        <v>-2.309263831339492E-2</v>
      </c>
      <c r="BF139" s="437">
        <f t="shared" si="65"/>
        <v>5.8086731307648409E-2</v>
      </c>
      <c r="BG139" s="437">
        <f t="shared" si="65"/>
        <v>0.11340514594085827</v>
      </c>
      <c r="BH139" s="437">
        <f t="shared" si="65"/>
        <v>0.14302892429094016</v>
      </c>
      <c r="BI139" s="437">
        <f t="shared" si="65"/>
        <v>0.15460739240932908</v>
      </c>
      <c r="BJ139" s="437">
        <f t="shared" si="65"/>
        <v>0.15052377667507283</v>
      </c>
      <c r="BK139" s="437">
        <f t="shared" si="65"/>
        <v>0.14375700704531558</v>
      </c>
      <c r="BL139" s="437">
        <f t="shared" si="65"/>
        <v>0.13433008173961414</v>
      </c>
      <c r="BM139" s="437">
        <f t="shared" si="65"/>
        <v>0.10864421317925907</v>
      </c>
      <c r="BN139" s="437">
        <f t="shared" si="65"/>
        <v>9.2848622978369849E-2</v>
      </c>
      <c r="BO139" s="437">
        <f t="shared" si="65"/>
        <v>8.4295476513239875E-2</v>
      </c>
      <c r="BP139" s="231"/>
      <c r="BQ139" s="231"/>
      <c r="BR139" s="231"/>
      <c r="BS139" s="433"/>
      <c r="BT139" s="303"/>
    </row>
    <row r="140" spans="2:72">
      <c r="B140" s="25"/>
      <c r="C140" s="25"/>
      <c r="D140" s="50">
        <f t="shared" si="55"/>
        <v>1.4000000000000001</v>
      </c>
      <c r="E140" s="34">
        <f>((0.1/D140)+(0.24/(D140^0.8))+(0.66*(D140^0.8))+(0.1*'6'!Y$26*((1/D140)-D140)))</f>
        <v>1.1186563156854841</v>
      </c>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35" t="s">
        <v>1395</v>
      </c>
      <c r="AZ140" s="231" t="s">
        <v>87</v>
      </c>
      <c r="BA140" s="231">
        <f>BA139/BA128</f>
        <v>0.41004625421354546</v>
      </c>
      <c r="BB140" s="231"/>
      <c r="BC140" s="223" t="s">
        <v>1394</v>
      </c>
      <c r="BD140" s="223" t="s">
        <v>165</v>
      </c>
      <c r="BE140" s="437">
        <f t="shared" ref="BE140:BO140" si="66">BE139*(180/PI())</f>
        <v>-1.3231107131796325</v>
      </c>
      <c r="BF140" s="437">
        <f t="shared" si="66"/>
        <v>3.3281245496386793</v>
      </c>
      <c r="BG140" s="437">
        <f t="shared" si="66"/>
        <v>6.4976362374763381</v>
      </c>
      <c r="BH140" s="437">
        <f t="shared" si="66"/>
        <v>8.1949537101670522</v>
      </c>
      <c r="BI140" s="437">
        <f t="shared" si="66"/>
        <v>8.8583510665775158</v>
      </c>
      <c r="BJ140" s="437">
        <f t="shared" si="66"/>
        <v>8.6243771198514168</v>
      </c>
      <c r="BK140" s="437">
        <f t="shared" si="66"/>
        <v>8.2366697791290235</v>
      </c>
      <c r="BL140" s="437">
        <f t="shared" si="66"/>
        <v>7.6965467453272574</v>
      </c>
      <c r="BM140" s="437">
        <f t="shared" si="66"/>
        <v>6.2248548836911404</v>
      </c>
      <c r="BN140" s="437">
        <f t="shared" si="66"/>
        <v>5.3198342302619874</v>
      </c>
      <c r="BO140" s="437">
        <f t="shared" si="66"/>
        <v>4.8297750362528014</v>
      </c>
      <c r="BP140" s="231"/>
      <c r="BQ140" s="231"/>
      <c r="BR140" s="231"/>
      <c r="BS140" s="433"/>
      <c r="BT140" s="303"/>
    </row>
    <row r="141" spans="2:72" ht="15.6">
      <c r="B141" s="25"/>
      <c r="C141" s="25"/>
      <c r="D141" s="50">
        <f t="shared" si="55"/>
        <v>1.5000000000000002</v>
      </c>
      <c r="E141" s="34">
        <f>((0.1/D141)+(0.24/(D141^0.8))+(0.66*(D141^0.8))+(0.1*'6'!Y$26*((1/D141)-D141)))</f>
        <v>1.1530689824252089</v>
      </c>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35" t="s">
        <v>1396</v>
      </c>
      <c r="AZ141" s="231" t="s">
        <v>1397</v>
      </c>
      <c r="BA141" s="248">
        <f>60*BA132/(BA136*BA135)</f>
        <v>1.1507914426233761</v>
      </c>
      <c r="BB141" s="231"/>
      <c r="BC141" s="223" t="s">
        <v>1398</v>
      </c>
      <c r="BD141" s="223" t="s">
        <v>87</v>
      </c>
      <c r="BE141" s="437">
        <f t="shared" ref="BE141:BO141" si="67">$BA143*BE139</f>
        <v>-0.13855582988036952</v>
      </c>
      <c r="BF141" s="437">
        <f t="shared" si="67"/>
        <v>0.34852038784589046</v>
      </c>
      <c r="BG141" s="437">
        <f t="shared" si="67"/>
        <v>0.68043087564514959</v>
      </c>
      <c r="BH141" s="437">
        <f t="shared" si="67"/>
        <v>0.85817354574564098</v>
      </c>
      <c r="BI141" s="437">
        <f t="shared" si="67"/>
        <v>0.92764435445597448</v>
      </c>
      <c r="BJ141" s="437">
        <f t="shared" si="67"/>
        <v>0.90314266005043697</v>
      </c>
      <c r="BK141" s="437">
        <f t="shared" si="67"/>
        <v>0.86254204227189346</v>
      </c>
      <c r="BL141" s="437">
        <f t="shared" si="67"/>
        <v>0.80598049043768483</v>
      </c>
      <c r="BM141" s="437">
        <f t="shared" si="67"/>
        <v>0.65186527907555436</v>
      </c>
      <c r="BN141" s="437">
        <f t="shared" si="67"/>
        <v>0.55709173787021915</v>
      </c>
      <c r="BO141" s="437">
        <f t="shared" si="67"/>
        <v>0.50577285907943925</v>
      </c>
      <c r="BP141" s="231"/>
      <c r="BQ141" s="231"/>
      <c r="BR141" s="231"/>
      <c r="BS141" s="433"/>
      <c r="BT141" s="303"/>
    </row>
    <row r="142" spans="2:72" ht="15.6">
      <c r="B142" s="25"/>
      <c r="C142" s="25"/>
      <c r="D142" s="50">
        <f t="shared" si="55"/>
        <v>1.6000000000000003</v>
      </c>
      <c r="E142" s="34">
        <f>((0.1/D142)+(0.24/(D142^0.8))+(0.66*(D142^0.8))+(0.1*'6'!Y$26*((1/D142)-D142)))</f>
        <v>1.1885419806936881</v>
      </c>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35" t="s">
        <v>1399</v>
      </c>
      <c r="AZ142" s="231" t="s">
        <v>87</v>
      </c>
      <c r="BA142" s="248">
        <f>BA141/PI()</f>
        <v>0.36630829312272711</v>
      </c>
      <c r="BB142" s="231"/>
      <c r="BC142" s="223" t="s">
        <v>1400</v>
      </c>
      <c r="BD142" s="223" t="s">
        <v>87</v>
      </c>
      <c r="BE142" s="248">
        <f t="shared" ref="BE142:BO142" si="68">$BA144+($BA145*((BE141-$BA146)^2))</f>
        <v>6.8326446695794879E-3</v>
      </c>
      <c r="BF142" s="248">
        <f t="shared" si="68"/>
        <v>6.3941034439048278E-3</v>
      </c>
      <c r="BG142" s="248">
        <f t="shared" si="68"/>
        <v>8.8135691383768016E-3</v>
      </c>
      <c r="BH142" s="248">
        <f t="shared" si="68"/>
        <v>1.1015097708939534E-2</v>
      </c>
      <c r="BI142" s="248">
        <f t="shared" si="68"/>
        <v>1.2047307420172494E-2</v>
      </c>
      <c r="BJ142" s="248">
        <f t="shared" si="68"/>
        <v>1.1672238663878481E-2</v>
      </c>
      <c r="BK142" s="248">
        <f t="shared" si="68"/>
        <v>1.1077161620050008E-2</v>
      </c>
      <c r="BL142" s="248">
        <f t="shared" si="68"/>
        <v>1.0303104038348655E-2</v>
      </c>
      <c r="BM142" s="248">
        <f t="shared" si="68"/>
        <v>8.5186875834158404E-3</v>
      </c>
      <c r="BN142" s="248">
        <f t="shared" si="68"/>
        <v>7.6572368304219521E-3</v>
      </c>
      <c r="BO142" s="248">
        <f t="shared" si="68"/>
        <v>7.2657432725755852E-3</v>
      </c>
      <c r="BP142" s="231"/>
      <c r="BQ142" s="231"/>
      <c r="BR142" s="231"/>
      <c r="BS142" s="433"/>
      <c r="BT142" s="303"/>
    </row>
    <row r="143" spans="2:72" ht="15.6">
      <c r="B143" s="25"/>
      <c r="C143" s="25"/>
      <c r="D143" s="50">
        <f t="shared" si="55"/>
        <v>1.7000000000000004</v>
      </c>
      <c r="E143" s="34">
        <f>((0.1/D143)+(0.24/(D143^0.8))+(0.66*(D143^0.8))+(0.1*'6'!Y$26*((1/D143)-D143)))</f>
        <v>1.2248340041797092</v>
      </c>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35" t="s">
        <v>1401</v>
      </c>
      <c r="AZ143" s="231" t="s">
        <v>1402</v>
      </c>
      <c r="BA143" s="534">
        <f>'7b'!BB27</f>
        <v>6</v>
      </c>
      <c r="BB143" s="231"/>
      <c r="BC143" s="223" t="s">
        <v>1403</v>
      </c>
      <c r="BD143" s="223" t="s">
        <v>87</v>
      </c>
      <c r="BE143" s="227">
        <f t="shared" ref="BE143:BO143" si="69">BE141/BE142</f>
        <v>-20.278506578463251</v>
      </c>
      <c r="BF143" s="227">
        <f t="shared" si="69"/>
        <v>54.506529477266611</v>
      </c>
      <c r="BG143" s="227">
        <f t="shared" si="69"/>
        <v>77.202647980868377</v>
      </c>
      <c r="BH143" s="227">
        <f t="shared" si="69"/>
        <v>77.908845515657319</v>
      </c>
      <c r="BI143" s="227">
        <f t="shared" si="69"/>
        <v>77.000139707789771</v>
      </c>
      <c r="BJ143" s="227">
        <f t="shared" si="69"/>
        <v>77.375273592147266</v>
      </c>
      <c r="BK143" s="227">
        <f t="shared" si="69"/>
        <v>77.866701945619852</v>
      </c>
      <c r="BL143" s="227">
        <f t="shared" si="69"/>
        <v>78.226958345541902</v>
      </c>
      <c r="BM143" s="227">
        <f t="shared" si="69"/>
        <v>76.52179666086171</v>
      </c>
      <c r="BN143" s="227">
        <f t="shared" si="69"/>
        <v>72.753625127136175</v>
      </c>
      <c r="BO143" s="227">
        <f t="shared" si="69"/>
        <v>69.610615198650038</v>
      </c>
      <c r="BP143" s="231"/>
      <c r="BQ143" s="231"/>
      <c r="BR143" s="231"/>
      <c r="BS143" s="433"/>
      <c r="BT143" s="303"/>
    </row>
    <row r="144" spans="2:72" ht="15.6">
      <c r="B144" s="25"/>
      <c r="C144" s="25"/>
      <c r="D144" s="50">
        <f t="shared" si="55"/>
        <v>1.8000000000000005</v>
      </c>
      <c r="E144" s="34">
        <f>((0.1/D144)+(0.24/(D144^0.8))+(0.66*(D144^0.8))+(0.1*'6'!Y$26*((1/D144)-D144)))</f>
        <v>1.2617600728995553</v>
      </c>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35" t="s">
        <v>86</v>
      </c>
      <c r="AZ144" s="231"/>
      <c r="BA144" s="534">
        <f>'7b'!BB28</f>
        <v>6.0000000000000001E-3</v>
      </c>
      <c r="BB144" s="231"/>
      <c r="BC144" s="223" t="s">
        <v>1404</v>
      </c>
      <c r="BD144" s="223" t="s">
        <v>87</v>
      </c>
      <c r="BE144" s="244">
        <f t="shared" ref="BE144:BO144" si="70">(PI()/8)*((($BA$141^2)+(PI()^2)*(BE$122^2))*BE$127*((BE$141*COS(BE$130+BE$137))-(BE$142*SIN(BE$130+BE$137))))</f>
        <v>-5.2745515049410097E-3</v>
      </c>
      <c r="BF144" s="244">
        <f t="shared" si="70"/>
        <v>1.9403730536409987E-2</v>
      </c>
      <c r="BG144" s="244">
        <f t="shared" si="70"/>
        <v>5.813687952314929E-2</v>
      </c>
      <c r="BH144" s="244">
        <f t="shared" si="70"/>
        <v>0.10527959722220023</v>
      </c>
      <c r="BI144" s="244">
        <f t="shared" si="70"/>
        <v>0.14296488456345163</v>
      </c>
      <c r="BJ144" s="244">
        <f t="shared" si="70"/>
        <v>0.16691601813804696</v>
      </c>
      <c r="BK144" s="244">
        <f t="shared" si="70"/>
        <v>0.17185383200457627</v>
      </c>
      <c r="BL144" s="244">
        <f t="shared" si="70"/>
        <v>0.17142424008888948</v>
      </c>
      <c r="BM144" s="244">
        <f t="shared" si="70"/>
        <v>0.1535568430081494</v>
      </c>
      <c r="BN144" s="244">
        <f t="shared" si="70"/>
        <v>0.13616793955126941</v>
      </c>
      <c r="BO144" s="244">
        <f t="shared" si="70"/>
        <v>0.12547374165361525</v>
      </c>
      <c r="BP144" s="231"/>
      <c r="BQ144" s="231"/>
      <c r="BR144" s="231"/>
      <c r="BS144" s="433"/>
      <c r="BT144" s="303"/>
    </row>
    <row r="145" spans="2:72" ht="15.6">
      <c r="B145" s="25"/>
      <c r="C145" s="25"/>
      <c r="D145" s="50">
        <f t="shared" si="55"/>
        <v>1.9000000000000006</v>
      </c>
      <c r="E145" s="34">
        <f>((0.1/D145)+(0.24/(D145^0.8))+(0.66*(D145^0.8))+(0.1*'6'!Y$26*((1/D145)-D145)))</f>
        <v>1.2991765304701128</v>
      </c>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35" t="s">
        <v>1405</v>
      </c>
      <c r="AZ145" s="231"/>
      <c r="BA145" s="534">
        <f>'7b'!BB29</f>
        <v>0.01</v>
      </c>
      <c r="BB145" s="231"/>
      <c r="BC145" s="223" t="s">
        <v>1406</v>
      </c>
      <c r="BD145" s="231" t="s">
        <v>87</v>
      </c>
      <c r="BE145" s="244">
        <f t="shared" ref="BE145:BO145" si="71">(PI()/8)*(PI()*BE122*(($BA$141^2)+(PI()^2)*(BE$122^2))*BE$127*((BE$141*SIN(BE$130+BE$137))+(BE$142*COS(BE$130+BE$137))))</f>
        <v>-5.2912357707792538E-3</v>
      </c>
      <c r="BF145" s="244">
        <f t="shared" si="71"/>
        <v>2.4143061158493996E-2</v>
      </c>
      <c r="BG145" s="244">
        <f t="shared" si="71"/>
        <v>7.3244684383105899E-2</v>
      </c>
      <c r="BH145" s="244">
        <f t="shared" si="71"/>
        <v>0.134223355676996</v>
      </c>
      <c r="BI145" s="244">
        <f t="shared" si="71"/>
        <v>0.18248220909705476</v>
      </c>
      <c r="BJ145" s="244">
        <f t="shared" si="71"/>
        <v>0.21217688733325082</v>
      </c>
      <c r="BK145" s="244">
        <f t="shared" si="71"/>
        <v>0.21766027727012299</v>
      </c>
      <c r="BL145" s="244">
        <f t="shared" si="71"/>
        <v>0.21615873145942352</v>
      </c>
      <c r="BM145" s="244">
        <f t="shared" si="71"/>
        <v>0.19173278672506106</v>
      </c>
      <c r="BN145" s="244">
        <f t="shared" si="71"/>
        <v>0.16931315279785952</v>
      </c>
      <c r="BO145" s="244">
        <f t="shared" si="71"/>
        <v>0.1558033979444628</v>
      </c>
      <c r="BP145" s="231"/>
      <c r="BQ145" s="231"/>
      <c r="BR145" s="231"/>
      <c r="BS145" s="433"/>
      <c r="BT145" s="303"/>
    </row>
    <row r="146" spans="2:72">
      <c r="B146" s="25"/>
      <c r="C146" s="25"/>
      <c r="D146" s="50">
        <f t="shared" si="55"/>
        <v>2.0000000000000004</v>
      </c>
      <c r="E146" s="34">
        <f>((0.1/D146)+(0.24/(D146^0.8))+(0.66*(D146^0.8))+(0.1*'6'!Y$26*((1/D146)-D146)))</f>
        <v>1.3369705461505283</v>
      </c>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Y146" s="235" t="s">
        <v>1407</v>
      </c>
      <c r="AZ146" s="231"/>
      <c r="BA146" s="534">
        <f>'7b'!BB30</f>
        <v>0.15</v>
      </c>
      <c r="BB146" s="231"/>
      <c r="BC146" s="231"/>
      <c r="BD146" s="231"/>
      <c r="BE146" s="231"/>
      <c r="BF146" s="244">
        <f>0.5*(BF122-BE122)*(BF144+BE144)</f>
        <v>7.064589515734487E-4</v>
      </c>
      <c r="BG146" s="244">
        <f>0.5*(BG122-BF122)*(BG144+BF144)</f>
        <v>3.8770305029779653E-3</v>
      </c>
      <c r="BH146" s="244">
        <f>0.5*(BH122-BG122)*(BH144+BG144)</f>
        <v>8.1708238372674748E-3</v>
      </c>
      <c r="BI146" s="244">
        <f>0.5*(BI122-BH122)*(BI144+BH144)</f>
        <v>1.2412224089282591E-2</v>
      </c>
      <c r="BJ146" s="244">
        <f>0.5*(BJ122-BF122)*(BJ144+BF144)</f>
        <v>3.7263949734891388E-2</v>
      </c>
      <c r="BK146" s="244">
        <f>0.5*(BK122-BJ122)*(BK144+BJ144)</f>
        <v>8.4692462535655884E-3</v>
      </c>
      <c r="BL146" s="244">
        <f>0.5*(BL122-BK122)*(BL144+BK144)</f>
        <v>8.5819518023366511E-3</v>
      </c>
      <c r="BM146" s="244">
        <f>0.5*(BM122-BK122)*(BM144+BK144)</f>
        <v>2.4405800625954429E-2</v>
      </c>
      <c r="BN146" s="244">
        <f>0.5*(BN122-BM122)*(BN144+BM144)</f>
        <v>7.24311956398546E-3</v>
      </c>
      <c r="BO146" s="244">
        <f>0.5*(BO122-BN122)*(BO144+BN144)</f>
        <v>3.2705210150610607E-3</v>
      </c>
      <c r="BP146" s="231"/>
      <c r="BQ146" s="231"/>
      <c r="BR146" s="231"/>
      <c r="BS146" s="433"/>
      <c r="BT146" s="303"/>
    </row>
    <row r="147" spans="2:72">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Y147" s="246" t="s">
        <v>1408</v>
      </c>
      <c r="AZ147" s="223" t="s">
        <v>165</v>
      </c>
      <c r="BA147" s="534">
        <f>'7b'!BB31</f>
        <v>-43.052736791726751</v>
      </c>
      <c r="BB147" s="231"/>
      <c r="BC147" s="231"/>
      <c r="BD147" s="231"/>
      <c r="BE147" s="231"/>
      <c r="BF147" s="244">
        <f>0.5*(BF122-BE122)*(BF145+BE145)</f>
        <v>9.4259126938573681E-4</v>
      </c>
      <c r="BG147" s="244">
        <f>0.5*(BG122-BF122)*(BG145+BF145)</f>
        <v>4.8693872770799963E-3</v>
      </c>
      <c r="BH147" s="244">
        <f>0.5*(BH122-BG122)*(BH145+BG145)</f>
        <v>1.0373402003005091E-2</v>
      </c>
      <c r="BI147" s="244">
        <f>0.5*(BI122-BH122)*(BI145+BH145)</f>
        <v>1.5835278238702535E-2</v>
      </c>
      <c r="BJ147" s="244">
        <f>0.5*(BJ122-BF122)*(BJ145+BF145)</f>
        <v>4.7263989698348961E-2</v>
      </c>
      <c r="BK147" s="244">
        <f>0.5*(BK122-BJ122)*(BK145+BJ145)</f>
        <v>1.0745929115084357E-2</v>
      </c>
      <c r="BL147" s="244">
        <f>0.5*(BL122-BK122)*(BL145+BK145)</f>
        <v>1.0845475218238672E-2</v>
      </c>
      <c r="BM147" s="244">
        <f>0.5*(BM122-BK122)*(BM145+BK145)</f>
        <v>3.070447979963881E-2</v>
      </c>
      <c r="BN147" s="244">
        <f>0.5*(BN122-BM122)*(BN145+BM145)</f>
        <v>9.0261484880730016E-3</v>
      </c>
      <c r="BO147" s="244">
        <f>0.5*(BO122-BN122)*(BO145+BN145)</f>
        <v>4.0639568842790325E-3</v>
      </c>
      <c r="BP147" s="231"/>
      <c r="BQ147" s="231"/>
      <c r="BR147" s="231"/>
      <c r="BS147" s="433"/>
      <c r="BT147" s="303"/>
    </row>
    <row r="148" spans="2:72" ht="13.8" thickBot="1">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Y148" s="235"/>
      <c r="AZ148" s="231"/>
      <c r="BA148" s="231"/>
      <c r="BB148" s="231"/>
      <c r="BC148" s="231"/>
      <c r="BD148" s="231"/>
      <c r="BE148" s="231"/>
      <c r="BF148" s="231"/>
      <c r="BG148" s="231"/>
      <c r="BH148" s="231"/>
      <c r="BI148" s="231"/>
      <c r="BJ148" s="231"/>
      <c r="BK148" s="231"/>
      <c r="BL148" s="231"/>
      <c r="BM148" s="231"/>
      <c r="BN148" s="231"/>
      <c r="BO148" s="231"/>
      <c r="BP148" s="231"/>
      <c r="BQ148" s="231"/>
      <c r="BR148" s="231"/>
      <c r="BS148" s="433"/>
      <c r="BT148" s="303"/>
    </row>
    <row r="149" spans="2:72" ht="17.399999999999999">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Y149" s="401" t="s">
        <v>1409</v>
      </c>
      <c r="AZ149" s="402"/>
      <c r="BA149" s="403"/>
      <c r="BB149" s="231"/>
      <c r="BC149" s="231"/>
      <c r="BD149" s="231"/>
      <c r="BE149" s="231"/>
      <c r="BF149" s="231"/>
      <c r="BG149" s="231"/>
      <c r="BH149" s="231"/>
      <c r="BI149" s="231"/>
      <c r="BJ149" s="231"/>
      <c r="BK149" s="231"/>
      <c r="BL149" s="231"/>
      <c r="BM149" s="231"/>
      <c r="BN149" s="231"/>
      <c r="BO149" s="231"/>
      <c r="BP149" s="231"/>
      <c r="BQ149" s="231"/>
      <c r="BR149" s="231"/>
      <c r="BS149" s="433"/>
      <c r="BT149" s="303"/>
    </row>
    <row r="150" spans="2:72" ht="15.6">
      <c r="B150" s="25"/>
      <c r="C150" s="25"/>
      <c r="D150" s="231"/>
      <c r="E150" s="231" t="s">
        <v>688</v>
      </c>
      <c r="F150" s="231"/>
      <c r="G150" s="231"/>
      <c r="H150" s="231"/>
      <c r="I150" s="231"/>
      <c r="J150" s="231"/>
      <c r="K150" s="231"/>
      <c r="L150" s="231"/>
      <c r="M150" s="231" t="s">
        <v>747</v>
      </c>
      <c r="N150" s="231"/>
      <c r="O150" s="231"/>
      <c r="P150" s="231"/>
      <c r="Q150" s="231"/>
      <c r="R150" s="231"/>
      <c r="S150" s="231"/>
      <c r="T150" s="25"/>
      <c r="U150" s="25"/>
      <c r="V150" s="25"/>
      <c r="W150" s="25"/>
      <c r="X150" s="25"/>
      <c r="Y150" s="25"/>
      <c r="Z150" s="25"/>
      <c r="AA150" s="25"/>
      <c r="AB150" s="25"/>
      <c r="AC150" s="25"/>
      <c r="AD150" s="25"/>
      <c r="AE150" s="25"/>
      <c r="AF150" s="25"/>
      <c r="AG150" s="25"/>
      <c r="AH150" s="25"/>
      <c r="AI150" s="25"/>
      <c r="AY150" s="404" t="s">
        <v>641</v>
      </c>
      <c r="AZ150" s="405" t="s">
        <v>90</v>
      </c>
      <c r="BA150" s="406" t="s">
        <v>91</v>
      </c>
      <c r="BB150" s="231"/>
      <c r="BC150" s="231"/>
      <c r="BD150" s="231"/>
      <c r="BE150" s="231"/>
      <c r="BF150" s="231"/>
      <c r="BG150" s="231"/>
      <c r="BH150" s="231"/>
      <c r="BI150" s="231"/>
      <c r="BJ150" s="231"/>
      <c r="BK150" s="231"/>
      <c r="BL150" s="231"/>
      <c r="BM150" s="231"/>
      <c r="BN150" s="231"/>
      <c r="BO150" s="231"/>
      <c r="BP150" s="231"/>
      <c r="BQ150" s="1045"/>
      <c r="BR150" s="1046"/>
      <c r="BS150" s="1047"/>
      <c r="BT150" s="323"/>
    </row>
    <row r="151" spans="2:72" ht="15.6">
      <c r="B151" s="25"/>
      <c r="C151" s="25"/>
      <c r="D151" s="231"/>
      <c r="E151" s="231" t="s">
        <v>689</v>
      </c>
      <c r="F151" s="231"/>
      <c r="G151" s="231"/>
      <c r="H151" s="231"/>
      <c r="I151" s="231"/>
      <c r="J151" s="231"/>
      <c r="K151" s="231"/>
      <c r="L151" s="231"/>
      <c r="M151" s="231" t="s">
        <v>1009</v>
      </c>
      <c r="N151" s="231"/>
      <c r="O151" s="231"/>
      <c r="P151" s="231"/>
      <c r="Q151" s="231"/>
      <c r="R151" s="231"/>
      <c r="S151" s="231"/>
      <c r="T151" s="25"/>
      <c r="U151" s="25"/>
      <c r="V151" s="25"/>
      <c r="W151" s="25"/>
      <c r="X151" s="25"/>
      <c r="Y151" s="25"/>
      <c r="Z151" s="25"/>
      <c r="AA151" s="25"/>
      <c r="AB151" s="25"/>
      <c r="AC151" s="25"/>
      <c r="AD151" s="25"/>
      <c r="AE151" s="25"/>
      <c r="AF151" s="25"/>
      <c r="AG151" s="25"/>
      <c r="AH151" s="25"/>
      <c r="AI151" s="25"/>
      <c r="AY151" s="216" t="s">
        <v>1384</v>
      </c>
      <c r="AZ151" s="217" t="s">
        <v>87</v>
      </c>
      <c r="BA151" s="218">
        <f>BA134</f>
        <v>2</v>
      </c>
      <c r="BB151" s="231"/>
      <c r="BC151" s="231"/>
      <c r="BD151" s="231"/>
      <c r="BE151" s="231"/>
      <c r="BF151" s="231"/>
      <c r="BG151" s="231"/>
      <c r="BH151" s="231"/>
      <c r="BI151" s="231"/>
      <c r="BJ151" s="231"/>
      <c r="BK151" s="231"/>
      <c r="BL151" s="231"/>
      <c r="BM151" s="231"/>
      <c r="BN151" s="231"/>
      <c r="BO151" s="231"/>
      <c r="BP151" s="231"/>
      <c r="BQ151" s="1048"/>
      <c r="BR151" s="1046"/>
      <c r="BS151" s="1047"/>
      <c r="BT151" s="323"/>
    </row>
    <row r="152" spans="2:72" ht="15.6">
      <c r="B152" s="25"/>
      <c r="C152" s="25"/>
      <c r="D152" s="231"/>
      <c r="E152" s="231" t="s">
        <v>690</v>
      </c>
      <c r="F152" s="231"/>
      <c r="G152" s="231"/>
      <c r="H152" s="231"/>
      <c r="I152" s="231"/>
      <c r="J152" s="231"/>
      <c r="K152" s="231"/>
      <c r="L152" s="231"/>
      <c r="M152" s="231" t="s">
        <v>1010</v>
      </c>
      <c r="N152" s="231"/>
      <c r="O152" s="231"/>
      <c r="P152" s="231"/>
      <c r="Q152" s="231"/>
      <c r="R152" s="231"/>
      <c r="S152" s="231"/>
      <c r="T152" s="25"/>
      <c r="U152" s="25"/>
      <c r="V152" s="25"/>
      <c r="W152" s="25"/>
      <c r="X152" s="25"/>
      <c r="Y152" s="25"/>
      <c r="Z152" s="25"/>
      <c r="AA152" s="25"/>
      <c r="AB152" s="25"/>
      <c r="AC152" s="25"/>
      <c r="AD152" s="25"/>
      <c r="AE152" s="25"/>
      <c r="AF152" s="25"/>
      <c r="AG152" s="25"/>
      <c r="AH152" s="25"/>
      <c r="AI152" s="25"/>
      <c r="AY152" s="216" t="s">
        <v>1385</v>
      </c>
      <c r="AZ152" s="217" t="s">
        <v>188</v>
      </c>
      <c r="BA152" s="218">
        <f>BA135</f>
        <v>6</v>
      </c>
      <c r="BB152" s="231"/>
      <c r="BC152" s="231"/>
      <c r="BD152" s="231"/>
      <c r="BE152" s="231"/>
      <c r="BF152" s="231"/>
      <c r="BG152" s="231"/>
      <c r="BH152" s="231"/>
      <c r="BI152" s="231"/>
      <c r="BJ152" s="231"/>
      <c r="BK152" s="231"/>
      <c r="BL152" s="231"/>
      <c r="BM152" s="231"/>
      <c r="BN152" s="231"/>
      <c r="BO152" s="231"/>
      <c r="BP152" s="231"/>
      <c r="BQ152" s="1048"/>
      <c r="BR152" s="239"/>
      <c r="BS152" s="693"/>
      <c r="BT152" s="407"/>
    </row>
    <row r="153" spans="2:72">
      <c r="C153" s="25"/>
      <c r="D153" s="231"/>
      <c r="E153" s="231"/>
      <c r="F153" s="231"/>
      <c r="G153" s="231"/>
      <c r="H153" s="231"/>
      <c r="I153" s="231"/>
      <c r="J153" s="231"/>
      <c r="K153" s="231"/>
      <c r="L153" s="231"/>
      <c r="M153" s="231"/>
      <c r="N153" s="231"/>
      <c r="O153" s="231"/>
      <c r="P153" s="231"/>
      <c r="Q153" s="231"/>
      <c r="R153" s="231"/>
      <c r="S153" s="231"/>
      <c r="T153" s="25"/>
      <c r="U153" s="25"/>
      <c r="V153" s="25"/>
      <c r="W153" s="25"/>
      <c r="X153" s="25"/>
      <c r="Y153" s="25"/>
      <c r="Z153" s="25"/>
      <c r="AA153" s="25"/>
      <c r="AB153" s="25"/>
      <c r="AC153" s="25"/>
      <c r="AD153" s="25"/>
      <c r="AE153" s="25"/>
      <c r="AF153" s="25"/>
      <c r="AG153" s="25"/>
      <c r="AH153" s="25"/>
      <c r="AI153" s="25"/>
      <c r="AY153" s="216" t="s">
        <v>1386</v>
      </c>
      <c r="AZ153" s="217" t="s">
        <v>1387</v>
      </c>
      <c r="BA153" s="218">
        <f>BA136</f>
        <v>1439.5604169641786</v>
      </c>
      <c r="BB153" s="231"/>
      <c r="BC153" s="231"/>
      <c r="BD153" s="231"/>
      <c r="BE153" s="231"/>
      <c r="BF153" s="231"/>
      <c r="BG153" s="231"/>
      <c r="BH153" s="231"/>
      <c r="BI153" s="231"/>
      <c r="BJ153" s="231"/>
      <c r="BK153" s="231"/>
      <c r="BL153" s="231"/>
      <c r="BM153" s="231"/>
      <c r="BN153" s="231"/>
      <c r="BO153" s="231"/>
      <c r="BP153" s="231"/>
      <c r="BQ153" s="1048"/>
      <c r="BR153" s="239"/>
      <c r="BS153" s="693"/>
      <c r="BT153" s="407"/>
    </row>
    <row r="154" spans="2:72" ht="15.6">
      <c r="C154" s="25"/>
      <c r="D154" s="231"/>
      <c r="E154" s="231"/>
      <c r="F154" s="253" t="s">
        <v>691</v>
      </c>
      <c r="G154" s="253" t="s">
        <v>692</v>
      </c>
      <c r="H154" s="253" t="s">
        <v>691</v>
      </c>
      <c r="I154" s="231"/>
      <c r="J154" s="231"/>
      <c r="K154" s="231"/>
      <c r="L154" s="231"/>
      <c r="M154" s="231"/>
      <c r="N154" s="253" t="s">
        <v>691</v>
      </c>
      <c r="O154" s="253" t="s">
        <v>692</v>
      </c>
      <c r="P154" s="253" t="s">
        <v>691</v>
      </c>
      <c r="Q154" s="231"/>
      <c r="R154" s="231"/>
      <c r="S154" s="231"/>
      <c r="T154" s="25"/>
      <c r="U154" s="25"/>
      <c r="V154" s="25"/>
      <c r="W154" s="25"/>
      <c r="X154" s="25"/>
      <c r="Y154" s="25"/>
      <c r="Z154" s="25"/>
      <c r="AA154" s="25"/>
      <c r="AB154" s="25"/>
      <c r="AC154" s="25"/>
      <c r="AD154" s="25"/>
      <c r="AE154" s="25"/>
      <c r="AF154" s="25"/>
      <c r="AG154" s="25"/>
      <c r="AH154" s="25"/>
      <c r="AI154" s="25"/>
      <c r="AY154" s="129" t="s">
        <v>1410</v>
      </c>
      <c r="AZ154" s="122" t="s">
        <v>165</v>
      </c>
      <c r="BA154" s="408">
        <f>BK133</f>
        <v>35.760591041524179</v>
      </c>
      <c r="BB154" s="231"/>
      <c r="BC154" s="231"/>
      <c r="BD154" s="231"/>
      <c r="BE154" s="231"/>
      <c r="BF154" s="231"/>
      <c r="BG154" s="231"/>
      <c r="BH154" s="231"/>
      <c r="BI154" s="231"/>
      <c r="BJ154" s="231"/>
      <c r="BK154" s="231"/>
      <c r="BL154" s="231"/>
      <c r="BM154" s="231"/>
      <c r="BN154" s="231"/>
      <c r="BO154" s="231"/>
      <c r="BP154" s="231"/>
      <c r="BQ154" s="1048"/>
      <c r="BR154" s="239"/>
      <c r="BS154" s="693"/>
      <c r="BT154" s="409"/>
    </row>
    <row r="155" spans="2:72">
      <c r="C155" s="25"/>
      <c r="D155" s="231"/>
      <c r="E155" s="231"/>
      <c r="F155" s="253" t="s">
        <v>693</v>
      </c>
      <c r="G155" s="253" t="s">
        <v>693</v>
      </c>
      <c r="H155" s="253" t="s">
        <v>693</v>
      </c>
      <c r="I155" s="231"/>
      <c r="J155" s="231"/>
      <c r="K155" s="231"/>
      <c r="L155" s="231"/>
      <c r="M155" s="231"/>
      <c r="N155" s="253" t="s">
        <v>693</v>
      </c>
      <c r="O155" s="253" t="s">
        <v>693</v>
      </c>
      <c r="P155" s="253" t="s">
        <v>693</v>
      </c>
      <c r="Q155" s="231"/>
      <c r="R155" s="231"/>
      <c r="S155" s="231"/>
      <c r="T155" s="25"/>
      <c r="U155" s="25"/>
      <c r="V155" s="25"/>
      <c r="W155" s="25"/>
      <c r="X155" s="25"/>
      <c r="Y155" s="25"/>
      <c r="Z155" s="25"/>
      <c r="AA155" s="25"/>
      <c r="AB155" s="25"/>
      <c r="AC155" s="25"/>
      <c r="AD155" s="25"/>
      <c r="AE155" s="25"/>
      <c r="AF155" s="25"/>
      <c r="AG155" s="25"/>
      <c r="AH155" s="25"/>
      <c r="AI155" s="25"/>
      <c r="AY155" s="129" t="s">
        <v>1408</v>
      </c>
      <c r="AZ155" s="122" t="s">
        <v>165</v>
      </c>
      <c r="BA155" s="408">
        <f>BA147</f>
        <v>-43.052736791726751</v>
      </c>
      <c r="BB155" s="231"/>
      <c r="BC155" s="231"/>
      <c r="BD155" s="231"/>
      <c r="BE155" s="231"/>
      <c r="BF155" s="231"/>
      <c r="BG155" s="231"/>
      <c r="BH155" s="231"/>
      <c r="BI155" s="231"/>
      <c r="BJ155" s="231"/>
      <c r="BK155" s="231"/>
      <c r="BL155" s="231"/>
      <c r="BM155" s="231"/>
      <c r="BN155" s="231"/>
      <c r="BO155" s="231"/>
      <c r="BP155" s="231"/>
      <c r="BQ155" s="1048"/>
      <c r="BR155" s="239"/>
      <c r="BS155" s="693"/>
      <c r="BT155" s="410"/>
    </row>
    <row r="156" spans="2:72">
      <c r="C156" s="25"/>
      <c r="D156" s="231"/>
      <c r="E156" s="231"/>
      <c r="F156" s="253" t="s">
        <v>694</v>
      </c>
      <c r="G156" s="253" t="s">
        <v>694</v>
      </c>
      <c r="H156" s="253" t="s">
        <v>695</v>
      </c>
      <c r="I156" s="231"/>
      <c r="J156" s="231"/>
      <c r="K156" s="231" t="s">
        <v>696</v>
      </c>
      <c r="L156" s="231"/>
      <c r="M156" s="231"/>
      <c r="N156" s="253" t="s">
        <v>694</v>
      </c>
      <c r="O156" s="253" t="s">
        <v>694</v>
      </c>
      <c r="P156" s="253" t="s">
        <v>695</v>
      </c>
      <c r="Q156" s="231"/>
      <c r="R156" s="231"/>
      <c r="S156" s="231" t="s">
        <v>696</v>
      </c>
      <c r="T156" s="25"/>
      <c r="U156" s="25"/>
      <c r="V156" s="25"/>
      <c r="W156" s="25"/>
      <c r="X156" s="25"/>
      <c r="Y156" s="25"/>
      <c r="Z156" s="25"/>
      <c r="AA156" s="25"/>
      <c r="AB156" s="25"/>
      <c r="AC156" s="25"/>
      <c r="AD156" s="25"/>
      <c r="AE156" s="25"/>
      <c r="AF156" s="25"/>
      <c r="AG156" s="25"/>
      <c r="AH156" s="25"/>
      <c r="AI156" s="25"/>
      <c r="AY156" s="129" t="s">
        <v>1411</v>
      </c>
      <c r="AZ156" s="122" t="s">
        <v>619</v>
      </c>
      <c r="BA156" s="408">
        <f>BA165/((PI()/4)*(BA135^2))</f>
        <v>6.4691781992176454</v>
      </c>
      <c r="BB156" s="231"/>
      <c r="BC156" s="231"/>
      <c r="BD156" s="231"/>
      <c r="BE156" s="231"/>
      <c r="BF156" s="231"/>
      <c r="BG156" s="231"/>
      <c r="BH156" s="231"/>
      <c r="BI156" s="231"/>
      <c r="BJ156" s="231"/>
      <c r="BK156" s="231"/>
      <c r="BL156" s="231"/>
      <c r="BM156" s="231"/>
      <c r="BN156" s="231"/>
      <c r="BO156" s="231"/>
      <c r="BP156" s="231"/>
      <c r="BQ156" s="1048"/>
      <c r="BR156" s="239"/>
      <c r="BS156" s="693"/>
      <c r="BT156" s="410"/>
    </row>
    <row r="157" spans="2:72">
      <c r="C157" s="25"/>
      <c r="D157" s="231"/>
      <c r="E157" s="231"/>
      <c r="F157" s="1290" t="s">
        <v>697</v>
      </c>
      <c r="G157" s="1290" t="s">
        <v>697</v>
      </c>
      <c r="H157" s="1290" t="s">
        <v>697</v>
      </c>
      <c r="I157" s="233" t="s">
        <v>698</v>
      </c>
      <c r="J157" s="233" t="s">
        <v>699</v>
      </c>
      <c r="K157" s="233" t="s">
        <v>699</v>
      </c>
      <c r="L157" s="231"/>
      <c r="M157" s="231"/>
      <c r="N157" s="1290" t="s">
        <v>697</v>
      </c>
      <c r="O157" s="1290" t="s">
        <v>697</v>
      </c>
      <c r="P157" s="1290" t="s">
        <v>697</v>
      </c>
      <c r="Q157" s="233" t="s">
        <v>698</v>
      </c>
      <c r="R157" s="233" t="s">
        <v>699</v>
      </c>
      <c r="S157" s="233" t="s">
        <v>699</v>
      </c>
      <c r="T157" s="25"/>
      <c r="U157" s="25"/>
      <c r="V157" s="25"/>
      <c r="W157" s="25"/>
      <c r="X157" s="25"/>
      <c r="Y157" s="25"/>
      <c r="Z157" s="25"/>
      <c r="AA157" s="25"/>
      <c r="AB157" s="25"/>
      <c r="AC157" s="25"/>
      <c r="AD157" s="25"/>
      <c r="AE157" s="25"/>
      <c r="AF157" s="25"/>
      <c r="AG157" s="25"/>
      <c r="AH157" s="25"/>
      <c r="AI157" s="25"/>
      <c r="AY157" s="129" t="s">
        <v>1412</v>
      </c>
      <c r="AZ157" s="122" t="s">
        <v>87</v>
      </c>
      <c r="BA157" s="411">
        <f>BA134*BK124/(PI()*(BA135/2))</f>
        <v>8.3765759522050176E-2</v>
      </c>
      <c r="BB157" s="231"/>
      <c r="BC157" s="231"/>
      <c r="BD157" s="231"/>
      <c r="BE157" s="231"/>
      <c r="BF157" s="227"/>
      <c r="BG157" s="1049"/>
      <c r="BH157" s="231"/>
      <c r="BI157" s="231"/>
      <c r="BJ157" s="231"/>
      <c r="BK157" s="231"/>
      <c r="BL157" s="231"/>
      <c r="BM157" s="231"/>
      <c r="BN157" s="231"/>
      <c r="BO157" s="231"/>
      <c r="BP157" s="231"/>
      <c r="BQ157" s="1048"/>
      <c r="BR157" s="239"/>
      <c r="BS157" s="693"/>
      <c r="BT157" s="412"/>
    </row>
    <row r="158" spans="2:72">
      <c r="C158" s="25"/>
      <c r="D158" s="231"/>
      <c r="E158" s="247" t="s">
        <v>700</v>
      </c>
      <c r="F158" s="251">
        <v>1</v>
      </c>
      <c r="G158" s="251">
        <v>1</v>
      </c>
      <c r="H158" s="251">
        <v>1</v>
      </c>
      <c r="I158" s="251">
        <v>1</v>
      </c>
      <c r="J158" s="251">
        <v>1.1319999999999999</v>
      </c>
      <c r="K158" s="251">
        <v>1</v>
      </c>
      <c r="L158" s="231"/>
      <c r="M158" s="231" t="s">
        <v>748</v>
      </c>
      <c r="N158" s="251">
        <v>1</v>
      </c>
      <c r="O158" s="251">
        <v>1</v>
      </c>
      <c r="P158" s="251">
        <v>0.82399999999999995</v>
      </c>
      <c r="Q158" s="251">
        <v>1</v>
      </c>
      <c r="R158" s="251">
        <v>1</v>
      </c>
      <c r="S158" s="262">
        <v>1</v>
      </c>
      <c r="T158" s="25"/>
      <c r="U158" s="25"/>
      <c r="V158" s="25"/>
      <c r="W158" s="25"/>
      <c r="X158" s="25"/>
      <c r="Y158" s="25"/>
      <c r="Z158" s="25"/>
      <c r="AA158" s="25"/>
      <c r="AB158" s="25"/>
      <c r="AC158" s="25"/>
      <c r="AD158" s="25"/>
      <c r="AE158" s="25"/>
      <c r="AF158" s="25"/>
      <c r="AG158" s="25"/>
      <c r="AH158" s="25"/>
      <c r="AI158" s="25"/>
      <c r="AY158" s="216" t="s">
        <v>33</v>
      </c>
      <c r="AZ158" s="217" t="s">
        <v>188</v>
      </c>
      <c r="BA158" s="413">
        <f>BA123</f>
        <v>3500</v>
      </c>
      <c r="BB158" s="231"/>
      <c r="BC158" s="231"/>
      <c r="BD158" s="231"/>
      <c r="BE158" s="231"/>
      <c r="BF158" s="451"/>
      <c r="BG158" s="1049"/>
      <c r="BH158" s="231"/>
      <c r="BI158" s="231"/>
      <c r="BJ158" s="231"/>
      <c r="BK158" s="231"/>
      <c r="BL158" s="231"/>
      <c r="BM158" s="231"/>
      <c r="BN158" s="231"/>
      <c r="BO158" s="231"/>
      <c r="BP158" s="231"/>
      <c r="BQ158" s="1048"/>
      <c r="BR158" s="239"/>
      <c r="BS158" s="693"/>
      <c r="BT158" s="412"/>
    </row>
    <row r="159" spans="2:72">
      <c r="C159" s="25"/>
      <c r="D159" s="231"/>
      <c r="E159" s="247" t="s">
        <v>701</v>
      </c>
      <c r="F159" s="251">
        <v>1</v>
      </c>
      <c r="G159" s="251">
        <v>1</v>
      </c>
      <c r="H159" s="251">
        <v>0</v>
      </c>
      <c r="I159" s="251">
        <v>0.7</v>
      </c>
      <c r="J159" s="251">
        <v>1</v>
      </c>
      <c r="K159" s="251">
        <v>0</v>
      </c>
      <c r="L159" s="231"/>
      <c r="M159" s="231" t="s">
        <v>749</v>
      </c>
      <c r="N159" s="251">
        <v>1</v>
      </c>
      <c r="O159" s="251">
        <v>1</v>
      </c>
      <c r="P159" s="251">
        <v>1</v>
      </c>
      <c r="Q159" s="251">
        <v>1</v>
      </c>
      <c r="R159" s="251">
        <v>1</v>
      </c>
      <c r="S159" s="262">
        <v>1</v>
      </c>
      <c r="T159" s="25"/>
      <c r="U159" s="25"/>
      <c r="V159" s="25"/>
      <c r="W159" s="25"/>
      <c r="X159" s="25"/>
      <c r="Y159" s="25"/>
      <c r="Z159" s="25"/>
      <c r="AA159" s="25"/>
      <c r="AB159" s="25"/>
      <c r="AC159" s="25"/>
      <c r="AD159" s="25"/>
      <c r="AE159" s="25"/>
      <c r="AF159" s="25"/>
      <c r="AG159" s="25"/>
      <c r="AH159" s="25"/>
      <c r="AI159" s="25"/>
      <c r="AY159" s="216" t="s">
        <v>1366</v>
      </c>
      <c r="AZ159" s="217" t="s">
        <v>648</v>
      </c>
      <c r="BA159" s="218">
        <f>BA124</f>
        <v>0</v>
      </c>
      <c r="BB159" s="231"/>
      <c r="BC159" s="231"/>
      <c r="BD159" s="231"/>
      <c r="BE159" s="231"/>
      <c r="BF159" s="231"/>
      <c r="BG159" s="231"/>
      <c r="BH159" s="231"/>
      <c r="BI159" s="231"/>
      <c r="BJ159" s="231"/>
      <c r="BK159" s="231"/>
      <c r="BL159" s="231"/>
      <c r="BM159" s="231"/>
      <c r="BN159" s="231"/>
      <c r="BO159" s="231"/>
      <c r="BP159" s="231"/>
      <c r="BQ159" s="1048"/>
      <c r="BR159" s="239"/>
      <c r="BS159" s="693"/>
      <c r="BT159" s="412"/>
    </row>
    <row r="160" spans="2:72">
      <c r="C160" s="25"/>
      <c r="D160" s="231"/>
      <c r="E160" s="247" t="s">
        <v>702</v>
      </c>
      <c r="F160" s="251">
        <v>0</v>
      </c>
      <c r="G160" s="251">
        <v>0</v>
      </c>
      <c r="H160" s="251">
        <v>0</v>
      </c>
      <c r="I160" s="251">
        <v>0</v>
      </c>
      <c r="J160" s="251">
        <v>-0.13200000000000001</v>
      </c>
      <c r="K160" s="251">
        <v>0</v>
      </c>
      <c r="L160" s="231"/>
      <c r="M160" s="231" t="s">
        <v>750</v>
      </c>
      <c r="N160" s="251">
        <v>0.5</v>
      </c>
      <c r="O160" s="251">
        <v>0</v>
      </c>
      <c r="P160" s="251">
        <v>1.22</v>
      </c>
      <c r="Q160" s="251">
        <v>0</v>
      </c>
      <c r="R160" s="251">
        <v>0</v>
      </c>
      <c r="S160" s="262">
        <v>0</v>
      </c>
      <c r="T160" s="25"/>
      <c r="U160" s="25"/>
      <c r="V160" s="25"/>
      <c r="W160" s="25"/>
      <c r="X160" s="25"/>
      <c r="Y160" s="25"/>
      <c r="Z160" s="25"/>
      <c r="AA160" s="25"/>
      <c r="AB160" s="25"/>
      <c r="AC160" s="25"/>
      <c r="AD160" s="25"/>
      <c r="AE160" s="25"/>
      <c r="AF160" s="25"/>
      <c r="AG160" s="25"/>
      <c r="AH160" s="25"/>
      <c r="AI160" s="25"/>
      <c r="AY160" s="216" t="s">
        <v>1381</v>
      </c>
      <c r="AZ160" s="122" t="s">
        <v>1026</v>
      </c>
      <c r="BA160" s="218">
        <f>BA131</f>
        <v>98.083706866886658</v>
      </c>
      <c r="BB160" s="231"/>
      <c r="BC160" s="231"/>
      <c r="BD160" s="231"/>
      <c r="BE160" s="231"/>
      <c r="BF160" s="231"/>
      <c r="BG160" s="231"/>
      <c r="BH160" s="231"/>
      <c r="BI160" s="231"/>
      <c r="BJ160" s="231"/>
      <c r="BK160" s="231"/>
      <c r="BL160" s="231"/>
      <c r="BM160" s="231"/>
      <c r="BN160" s="231"/>
      <c r="BO160" s="231"/>
      <c r="BP160" s="231"/>
      <c r="BQ160" s="1048"/>
      <c r="BR160" s="239"/>
      <c r="BS160" s="693"/>
      <c r="BT160" s="407"/>
    </row>
    <row r="161" spans="3:72">
      <c r="C161" s="25"/>
      <c r="D161" s="231"/>
      <c r="E161" s="247" t="s">
        <v>703</v>
      </c>
      <c r="F161" s="251">
        <v>1</v>
      </c>
      <c r="G161" s="251">
        <v>1</v>
      </c>
      <c r="H161" s="251">
        <v>0.28320000000000001</v>
      </c>
      <c r="I161" s="251">
        <v>1</v>
      </c>
      <c r="J161" s="251">
        <v>1</v>
      </c>
      <c r="K161" s="251">
        <v>1</v>
      </c>
      <c r="L161" s="231"/>
      <c r="M161" s="231" t="s">
        <v>751</v>
      </c>
      <c r="N161" s="251">
        <v>0</v>
      </c>
      <c r="O161" s="251">
        <v>0</v>
      </c>
      <c r="P161" s="251">
        <v>0</v>
      </c>
      <c r="Q161" s="251">
        <v>0</v>
      </c>
      <c r="R161" s="251">
        <v>0</v>
      </c>
      <c r="S161" s="262">
        <v>0</v>
      </c>
      <c r="T161" s="25"/>
      <c r="U161" s="25"/>
      <c r="V161" s="25"/>
      <c r="W161" s="25"/>
      <c r="X161" s="25"/>
      <c r="Y161" s="25"/>
      <c r="Z161" s="25"/>
      <c r="AA161" s="25"/>
      <c r="AB161" s="25"/>
      <c r="AC161" s="25"/>
      <c r="AD161" s="25"/>
      <c r="AE161" s="25"/>
      <c r="AF161" s="25"/>
      <c r="AG161" s="25"/>
      <c r="AH161" s="25"/>
      <c r="AI161" s="25"/>
      <c r="AY161" s="129" t="s">
        <v>1413</v>
      </c>
      <c r="AZ161" s="122" t="s">
        <v>87</v>
      </c>
      <c r="BA161" s="411">
        <f>SUM(BF146:BO146)</f>
        <v>0.11440112637689606</v>
      </c>
      <c r="BB161" s="231"/>
      <c r="BC161" s="231"/>
      <c r="BD161" s="231"/>
      <c r="BE161" s="231"/>
      <c r="BF161" s="231"/>
      <c r="BG161" s="231"/>
      <c r="BH161" s="231"/>
      <c r="BI161" s="231"/>
      <c r="BJ161" s="231"/>
      <c r="BK161" s="231"/>
      <c r="BL161" s="231"/>
      <c r="BM161" s="231"/>
      <c r="BN161" s="231"/>
      <c r="BO161" s="231"/>
      <c r="BP161" s="231"/>
      <c r="BQ161" s="1048"/>
      <c r="BR161" s="239"/>
      <c r="BS161" s="693"/>
      <c r="BT161" s="412"/>
    </row>
    <row r="162" spans="3:72">
      <c r="C162" s="25"/>
      <c r="D162" s="231"/>
      <c r="E162" s="247" t="s">
        <v>704</v>
      </c>
      <c r="F162" s="251">
        <v>1</v>
      </c>
      <c r="G162" s="251">
        <v>1</v>
      </c>
      <c r="H162" s="251">
        <v>0</v>
      </c>
      <c r="I162" s="251">
        <v>1</v>
      </c>
      <c r="J162" s="251">
        <v>1</v>
      </c>
      <c r="K162" s="251">
        <v>1</v>
      </c>
      <c r="L162" s="231"/>
      <c r="M162" s="231" t="s">
        <v>752</v>
      </c>
      <c r="N162" s="251">
        <v>1</v>
      </c>
      <c r="O162" s="251">
        <v>1</v>
      </c>
      <c r="P162" s="251">
        <v>1</v>
      </c>
      <c r="Q162" s="251">
        <v>0</v>
      </c>
      <c r="R162" s="251">
        <v>0</v>
      </c>
      <c r="S162" s="262">
        <v>0</v>
      </c>
      <c r="T162" s="25"/>
      <c r="U162" s="25"/>
      <c r="V162" s="25"/>
      <c r="W162" s="25"/>
      <c r="X162" s="25"/>
      <c r="Y162" s="25"/>
      <c r="Z162" s="25"/>
      <c r="AA162" s="25"/>
      <c r="AB162" s="25"/>
      <c r="AC162" s="25"/>
      <c r="AD162" s="25"/>
      <c r="AE162" s="25"/>
      <c r="AF162" s="25"/>
      <c r="AG162" s="25"/>
      <c r="AH162" s="25"/>
      <c r="AI162" s="25"/>
      <c r="AY162" s="129" t="s">
        <v>1414</v>
      </c>
      <c r="AZ162" s="122" t="s">
        <v>87</v>
      </c>
      <c r="BA162" s="411">
        <f>SUM(BF147:BO147)</f>
        <v>0.14467063799183622</v>
      </c>
      <c r="BB162" s="231"/>
      <c r="BC162" s="231"/>
      <c r="BD162" s="231"/>
      <c r="BE162" s="231"/>
      <c r="BF162" s="248"/>
      <c r="BG162" s="1049"/>
      <c r="BH162" s="231"/>
      <c r="BI162" s="231"/>
      <c r="BJ162" s="231"/>
      <c r="BK162" s="231"/>
      <c r="BL162" s="231"/>
      <c r="BM162" s="231"/>
      <c r="BN162" s="231"/>
      <c r="BO162" s="231"/>
      <c r="BP162" s="231"/>
      <c r="BQ162" s="1048"/>
      <c r="BR162" s="239"/>
      <c r="BS162" s="693"/>
      <c r="BT162" s="407"/>
    </row>
    <row r="163" spans="3:72">
      <c r="C163" s="25"/>
      <c r="D163" s="231"/>
      <c r="E163" s="247" t="s">
        <v>705</v>
      </c>
      <c r="F163" s="251">
        <v>0</v>
      </c>
      <c r="G163" s="251">
        <v>1.18</v>
      </c>
      <c r="H163" s="251">
        <v>1</v>
      </c>
      <c r="I163" s="251">
        <v>0</v>
      </c>
      <c r="J163" s="251">
        <v>0</v>
      </c>
      <c r="K163" s="251">
        <v>0</v>
      </c>
      <c r="L163" s="231"/>
      <c r="M163" s="231"/>
      <c r="N163" s="231"/>
      <c r="O163" s="231"/>
      <c r="P163" s="231"/>
      <c r="Q163" s="231"/>
      <c r="R163" s="231"/>
      <c r="S163" s="231"/>
      <c r="T163" s="25"/>
      <c r="U163" s="25"/>
      <c r="V163" s="25"/>
      <c r="W163" s="25"/>
      <c r="X163" s="25"/>
      <c r="Y163" s="25"/>
      <c r="Z163" s="25"/>
      <c r="AA163" s="25"/>
      <c r="AB163" s="25"/>
      <c r="AC163" s="25"/>
      <c r="AD163" s="25"/>
      <c r="AE163" s="25"/>
      <c r="AF163" s="25"/>
      <c r="AG163" s="25"/>
      <c r="AH163" s="25"/>
      <c r="AI163" s="25"/>
      <c r="AY163" s="415" t="s">
        <v>1415</v>
      </c>
      <c r="AZ163" s="122" t="s">
        <v>87</v>
      </c>
      <c r="BA163" s="411">
        <f>BA161*BA141/BA162</f>
        <v>0.91001076022376093</v>
      </c>
      <c r="BB163" s="231"/>
      <c r="BC163" s="231"/>
      <c r="BD163" s="231"/>
      <c r="BE163" s="231"/>
      <c r="BF163" s="231"/>
      <c r="BG163" s="231"/>
      <c r="BH163" s="231"/>
      <c r="BI163" s="231"/>
      <c r="BJ163" s="231"/>
      <c r="BK163" s="231"/>
      <c r="BL163" s="231"/>
      <c r="BM163" s="231"/>
      <c r="BN163" s="231"/>
      <c r="BO163" s="231"/>
      <c r="BP163" s="231"/>
      <c r="BQ163" s="1048"/>
      <c r="BR163" s="239"/>
      <c r="BS163" s="693"/>
      <c r="BT163" s="407"/>
    </row>
    <row r="164" spans="3:72">
      <c r="C164" s="25"/>
      <c r="D164" s="231"/>
      <c r="E164" s="247" t="s">
        <v>706</v>
      </c>
      <c r="F164" s="251">
        <v>0</v>
      </c>
      <c r="G164" s="251">
        <v>1</v>
      </c>
      <c r="H164" s="251">
        <v>0</v>
      </c>
      <c r="I164" s="251">
        <v>0</v>
      </c>
      <c r="J164" s="251">
        <v>0</v>
      </c>
      <c r="K164" s="251">
        <v>0</v>
      </c>
      <c r="L164" s="231"/>
      <c r="M164" s="231"/>
      <c r="N164" s="231"/>
      <c r="O164" s="231"/>
      <c r="P164" s="231"/>
      <c r="Q164" s="231"/>
      <c r="R164" s="231"/>
      <c r="S164" s="231"/>
      <c r="T164" s="25"/>
      <c r="U164" s="25"/>
      <c r="V164" s="25"/>
      <c r="W164" s="25"/>
      <c r="X164" s="25"/>
      <c r="Y164" s="25"/>
      <c r="Z164" s="25"/>
      <c r="AA164" s="25"/>
      <c r="AB164" s="25"/>
      <c r="AC164" s="25"/>
      <c r="AD164" s="25"/>
      <c r="AE164" s="25"/>
      <c r="AF164" s="25"/>
      <c r="AG164" s="25"/>
      <c r="AH164" s="25"/>
      <c r="AI164" s="25"/>
      <c r="AY164" s="129" t="s">
        <v>70</v>
      </c>
      <c r="AZ164" s="122" t="s">
        <v>1416</v>
      </c>
      <c r="BA164" s="413">
        <f>BA162*BA130*(BA137^3)*(BA135^5)/550</f>
        <v>60.542283819355148</v>
      </c>
      <c r="BB164" s="231"/>
      <c r="BC164" s="231"/>
      <c r="BD164" s="231"/>
      <c r="BE164" s="231"/>
      <c r="BF164" s="231"/>
      <c r="BG164" s="231"/>
      <c r="BH164" s="231"/>
      <c r="BI164" s="231"/>
      <c r="BJ164" s="231"/>
      <c r="BK164" s="231"/>
      <c r="BL164" s="231"/>
      <c r="BM164" s="231"/>
      <c r="BN164" s="231"/>
      <c r="BO164" s="231"/>
      <c r="BP164" s="231"/>
      <c r="BQ164" s="1048"/>
      <c r="BR164" s="239"/>
      <c r="BS164" s="693"/>
      <c r="BT164" s="409"/>
    </row>
    <row r="165" spans="3:72" ht="13.8" thickBot="1">
      <c r="C165" s="25"/>
      <c r="D165" s="231"/>
      <c r="E165" s="247" t="s">
        <v>707</v>
      </c>
      <c r="F165" s="251">
        <v>1</v>
      </c>
      <c r="G165" s="251">
        <v>1</v>
      </c>
      <c r="H165" s="251">
        <v>-0.253</v>
      </c>
      <c r="I165" s="251">
        <v>1</v>
      </c>
      <c r="J165" s="251">
        <v>1</v>
      </c>
      <c r="K165" s="251">
        <v>1</v>
      </c>
      <c r="L165" s="231"/>
      <c r="M165" s="231"/>
      <c r="N165" s="231"/>
      <c r="O165" s="231"/>
      <c r="P165" s="231"/>
      <c r="Q165" s="231"/>
      <c r="R165" s="231"/>
      <c r="S165" s="231"/>
      <c r="T165" s="25"/>
      <c r="U165" s="25"/>
      <c r="V165" s="25"/>
      <c r="W165" s="25"/>
      <c r="X165" s="25"/>
      <c r="Y165" s="25"/>
      <c r="Z165" s="25"/>
      <c r="AA165" s="25"/>
      <c r="AB165" s="25"/>
      <c r="AC165" s="25"/>
      <c r="AD165" s="25"/>
      <c r="AE165" s="25"/>
      <c r="AF165" s="25"/>
      <c r="AG165" s="25"/>
      <c r="AH165" s="25"/>
      <c r="AI165" s="25"/>
      <c r="AY165" s="416" t="s">
        <v>69</v>
      </c>
      <c r="AZ165" s="137" t="s">
        <v>436</v>
      </c>
      <c r="BA165" s="226">
        <f>BA161*BA130*(BA137^2)*(BA135^4)</f>
        <v>182.91170434882861</v>
      </c>
      <c r="BB165" s="231"/>
      <c r="BC165" s="231"/>
      <c r="BD165" s="231"/>
      <c r="BE165" s="231"/>
      <c r="BF165" s="227"/>
      <c r="BG165" s="1049"/>
      <c r="BH165" s="231"/>
      <c r="BI165" s="231"/>
      <c r="BJ165" s="231"/>
      <c r="BK165" s="231"/>
      <c r="BL165" s="231"/>
      <c r="BM165" s="231"/>
      <c r="BN165" s="231"/>
      <c r="BO165" s="231"/>
      <c r="BP165" s="231"/>
      <c r="BQ165" s="1048"/>
      <c r="BR165" s="239"/>
      <c r="BS165" s="693"/>
      <c r="BT165" s="409"/>
    </row>
    <row r="166" spans="3:72">
      <c r="C166" s="25"/>
      <c r="D166" s="231"/>
      <c r="E166" s="231"/>
      <c r="F166" s="231"/>
      <c r="G166" s="231"/>
      <c r="H166" s="231"/>
      <c r="I166" s="231"/>
      <c r="J166" s="231"/>
      <c r="K166" s="231"/>
      <c r="L166" s="231"/>
      <c r="M166" s="231"/>
      <c r="N166" s="231"/>
      <c r="O166" s="231"/>
      <c r="P166" s="231"/>
      <c r="Q166" s="231"/>
      <c r="R166" s="231"/>
      <c r="S166" s="231"/>
      <c r="T166" s="25"/>
      <c r="U166" s="25"/>
      <c r="V166" s="25"/>
      <c r="W166" s="25"/>
      <c r="X166" s="25"/>
      <c r="Y166" s="25"/>
      <c r="Z166" s="25"/>
      <c r="AA166" s="25"/>
      <c r="AB166" s="25"/>
      <c r="AC166" s="25"/>
      <c r="AD166" s="25"/>
      <c r="AE166" s="25"/>
      <c r="AF166" s="25"/>
      <c r="AG166" s="25"/>
      <c r="AH166" s="25"/>
      <c r="AI166" s="25"/>
      <c r="AY166" s="235"/>
      <c r="AZ166" s="231"/>
      <c r="BA166" s="231"/>
      <c r="BB166" s="231"/>
      <c r="BC166" s="417"/>
      <c r="BD166" s="418"/>
      <c r="BE166" s="419"/>
      <c r="BF166" s="231"/>
      <c r="BG166" s="1049"/>
      <c r="BH166" s="231"/>
      <c r="BI166" s="231"/>
      <c r="BJ166" s="231"/>
      <c r="BK166" s="231"/>
      <c r="BL166" s="231"/>
      <c r="BM166" s="231"/>
      <c r="BN166" s="231"/>
      <c r="BO166" s="231"/>
      <c r="BP166" s="231"/>
      <c r="BQ166" s="1048"/>
      <c r="BR166" s="239"/>
      <c r="BS166" s="693"/>
      <c r="BT166" s="407"/>
    </row>
    <row r="167" spans="3:72">
      <c r="C167" s="25"/>
      <c r="D167" s="231"/>
      <c r="E167" s="231"/>
      <c r="F167" s="231"/>
      <c r="G167" s="231"/>
      <c r="H167" s="231"/>
      <c r="I167" s="231"/>
      <c r="J167" s="231"/>
      <c r="K167" s="231"/>
      <c r="L167" s="231"/>
      <c r="M167" s="231"/>
      <c r="N167" s="231"/>
      <c r="O167" s="231"/>
      <c r="P167" s="231"/>
      <c r="Q167" s="231"/>
      <c r="R167" s="231"/>
      <c r="S167" s="231"/>
      <c r="T167" s="25"/>
      <c r="U167" s="25"/>
      <c r="V167" s="25"/>
      <c r="W167" s="25"/>
      <c r="X167" s="25"/>
      <c r="Y167" s="25"/>
      <c r="Z167" s="25"/>
      <c r="AA167" s="25"/>
      <c r="AB167" s="25"/>
      <c r="AC167" s="25"/>
      <c r="AD167" s="25"/>
      <c r="AE167" s="25"/>
      <c r="AF167" s="25"/>
      <c r="AG167" s="25"/>
      <c r="AH167" s="25"/>
      <c r="AI167" s="25"/>
      <c r="AY167" s="235"/>
      <c r="AZ167" s="231"/>
      <c r="BA167" s="231"/>
      <c r="BB167" s="231"/>
      <c r="BC167" s="417"/>
      <c r="BD167" s="418"/>
      <c r="BE167" s="420"/>
      <c r="BF167" s="248"/>
      <c r="BG167" s="1049"/>
      <c r="BH167" s="231"/>
      <c r="BI167" s="231"/>
      <c r="BJ167" s="231"/>
      <c r="BK167" s="231"/>
      <c r="BL167" s="231"/>
      <c r="BM167" s="231"/>
      <c r="BN167" s="231"/>
      <c r="BO167" s="231"/>
      <c r="BP167" s="231"/>
      <c r="BQ167" s="231"/>
      <c r="BR167" s="231"/>
      <c r="BS167" s="433"/>
      <c r="BT167" s="303"/>
    </row>
    <row r="168" spans="3:72">
      <c r="C168" s="25"/>
      <c r="D168" s="231"/>
      <c r="E168" s="231"/>
      <c r="F168" s="231"/>
      <c r="G168" s="231"/>
      <c r="H168" s="231" t="s">
        <v>708</v>
      </c>
      <c r="I168" s="231"/>
      <c r="J168" s="231"/>
      <c r="K168" s="231"/>
      <c r="L168" s="231"/>
      <c r="M168" s="231"/>
      <c r="N168" s="231"/>
      <c r="O168" s="231"/>
      <c r="P168" s="231"/>
      <c r="Q168" s="231"/>
      <c r="R168" s="231"/>
      <c r="S168" s="231"/>
      <c r="T168" s="25"/>
      <c r="U168" s="25"/>
      <c r="V168" s="25"/>
      <c r="W168" s="25"/>
      <c r="X168" s="25"/>
      <c r="Y168" s="25"/>
      <c r="Z168" s="25"/>
      <c r="AA168" s="25"/>
      <c r="AB168" s="25"/>
      <c r="AC168" s="25"/>
      <c r="AD168" s="25"/>
      <c r="AE168" s="25"/>
      <c r="AF168" s="25"/>
      <c r="AG168" s="25"/>
      <c r="AH168" s="25"/>
      <c r="AI168" s="25"/>
      <c r="AY168" s="235"/>
      <c r="AZ168" s="231"/>
      <c r="BA168" s="231"/>
      <c r="BB168" s="231"/>
      <c r="BC168" s="417"/>
      <c r="BD168" s="418"/>
      <c r="BE168" s="421"/>
      <c r="BF168" s="248"/>
      <c r="BG168" s="1049"/>
      <c r="BH168" s="231"/>
      <c r="BI168" s="231"/>
      <c r="BJ168" s="231"/>
      <c r="BK168" s="231"/>
      <c r="BL168" s="231"/>
      <c r="BM168" s="231"/>
      <c r="BN168" s="231"/>
      <c r="BO168" s="231"/>
      <c r="BP168" s="231"/>
      <c r="BQ168" s="231"/>
      <c r="BR168" s="231"/>
      <c r="BS168" s="433"/>
      <c r="BT168" s="303"/>
    </row>
    <row r="169" spans="3:72" ht="21">
      <c r="C169" s="25"/>
      <c r="D169" s="231" t="s">
        <v>709</v>
      </c>
      <c r="E169" s="231"/>
      <c r="F169" s="231"/>
      <c r="G169" s="231"/>
      <c r="H169" s="231" t="s">
        <v>145</v>
      </c>
      <c r="I169" s="231"/>
      <c r="J169" s="231"/>
      <c r="K169" s="231"/>
      <c r="L169" s="231"/>
      <c r="M169" s="231"/>
      <c r="N169" s="231"/>
      <c r="O169" s="231"/>
      <c r="P169" s="231"/>
      <c r="Q169" s="231"/>
      <c r="R169" s="231"/>
      <c r="S169" s="231"/>
      <c r="T169" s="25"/>
      <c r="U169" s="25"/>
      <c r="V169" s="25"/>
      <c r="W169" s="25"/>
      <c r="X169" s="25"/>
      <c r="Y169" s="25"/>
      <c r="Z169" s="25"/>
      <c r="AA169" s="25"/>
      <c r="AB169" s="25"/>
      <c r="AC169" s="25"/>
      <c r="AD169" s="25"/>
      <c r="AE169" s="25"/>
      <c r="AF169" s="25"/>
      <c r="AG169" s="25"/>
      <c r="AH169" s="25"/>
      <c r="AI169" s="25"/>
      <c r="AY169" s="1039" t="s">
        <v>2560</v>
      </c>
      <c r="AZ169" s="231"/>
      <c r="BA169" s="231"/>
      <c r="BB169" s="231"/>
      <c r="BC169" s="231"/>
      <c r="BD169" s="231"/>
      <c r="BE169" s="231"/>
      <c r="BF169" s="231"/>
      <c r="BG169" s="231"/>
      <c r="BH169" s="231"/>
      <c r="BI169" s="231"/>
      <c r="BJ169" s="231"/>
      <c r="BK169" s="231"/>
      <c r="BL169" s="231"/>
      <c r="BM169" s="231"/>
      <c r="BN169" s="231"/>
      <c r="BO169" s="231"/>
      <c r="BP169" s="231"/>
      <c r="BQ169" s="231"/>
      <c r="BR169" s="231"/>
      <c r="BS169" s="433"/>
      <c r="BT169" s="303"/>
    </row>
    <row r="170" spans="3:72">
      <c r="C170" s="25"/>
      <c r="D170" s="231"/>
      <c r="E170" s="231"/>
      <c r="F170" s="231"/>
      <c r="G170" s="231"/>
      <c r="H170" s="231" t="s">
        <v>669</v>
      </c>
      <c r="I170" s="231"/>
      <c r="J170" s="231"/>
      <c r="K170" s="231"/>
      <c r="L170" s="231"/>
      <c r="M170" s="231"/>
      <c r="N170" s="231"/>
      <c r="O170" s="231"/>
      <c r="P170" s="231"/>
      <c r="Q170" s="231"/>
      <c r="R170" s="231"/>
      <c r="S170" s="231"/>
      <c r="T170" s="25"/>
      <c r="U170" s="25"/>
      <c r="V170" s="25"/>
      <c r="W170" s="25"/>
      <c r="X170" s="25"/>
      <c r="Y170" s="25"/>
      <c r="Z170" s="25"/>
      <c r="AA170" s="25"/>
      <c r="AB170" s="25"/>
      <c r="AC170" s="25"/>
      <c r="AD170" s="25"/>
      <c r="AE170" s="25"/>
      <c r="AF170" s="25"/>
      <c r="AG170" s="25"/>
      <c r="AH170" s="25"/>
      <c r="AI170" s="25"/>
      <c r="AY170" s="1040" t="s">
        <v>1361</v>
      </c>
      <c r="AZ170" s="231"/>
      <c r="BA170" s="231"/>
      <c r="BB170" s="231"/>
      <c r="BC170" s="231"/>
      <c r="BD170" s="231"/>
      <c r="BE170" s="231"/>
      <c r="BF170" s="231"/>
      <c r="BG170" s="231"/>
      <c r="BH170" s="231"/>
      <c r="BI170" s="231"/>
      <c r="BJ170" s="231"/>
      <c r="BK170" s="231"/>
      <c r="BL170" s="231"/>
      <c r="BM170" s="231"/>
      <c r="BN170" s="251"/>
      <c r="BO170" s="231"/>
      <c r="BP170" s="231"/>
      <c r="BQ170" s="231"/>
      <c r="BR170" s="231"/>
      <c r="BS170" s="433"/>
    </row>
    <row r="171" spans="3:72">
      <c r="C171" s="25"/>
      <c r="D171" s="231"/>
      <c r="E171" s="231" t="s">
        <v>710</v>
      </c>
      <c r="F171" s="231"/>
      <c r="G171" s="231"/>
      <c r="H171" s="251">
        <v>1.5</v>
      </c>
      <c r="I171" s="231"/>
      <c r="J171" s="231"/>
      <c r="K171" s="231"/>
      <c r="L171" s="231"/>
      <c r="M171" s="231"/>
      <c r="N171" s="231"/>
      <c r="O171" s="231"/>
      <c r="P171" s="231"/>
      <c r="Q171" s="231"/>
      <c r="R171" s="231"/>
      <c r="S171" s="231"/>
      <c r="T171" s="25"/>
      <c r="U171" s="25"/>
      <c r="V171" s="25"/>
      <c r="W171" s="25"/>
      <c r="X171" s="25"/>
      <c r="Y171" s="25"/>
      <c r="Z171" s="25"/>
      <c r="AA171" s="25"/>
      <c r="AB171" s="25"/>
      <c r="AC171" s="25"/>
      <c r="AD171" s="25"/>
      <c r="AE171" s="25"/>
      <c r="AF171" s="25"/>
      <c r="AG171" s="25"/>
      <c r="AH171" s="25"/>
      <c r="AI171" s="25"/>
      <c r="AY171" s="235"/>
      <c r="AZ171" s="231"/>
      <c r="BA171" s="231"/>
      <c r="BB171" s="231"/>
      <c r="BC171" s="231"/>
      <c r="BD171" s="231"/>
      <c r="BE171" s="231"/>
      <c r="BF171" s="231"/>
      <c r="BG171" s="231"/>
      <c r="BH171" s="231"/>
      <c r="BI171" s="231"/>
      <c r="BJ171" s="231"/>
      <c r="BK171" s="231"/>
      <c r="BL171" s="231"/>
      <c r="BM171" s="231"/>
      <c r="BN171" s="251"/>
      <c r="BO171" s="231"/>
      <c r="BP171" s="231"/>
      <c r="BQ171" s="231"/>
      <c r="BR171" s="231"/>
      <c r="BS171" s="433"/>
    </row>
    <row r="172" spans="3:72" ht="17.399999999999999">
      <c r="C172" s="25"/>
      <c r="D172" s="231"/>
      <c r="E172" s="231" t="s">
        <v>711</v>
      </c>
      <c r="F172" s="231"/>
      <c r="G172" s="231"/>
      <c r="H172" s="251">
        <v>1.25</v>
      </c>
      <c r="I172" s="231"/>
      <c r="J172" s="231"/>
      <c r="K172" s="231"/>
      <c r="L172" s="231"/>
      <c r="M172" s="231"/>
      <c r="N172" s="231"/>
      <c r="O172" s="231"/>
      <c r="P172" s="231"/>
      <c r="Q172" s="231"/>
      <c r="R172" s="231"/>
      <c r="S172" s="231"/>
      <c r="T172" s="25"/>
      <c r="U172" s="25"/>
      <c r="V172" s="25"/>
      <c r="W172" s="25"/>
      <c r="X172" s="25"/>
      <c r="Y172" s="25"/>
      <c r="Z172" s="25"/>
      <c r="AA172" s="25"/>
      <c r="AB172" s="25"/>
      <c r="AC172" s="25"/>
      <c r="AD172" s="25"/>
      <c r="AE172" s="25"/>
      <c r="AF172" s="25"/>
      <c r="AG172" s="25"/>
      <c r="AH172" s="25"/>
      <c r="AI172" s="25"/>
      <c r="AY172" s="1041" t="s">
        <v>1362</v>
      </c>
      <c r="AZ172" s="231"/>
      <c r="BA172" s="231"/>
      <c r="BB172" s="231"/>
      <c r="BC172" s="231"/>
      <c r="BD172" s="231"/>
      <c r="BE172" s="231"/>
      <c r="BF172" s="231"/>
      <c r="BG172" s="231"/>
      <c r="BH172" s="231"/>
      <c r="BI172" s="231"/>
      <c r="BJ172" s="231"/>
      <c r="BK172" s="231"/>
      <c r="BL172" s="231"/>
      <c r="BM172" s="231"/>
      <c r="BN172" s="251"/>
      <c r="BO172" s="231"/>
      <c r="BP172" s="231"/>
      <c r="BQ172" s="231"/>
      <c r="BR172" s="231"/>
      <c r="BS172" s="433"/>
    </row>
    <row r="173" spans="3:72" ht="13.8">
      <c r="C173" s="25"/>
      <c r="D173" s="231"/>
      <c r="E173" s="231" t="s">
        <v>712</v>
      </c>
      <c r="F173" s="231"/>
      <c r="G173" s="231"/>
      <c r="H173" s="251">
        <v>1.1000000000000001</v>
      </c>
      <c r="I173" s="231"/>
      <c r="J173" s="231"/>
      <c r="K173" s="231"/>
      <c r="L173" s="231"/>
      <c r="M173" s="231"/>
      <c r="N173" s="231"/>
      <c r="O173" s="231"/>
      <c r="P173" s="231"/>
      <c r="Q173" s="231"/>
      <c r="R173" s="231"/>
      <c r="S173" s="231"/>
      <c r="T173" s="25"/>
      <c r="U173" s="25"/>
      <c r="V173" s="25"/>
      <c r="W173" s="25"/>
      <c r="X173" s="25"/>
      <c r="Y173" s="25"/>
      <c r="Z173" s="25"/>
      <c r="AA173" s="25"/>
      <c r="AB173" s="25"/>
      <c r="AC173" s="25"/>
      <c r="AD173" s="25"/>
      <c r="AE173" s="25"/>
      <c r="AF173" s="25"/>
      <c r="AG173" s="25"/>
      <c r="AH173" s="25"/>
      <c r="AI173" s="25"/>
      <c r="AY173" s="1042" t="s">
        <v>1363</v>
      </c>
      <c r="AZ173" s="231"/>
      <c r="BA173" s="231"/>
      <c r="BB173" s="231"/>
      <c r="BC173" s="231"/>
      <c r="BD173" s="231"/>
      <c r="BE173" s="231"/>
      <c r="BF173" s="231"/>
      <c r="BG173" s="231"/>
      <c r="BH173" s="231"/>
      <c r="BI173" s="231"/>
      <c r="BJ173" s="231"/>
      <c r="BK173" s="231"/>
      <c r="BL173" s="231"/>
      <c r="BM173" s="231"/>
      <c r="BN173" s="251"/>
      <c r="BO173" s="231"/>
      <c r="BP173" s="231"/>
      <c r="BQ173" s="231"/>
      <c r="BR173" s="231"/>
      <c r="BS173" s="433"/>
    </row>
    <row r="174" spans="3:72">
      <c r="C174" s="25"/>
      <c r="D174" s="231"/>
      <c r="E174" s="231" t="s">
        <v>713</v>
      </c>
      <c r="F174" s="231"/>
      <c r="G174" s="231"/>
      <c r="H174" s="251">
        <v>1</v>
      </c>
      <c r="I174" s="231"/>
      <c r="J174" s="231"/>
      <c r="K174" s="231"/>
      <c r="L174" s="231"/>
      <c r="M174" s="231"/>
      <c r="N174" s="231"/>
      <c r="O174" s="231"/>
      <c r="P174" s="231"/>
      <c r="Q174" s="231"/>
      <c r="R174" s="231"/>
      <c r="S174" s="231"/>
      <c r="T174" s="25"/>
      <c r="U174" s="25"/>
      <c r="V174" s="25"/>
      <c r="W174" s="25"/>
      <c r="X174" s="25"/>
      <c r="Y174" s="25"/>
      <c r="Z174" s="25"/>
      <c r="AA174" s="25"/>
      <c r="AB174" s="25"/>
      <c r="AC174" s="25"/>
      <c r="AY174" s="235"/>
      <c r="AZ174" s="231"/>
      <c r="BA174" s="231"/>
      <c r="BB174" s="231"/>
      <c r="BC174" s="231"/>
      <c r="BD174" s="231"/>
      <c r="BE174" s="231"/>
      <c r="BF174" s="231"/>
      <c r="BG174" s="231"/>
      <c r="BH174" s="231"/>
      <c r="BI174" s="231"/>
      <c r="BJ174" s="437"/>
      <c r="BK174" s="231"/>
      <c r="BL174" s="231"/>
      <c r="BM174" s="231"/>
      <c r="BN174" s="231"/>
      <c r="BO174" s="231"/>
      <c r="BP174" s="231"/>
      <c r="BQ174" s="231"/>
      <c r="BR174" s="231"/>
      <c r="BS174" s="433"/>
    </row>
    <row r="175" spans="3:72">
      <c r="C175" s="25"/>
      <c r="D175" s="231"/>
      <c r="E175" s="231" t="s">
        <v>630</v>
      </c>
      <c r="F175" s="231"/>
      <c r="G175" s="231"/>
      <c r="H175" s="251">
        <v>0.9</v>
      </c>
      <c r="I175" s="231"/>
      <c r="J175" s="231"/>
      <c r="K175" s="231"/>
      <c r="L175" s="231"/>
      <c r="M175" s="231"/>
      <c r="N175" s="231"/>
      <c r="O175" s="231"/>
      <c r="P175" s="231"/>
      <c r="Q175" s="231"/>
      <c r="R175" s="231"/>
      <c r="S175" s="231"/>
      <c r="T175" s="25"/>
      <c r="U175" s="25"/>
      <c r="V175" s="25"/>
      <c r="W175" s="25"/>
      <c r="X175" s="25"/>
      <c r="Y175" s="25"/>
      <c r="Z175" s="25"/>
      <c r="AA175" s="25"/>
      <c r="AB175" s="25"/>
      <c r="AC175" s="25"/>
      <c r="AY175" s="1023" t="s">
        <v>1364</v>
      </c>
      <c r="AZ175" s="233" t="s">
        <v>90</v>
      </c>
      <c r="BA175" s="233" t="s">
        <v>91</v>
      </c>
      <c r="BB175" s="231"/>
      <c r="BC175" s="231"/>
      <c r="BD175" s="233" t="s">
        <v>90</v>
      </c>
      <c r="BE175" s="231"/>
      <c r="BF175" s="231"/>
      <c r="BG175" s="231"/>
      <c r="BH175" s="231"/>
      <c r="BI175" s="231"/>
      <c r="BJ175" s="231"/>
      <c r="BK175" s="231"/>
      <c r="BL175" s="231"/>
      <c r="BM175" s="231"/>
      <c r="BN175" s="231"/>
      <c r="BO175" s="231"/>
      <c r="BP175" s="231"/>
      <c r="BQ175" s="231"/>
      <c r="BR175" s="231"/>
      <c r="BS175" s="433"/>
    </row>
    <row r="176" spans="3:72">
      <c r="C176" s="25"/>
      <c r="D176" s="231"/>
      <c r="E176" s="231" t="s">
        <v>632</v>
      </c>
      <c r="F176" s="231"/>
      <c r="G176" s="231"/>
      <c r="H176" s="251">
        <v>0.8</v>
      </c>
      <c r="I176" s="231"/>
      <c r="J176" s="231"/>
      <c r="K176" s="231"/>
      <c r="L176" s="231"/>
      <c r="M176" s="231"/>
      <c r="N176" s="231"/>
      <c r="O176" s="231"/>
      <c r="P176" s="231"/>
      <c r="Q176" s="231"/>
      <c r="R176" s="231"/>
      <c r="S176" s="231"/>
      <c r="T176" s="25"/>
      <c r="U176" s="25"/>
      <c r="V176" s="25"/>
      <c r="W176" s="25"/>
      <c r="X176" s="25"/>
      <c r="Y176" s="25"/>
      <c r="Z176" s="25"/>
      <c r="AA176" s="25"/>
      <c r="AB176" s="25"/>
      <c r="AC176" s="25"/>
      <c r="AY176" s="235"/>
      <c r="AZ176" s="231"/>
      <c r="BA176" s="231"/>
      <c r="BB176" s="231"/>
      <c r="BC176" s="574" t="s">
        <v>1365</v>
      </c>
      <c r="BD176" s="574" t="s">
        <v>87</v>
      </c>
      <c r="BE176" s="334">
        <f t="shared" ref="BE176:BO176" si="72">BE$68</f>
        <v>0.2</v>
      </c>
      <c r="BF176" s="334">
        <f t="shared" si="72"/>
        <v>0.3</v>
      </c>
      <c r="BG176" s="334">
        <f t="shared" si="72"/>
        <v>0.4</v>
      </c>
      <c r="BH176" s="334">
        <f t="shared" si="72"/>
        <v>0.5</v>
      </c>
      <c r="BI176" s="334">
        <f t="shared" si="72"/>
        <v>0.6</v>
      </c>
      <c r="BJ176" s="334">
        <f t="shared" si="72"/>
        <v>0.7</v>
      </c>
      <c r="BK176" s="334">
        <f t="shared" si="72"/>
        <v>0.75</v>
      </c>
      <c r="BL176" s="334">
        <f t="shared" si="72"/>
        <v>0.8</v>
      </c>
      <c r="BM176" s="334">
        <f t="shared" si="72"/>
        <v>0.9</v>
      </c>
      <c r="BN176" s="334">
        <f t="shared" si="72"/>
        <v>0.95</v>
      </c>
      <c r="BO176" s="334">
        <f t="shared" si="72"/>
        <v>0.97499999999999998</v>
      </c>
      <c r="BP176" s="231"/>
      <c r="BQ176" s="231"/>
      <c r="BR176" s="231"/>
      <c r="BS176" s="433"/>
    </row>
    <row r="177" spans="3:71">
      <c r="C177" s="25"/>
      <c r="D177" s="231"/>
      <c r="E177" s="231" t="s">
        <v>714</v>
      </c>
      <c r="F177" s="231"/>
      <c r="G177" s="231"/>
      <c r="H177" s="251">
        <v>0.1</v>
      </c>
      <c r="I177" s="231"/>
      <c r="J177" s="231"/>
      <c r="K177" s="231"/>
      <c r="L177" s="231"/>
      <c r="M177" s="231"/>
      <c r="N177" s="231"/>
      <c r="O177" s="231"/>
      <c r="P177" s="231"/>
      <c r="Q177" s="231"/>
      <c r="R177" s="231"/>
      <c r="S177" s="231"/>
      <c r="T177" s="25"/>
      <c r="U177" s="25"/>
      <c r="V177" s="25"/>
      <c r="W177" s="25"/>
      <c r="X177" s="25"/>
      <c r="Y177" s="25"/>
      <c r="Z177" s="25"/>
      <c r="AA177" s="25"/>
      <c r="AB177" s="25"/>
      <c r="AC177" s="25"/>
      <c r="AY177" s="235" t="s">
        <v>33</v>
      </c>
      <c r="AZ177" s="231" t="s">
        <v>188</v>
      </c>
      <c r="BA177" s="535">
        <f>'7b'!BC7</f>
        <v>3500</v>
      </c>
      <c r="BB177" s="231"/>
      <c r="BC177" s="574" t="s">
        <v>50</v>
      </c>
      <c r="BD177" s="574" t="s">
        <v>188</v>
      </c>
      <c r="BE177" s="334">
        <f t="shared" ref="BE177:BO177" si="73">BE176*($BA189/2)</f>
        <v>0.60000000000000009</v>
      </c>
      <c r="BF177" s="334">
        <f t="shared" si="73"/>
        <v>0.89999999999999991</v>
      </c>
      <c r="BG177" s="334">
        <f t="shared" si="73"/>
        <v>1.2000000000000002</v>
      </c>
      <c r="BH177" s="334">
        <f t="shared" si="73"/>
        <v>1.5</v>
      </c>
      <c r="BI177" s="334">
        <f t="shared" si="73"/>
        <v>1.7999999999999998</v>
      </c>
      <c r="BJ177" s="334">
        <f t="shared" si="73"/>
        <v>2.0999999999999996</v>
      </c>
      <c r="BK177" s="334">
        <f t="shared" si="73"/>
        <v>2.25</v>
      </c>
      <c r="BL177" s="334">
        <f t="shared" si="73"/>
        <v>2.4000000000000004</v>
      </c>
      <c r="BM177" s="334">
        <f t="shared" si="73"/>
        <v>2.7</v>
      </c>
      <c r="BN177" s="334">
        <f t="shared" si="73"/>
        <v>2.8499999999999996</v>
      </c>
      <c r="BO177" s="334">
        <f t="shared" si="73"/>
        <v>2.9249999999999998</v>
      </c>
      <c r="BP177" s="231"/>
      <c r="BQ177" s="231"/>
      <c r="BR177" s="231"/>
      <c r="BS177" s="433"/>
    </row>
    <row r="178" spans="3:71">
      <c r="C178" s="25"/>
      <c r="D178" s="231"/>
      <c r="E178" s="231" t="s">
        <v>715</v>
      </c>
      <c r="F178" s="231"/>
      <c r="G178" s="231"/>
      <c r="H178" s="251">
        <v>0.05</v>
      </c>
      <c r="I178" s="231"/>
      <c r="J178" s="231"/>
      <c r="K178" s="231"/>
      <c r="L178" s="231"/>
      <c r="M178" s="231"/>
      <c r="N178" s="231"/>
      <c r="O178" s="231"/>
      <c r="P178" s="231"/>
      <c r="Q178" s="231"/>
      <c r="R178" s="231"/>
      <c r="S178" s="231"/>
      <c r="T178" s="25"/>
      <c r="U178" s="25"/>
      <c r="V178" s="25"/>
      <c r="W178" s="25"/>
      <c r="X178" s="25"/>
      <c r="Y178" s="25"/>
      <c r="Z178" s="25"/>
      <c r="AA178" s="25"/>
      <c r="AB178" s="25"/>
      <c r="AC178" s="25"/>
      <c r="AY178" s="235" t="s">
        <v>1366</v>
      </c>
      <c r="AZ178" s="231" t="s">
        <v>648</v>
      </c>
      <c r="BA178" s="852">
        <f>'7b'!BC8</f>
        <v>0</v>
      </c>
      <c r="BB178" s="231"/>
      <c r="BC178" s="231" t="s">
        <v>1367</v>
      </c>
      <c r="BD178" s="231" t="s">
        <v>188</v>
      </c>
      <c r="BE178" s="536">
        <f>'7b'!BC33</f>
        <v>0.5</v>
      </c>
      <c r="BF178" s="334">
        <f>$BE178</f>
        <v>0.5</v>
      </c>
      <c r="BG178" s="334">
        <f>$BE178</f>
        <v>0.5</v>
      </c>
      <c r="BH178" s="334">
        <f>$BE178</f>
        <v>0.5</v>
      </c>
      <c r="BI178" s="334">
        <f t="shared" ref="BI178:BN178" si="74">$BH178-(((BI177-$BH177)/($BO177-$BH177))*($BH178-$BO178))</f>
        <v>0.4578947368421053</v>
      </c>
      <c r="BJ178" s="334">
        <f t="shared" si="74"/>
        <v>0.41578947368421054</v>
      </c>
      <c r="BK178" s="334">
        <f t="shared" si="74"/>
        <v>0.39473684210526316</v>
      </c>
      <c r="BL178" s="334">
        <f t="shared" si="74"/>
        <v>0.37368421052631573</v>
      </c>
      <c r="BM178" s="334">
        <f t="shared" si="74"/>
        <v>0.33157894736842097</v>
      </c>
      <c r="BN178" s="334">
        <f t="shared" si="74"/>
        <v>0.31052631578947371</v>
      </c>
      <c r="BO178" s="536">
        <f>'7b'!BC34</f>
        <v>0.3</v>
      </c>
      <c r="BP178" s="231"/>
      <c r="BQ178" s="231"/>
      <c r="BR178" s="231"/>
      <c r="BS178" s="433"/>
    </row>
    <row r="179" spans="3:71">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Y179" s="235" t="s">
        <v>1368</v>
      </c>
      <c r="AZ179" s="231" t="s">
        <v>1369</v>
      </c>
      <c r="BA179" s="251">
        <f>(-0.00356616*BA177)+59+459.6</f>
        <v>506.11844000000002</v>
      </c>
      <c r="BB179" s="231"/>
      <c r="BC179" s="231" t="s">
        <v>1370</v>
      </c>
      <c r="BD179" s="231" t="s">
        <v>188</v>
      </c>
      <c r="BE179" s="231">
        <f t="shared" ref="BE179:BO179" si="75">BE178/2</f>
        <v>0.25</v>
      </c>
      <c r="BF179" s="231">
        <f t="shared" si="75"/>
        <v>0.25</v>
      </c>
      <c r="BG179" s="231">
        <f t="shared" si="75"/>
        <v>0.25</v>
      </c>
      <c r="BH179" s="231">
        <f t="shared" si="75"/>
        <v>0.25</v>
      </c>
      <c r="BI179" s="231">
        <f t="shared" si="75"/>
        <v>0.22894736842105265</v>
      </c>
      <c r="BJ179" s="231">
        <f t="shared" si="75"/>
        <v>0.20789473684210527</v>
      </c>
      <c r="BK179" s="231">
        <f t="shared" si="75"/>
        <v>0.19736842105263158</v>
      </c>
      <c r="BL179" s="231">
        <f t="shared" si="75"/>
        <v>0.18684210526315786</v>
      </c>
      <c r="BM179" s="231">
        <f t="shared" si="75"/>
        <v>0.16578947368421049</v>
      </c>
      <c r="BN179" s="231">
        <f t="shared" si="75"/>
        <v>0.15526315789473685</v>
      </c>
      <c r="BO179" s="231">
        <f t="shared" si="75"/>
        <v>0.15</v>
      </c>
      <c r="BP179" s="231"/>
      <c r="BQ179" s="231"/>
      <c r="BR179" s="231"/>
      <c r="BS179" s="433"/>
    </row>
    <row r="180" spans="3:71">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Y180" s="235" t="s">
        <v>1371</v>
      </c>
      <c r="AZ180" s="231" t="s">
        <v>658</v>
      </c>
      <c r="BA180" s="587">
        <f xml:space="preserve"> (-0.00000000808691*(BA177^2)) + (-0.0038153*BA177) + 1116.38</f>
        <v>1102.9273853525001</v>
      </c>
      <c r="BB180" s="231"/>
      <c r="BC180" s="231" t="s">
        <v>1372</v>
      </c>
      <c r="BD180" s="231" t="s">
        <v>188</v>
      </c>
      <c r="BE180" s="231">
        <f t="shared" ref="BE180:BO180" si="76">(-1)*BE179</f>
        <v>-0.25</v>
      </c>
      <c r="BF180" s="231">
        <f t="shared" si="76"/>
        <v>-0.25</v>
      </c>
      <c r="BG180" s="231">
        <f t="shared" si="76"/>
        <v>-0.25</v>
      </c>
      <c r="BH180" s="231">
        <f t="shared" si="76"/>
        <v>-0.25</v>
      </c>
      <c r="BI180" s="231">
        <f t="shared" si="76"/>
        <v>-0.22894736842105265</v>
      </c>
      <c r="BJ180" s="231">
        <f t="shared" si="76"/>
        <v>-0.20789473684210527</v>
      </c>
      <c r="BK180" s="231">
        <f t="shared" si="76"/>
        <v>-0.19736842105263158</v>
      </c>
      <c r="BL180" s="231">
        <f t="shared" si="76"/>
        <v>-0.18684210526315786</v>
      </c>
      <c r="BM180" s="231">
        <f t="shared" si="76"/>
        <v>-0.16578947368421049</v>
      </c>
      <c r="BN180" s="231">
        <f t="shared" si="76"/>
        <v>-0.15526315789473685</v>
      </c>
      <c r="BO180" s="231">
        <f t="shared" si="76"/>
        <v>-0.15</v>
      </c>
      <c r="BP180" s="231"/>
      <c r="BQ180" s="231"/>
      <c r="BR180" s="231"/>
      <c r="BS180" s="433"/>
    </row>
    <row r="181" spans="3:71" ht="15.6">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Y181" s="235" t="s">
        <v>671</v>
      </c>
      <c r="AZ181" s="231" t="s">
        <v>1369</v>
      </c>
      <c r="BA181" s="587">
        <f>((((5/9)*((BA179-32))+BA178)*(9/5))+32)</f>
        <v>506.11844000000002</v>
      </c>
      <c r="BB181" s="231"/>
      <c r="BC181" s="236" t="s">
        <v>1373</v>
      </c>
      <c r="BD181" s="231" t="s">
        <v>87</v>
      </c>
      <c r="BE181" s="437">
        <f t="shared" ref="BE181:BO181" si="77">$BA$188*BE178/(PI()*$BA$189/2)</f>
        <v>0.1061032953945969</v>
      </c>
      <c r="BF181" s="437">
        <f t="shared" si="77"/>
        <v>0.1061032953945969</v>
      </c>
      <c r="BG181" s="437">
        <f t="shared" si="77"/>
        <v>0.1061032953945969</v>
      </c>
      <c r="BH181" s="437">
        <f t="shared" si="77"/>
        <v>0.1061032953945969</v>
      </c>
      <c r="BI181" s="437">
        <f t="shared" si="77"/>
        <v>9.7168281045578217E-2</v>
      </c>
      <c r="BJ181" s="437">
        <f t="shared" si="77"/>
        <v>8.8233266696559523E-2</v>
      </c>
      <c r="BK181" s="437">
        <f t="shared" si="77"/>
        <v>8.3765759522050176E-2</v>
      </c>
      <c r="BL181" s="437">
        <f t="shared" si="77"/>
        <v>7.9298252347540829E-2</v>
      </c>
      <c r="BM181" s="437">
        <f t="shared" si="77"/>
        <v>7.0363237998522135E-2</v>
      </c>
      <c r="BN181" s="437">
        <f t="shared" si="77"/>
        <v>6.5895730824012816E-2</v>
      </c>
      <c r="BO181" s="437">
        <f t="shared" si="77"/>
        <v>6.3661977236758135E-2</v>
      </c>
      <c r="BP181" s="231"/>
      <c r="BQ181" s="231"/>
      <c r="BR181" s="231"/>
      <c r="BS181" s="433"/>
    </row>
    <row r="182" spans="3:71" ht="15.6">
      <c r="C182" s="25"/>
      <c r="D182" s="25"/>
      <c r="E182" s="27" t="s">
        <v>2711</v>
      </c>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Y182" s="235" t="s">
        <v>1374</v>
      </c>
      <c r="AZ182" s="231" t="s">
        <v>658</v>
      </c>
      <c r="BA182" s="587">
        <f>( (-0.00000000808691*(BA177^2)) + (-0.0038153*BA177) + 1116.38)*((BA181/BA179)^0.5)</f>
        <v>1102.9273853525001</v>
      </c>
      <c r="BB182" s="231"/>
      <c r="BC182" s="231" t="s">
        <v>1375</v>
      </c>
      <c r="BD182" s="231" t="s">
        <v>87</v>
      </c>
      <c r="BE182" s="437">
        <f t="shared" ref="BE182:BO182" si="78">((BE176^2)+($BA196^2))^0.5</f>
        <v>0.41550741642702965</v>
      </c>
      <c r="BF182" s="437">
        <f t="shared" si="78"/>
        <v>0.4718542286616334</v>
      </c>
      <c r="BG182" s="437">
        <f t="shared" si="78"/>
        <v>0.54096803334935151</v>
      </c>
      <c r="BH182" s="437">
        <f t="shared" si="78"/>
        <v>0.61858420049809304</v>
      </c>
      <c r="BI182" s="437">
        <f t="shared" si="78"/>
        <v>0.7018877496479512</v>
      </c>
      <c r="BJ182" s="437">
        <f t="shared" si="78"/>
        <v>0.78907947198356698</v>
      </c>
      <c r="BK182" s="437">
        <f t="shared" si="78"/>
        <v>0.83375440814778601</v>
      </c>
      <c r="BL182" s="437">
        <f t="shared" si="78"/>
        <v>0.87900307912194775</v>
      </c>
      <c r="BM182" s="437">
        <f t="shared" si="78"/>
        <v>0.9708997956050176</v>
      </c>
      <c r="BN182" s="437">
        <f t="shared" si="78"/>
        <v>1.0174214530399215</v>
      </c>
      <c r="BO182" s="437">
        <f t="shared" si="78"/>
        <v>1.0408032537928891</v>
      </c>
      <c r="BP182" s="231"/>
      <c r="BQ182" s="231"/>
      <c r="BR182" s="231"/>
      <c r="BS182" s="433"/>
    </row>
    <row r="183" spans="3:71">
      <c r="C183" s="25"/>
      <c r="D183" s="25"/>
      <c r="E183" s="27" t="s">
        <v>2196</v>
      </c>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Y183" s="235" t="s">
        <v>1376</v>
      </c>
      <c r="AZ183" s="231" t="s">
        <v>1377</v>
      </c>
      <c r="BA183" s="1043">
        <f xml:space="preserve"> ( (-0.00000000000621692*(BA177^3)) + (0.00000107111*(BA177^2)) + (-0.0760997*BA177) + 2115.57)/144</f>
        <v>12.931080535104167</v>
      </c>
      <c r="BB183" s="231"/>
      <c r="BC183" s="231"/>
      <c r="BD183" s="231"/>
      <c r="BE183" s="231"/>
      <c r="BF183" s="231"/>
      <c r="BG183" s="231"/>
      <c r="BH183" s="231"/>
      <c r="BI183" s="231"/>
      <c r="BJ183" s="231"/>
      <c r="BK183" s="231"/>
      <c r="BL183" s="231"/>
      <c r="BM183" s="231"/>
      <c r="BN183" s="231"/>
      <c r="BO183" s="231"/>
      <c r="BP183" s="231"/>
      <c r="BQ183" s="231"/>
      <c r="BR183" s="231"/>
      <c r="BS183" s="433"/>
    </row>
    <row r="184" spans="3:71">
      <c r="C184" s="25"/>
      <c r="D184" s="25"/>
      <c r="E184" s="27" t="s">
        <v>69</v>
      </c>
      <c r="F184" s="25"/>
      <c r="G184" s="25"/>
      <c r="H184" s="25"/>
      <c r="I184" s="25"/>
      <c r="J184" s="25"/>
      <c r="K184" s="25"/>
      <c r="L184" s="25"/>
      <c r="M184" s="25"/>
      <c r="N184" s="25"/>
      <c r="O184" s="25"/>
      <c r="P184" s="25"/>
      <c r="Q184" s="25"/>
      <c r="R184" s="25"/>
      <c r="S184" s="25"/>
      <c r="T184" s="25"/>
      <c r="AY184" s="235" t="s">
        <v>1378</v>
      </c>
      <c r="AZ184" s="231" t="s">
        <v>673</v>
      </c>
      <c r="BA184" s="1044">
        <f xml:space="preserve"> (( -3.4153E-18*(BA177^3)) + (0.000000000000764697*(BA177^2)) + (-0.0000000694512*BA177) + 0.00237699) * (BA179/BA181)</f>
        <v>2.1431319072624999E-3</v>
      </c>
      <c r="BB184" s="231"/>
      <c r="BC184" s="236" t="s">
        <v>1379</v>
      </c>
      <c r="BD184" s="231" t="s">
        <v>1380</v>
      </c>
      <c r="BE184" s="437">
        <f t="shared" ref="BE184:BO184" si="79">ATAN($BA196/BE176)</f>
        <v>1.0686144394927821</v>
      </c>
      <c r="BF184" s="437">
        <f t="shared" si="79"/>
        <v>0.88176528799881315</v>
      </c>
      <c r="BG184" s="437">
        <f t="shared" si="79"/>
        <v>0.7385949691572512</v>
      </c>
      <c r="BH184" s="437">
        <f t="shared" si="79"/>
        <v>0.62954175097406762</v>
      </c>
      <c r="BI184" s="437">
        <f t="shared" si="79"/>
        <v>0.54555864844807522</v>
      </c>
      <c r="BJ184" s="437">
        <f t="shared" si="79"/>
        <v>0.47975153364480527</v>
      </c>
      <c r="BK184" s="437">
        <f t="shared" si="79"/>
        <v>0.45206845776205751</v>
      </c>
      <c r="BL184" s="437">
        <f t="shared" si="79"/>
        <v>0.42721802704779471</v>
      </c>
      <c r="BM184" s="437">
        <f t="shared" si="79"/>
        <v>0.38452913700977526</v>
      </c>
      <c r="BN184" s="437">
        <f t="shared" si="79"/>
        <v>0.3660931216476962</v>
      </c>
      <c r="BO184" s="437">
        <f t="shared" si="79"/>
        <v>0.35749460406744837</v>
      </c>
      <c r="BP184" s="228"/>
      <c r="BQ184" s="228"/>
      <c r="BR184" s="231"/>
      <c r="BS184" s="433"/>
    </row>
    <row r="185" spans="3:71">
      <c r="C185" s="25"/>
      <c r="D185" s="27" t="s">
        <v>2709</v>
      </c>
      <c r="E185" s="27" t="s">
        <v>2710</v>
      </c>
      <c r="F185" s="25"/>
      <c r="G185" s="25"/>
      <c r="H185" s="25"/>
      <c r="I185" s="25"/>
      <c r="J185" s="25"/>
      <c r="K185" s="25"/>
      <c r="L185" s="25"/>
      <c r="M185" s="25"/>
      <c r="N185" s="25"/>
      <c r="O185" s="25"/>
      <c r="P185" s="25"/>
      <c r="Q185" s="25"/>
      <c r="R185" s="25"/>
      <c r="S185" s="25"/>
      <c r="T185" s="25"/>
      <c r="AY185" s="235" t="s">
        <v>1381</v>
      </c>
      <c r="AZ185" s="231" t="s">
        <v>1026</v>
      </c>
      <c r="BA185" s="534">
        <f>'7b'!BC15</f>
        <v>91.544793075760893</v>
      </c>
      <c r="BB185" s="231"/>
      <c r="BC185" s="236" t="s">
        <v>1379</v>
      </c>
      <c r="BD185" s="231" t="s">
        <v>165</v>
      </c>
      <c r="BE185" s="227">
        <f t="shared" ref="BE185:BO185" si="80">BE184*(180/PI())</f>
        <v>61.227097309674498</v>
      </c>
      <c r="BF185" s="227">
        <f t="shared" si="80"/>
        <v>50.521429523469536</v>
      </c>
      <c r="BG185" s="227">
        <f t="shared" si="80"/>
        <v>42.318374502305701</v>
      </c>
      <c r="BH185" s="227">
        <f t="shared" si="80"/>
        <v>36.070085358089955</v>
      </c>
      <c r="BI185" s="227">
        <f t="shared" si="80"/>
        <v>31.25820803293611</v>
      </c>
      <c r="BJ185" s="227">
        <f t="shared" si="80"/>
        <v>27.48773809277586</v>
      </c>
      <c r="BK185" s="227">
        <f t="shared" si="80"/>
        <v>25.901614680754015</v>
      </c>
      <c r="BL185" s="227">
        <f t="shared" si="80"/>
        <v>24.477789881744485</v>
      </c>
      <c r="BM185" s="227">
        <f t="shared" si="80"/>
        <v>22.031896650467907</v>
      </c>
      <c r="BN185" s="227">
        <f t="shared" si="80"/>
        <v>20.975590779182426</v>
      </c>
      <c r="BO185" s="227">
        <f t="shared" si="80"/>
        <v>20.482932011765186</v>
      </c>
      <c r="BP185" s="231"/>
      <c r="BQ185" s="231"/>
      <c r="BR185" s="231"/>
      <c r="BS185" s="433"/>
    </row>
    <row r="186" spans="3:71">
      <c r="C186" s="25"/>
      <c r="D186" s="27" t="s">
        <v>2708</v>
      </c>
      <c r="E186" s="6" t="s">
        <v>63</v>
      </c>
      <c r="F186" s="25"/>
      <c r="G186" s="25"/>
      <c r="H186" s="25"/>
      <c r="I186" s="25"/>
      <c r="J186" s="25"/>
      <c r="K186" s="25"/>
      <c r="L186" s="25"/>
      <c r="M186" s="25"/>
      <c r="N186" s="25"/>
      <c r="O186" s="25"/>
      <c r="P186" s="25"/>
      <c r="Q186" s="25"/>
      <c r="R186" s="25"/>
      <c r="S186" s="25"/>
      <c r="T186" s="25"/>
      <c r="AY186" s="235" t="s">
        <v>1381</v>
      </c>
      <c r="AZ186" s="231" t="s">
        <v>658</v>
      </c>
      <c r="BA186" s="239">
        <f>1.689*BA185</f>
        <v>154.61915550496016</v>
      </c>
      <c r="BB186" s="231"/>
      <c r="BC186" s="223" t="s">
        <v>1382</v>
      </c>
      <c r="BD186" s="223" t="s">
        <v>1380</v>
      </c>
      <c r="BE186" s="437">
        <f t="shared" ref="BE186:BO186" si="81">BE187*(PI()/180)</f>
        <v>1.0374166610893578</v>
      </c>
      <c r="BF186" s="437">
        <f t="shared" si="81"/>
        <v>0.96227546018834453</v>
      </c>
      <c r="BG186" s="437">
        <f t="shared" si="81"/>
        <v>0.88713425928733147</v>
      </c>
      <c r="BH186" s="437">
        <f t="shared" si="81"/>
        <v>0.81199305838631819</v>
      </c>
      <c r="BI186" s="437">
        <f t="shared" si="81"/>
        <v>0.73685185748530502</v>
      </c>
      <c r="BJ186" s="437">
        <f t="shared" si="81"/>
        <v>0.66171065658429173</v>
      </c>
      <c r="BK186" s="437">
        <f t="shared" si="81"/>
        <v>0.6241400561337852</v>
      </c>
      <c r="BL186" s="437">
        <f t="shared" si="81"/>
        <v>0.58656945568327856</v>
      </c>
      <c r="BM186" s="437">
        <f t="shared" si="81"/>
        <v>0.51142825478226539</v>
      </c>
      <c r="BN186" s="437">
        <f t="shared" si="81"/>
        <v>0.4738576543317588</v>
      </c>
      <c r="BO186" s="437">
        <f t="shared" si="81"/>
        <v>0.45507235410650548</v>
      </c>
      <c r="BP186" s="231"/>
      <c r="BQ186" s="231"/>
      <c r="BR186" s="231"/>
      <c r="BS186" s="433"/>
    </row>
    <row r="187" spans="3:71">
      <c r="C187" s="25"/>
      <c r="D187" s="27" t="s">
        <v>57</v>
      </c>
      <c r="E187" s="6" t="s">
        <v>2668</v>
      </c>
      <c r="F187" s="25"/>
      <c r="G187" s="27" t="s">
        <v>2712</v>
      </c>
      <c r="H187" s="25"/>
      <c r="I187" s="25"/>
      <c r="J187" s="25"/>
      <c r="K187" s="25"/>
      <c r="L187" s="25"/>
      <c r="M187" s="25"/>
      <c r="N187" s="25"/>
      <c r="O187" s="25"/>
      <c r="P187" s="25"/>
      <c r="Q187" s="25"/>
      <c r="R187" s="25"/>
      <c r="S187" s="25"/>
      <c r="T187" s="25"/>
      <c r="AY187" s="235" t="s">
        <v>1383</v>
      </c>
      <c r="AZ187" s="231" t="s">
        <v>87</v>
      </c>
      <c r="BA187" s="248">
        <f>BA186/BA182</f>
        <v>0.14018978725017625</v>
      </c>
      <c r="BB187" s="231"/>
      <c r="BC187" s="223" t="s">
        <v>1382</v>
      </c>
      <c r="BD187" s="223" t="s">
        <v>165</v>
      </c>
      <c r="BE187" s="228">
        <f t="shared" ref="BE187:BJ187" si="82">$BK187+($BA201*(BE176-$BK176))</f>
        <v>59.439596276973894</v>
      </c>
      <c r="BF187" s="228">
        <f t="shared" si="82"/>
        <v>55.134322597801216</v>
      </c>
      <c r="BG187" s="228">
        <f t="shared" si="82"/>
        <v>50.829048918628544</v>
      </c>
      <c r="BH187" s="228">
        <f t="shared" si="82"/>
        <v>46.523775239455865</v>
      </c>
      <c r="BI187" s="228">
        <f t="shared" si="82"/>
        <v>42.218501560283194</v>
      </c>
      <c r="BJ187" s="228">
        <f t="shared" si="82"/>
        <v>37.913227881110515</v>
      </c>
      <c r="BK187" s="852">
        <f>'7b'!BC32</f>
        <v>35.760591041524179</v>
      </c>
      <c r="BL187" s="228">
        <f>$BK187+($BA201*(BL176-$BK176))</f>
        <v>33.607954201937844</v>
      </c>
      <c r="BM187" s="228">
        <f>$BK187+($BA201*(BM176-$BK176))</f>
        <v>29.302680522765165</v>
      </c>
      <c r="BN187" s="228">
        <f>$BK187+($BA201*(BN176-$BK176))</f>
        <v>27.150043683178829</v>
      </c>
      <c r="BO187" s="228">
        <f>$BK187+($BA201*(BO176-$BK176))</f>
        <v>26.073725263385661</v>
      </c>
      <c r="BP187" s="231"/>
      <c r="BQ187" s="231"/>
      <c r="BR187" s="231"/>
      <c r="BS187" s="433"/>
    </row>
    <row r="188" spans="3:71">
      <c r="C188" s="25"/>
      <c r="D188" s="25">
        <v>4</v>
      </c>
      <c r="E188" s="50">
        <v>10.7</v>
      </c>
      <c r="F188" s="50">
        <f xml:space="preserve"> (-2.45651053*LN(D188)) + 13.6188454</f>
        <v>10.213398704229366</v>
      </c>
      <c r="G188" s="1299">
        <f>(F188-E188)/E188</f>
        <v>-4.5476756614077865E-2</v>
      </c>
      <c r="H188" s="25"/>
      <c r="I188" s="25"/>
      <c r="J188" s="25"/>
      <c r="K188" s="25"/>
      <c r="L188" s="25"/>
      <c r="M188" s="25"/>
      <c r="N188" s="25"/>
      <c r="O188" s="25"/>
      <c r="P188" s="25"/>
      <c r="Q188" s="25"/>
      <c r="R188" s="25"/>
      <c r="S188" s="25"/>
      <c r="T188" s="25"/>
      <c r="AY188" s="235" t="s">
        <v>1384</v>
      </c>
      <c r="AZ188" s="231" t="s">
        <v>87</v>
      </c>
      <c r="BA188" s="534">
        <f>'7b'!BC18</f>
        <v>2</v>
      </c>
      <c r="BB188" s="231"/>
      <c r="BC188" s="574" t="s">
        <v>199</v>
      </c>
      <c r="BD188" s="231"/>
      <c r="BE188" s="231">
        <f>1</f>
        <v>1</v>
      </c>
      <c r="BF188" s="231">
        <f>1</f>
        <v>1</v>
      </c>
      <c r="BG188" s="231">
        <f>1</f>
        <v>1</v>
      </c>
      <c r="BH188" s="231">
        <f>1</f>
        <v>1</v>
      </c>
      <c r="BI188" s="231">
        <f>1</f>
        <v>1</v>
      </c>
      <c r="BJ188" s="231">
        <f>1</f>
        <v>1</v>
      </c>
      <c r="BK188" s="231">
        <f>1</f>
        <v>1</v>
      </c>
      <c r="BL188" s="231">
        <f>1</f>
        <v>1</v>
      </c>
      <c r="BM188" s="231">
        <f>1</f>
        <v>1</v>
      </c>
      <c r="BN188" s="231">
        <f>1</f>
        <v>1</v>
      </c>
      <c r="BO188" s="231">
        <f>1</f>
        <v>1</v>
      </c>
      <c r="BP188" s="231"/>
      <c r="BQ188" s="231"/>
      <c r="BR188" s="231"/>
      <c r="BS188" s="433"/>
    </row>
    <row r="189" spans="3:71">
      <c r="C189" s="25"/>
      <c r="D189" s="25">
        <v>6</v>
      </c>
      <c r="E189" s="50">
        <v>9.1999999999999993</v>
      </c>
      <c r="F189" s="50">
        <f t="shared" ref="F189:F196" si="83" xml:space="preserve"> (-2.45651053*LN(D189)) + 13.6188454</f>
        <v>9.2173693966140711</v>
      </c>
      <c r="G189" s="1299">
        <f t="shared" ref="G189:G196" si="84">(F189-E189)/E189</f>
        <v>1.8879778928338887E-3</v>
      </c>
      <c r="H189" s="25"/>
      <c r="I189" s="25"/>
      <c r="J189" s="25"/>
      <c r="K189" s="25"/>
      <c r="L189" s="25"/>
      <c r="M189" s="25"/>
      <c r="N189" s="25"/>
      <c r="O189" s="25"/>
      <c r="P189" s="25"/>
      <c r="Q189" s="25"/>
      <c r="R189" s="25"/>
      <c r="S189" s="25"/>
      <c r="T189" s="25"/>
      <c r="AY189" s="235" t="s">
        <v>1385</v>
      </c>
      <c r="AZ189" s="231" t="s">
        <v>188</v>
      </c>
      <c r="BA189" s="534">
        <f>'7b'!BC19</f>
        <v>6</v>
      </c>
      <c r="BB189" s="231"/>
      <c r="BC189" s="574" t="s">
        <v>189</v>
      </c>
      <c r="BD189" s="231"/>
      <c r="BE189" s="251">
        <f t="shared" ref="BE189:BO189" si="85">(($BA196/BE176)+(BE181*$BA197*BE182/(8*(BE176^2))))</f>
        <v>2.6476585042196827</v>
      </c>
      <c r="BF189" s="251">
        <f t="shared" si="85"/>
        <v>1.6312325810728769</v>
      </c>
      <c r="BG189" s="251">
        <f t="shared" si="85"/>
        <v>1.1795718087687221</v>
      </c>
      <c r="BH189" s="251">
        <f t="shared" si="85"/>
        <v>0.92531457206499046</v>
      </c>
      <c r="BI189" s="251">
        <f t="shared" si="85"/>
        <v>0.74909680909162724</v>
      </c>
      <c r="BJ189" s="251">
        <f t="shared" si="85"/>
        <v>0.62686098282755676</v>
      </c>
      <c r="BK189" s="251">
        <f t="shared" si="85"/>
        <v>0.57872883207737658</v>
      </c>
      <c r="BL189" s="251">
        <f t="shared" si="85"/>
        <v>0.53694187223531054</v>
      </c>
      <c r="BM189" s="251">
        <f t="shared" si="85"/>
        <v>0.46792918218192886</v>
      </c>
      <c r="BN189" s="251">
        <f t="shared" si="85"/>
        <v>0.43909032999170405</v>
      </c>
      <c r="BO189" s="251">
        <f t="shared" si="85"/>
        <v>0.4258209954216845</v>
      </c>
      <c r="BP189" s="231"/>
      <c r="BQ189" s="231"/>
      <c r="BR189" s="231"/>
      <c r="BS189" s="433"/>
    </row>
    <row r="190" spans="3:71">
      <c r="C190" s="25"/>
      <c r="D190" s="25">
        <v>8</v>
      </c>
      <c r="E190" s="50">
        <v>8.3000000000000007</v>
      </c>
      <c r="F190" s="50">
        <f t="shared" si="83"/>
        <v>8.5106753563440485</v>
      </c>
      <c r="G190" s="1299">
        <f t="shared" si="84"/>
        <v>2.5382573053499728E-2</v>
      </c>
      <c r="H190" s="25"/>
      <c r="I190" s="25"/>
      <c r="J190" s="25"/>
      <c r="K190" s="25"/>
      <c r="L190" s="25"/>
      <c r="M190" s="25"/>
      <c r="N190" s="25"/>
      <c r="O190" s="25"/>
      <c r="P190" s="25"/>
      <c r="Q190" s="25"/>
      <c r="R190" s="25"/>
      <c r="S190" s="25"/>
      <c r="T190" s="25"/>
      <c r="AY190" s="235" t="s">
        <v>1386</v>
      </c>
      <c r="AZ190" s="231" t="s">
        <v>1387</v>
      </c>
      <c r="BA190" s="534">
        <f>'7b'!BC20</f>
        <v>1351.3432257495028</v>
      </c>
      <c r="BB190" s="231"/>
      <c r="BC190" s="574" t="s">
        <v>164</v>
      </c>
      <c r="BD190" s="231"/>
      <c r="BE190" s="251">
        <f t="shared" ref="BE190:BO190" si="86">(-1)*((BE181*$BA197*BE182/(8*(BE176^2)))*(BE186-BE184))</f>
        <v>2.5788886665210894E-2</v>
      </c>
      <c r="BF190" s="251">
        <f t="shared" si="86"/>
        <v>-3.3589708387150724E-2</v>
      </c>
      <c r="BG190" s="251">
        <f t="shared" si="86"/>
        <v>-3.996530209613549E-2</v>
      </c>
      <c r="BH190" s="251">
        <f t="shared" si="86"/>
        <v>-3.5924929986220766E-2</v>
      </c>
      <c r="BI190" s="251">
        <f t="shared" si="86"/>
        <v>-2.718006542669699E-2</v>
      </c>
      <c r="BJ190" s="251">
        <f t="shared" si="86"/>
        <v>-1.9390639044354497E-2</v>
      </c>
      <c r="BK190" s="251">
        <f t="shared" si="86"/>
        <v>-1.6023323587947256E-2</v>
      </c>
      <c r="BL190" s="251">
        <f t="shared" si="86"/>
        <v>-1.3016411300120852E-2</v>
      </c>
      <c r="BM190" s="251">
        <f t="shared" si="86"/>
        <v>-8.0270334679193745E-3</v>
      </c>
      <c r="BN190" s="251">
        <f t="shared" si="86"/>
        <v>-6.0041021508370927E-3</v>
      </c>
      <c r="BO190" s="251">
        <f t="shared" si="86"/>
        <v>-5.1009562196536644E-3</v>
      </c>
      <c r="BP190" s="231"/>
      <c r="BQ190" s="231"/>
      <c r="BR190" s="231"/>
      <c r="BS190" s="433"/>
    </row>
    <row r="191" spans="3:71" ht="15.6">
      <c r="D191" s="43">
        <v>10</v>
      </c>
      <c r="E191" s="65">
        <v>7.7</v>
      </c>
      <c r="F191" s="50">
        <f t="shared" si="83"/>
        <v>7.9625208728390966</v>
      </c>
      <c r="G191" s="1299">
        <f t="shared" si="84"/>
        <v>3.40936198492333E-2</v>
      </c>
      <c r="AY191" s="235" t="s">
        <v>1388</v>
      </c>
      <c r="AZ191" s="231" t="s">
        <v>1389</v>
      </c>
      <c r="BA191" s="437">
        <f>BA190/60</f>
        <v>22.522387095825046</v>
      </c>
      <c r="BB191" s="231"/>
      <c r="BC191" s="223" t="s">
        <v>1390</v>
      </c>
      <c r="BD191" s="223" t="s">
        <v>1380</v>
      </c>
      <c r="BE191" s="437">
        <f t="shared" ref="BE191:BO191" si="87">(((-1)*BE189)+(((BE189^2)-(4*BE188*BE190))^0.5))/(2*BE188)</f>
        <v>-9.7763604511795776E-3</v>
      </c>
      <c r="BF191" s="437">
        <f t="shared" si="87"/>
        <v>2.0338039421586629E-2</v>
      </c>
      <c r="BG191" s="437">
        <f t="shared" si="87"/>
        <v>3.2960203677836475E-2</v>
      </c>
      <c r="BH191" s="437">
        <f t="shared" si="87"/>
        <v>3.7319407729498932E-2</v>
      </c>
      <c r="BI191" s="437">
        <f t="shared" si="87"/>
        <v>3.467839415450541E-2</v>
      </c>
      <c r="BJ191" s="437">
        <f t="shared" si="87"/>
        <v>2.9540807665659308E-2</v>
      </c>
      <c r="BK191" s="437">
        <f t="shared" si="87"/>
        <v>2.6475874072244721E-2</v>
      </c>
      <c r="BL191" s="437">
        <f t="shared" si="87"/>
        <v>2.3236202704847664E-2</v>
      </c>
      <c r="BM191" s="437">
        <f t="shared" si="87"/>
        <v>1.656776879949276E-2</v>
      </c>
      <c r="BN191" s="437">
        <f t="shared" si="87"/>
        <v>1.3272750173691977E-2</v>
      </c>
      <c r="BO191" s="437">
        <f t="shared" si="87"/>
        <v>1.1659839277666173E-2</v>
      </c>
      <c r="BP191" s="231"/>
      <c r="BQ191" s="231"/>
      <c r="BR191" s="231"/>
      <c r="BS191" s="433"/>
    </row>
    <row r="192" spans="3:71" ht="15.6">
      <c r="D192" s="43">
        <v>20</v>
      </c>
      <c r="E192" s="49">
        <v>6.1</v>
      </c>
      <c r="F192" s="50">
        <f t="shared" si="83"/>
        <v>6.2597975249537807</v>
      </c>
      <c r="G192" s="1299">
        <f t="shared" si="84"/>
        <v>2.6196315566193621E-2</v>
      </c>
      <c r="AY192" s="235" t="s">
        <v>1391</v>
      </c>
      <c r="AZ192" s="231" t="s">
        <v>1392</v>
      </c>
      <c r="BA192" s="227">
        <f>2*PI()*BA191</f>
        <v>141.51233168309903</v>
      </c>
      <c r="BB192" s="231"/>
      <c r="BC192" s="223" t="s">
        <v>1390</v>
      </c>
      <c r="BD192" s="223" t="s">
        <v>165</v>
      </c>
      <c r="BE192" s="437">
        <f t="shared" ref="BE192:BO192" si="88">BE191*(180/PI())</f>
        <v>-0.56014419285120309</v>
      </c>
      <c r="BF192" s="437">
        <f t="shared" si="88"/>
        <v>1.1652838224276039</v>
      </c>
      <c r="BG192" s="437">
        <f t="shared" si="88"/>
        <v>1.8884805626316037</v>
      </c>
      <c r="BH192" s="437">
        <f t="shared" si="88"/>
        <v>2.1382445568281909</v>
      </c>
      <c r="BI192" s="437">
        <f t="shared" si="88"/>
        <v>1.9869256253443048</v>
      </c>
      <c r="BJ192" s="437">
        <f t="shared" si="88"/>
        <v>1.6925636026499877</v>
      </c>
      <c r="BK192" s="437">
        <f t="shared" si="88"/>
        <v>1.5169558432594665</v>
      </c>
      <c r="BL192" s="437">
        <f t="shared" si="88"/>
        <v>1.3313363468982389</v>
      </c>
      <c r="BM192" s="437">
        <f t="shared" si="88"/>
        <v>0.94926322815946185</v>
      </c>
      <c r="BN192" s="437">
        <f t="shared" si="88"/>
        <v>0.76047256748408065</v>
      </c>
      <c r="BO192" s="437">
        <f t="shared" si="88"/>
        <v>0.66805958041113811</v>
      </c>
      <c r="BP192" s="231"/>
      <c r="BQ192" s="231"/>
      <c r="BR192" s="231"/>
      <c r="BS192" s="433"/>
    </row>
    <row r="193" spans="4:71" ht="15.6">
      <c r="D193" s="43">
        <v>30</v>
      </c>
      <c r="E193" s="49">
        <v>5.0999999999999996</v>
      </c>
      <c r="F193" s="50">
        <f t="shared" si="83"/>
        <v>5.2637682173384857</v>
      </c>
      <c r="G193" s="1299">
        <f t="shared" si="84"/>
        <v>3.2111415164409025E-2</v>
      </c>
      <c r="AY193" s="235" t="s">
        <v>1393</v>
      </c>
      <c r="AZ193" s="231" t="s">
        <v>658</v>
      </c>
      <c r="BA193" s="227">
        <f>PI()*BA191*BA189</f>
        <v>424.5369950492971</v>
      </c>
      <c r="BB193" s="231"/>
      <c r="BC193" s="223" t="s">
        <v>1394</v>
      </c>
      <c r="BD193" s="223" t="s">
        <v>1380</v>
      </c>
      <c r="BE193" s="437">
        <f t="shared" ref="BE193:BO193" si="89">BE186-BE184-BE191</f>
        <v>-2.1421417952244726E-2</v>
      </c>
      <c r="BF193" s="437">
        <f t="shared" si="89"/>
        <v>6.0172132767944753E-2</v>
      </c>
      <c r="BG193" s="437">
        <f t="shared" si="89"/>
        <v>0.1155790864522438</v>
      </c>
      <c r="BH193" s="437">
        <f t="shared" si="89"/>
        <v>0.14513189968275164</v>
      </c>
      <c r="BI193" s="437">
        <f t="shared" si="89"/>
        <v>0.15661481488272438</v>
      </c>
      <c r="BJ193" s="437">
        <f t="shared" si="89"/>
        <v>0.15241831527382715</v>
      </c>
      <c r="BK193" s="437">
        <f t="shared" si="89"/>
        <v>0.14559572429948298</v>
      </c>
      <c r="BL193" s="437">
        <f t="shared" si="89"/>
        <v>0.13611522593063619</v>
      </c>
      <c r="BM193" s="437">
        <f t="shared" si="89"/>
        <v>0.11033134897299737</v>
      </c>
      <c r="BN193" s="437">
        <f t="shared" si="89"/>
        <v>9.4491782510370631E-2</v>
      </c>
      <c r="BO193" s="437">
        <f t="shared" si="89"/>
        <v>8.5917910761390937E-2</v>
      </c>
      <c r="BP193" s="231"/>
      <c r="BQ193" s="231"/>
      <c r="BR193" s="231"/>
      <c r="BS193" s="433"/>
    </row>
    <row r="194" spans="4:71">
      <c r="D194" s="43">
        <v>40</v>
      </c>
      <c r="E194" s="49">
        <v>4.5</v>
      </c>
      <c r="F194" s="50">
        <f t="shared" si="83"/>
        <v>4.5570741770684631</v>
      </c>
      <c r="G194" s="1299">
        <f t="shared" si="84"/>
        <v>1.2683150459658461E-2</v>
      </c>
      <c r="AY194" s="235" t="s">
        <v>1395</v>
      </c>
      <c r="AZ194" s="231" t="s">
        <v>87</v>
      </c>
      <c r="BA194" s="231">
        <f>BA193/BA182</f>
        <v>0.38491835517676748</v>
      </c>
      <c r="BB194" s="231"/>
      <c r="BC194" s="223" t="s">
        <v>1394</v>
      </c>
      <c r="BD194" s="223" t="s">
        <v>165</v>
      </c>
      <c r="BE194" s="437">
        <f t="shared" ref="BE194:BO194" si="90">BE193*(180/PI())</f>
        <v>-1.2273568398493973</v>
      </c>
      <c r="BF194" s="437">
        <f t="shared" si="90"/>
        <v>3.4476092519040784</v>
      </c>
      <c r="BG194" s="437">
        <f t="shared" si="90"/>
        <v>6.6221938536912406</v>
      </c>
      <c r="BH194" s="437">
        <f t="shared" si="90"/>
        <v>8.3154453245377198</v>
      </c>
      <c r="BI194" s="437">
        <f t="shared" si="90"/>
        <v>8.9733679020027797</v>
      </c>
      <c r="BJ194" s="437">
        <f t="shared" si="90"/>
        <v>8.7329261856846685</v>
      </c>
      <c r="BK194" s="437">
        <f t="shared" si="90"/>
        <v>8.342020517510699</v>
      </c>
      <c r="BL194" s="437">
        <f t="shared" si="90"/>
        <v>7.7988279732951167</v>
      </c>
      <c r="BM194" s="437">
        <f t="shared" si="90"/>
        <v>6.3215206441377996</v>
      </c>
      <c r="BN194" s="437">
        <f t="shared" si="90"/>
        <v>5.4139803365123242</v>
      </c>
      <c r="BO194" s="437">
        <f t="shared" si="90"/>
        <v>4.9227336712093379</v>
      </c>
      <c r="BP194" s="231"/>
      <c r="BQ194" s="231"/>
      <c r="BR194" s="231"/>
      <c r="BS194" s="433"/>
    </row>
    <row r="195" spans="4:71" ht="15.6">
      <c r="D195" s="43">
        <v>60</v>
      </c>
      <c r="E195" s="49">
        <v>3.7</v>
      </c>
      <c r="F195" s="50">
        <f t="shared" si="83"/>
        <v>3.5610448694531698</v>
      </c>
      <c r="G195" s="1299">
        <f t="shared" si="84"/>
        <v>-3.7555440688332539E-2</v>
      </c>
      <c r="AY195" s="235" t="s">
        <v>1396</v>
      </c>
      <c r="AZ195" s="231" t="s">
        <v>1397</v>
      </c>
      <c r="BA195" s="248">
        <f>60*BA186/(BA190*BA189)</f>
        <v>1.1441886306804321</v>
      </c>
      <c r="BB195" s="231"/>
      <c r="BC195" s="223" t="s">
        <v>1398</v>
      </c>
      <c r="BD195" s="223" t="s">
        <v>87</v>
      </c>
      <c r="BE195" s="437">
        <f t="shared" ref="BE195:BO195" si="91">$BA197*BE193</f>
        <v>-0.12852850771346835</v>
      </c>
      <c r="BF195" s="437">
        <f t="shared" si="91"/>
        <v>0.36103279660766852</v>
      </c>
      <c r="BG195" s="437">
        <f t="shared" si="91"/>
        <v>0.69347451871346277</v>
      </c>
      <c r="BH195" s="437">
        <f t="shared" si="91"/>
        <v>0.87079139809650985</v>
      </c>
      <c r="BI195" s="437">
        <f t="shared" si="91"/>
        <v>0.93968888929634631</v>
      </c>
      <c r="BJ195" s="437">
        <f t="shared" si="91"/>
        <v>0.91450989164296292</v>
      </c>
      <c r="BK195" s="437">
        <f t="shared" si="91"/>
        <v>0.87357434579689786</v>
      </c>
      <c r="BL195" s="437">
        <f t="shared" si="91"/>
        <v>0.81669135558381711</v>
      </c>
      <c r="BM195" s="437">
        <f t="shared" si="91"/>
        <v>0.66198809383798429</v>
      </c>
      <c r="BN195" s="437">
        <f t="shared" si="91"/>
        <v>0.56695069506222384</v>
      </c>
      <c r="BO195" s="437">
        <f t="shared" si="91"/>
        <v>0.51550746456834562</v>
      </c>
      <c r="BP195" s="231"/>
      <c r="BQ195" s="231"/>
      <c r="BR195" s="231"/>
      <c r="BS195" s="433"/>
    </row>
    <row r="196" spans="4:71" ht="15.6">
      <c r="D196" s="43">
        <v>80</v>
      </c>
      <c r="E196" s="49">
        <v>3.1</v>
      </c>
      <c r="F196" s="50">
        <f t="shared" si="83"/>
        <v>2.8543508291831472</v>
      </c>
      <c r="G196" s="1299">
        <f t="shared" si="84"/>
        <v>-7.9241668005436416E-2</v>
      </c>
      <c r="AY196" s="235" t="s">
        <v>1399</v>
      </c>
      <c r="AZ196" s="231" t="s">
        <v>87</v>
      </c>
      <c r="BA196" s="248">
        <f>BA195/PI()</f>
        <v>0.36420655280467568</v>
      </c>
      <c r="BB196" s="231"/>
      <c r="BC196" s="223" t="s">
        <v>1400</v>
      </c>
      <c r="BD196" s="223" t="s">
        <v>87</v>
      </c>
      <c r="BE196" s="248">
        <f t="shared" ref="BE196:BO196" si="92">$BA198+($BA199*((BE195-$BA200)^2))</f>
        <v>6.7757812960909164E-3</v>
      </c>
      <c r="BF196" s="248">
        <f t="shared" si="92"/>
        <v>6.4453484124405358E-3</v>
      </c>
      <c r="BG196" s="248">
        <f t="shared" si="92"/>
        <v>8.9536455249083005E-3</v>
      </c>
      <c r="BH196" s="248">
        <f t="shared" si="92"/>
        <v>1.1195402395699213E-2</v>
      </c>
      <c r="BI196" s="248">
        <f t="shared" si="92"/>
        <v>1.2236085418780972E-2</v>
      </c>
      <c r="BJ196" s="248">
        <f t="shared" si="92"/>
        <v>1.1844753744199349E-2</v>
      </c>
      <c r="BK196" s="248">
        <f t="shared" si="92"/>
        <v>1.1235598338954086E-2</v>
      </c>
      <c r="BL196" s="248">
        <f t="shared" si="92"/>
        <v>1.0444773636101877E-2</v>
      </c>
      <c r="BM196" s="248">
        <f t="shared" si="92"/>
        <v>8.6213180823185263E-3</v>
      </c>
      <c r="BN196" s="248">
        <f t="shared" si="92"/>
        <v>7.7384788211287154E-3</v>
      </c>
      <c r="BO196" s="248">
        <f t="shared" si="92"/>
        <v>7.3359570665518046E-3</v>
      </c>
      <c r="BP196" s="231"/>
      <c r="BQ196" s="231"/>
      <c r="BR196" s="231"/>
      <c r="BS196" s="433"/>
    </row>
    <row r="197" spans="4:71" ht="15.6">
      <c r="AY197" s="235" t="s">
        <v>1401</v>
      </c>
      <c r="AZ197" s="231" t="s">
        <v>1402</v>
      </c>
      <c r="BA197" s="534">
        <f>'7b'!BC27</f>
        <v>6</v>
      </c>
      <c r="BB197" s="231"/>
      <c r="BC197" s="223" t="s">
        <v>1403</v>
      </c>
      <c r="BD197" s="223" t="s">
        <v>87</v>
      </c>
      <c r="BE197" s="227">
        <f t="shared" ref="BE197:BO197" si="93">BE195/BE196</f>
        <v>-18.968809956664188</v>
      </c>
      <c r="BF197" s="227">
        <f t="shared" si="93"/>
        <v>56.014473307729723</v>
      </c>
      <c r="BG197" s="227">
        <f t="shared" si="93"/>
        <v>77.45163875253651</v>
      </c>
      <c r="BH197" s="227">
        <f t="shared" si="93"/>
        <v>77.78116116943059</v>
      </c>
      <c r="BI197" s="227">
        <f t="shared" si="93"/>
        <v>76.796529047928416</v>
      </c>
      <c r="BJ197" s="227">
        <f t="shared" si="93"/>
        <v>77.208012204628531</v>
      </c>
      <c r="BK197" s="227">
        <f t="shared" si="93"/>
        <v>77.750585188524838</v>
      </c>
      <c r="BL197" s="227">
        <f t="shared" si="93"/>
        <v>78.191388730624212</v>
      </c>
      <c r="BM197" s="227">
        <f t="shared" si="93"/>
        <v>76.785021445346814</v>
      </c>
      <c r="BN197" s="227">
        <f t="shared" si="93"/>
        <v>73.263842696610212</v>
      </c>
      <c r="BO197" s="227">
        <f t="shared" si="93"/>
        <v>70.27133063779705</v>
      </c>
      <c r="BP197" s="231"/>
      <c r="BQ197" s="231"/>
      <c r="BR197" s="231"/>
      <c r="BS197" s="433"/>
    </row>
    <row r="198" spans="4:71" ht="15.6">
      <c r="D198">
        <v>100</v>
      </c>
      <c r="F198" s="50"/>
      <c r="G198" s="1299"/>
      <c r="AY198" s="235" t="s">
        <v>86</v>
      </c>
      <c r="AZ198" s="231"/>
      <c r="BA198" s="534">
        <f>'7b'!BC28</f>
        <v>6.0000000000000001E-3</v>
      </c>
      <c r="BB198" s="231"/>
      <c r="BC198" s="223" t="s">
        <v>1404</v>
      </c>
      <c r="BD198" s="223" t="s">
        <v>87</v>
      </c>
      <c r="BE198" s="244">
        <f t="shared" ref="BE198:BO198" si="94">(PI()/8)*((($BA$195^2)+(PI()^2)*(BE$176^2))*BE$181*((BE$195*COS(BE$184+BE$191))-(BE$196*SIN(BE$184+BE$191))))</f>
        <v>-4.8897219460448072E-3</v>
      </c>
      <c r="BF198" s="244">
        <f t="shared" si="94"/>
        <v>2.0030419040846632E-2</v>
      </c>
      <c r="BG198" s="244">
        <f t="shared" si="94"/>
        <v>5.9072858227361059E-2</v>
      </c>
      <c r="BH198" s="244">
        <f t="shared" si="94"/>
        <v>0.10658020060371656</v>
      </c>
      <c r="BI198" s="244">
        <f t="shared" si="94"/>
        <v>0.1445638698616164</v>
      </c>
      <c r="BJ198" s="244">
        <f t="shared" si="94"/>
        <v>0.16878280450820432</v>
      </c>
      <c r="BK198" s="244">
        <f t="shared" si="94"/>
        <v>0.17383795878269698</v>
      </c>
      <c r="BL198" s="244">
        <f t="shared" si="94"/>
        <v>0.17351235100410203</v>
      </c>
      <c r="BM198" s="244">
        <f t="shared" si="94"/>
        <v>0.15580659752137432</v>
      </c>
      <c r="BN198" s="244">
        <f t="shared" si="94"/>
        <v>0.13847234502061875</v>
      </c>
      <c r="BO198" s="244">
        <f t="shared" si="94"/>
        <v>0.12779827202149943</v>
      </c>
      <c r="BP198" s="231"/>
      <c r="BQ198" s="231"/>
      <c r="BR198" s="231"/>
      <c r="BS198" s="433"/>
    </row>
    <row r="199" spans="4:71" ht="15.6">
      <c r="D199">
        <v>1000</v>
      </c>
      <c r="F199" s="50"/>
      <c r="G199" s="1299"/>
      <c r="AY199" s="235" t="s">
        <v>1405</v>
      </c>
      <c r="AZ199" s="231"/>
      <c r="BA199" s="534">
        <f>'7b'!BC29</f>
        <v>0.01</v>
      </c>
      <c r="BB199" s="231"/>
      <c r="BC199" s="223" t="s">
        <v>1406</v>
      </c>
      <c r="BD199" s="231" t="s">
        <v>87</v>
      </c>
      <c r="BE199" s="244">
        <f t="shared" ref="BE199:BO199" si="95">(PI()/8)*(PI()*BE176*(($BA$195^2)+(PI()^2)*(BE$176^2))*BE$181*((BE$195*SIN(BE$184+BE$191))+(BE$196*COS(BE$184+BE$191))))</f>
        <v>-4.8503798745453105E-3</v>
      </c>
      <c r="BF199" s="244">
        <f t="shared" si="95"/>
        <v>2.4789719847001099E-2</v>
      </c>
      <c r="BG199" s="244">
        <f t="shared" si="95"/>
        <v>7.4094838174291341E-2</v>
      </c>
      <c r="BH199" s="244">
        <f t="shared" si="95"/>
        <v>0.13530434721879231</v>
      </c>
      <c r="BI199" s="244">
        <f t="shared" si="95"/>
        <v>0.18374005673679494</v>
      </c>
      <c r="BJ199" s="244">
        <f t="shared" si="95"/>
        <v>0.21362657214814224</v>
      </c>
      <c r="BK199" s="244">
        <f t="shared" si="95"/>
        <v>0.21921357492172899</v>
      </c>
      <c r="BL199" s="244">
        <f t="shared" si="95"/>
        <v>0.21782135832160418</v>
      </c>
      <c r="BM199" s="244">
        <f t="shared" si="95"/>
        <v>0.19363078940039183</v>
      </c>
      <c r="BN199" s="244">
        <f t="shared" si="95"/>
        <v>0.17133573401762922</v>
      </c>
      <c r="BO199" s="244">
        <f t="shared" si="95"/>
        <v>0.15788935659514208</v>
      </c>
      <c r="BP199" s="231"/>
      <c r="BQ199" s="231"/>
      <c r="BR199" s="231"/>
      <c r="BS199" s="433"/>
    </row>
    <row r="200" spans="4:71">
      <c r="D200">
        <v>10000</v>
      </c>
      <c r="F200" s="50"/>
      <c r="G200" s="1299"/>
      <c r="AY200" s="235" t="s">
        <v>1407</v>
      </c>
      <c r="AZ200" s="231"/>
      <c r="BA200" s="534">
        <f>'7b'!BC30</f>
        <v>0.15</v>
      </c>
      <c r="BB200" s="231"/>
      <c r="BC200" s="231"/>
      <c r="BD200" s="231"/>
      <c r="BE200" s="231"/>
      <c r="BF200" s="244">
        <f>0.5*(BF176-BE176)*(BF198+BE198)</f>
        <v>7.5703485474009106E-4</v>
      </c>
      <c r="BG200" s="244">
        <f>0.5*(BG176-BF176)*(BG198+BF198)</f>
        <v>3.955163863410386E-3</v>
      </c>
      <c r="BH200" s="244">
        <f>0.5*(BH176-BG176)*(BH198+BG198)</f>
        <v>8.2826529415538797E-3</v>
      </c>
      <c r="BI200" s="244">
        <f>0.5*(BI176-BH176)*(BI198+BH198)</f>
        <v>1.2557203523266645E-2</v>
      </c>
      <c r="BJ200" s="244">
        <f>0.5*(BJ176-BF176)*(BJ198+BF198)</f>
        <v>3.7762644709810188E-2</v>
      </c>
      <c r="BK200" s="244">
        <f>0.5*(BK176-BJ176)*(BK198+BJ198)</f>
        <v>8.5655190822725401E-3</v>
      </c>
      <c r="BL200" s="244">
        <f>0.5*(BL176-BK176)*(BL198+BK198)</f>
        <v>8.6837577446699839E-3</v>
      </c>
      <c r="BM200" s="244">
        <f>0.5*(BM176-BK176)*(BM198+BK198)</f>
        <v>2.472334172280535E-2</v>
      </c>
      <c r="BN200" s="244">
        <f>0.5*(BN176-BM176)*(BN198+BM198)</f>
        <v>7.3569735635498163E-3</v>
      </c>
      <c r="BO200" s="244">
        <f>0.5*(BO176-BN176)*(BO198+BN198)</f>
        <v>3.3283827130264803E-3</v>
      </c>
      <c r="BP200" s="231"/>
      <c r="BQ200" s="231"/>
      <c r="BR200" s="231"/>
      <c r="BS200" s="433"/>
    </row>
    <row r="201" spans="4:71">
      <c r="AY201" s="246" t="s">
        <v>1408</v>
      </c>
      <c r="AZ201" s="223" t="s">
        <v>165</v>
      </c>
      <c r="BA201" s="534">
        <f>'7b'!BC31</f>
        <v>-43.052736791726751</v>
      </c>
      <c r="BB201" s="231"/>
      <c r="BC201" s="231"/>
      <c r="BD201" s="231"/>
      <c r="BE201" s="231"/>
      <c r="BF201" s="244">
        <f>0.5*(BF176-BE176)*(BF199+BE199)</f>
        <v>9.9696699862278923E-4</v>
      </c>
      <c r="BG201" s="244">
        <f>0.5*(BG176-BF176)*(BG199+BF199)</f>
        <v>4.9442279010646238E-3</v>
      </c>
      <c r="BH201" s="244">
        <f>0.5*(BH176-BG176)*(BH199+BG199)</f>
        <v>1.046995926965418E-2</v>
      </c>
      <c r="BI201" s="244">
        <f>0.5*(BI176-BH176)*(BI199+BH199)</f>
        <v>1.5952220197779358E-2</v>
      </c>
      <c r="BJ201" s="244">
        <f>0.5*(BJ176-BF176)*(BJ199+BF199)</f>
        <v>4.7683258399028663E-2</v>
      </c>
      <c r="BK201" s="244">
        <f>0.5*(BK176-BJ176)*(BK199+BJ199)</f>
        <v>1.082100367674679E-2</v>
      </c>
      <c r="BL201" s="244">
        <f>0.5*(BL176-BK176)*(BL199+BK199)</f>
        <v>1.092587333108334E-2</v>
      </c>
      <c r="BM201" s="244">
        <f>0.5*(BM176-BK176)*(BM199+BK199)</f>
        <v>3.0963327324159063E-2</v>
      </c>
      <c r="BN201" s="244">
        <f>0.5*(BN176-BM176)*(BN199+BM199)</f>
        <v>9.1241630854505141E-3</v>
      </c>
      <c r="BO201" s="244">
        <f>0.5*(BO176-BN176)*(BO199+BN199)</f>
        <v>4.1153136326596449E-3</v>
      </c>
      <c r="BP201" s="231"/>
      <c r="BQ201" s="231"/>
      <c r="BR201" s="231"/>
      <c r="BS201" s="433"/>
    </row>
    <row r="202" spans="4:71" ht="13.8" thickBot="1">
      <c r="AY202" s="235"/>
      <c r="AZ202" s="231"/>
      <c r="BA202" s="231"/>
      <c r="BB202" s="231"/>
      <c r="BC202" s="231"/>
      <c r="BD202" s="231"/>
      <c r="BE202" s="231"/>
      <c r="BF202" s="231"/>
      <c r="BG202" s="231"/>
      <c r="BH202" s="231"/>
      <c r="BI202" s="231"/>
      <c r="BJ202" s="231"/>
      <c r="BK202" s="231"/>
      <c r="BL202" s="231"/>
      <c r="BM202" s="231"/>
      <c r="BN202" s="231"/>
      <c r="BO202" s="231"/>
      <c r="BP202" s="231"/>
      <c r="BQ202" s="231"/>
      <c r="BR202" s="231"/>
      <c r="BS202" s="433"/>
    </row>
    <row r="203" spans="4:71" ht="17.399999999999999">
      <c r="AY203" s="401" t="s">
        <v>1409</v>
      </c>
      <c r="AZ203" s="402"/>
      <c r="BA203" s="403"/>
      <c r="BB203" s="231"/>
      <c r="BC203" s="231"/>
      <c r="BD203" s="231"/>
      <c r="BE203" s="231"/>
      <c r="BF203" s="231"/>
      <c r="BG203" s="231"/>
      <c r="BH203" s="231"/>
      <c r="BI203" s="231"/>
      <c r="BJ203" s="231"/>
      <c r="BK203" s="231"/>
      <c r="BL203" s="231"/>
      <c r="BM203" s="231"/>
      <c r="BN203" s="231"/>
      <c r="BO203" s="231"/>
      <c r="BP203" s="231"/>
      <c r="BQ203" s="231"/>
      <c r="BR203" s="231"/>
      <c r="BS203" s="433"/>
    </row>
    <row r="204" spans="4:71" ht="15.6">
      <c r="AY204" s="404" t="s">
        <v>641</v>
      </c>
      <c r="AZ204" s="405" t="s">
        <v>90</v>
      </c>
      <c r="BA204" s="406" t="s">
        <v>91</v>
      </c>
      <c r="BB204" s="231"/>
      <c r="BC204" s="231"/>
      <c r="BD204" s="231"/>
      <c r="BE204" s="231"/>
      <c r="BF204" s="231"/>
      <c r="BG204" s="231"/>
      <c r="BH204" s="231"/>
      <c r="BI204" s="231"/>
      <c r="BJ204" s="231"/>
      <c r="BK204" s="231"/>
      <c r="BL204" s="231"/>
      <c r="BM204" s="231"/>
      <c r="BN204" s="231"/>
      <c r="BO204" s="231"/>
      <c r="BP204" s="231"/>
      <c r="BQ204" s="1045"/>
      <c r="BR204" s="1046"/>
      <c r="BS204" s="1047"/>
    </row>
    <row r="205" spans="4:71">
      <c r="AY205" s="216" t="s">
        <v>1384</v>
      </c>
      <c r="AZ205" s="217" t="s">
        <v>87</v>
      </c>
      <c r="BA205" s="218">
        <f>BA188</f>
        <v>2</v>
      </c>
      <c r="BB205" s="231"/>
      <c r="BC205" s="231"/>
      <c r="BD205" s="231"/>
      <c r="BE205" s="231"/>
      <c r="BF205" s="231"/>
      <c r="BG205" s="231"/>
      <c r="BH205" s="231"/>
      <c r="BI205" s="231"/>
      <c r="BJ205" s="231"/>
      <c r="BK205" s="231"/>
      <c r="BL205" s="231"/>
      <c r="BM205" s="231"/>
      <c r="BN205" s="231"/>
      <c r="BO205" s="231"/>
      <c r="BP205" s="231"/>
      <c r="BQ205" s="1048"/>
      <c r="BR205" s="1046"/>
      <c r="BS205" s="1047"/>
    </row>
    <row r="206" spans="4:71">
      <c r="AY206" s="216" t="s">
        <v>1385</v>
      </c>
      <c r="AZ206" s="217" t="s">
        <v>188</v>
      </c>
      <c r="BA206" s="218">
        <f>BA189</f>
        <v>6</v>
      </c>
      <c r="BB206" s="231"/>
      <c r="BC206" s="231"/>
      <c r="BD206" s="231"/>
      <c r="BE206" s="231"/>
      <c r="BF206" s="231"/>
      <c r="BG206" s="231"/>
      <c r="BH206" s="231"/>
      <c r="BI206" s="231"/>
      <c r="BJ206" s="231"/>
      <c r="BK206" s="231"/>
      <c r="BL206" s="231"/>
      <c r="BM206" s="231"/>
      <c r="BN206" s="231"/>
      <c r="BO206" s="231"/>
      <c r="BP206" s="231"/>
      <c r="BQ206" s="1048"/>
      <c r="BR206" s="239"/>
      <c r="BS206" s="693"/>
    </row>
    <row r="207" spans="4:71">
      <c r="AY207" s="216" t="s">
        <v>1386</v>
      </c>
      <c r="AZ207" s="217" t="s">
        <v>1387</v>
      </c>
      <c r="BA207" s="218">
        <f>BA190</f>
        <v>1351.3432257495028</v>
      </c>
      <c r="BB207" s="231"/>
      <c r="BC207" s="231"/>
      <c r="BD207" s="231"/>
      <c r="BE207" s="231"/>
      <c r="BF207" s="231"/>
      <c r="BG207" s="231"/>
      <c r="BH207" s="231"/>
      <c r="BI207" s="231"/>
      <c r="BJ207" s="231"/>
      <c r="BK207" s="231"/>
      <c r="BL207" s="231"/>
      <c r="BM207" s="231"/>
      <c r="BN207" s="231"/>
      <c r="BO207" s="231"/>
      <c r="BP207" s="231"/>
      <c r="BQ207" s="1048"/>
      <c r="BR207" s="239"/>
      <c r="BS207" s="693"/>
    </row>
    <row r="208" spans="4:71" ht="15.6">
      <c r="AY208" s="129" t="s">
        <v>1410</v>
      </c>
      <c r="AZ208" s="122" t="s">
        <v>165</v>
      </c>
      <c r="BA208" s="408">
        <f>BK187</f>
        <v>35.760591041524179</v>
      </c>
      <c r="BB208" s="231"/>
      <c r="BC208" s="231"/>
      <c r="BD208" s="231"/>
      <c r="BE208" s="231"/>
      <c r="BF208" s="231"/>
      <c r="BG208" s="231"/>
      <c r="BH208" s="231"/>
      <c r="BI208" s="231"/>
      <c r="BJ208" s="231"/>
      <c r="BK208" s="231"/>
      <c r="BL208" s="231"/>
      <c r="BM208" s="231"/>
      <c r="BN208" s="231"/>
      <c r="BO208" s="231"/>
      <c r="BP208" s="231"/>
      <c r="BQ208" s="1048"/>
      <c r="BR208" s="239"/>
      <c r="BS208" s="693"/>
    </row>
    <row r="209" spans="51:71">
      <c r="AY209" s="129" t="s">
        <v>1408</v>
      </c>
      <c r="AZ209" s="122" t="s">
        <v>165</v>
      </c>
      <c r="BA209" s="408">
        <f>BA201</f>
        <v>-43.052736791726751</v>
      </c>
      <c r="BB209" s="231"/>
      <c r="BC209" s="231"/>
      <c r="BD209" s="231"/>
      <c r="BE209" s="231"/>
      <c r="BF209" s="231"/>
      <c r="BG209" s="231"/>
      <c r="BH209" s="231"/>
      <c r="BI209" s="231"/>
      <c r="BJ209" s="231"/>
      <c r="BK209" s="231"/>
      <c r="BL209" s="231"/>
      <c r="BM209" s="231"/>
      <c r="BN209" s="231"/>
      <c r="BO209" s="231"/>
      <c r="BP209" s="231"/>
      <c r="BQ209" s="1048"/>
      <c r="BR209" s="239"/>
      <c r="BS209" s="693"/>
    </row>
    <row r="210" spans="51:71">
      <c r="AY210" s="129" t="s">
        <v>1411</v>
      </c>
      <c r="AZ210" s="122" t="s">
        <v>619</v>
      </c>
      <c r="BA210" s="408">
        <f>BA219/((PI()/4)*(BA189^2))</f>
        <v>5.7789113473215181</v>
      </c>
      <c r="BB210" s="231"/>
      <c r="BC210" s="231"/>
      <c r="BD210" s="231"/>
      <c r="BE210" s="231"/>
      <c r="BF210" s="231"/>
      <c r="BG210" s="231"/>
      <c r="BH210" s="231"/>
      <c r="BI210" s="231"/>
      <c r="BJ210" s="231"/>
      <c r="BK210" s="231"/>
      <c r="BL210" s="231"/>
      <c r="BM210" s="231"/>
      <c r="BN210" s="231"/>
      <c r="BO210" s="231"/>
      <c r="BP210" s="231"/>
      <c r="BQ210" s="1048"/>
      <c r="BR210" s="239"/>
      <c r="BS210" s="693"/>
    </row>
    <row r="211" spans="51:71">
      <c r="AY211" s="129" t="s">
        <v>1412</v>
      </c>
      <c r="AZ211" s="122" t="s">
        <v>87</v>
      </c>
      <c r="BA211" s="411">
        <f>BA188*BK178/(PI()*(BA189/2))</f>
        <v>8.3765759522050176E-2</v>
      </c>
      <c r="BB211" s="231"/>
      <c r="BC211" s="231"/>
      <c r="BD211" s="231"/>
      <c r="BE211" s="231"/>
      <c r="BF211" s="227"/>
      <c r="BG211" s="1049"/>
      <c r="BH211" s="231"/>
      <c r="BI211" s="231"/>
      <c r="BJ211" s="231"/>
      <c r="BK211" s="231"/>
      <c r="BL211" s="231"/>
      <c r="BM211" s="231"/>
      <c r="BN211" s="231"/>
      <c r="BO211" s="231"/>
      <c r="BP211" s="231"/>
      <c r="BQ211" s="1048"/>
      <c r="BR211" s="239"/>
      <c r="BS211" s="693"/>
    </row>
    <row r="212" spans="51:71">
      <c r="AY212" s="216" t="s">
        <v>33</v>
      </c>
      <c r="AZ212" s="217" t="s">
        <v>188</v>
      </c>
      <c r="BA212" s="413">
        <f>BA177</f>
        <v>3500</v>
      </c>
      <c r="BB212" s="231"/>
      <c r="BC212" s="231"/>
      <c r="BD212" s="231"/>
      <c r="BE212" s="231"/>
      <c r="BF212" s="451"/>
      <c r="BG212" s="1049"/>
      <c r="BH212" s="231"/>
      <c r="BI212" s="231"/>
      <c r="BJ212" s="231"/>
      <c r="BK212" s="231"/>
      <c r="BL212" s="231"/>
      <c r="BM212" s="231"/>
      <c r="BN212" s="231"/>
      <c r="BO212" s="231"/>
      <c r="BP212" s="231"/>
      <c r="BQ212" s="1048"/>
      <c r="BR212" s="239"/>
      <c r="BS212" s="693"/>
    </row>
    <row r="213" spans="51:71">
      <c r="AY213" s="216" t="s">
        <v>1366</v>
      </c>
      <c r="AZ213" s="217" t="s">
        <v>648</v>
      </c>
      <c r="BA213" s="218">
        <f>BA178</f>
        <v>0</v>
      </c>
      <c r="BB213" s="231"/>
      <c r="BC213" s="231"/>
      <c r="BD213" s="231"/>
      <c r="BE213" s="231"/>
      <c r="BF213" s="231"/>
      <c r="BG213" s="231"/>
      <c r="BH213" s="231"/>
      <c r="BI213" s="231"/>
      <c r="BJ213" s="231"/>
      <c r="BK213" s="231"/>
      <c r="BL213" s="231"/>
      <c r="BM213" s="231"/>
      <c r="BN213" s="231"/>
      <c r="BO213" s="231"/>
      <c r="BP213" s="231"/>
      <c r="BQ213" s="1048"/>
      <c r="BR213" s="239"/>
      <c r="BS213" s="693"/>
    </row>
    <row r="214" spans="51:71">
      <c r="AY214" s="216" t="s">
        <v>1381</v>
      </c>
      <c r="AZ214" s="122" t="s">
        <v>1026</v>
      </c>
      <c r="BA214" s="218">
        <f>BA185</f>
        <v>91.544793075760893</v>
      </c>
      <c r="BB214" s="231"/>
      <c r="BC214" s="231"/>
      <c r="BD214" s="231"/>
      <c r="BE214" s="231"/>
      <c r="BF214" s="231"/>
      <c r="BG214" s="231"/>
      <c r="BH214" s="231"/>
      <c r="BI214" s="231"/>
      <c r="BJ214" s="231"/>
      <c r="BK214" s="231"/>
      <c r="BL214" s="231"/>
      <c r="BM214" s="231"/>
      <c r="BN214" s="231"/>
      <c r="BO214" s="231"/>
      <c r="BP214" s="231"/>
      <c r="BQ214" s="1048"/>
      <c r="BR214" s="239"/>
      <c r="BS214" s="693"/>
    </row>
    <row r="215" spans="51:71">
      <c r="AY215" s="129" t="s">
        <v>1413</v>
      </c>
      <c r="AZ215" s="122" t="s">
        <v>87</v>
      </c>
      <c r="BA215" s="411">
        <f>SUM(BF200:BO200)</f>
        <v>0.11597267471910536</v>
      </c>
      <c r="BB215" s="231"/>
      <c r="BC215" s="231"/>
      <c r="BD215" s="231"/>
      <c r="BE215" s="231"/>
      <c r="BF215" s="231"/>
      <c r="BG215" s="231"/>
      <c r="BH215" s="231"/>
      <c r="BI215" s="231"/>
      <c r="BJ215" s="231"/>
      <c r="BK215" s="231"/>
      <c r="BL215" s="231"/>
      <c r="BM215" s="231"/>
      <c r="BN215" s="231"/>
      <c r="BO215" s="231"/>
      <c r="BP215" s="231"/>
      <c r="BQ215" s="1048"/>
      <c r="BR215" s="239"/>
      <c r="BS215" s="693"/>
    </row>
    <row r="216" spans="51:71">
      <c r="AY216" s="129" t="s">
        <v>1414</v>
      </c>
      <c r="AZ216" s="122" t="s">
        <v>87</v>
      </c>
      <c r="BA216" s="411">
        <f>SUM(BF201:BO201)</f>
        <v>0.145996313816249</v>
      </c>
      <c r="BB216" s="231"/>
      <c r="BC216" s="231"/>
      <c r="BD216" s="231"/>
      <c r="BE216" s="231"/>
      <c r="BF216" s="248"/>
      <c r="BG216" s="1049"/>
      <c r="BH216" s="231"/>
      <c r="BI216" s="231"/>
      <c r="BJ216" s="231"/>
      <c r="BK216" s="231"/>
      <c r="BL216" s="231"/>
      <c r="BM216" s="231"/>
      <c r="BN216" s="231"/>
      <c r="BO216" s="231"/>
      <c r="BP216" s="231"/>
      <c r="BQ216" s="1048"/>
      <c r="BR216" s="239"/>
      <c r="BS216" s="693"/>
    </row>
    <row r="217" spans="51:71">
      <c r="AY217" s="415" t="s">
        <v>1415</v>
      </c>
      <c r="AZ217" s="122" t="s">
        <v>87</v>
      </c>
      <c r="BA217" s="411">
        <f>BA215*BA195/BA216</f>
        <v>0.90889017958501206</v>
      </c>
      <c r="BB217" s="231"/>
      <c r="BC217" s="231"/>
      <c r="BD217" s="231"/>
      <c r="BE217" s="231"/>
      <c r="BF217" s="231"/>
      <c r="BG217" s="231"/>
      <c r="BH217" s="231"/>
      <c r="BI217" s="231"/>
      <c r="BJ217" s="231"/>
      <c r="BK217" s="231"/>
      <c r="BL217" s="231"/>
      <c r="BM217" s="231"/>
      <c r="BN217" s="231"/>
      <c r="BO217" s="231"/>
      <c r="BP217" s="231"/>
      <c r="BQ217" s="1048"/>
      <c r="BR217" s="239"/>
      <c r="BS217" s="693"/>
    </row>
    <row r="218" spans="51:71">
      <c r="AY218" s="129" t="s">
        <v>70</v>
      </c>
      <c r="AZ218" s="122" t="s">
        <v>1416</v>
      </c>
      <c r="BA218" s="413">
        <f>BA216*BA184*(BA191^3)*(BA189^5)/550</f>
        <v>50.539112449725572</v>
      </c>
      <c r="BB218" s="231"/>
      <c r="BC218" s="231"/>
      <c r="BD218" s="231"/>
      <c r="BE218" s="231"/>
      <c r="BF218" s="231"/>
      <c r="BG218" s="231"/>
      <c r="BH218" s="231"/>
      <c r="BI218" s="231"/>
      <c r="BJ218" s="231"/>
      <c r="BK218" s="231"/>
      <c r="BL218" s="231"/>
      <c r="BM218" s="231"/>
      <c r="BN218" s="231"/>
      <c r="BO218" s="231"/>
      <c r="BP218" s="231"/>
      <c r="BQ218" s="1048"/>
      <c r="BR218" s="239"/>
      <c r="BS218" s="693"/>
    </row>
    <row r="219" spans="51:71" ht="13.8" thickBot="1">
      <c r="AY219" s="416" t="s">
        <v>69</v>
      </c>
      <c r="AZ219" s="137" t="s">
        <v>436</v>
      </c>
      <c r="BA219" s="226">
        <f>BA215*BA184*(BA191^2)*(BA189^4)</f>
        <v>163.39486891042776</v>
      </c>
      <c r="BB219" s="231"/>
      <c r="BC219" s="231"/>
      <c r="BD219" s="231"/>
      <c r="BE219" s="231"/>
      <c r="BF219" s="227"/>
      <c r="BG219" s="1049"/>
      <c r="BH219" s="231"/>
      <c r="BI219" s="231"/>
      <c r="BJ219" s="231"/>
      <c r="BK219" s="231"/>
      <c r="BL219" s="231"/>
      <c r="BM219" s="231"/>
      <c r="BN219" s="231"/>
      <c r="BO219" s="231"/>
      <c r="BP219" s="231"/>
      <c r="BQ219" s="1048"/>
      <c r="BR219" s="239"/>
      <c r="BS219" s="693"/>
    </row>
    <row r="220" spans="51:71">
      <c r="AY220" s="235"/>
      <c r="AZ220" s="231"/>
      <c r="BA220" s="231"/>
      <c r="BB220" s="231"/>
      <c r="BC220" s="417"/>
      <c r="BD220" s="418"/>
      <c r="BE220" s="419"/>
      <c r="BF220" s="231"/>
      <c r="BG220" s="1049"/>
      <c r="BH220" s="231"/>
      <c r="BI220" s="231"/>
      <c r="BJ220" s="231"/>
      <c r="BK220" s="231"/>
      <c r="BL220" s="231"/>
      <c r="BM220" s="231"/>
      <c r="BN220" s="231"/>
      <c r="BO220" s="231"/>
      <c r="BP220" s="231"/>
      <c r="BQ220" s="1048"/>
      <c r="BR220" s="239"/>
      <c r="BS220" s="693"/>
    </row>
    <row r="221" spans="51:71">
      <c r="AY221" s="235"/>
      <c r="AZ221" s="231"/>
      <c r="BA221" s="231"/>
      <c r="BB221" s="231"/>
      <c r="BC221" s="417"/>
      <c r="BD221" s="418"/>
      <c r="BE221" s="420"/>
      <c r="BF221" s="248"/>
      <c r="BG221" s="1049"/>
      <c r="BH221" s="231"/>
      <c r="BI221" s="231"/>
      <c r="BJ221" s="231"/>
      <c r="BK221" s="231"/>
      <c r="BL221" s="231"/>
      <c r="BM221" s="231"/>
      <c r="BN221" s="231"/>
      <c r="BO221" s="231"/>
      <c r="BP221" s="231"/>
      <c r="BQ221" s="231"/>
      <c r="BR221" s="231"/>
      <c r="BS221" s="433"/>
    </row>
    <row r="222" spans="51:71">
      <c r="AY222" s="24"/>
      <c r="AZ222" s="25"/>
      <c r="BA222" s="25"/>
      <c r="BB222" s="25"/>
      <c r="BC222" s="25"/>
      <c r="BD222" s="25"/>
      <c r="BE222" s="25"/>
      <c r="BF222" s="25"/>
      <c r="BG222" s="25"/>
      <c r="BH222" s="25"/>
      <c r="BI222" s="25"/>
      <c r="BJ222" s="25"/>
      <c r="BK222" s="25"/>
      <c r="BL222" s="25"/>
      <c r="BM222" s="25"/>
      <c r="BN222" s="25"/>
      <c r="BO222" s="25"/>
      <c r="BP222" s="25"/>
      <c r="BQ222" s="25"/>
      <c r="BR222" s="25"/>
      <c r="BS222" s="26"/>
    </row>
    <row r="223" spans="51:71" ht="21">
      <c r="AY223" s="1039" t="s">
        <v>2561</v>
      </c>
      <c r="AZ223" s="231"/>
      <c r="BA223" s="231"/>
      <c r="BB223" s="231"/>
      <c r="BC223" s="231"/>
      <c r="BD223" s="231"/>
      <c r="BE223" s="231"/>
      <c r="BF223" s="231"/>
      <c r="BG223" s="231"/>
      <c r="BH223" s="231"/>
      <c r="BI223" s="231"/>
      <c r="BJ223" s="231"/>
      <c r="BK223" s="231"/>
      <c r="BL223" s="231"/>
      <c r="BM223" s="231"/>
      <c r="BN223" s="231"/>
      <c r="BO223" s="231"/>
      <c r="BP223" s="231"/>
      <c r="BQ223" s="231"/>
      <c r="BR223" s="231"/>
      <c r="BS223" s="433"/>
    </row>
    <row r="224" spans="51:71">
      <c r="AY224" s="1040" t="s">
        <v>1361</v>
      </c>
      <c r="AZ224" s="231"/>
      <c r="BA224" s="231"/>
      <c r="BB224" s="231"/>
      <c r="BC224" s="231"/>
      <c r="BD224" s="231"/>
      <c r="BE224" s="231"/>
      <c r="BF224" s="231"/>
      <c r="BG224" s="231"/>
      <c r="BH224" s="231"/>
      <c r="BI224" s="231"/>
      <c r="BJ224" s="231"/>
      <c r="BK224" s="231"/>
      <c r="BL224" s="231"/>
      <c r="BM224" s="231"/>
      <c r="BN224" s="251"/>
      <c r="BO224" s="231"/>
      <c r="BP224" s="231"/>
      <c r="BQ224" s="231"/>
      <c r="BR224" s="231"/>
      <c r="BS224" s="433"/>
    </row>
    <row r="225" spans="51:71">
      <c r="AY225" s="235"/>
      <c r="AZ225" s="231"/>
      <c r="BA225" s="231"/>
      <c r="BB225" s="231"/>
      <c r="BC225" s="231"/>
      <c r="BD225" s="231"/>
      <c r="BE225" s="231"/>
      <c r="BF225" s="231"/>
      <c r="BG225" s="231"/>
      <c r="BH225" s="231"/>
      <c r="BI225" s="231"/>
      <c r="BJ225" s="231"/>
      <c r="BK225" s="231"/>
      <c r="BL225" s="231"/>
      <c r="BM225" s="231"/>
      <c r="BN225" s="251"/>
      <c r="BO225" s="231"/>
      <c r="BP225" s="231"/>
      <c r="BQ225" s="231"/>
      <c r="BR225" s="231"/>
      <c r="BS225" s="433"/>
    </row>
    <row r="226" spans="51:71" ht="17.399999999999999">
      <c r="AY226" s="1041" t="s">
        <v>1362</v>
      </c>
      <c r="AZ226" s="231"/>
      <c r="BA226" s="231"/>
      <c r="BB226" s="231"/>
      <c r="BC226" s="231"/>
      <c r="BD226" s="231"/>
      <c r="BE226" s="231"/>
      <c r="BF226" s="231"/>
      <c r="BG226" s="231"/>
      <c r="BH226" s="231"/>
      <c r="BI226" s="231"/>
      <c r="BJ226" s="231"/>
      <c r="BK226" s="231"/>
      <c r="BL226" s="231"/>
      <c r="BM226" s="231"/>
      <c r="BN226" s="251"/>
      <c r="BO226" s="231"/>
      <c r="BP226" s="231"/>
      <c r="BQ226" s="231"/>
      <c r="BR226" s="231"/>
      <c r="BS226" s="433"/>
    </row>
    <row r="227" spans="51:71" ht="13.8">
      <c r="AY227" s="1042" t="s">
        <v>1363</v>
      </c>
      <c r="AZ227" s="231"/>
      <c r="BA227" s="231"/>
      <c r="BB227" s="231"/>
      <c r="BC227" s="231"/>
      <c r="BD227" s="231"/>
      <c r="BE227" s="231"/>
      <c r="BF227" s="231"/>
      <c r="BG227" s="231"/>
      <c r="BH227" s="231"/>
      <c r="BI227" s="231"/>
      <c r="BJ227" s="231"/>
      <c r="BK227" s="231"/>
      <c r="BL227" s="231"/>
      <c r="BM227" s="231"/>
      <c r="BN227" s="251"/>
      <c r="BO227" s="231"/>
      <c r="BP227" s="231"/>
      <c r="BQ227" s="231"/>
      <c r="BR227" s="231"/>
      <c r="BS227" s="433"/>
    </row>
    <row r="228" spans="51:71">
      <c r="AY228" s="235"/>
      <c r="AZ228" s="231"/>
      <c r="BA228" s="231"/>
      <c r="BB228" s="231"/>
      <c r="BC228" s="231"/>
      <c r="BD228" s="231"/>
      <c r="BE228" s="231"/>
      <c r="BF228" s="231"/>
      <c r="BG228" s="231"/>
      <c r="BH228" s="231"/>
      <c r="BI228" s="231"/>
      <c r="BJ228" s="437"/>
      <c r="BK228" s="231"/>
      <c r="BL228" s="231"/>
      <c r="BM228" s="231"/>
      <c r="BN228" s="231"/>
      <c r="BO228" s="231"/>
      <c r="BP228" s="231"/>
      <c r="BQ228" s="231"/>
      <c r="BR228" s="231"/>
      <c r="BS228" s="433"/>
    </row>
    <row r="229" spans="51:71">
      <c r="AY229" s="1023" t="s">
        <v>1364</v>
      </c>
      <c r="AZ229" s="233" t="s">
        <v>90</v>
      </c>
      <c r="BA229" s="233" t="s">
        <v>91</v>
      </c>
      <c r="BB229" s="231"/>
      <c r="BC229" s="231"/>
      <c r="BD229" s="233" t="s">
        <v>90</v>
      </c>
      <c r="BE229" s="231"/>
      <c r="BF229" s="231"/>
      <c r="BG229" s="231"/>
      <c r="BH229" s="231"/>
      <c r="BI229" s="231"/>
      <c r="BJ229" s="231"/>
      <c r="BK229" s="231"/>
      <c r="BL229" s="231"/>
      <c r="BM229" s="231"/>
      <c r="BN229" s="231"/>
      <c r="BO229" s="231"/>
      <c r="BP229" s="231"/>
      <c r="BQ229" s="231"/>
      <c r="BR229" s="231"/>
      <c r="BS229" s="433"/>
    </row>
    <row r="230" spans="51:71">
      <c r="AY230" s="235"/>
      <c r="AZ230" s="231"/>
      <c r="BA230" s="231"/>
      <c r="BB230" s="231"/>
      <c r="BC230" s="574" t="s">
        <v>1365</v>
      </c>
      <c r="BD230" s="574" t="s">
        <v>87</v>
      </c>
      <c r="BE230" s="334">
        <f t="shared" ref="BE230:BO230" si="96">BE$68</f>
        <v>0.2</v>
      </c>
      <c r="BF230" s="334">
        <f t="shared" si="96"/>
        <v>0.3</v>
      </c>
      <c r="BG230" s="334">
        <f t="shared" si="96"/>
        <v>0.4</v>
      </c>
      <c r="BH230" s="334">
        <f t="shared" si="96"/>
        <v>0.5</v>
      </c>
      <c r="BI230" s="334">
        <f t="shared" si="96"/>
        <v>0.6</v>
      </c>
      <c r="BJ230" s="334">
        <f t="shared" si="96"/>
        <v>0.7</v>
      </c>
      <c r="BK230" s="334">
        <f t="shared" si="96"/>
        <v>0.75</v>
      </c>
      <c r="BL230" s="334">
        <f t="shared" si="96"/>
        <v>0.8</v>
      </c>
      <c r="BM230" s="334">
        <f t="shared" si="96"/>
        <v>0.9</v>
      </c>
      <c r="BN230" s="334">
        <f t="shared" si="96"/>
        <v>0.95</v>
      </c>
      <c r="BO230" s="334">
        <f t="shared" si="96"/>
        <v>0.97499999999999998</v>
      </c>
      <c r="BP230" s="231"/>
      <c r="BQ230" s="231"/>
      <c r="BR230" s="231"/>
      <c r="BS230" s="433"/>
    </row>
    <row r="231" spans="51:71">
      <c r="AY231" s="235" t="s">
        <v>33</v>
      </c>
      <c r="AZ231" s="231" t="s">
        <v>188</v>
      </c>
      <c r="BA231" s="535">
        <f>'7b'!BD7</f>
        <v>10000</v>
      </c>
      <c r="BB231" s="231"/>
      <c r="BC231" s="574" t="s">
        <v>50</v>
      </c>
      <c r="BD231" s="574" t="s">
        <v>188</v>
      </c>
      <c r="BE231" s="334">
        <f t="shared" ref="BE231:BO231" si="97">BE230*($BA243/2)</f>
        <v>0.60000000000000009</v>
      </c>
      <c r="BF231" s="334">
        <f t="shared" si="97"/>
        <v>0.89999999999999991</v>
      </c>
      <c r="BG231" s="334">
        <f t="shared" si="97"/>
        <v>1.2000000000000002</v>
      </c>
      <c r="BH231" s="334">
        <f t="shared" si="97"/>
        <v>1.5</v>
      </c>
      <c r="BI231" s="334">
        <f t="shared" si="97"/>
        <v>1.7999999999999998</v>
      </c>
      <c r="BJ231" s="334">
        <f t="shared" si="97"/>
        <v>2.0999999999999996</v>
      </c>
      <c r="BK231" s="334">
        <f t="shared" si="97"/>
        <v>2.25</v>
      </c>
      <c r="BL231" s="334">
        <f t="shared" si="97"/>
        <v>2.4000000000000004</v>
      </c>
      <c r="BM231" s="334">
        <f t="shared" si="97"/>
        <v>2.7</v>
      </c>
      <c r="BN231" s="334">
        <f t="shared" si="97"/>
        <v>2.8499999999999996</v>
      </c>
      <c r="BO231" s="334">
        <f t="shared" si="97"/>
        <v>2.9249999999999998</v>
      </c>
      <c r="BP231" s="231"/>
      <c r="BQ231" s="231"/>
      <c r="BR231" s="231"/>
      <c r="BS231" s="433"/>
    </row>
    <row r="232" spans="51:71">
      <c r="AY232" s="235" t="s">
        <v>1366</v>
      </c>
      <c r="AZ232" s="231" t="s">
        <v>648</v>
      </c>
      <c r="BA232" s="852">
        <f>'7b'!BD8</f>
        <v>0</v>
      </c>
      <c r="BB232" s="231"/>
      <c r="BC232" s="231" t="s">
        <v>1367</v>
      </c>
      <c r="BD232" s="231" t="s">
        <v>188</v>
      </c>
      <c r="BE232" s="536">
        <f>'7b'!BD33</f>
        <v>0.5</v>
      </c>
      <c r="BF232" s="334">
        <f>$BE232</f>
        <v>0.5</v>
      </c>
      <c r="BG232" s="334">
        <f>$BE232</f>
        <v>0.5</v>
      </c>
      <c r="BH232" s="334">
        <f>$BE232</f>
        <v>0.5</v>
      </c>
      <c r="BI232" s="334">
        <f t="shared" ref="BI232:BN232" si="98">$BH232-(((BI231-$BH231)/($BO231-$BH231))*($BH232-$BO232))</f>
        <v>0.4578947368421053</v>
      </c>
      <c r="BJ232" s="334">
        <f t="shared" si="98"/>
        <v>0.41578947368421054</v>
      </c>
      <c r="BK232" s="334">
        <f t="shared" si="98"/>
        <v>0.39473684210526316</v>
      </c>
      <c r="BL232" s="334">
        <f t="shared" si="98"/>
        <v>0.37368421052631573</v>
      </c>
      <c r="BM232" s="334">
        <f t="shared" si="98"/>
        <v>0.33157894736842097</v>
      </c>
      <c r="BN232" s="334">
        <f t="shared" si="98"/>
        <v>0.31052631578947371</v>
      </c>
      <c r="BO232" s="536">
        <f>'7b'!BD34</f>
        <v>0.3</v>
      </c>
      <c r="BP232" s="231"/>
      <c r="BQ232" s="231"/>
      <c r="BR232" s="231"/>
      <c r="BS232" s="433"/>
    </row>
    <row r="233" spans="51:71">
      <c r="AY233" s="235" t="s">
        <v>1368</v>
      </c>
      <c r="AZ233" s="231" t="s">
        <v>1369</v>
      </c>
      <c r="BA233" s="251">
        <f>(-0.00356616*BA231)+59+459.6</f>
        <v>482.9384</v>
      </c>
      <c r="BB233" s="231"/>
      <c r="BC233" s="231" t="s">
        <v>1370</v>
      </c>
      <c r="BD233" s="231" t="s">
        <v>188</v>
      </c>
      <c r="BE233" s="231">
        <f t="shared" ref="BE233:BO233" si="99">BE232/2</f>
        <v>0.25</v>
      </c>
      <c r="BF233" s="231">
        <f t="shared" si="99"/>
        <v>0.25</v>
      </c>
      <c r="BG233" s="231">
        <f t="shared" si="99"/>
        <v>0.25</v>
      </c>
      <c r="BH233" s="231">
        <f t="shared" si="99"/>
        <v>0.25</v>
      </c>
      <c r="BI233" s="231">
        <f t="shared" si="99"/>
        <v>0.22894736842105265</v>
      </c>
      <c r="BJ233" s="231">
        <f t="shared" si="99"/>
        <v>0.20789473684210527</v>
      </c>
      <c r="BK233" s="231">
        <f t="shared" si="99"/>
        <v>0.19736842105263158</v>
      </c>
      <c r="BL233" s="231">
        <f t="shared" si="99"/>
        <v>0.18684210526315786</v>
      </c>
      <c r="BM233" s="231">
        <f t="shared" si="99"/>
        <v>0.16578947368421049</v>
      </c>
      <c r="BN233" s="231">
        <f t="shared" si="99"/>
        <v>0.15526315789473685</v>
      </c>
      <c r="BO233" s="231">
        <f t="shared" si="99"/>
        <v>0.15</v>
      </c>
      <c r="BP233" s="231"/>
      <c r="BQ233" s="231"/>
      <c r="BR233" s="231"/>
      <c r="BS233" s="433"/>
    </row>
    <row r="234" spans="51:71">
      <c r="AY234" s="235" t="s">
        <v>1371</v>
      </c>
      <c r="AZ234" s="231" t="s">
        <v>658</v>
      </c>
      <c r="BA234" s="587">
        <f xml:space="preserve"> (-0.00000000808691*(BA231^2)) + (-0.0038153*BA231) + 1116.38</f>
        <v>1077.4183090000001</v>
      </c>
      <c r="BB234" s="231"/>
      <c r="BC234" s="231" t="s">
        <v>1372</v>
      </c>
      <c r="BD234" s="231" t="s">
        <v>188</v>
      </c>
      <c r="BE234" s="231">
        <f t="shared" ref="BE234:BO234" si="100">(-1)*BE233</f>
        <v>-0.25</v>
      </c>
      <c r="BF234" s="231">
        <f t="shared" si="100"/>
        <v>-0.25</v>
      </c>
      <c r="BG234" s="231">
        <f t="shared" si="100"/>
        <v>-0.25</v>
      </c>
      <c r="BH234" s="231">
        <f t="shared" si="100"/>
        <v>-0.25</v>
      </c>
      <c r="BI234" s="231">
        <f t="shared" si="100"/>
        <v>-0.22894736842105265</v>
      </c>
      <c r="BJ234" s="231">
        <f t="shared" si="100"/>
        <v>-0.20789473684210527</v>
      </c>
      <c r="BK234" s="231">
        <f t="shared" si="100"/>
        <v>-0.19736842105263158</v>
      </c>
      <c r="BL234" s="231">
        <f t="shared" si="100"/>
        <v>-0.18684210526315786</v>
      </c>
      <c r="BM234" s="231">
        <f t="shared" si="100"/>
        <v>-0.16578947368421049</v>
      </c>
      <c r="BN234" s="231">
        <f t="shared" si="100"/>
        <v>-0.15526315789473685</v>
      </c>
      <c r="BO234" s="231">
        <f t="shared" si="100"/>
        <v>-0.15</v>
      </c>
      <c r="BP234" s="231"/>
      <c r="BQ234" s="231"/>
      <c r="BR234" s="231"/>
      <c r="BS234" s="433"/>
    </row>
    <row r="235" spans="51:71" ht="15.6">
      <c r="AY235" s="235" t="s">
        <v>671</v>
      </c>
      <c r="AZ235" s="231" t="s">
        <v>1369</v>
      </c>
      <c r="BA235" s="587">
        <f>((((5/9)*((BA233-32))+BA232)*(9/5))+32)</f>
        <v>482.93840000000006</v>
      </c>
      <c r="BB235" s="231"/>
      <c r="BC235" s="236" t="s">
        <v>1373</v>
      </c>
      <c r="BD235" s="231" t="s">
        <v>87</v>
      </c>
      <c r="BE235" s="437">
        <f t="shared" ref="BE235:BO235" si="101">$BA$242*BE232/(PI()*$BA$243/2)</f>
        <v>0.1061032953945969</v>
      </c>
      <c r="BF235" s="437">
        <f t="shared" si="101"/>
        <v>0.1061032953945969</v>
      </c>
      <c r="BG235" s="437">
        <f t="shared" si="101"/>
        <v>0.1061032953945969</v>
      </c>
      <c r="BH235" s="437">
        <f t="shared" si="101"/>
        <v>0.1061032953945969</v>
      </c>
      <c r="BI235" s="437">
        <f t="shared" si="101"/>
        <v>9.7168281045578217E-2</v>
      </c>
      <c r="BJ235" s="437">
        <f t="shared" si="101"/>
        <v>8.8233266696559523E-2</v>
      </c>
      <c r="BK235" s="437">
        <f t="shared" si="101"/>
        <v>8.3765759522050176E-2</v>
      </c>
      <c r="BL235" s="437">
        <f t="shared" si="101"/>
        <v>7.9298252347540829E-2</v>
      </c>
      <c r="BM235" s="437">
        <f t="shared" si="101"/>
        <v>7.0363237998522135E-2</v>
      </c>
      <c r="BN235" s="437">
        <f t="shared" si="101"/>
        <v>6.5895730824012816E-2</v>
      </c>
      <c r="BO235" s="437">
        <f t="shared" si="101"/>
        <v>6.3661977236758135E-2</v>
      </c>
      <c r="BP235" s="231"/>
      <c r="BQ235" s="231"/>
      <c r="BR235" s="231"/>
      <c r="BS235" s="433"/>
    </row>
    <row r="236" spans="51:71" ht="15.6">
      <c r="AY236" s="235" t="s">
        <v>1374</v>
      </c>
      <c r="AZ236" s="231" t="s">
        <v>658</v>
      </c>
      <c r="BA236" s="587">
        <f>( (-0.00000000808691*(BA231^2)) + (-0.0038153*BA231) + 1116.38)*((BA235/BA233)^0.5)</f>
        <v>1077.4183090000001</v>
      </c>
      <c r="BB236" s="231"/>
      <c r="BC236" s="231" t="s">
        <v>1375</v>
      </c>
      <c r="BD236" s="231" t="s">
        <v>87</v>
      </c>
      <c r="BE236" s="437">
        <f t="shared" ref="BE236:BO236" si="102">((BE230^2)+($BA250^2))^0.5</f>
        <v>0.41558579890048813</v>
      </c>
      <c r="BF236" s="437">
        <f t="shared" si="102"/>
        <v>0.47192325249743411</v>
      </c>
      <c r="BG236" s="437">
        <f t="shared" si="102"/>
        <v>0.54102823978768155</v>
      </c>
      <c r="BH236" s="437">
        <f t="shared" si="102"/>
        <v>0.61863685328935669</v>
      </c>
      <c r="BI236" s="437">
        <f t="shared" si="102"/>
        <v>0.7019341537834991</v>
      </c>
      <c r="BJ236" s="437">
        <f t="shared" si="102"/>
        <v>0.78912074883870398</v>
      </c>
      <c r="BK236" s="437">
        <f t="shared" si="102"/>
        <v>0.83379347337800447</v>
      </c>
      <c r="BL236" s="437">
        <f t="shared" si="102"/>
        <v>0.87904013346818077</v>
      </c>
      <c r="BM236" s="437">
        <f t="shared" si="102"/>
        <v>0.97093334284478927</v>
      </c>
      <c r="BN236" s="437">
        <f t="shared" si="102"/>
        <v>1.0174534663795474</v>
      </c>
      <c r="BO236" s="437">
        <f t="shared" si="102"/>
        <v>1.0408345479699244</v>
      </c>
      <c r="BP236" s="231"/>
      <c r="BQ236" s="231"/>
      <c r="BR236" s="231"/>
      <c r="BS236" s="433"/>
    </row>
    <row r="237" spans="51:71">
      <c r="AY237" s="235" t="s">
        <v>1376</v>
      </c>
      <c r="AZ237" s="231" t="s">
        <v>1377</v>
      </c>
      <c r="BA237" s="1043">
        <f xml:space="preserve"> ( (-0.00000000000621692*(BA231^3)) + (0.00000107111*(BA231^2)) + (-0.0760997*BA231) + 2115.57)/144</f>
        <v>10.107410277777779</v>
      </c>
      <c r="BB237" s="231"/>
      <c r="BC237" s="231"/>
      <c r="BD237" s="231"/>
      <c r="BE237" s="231"/>
      <c r="BF237" s="231"/>
      <c r="BG237" s="231"/>
      <c r="BH237" s="231"/>
      <c r="BI237" s="231"/>
      <c r="BJ237" s="231"/>
      <c r="BK237" s="231"/>
      <c r="BL237" s="231"/>
      <c r="BM237" s="231"/>
      <c r="BN237" s="231"/>
      <c r="BO237" s="231"/>
      <c r="BP237" s="231"/>
      <c r="BQ237" s="231"/>
      <c r="BR237" s="231"/>
      <c r="BS237" s="433"/>
    </row>
    <row r="238" spans="51:71">
      <c r="AY238" s="235" t="s">
        <v>1378</v>
      </c>
      <c r="AZ238" s="231" t="s">
        <v>673</v>
      </c>
      <c r="BA238" s="1044">
        <f xml:space="preserve"> (( -3.4153E-18*(BA231^3)) + (0.000000000000764697*(BA231^2)) + (-0.0000000694512*BA231) + 0.00237699) * (BA233/BA235)</f>
        <v>1.7555323999999997E-3</v>
      </c>
      <c r="BB238" s="231"/>
      <c r="BC238" s="236" t="s">
        <v>1379</v>
      </c>
      <c r="BD238" s="231" t="s">
        <v>1380</v>
      </c>
      <c r="BE238" s="437">
        <f t="shared" ref="BE238:BO238" si="103">ATAN($BA250/BE230)</f>
        <v>1.068718008104943</v>
      </c>
      <c r="BF238" s="437">
        <f t="shared" si="103"/>
        <v>0.88188575820867188</v>
      </c>
      <c r="BG238" s="437">
        <f t="shared" si="103"/>
        <v>0.73871717897438038</v>
      </c>
      <c r="BH238" s="437">
        <f t="shared" si="103"/>
        <v>0.62965858599286773</v>
      </c>
      <c r="BI238" s="437">
        <f t="shared" si="103"/>
        <v>0.54566754768920089</v>
      </c>
      <c r="BJ238" s="437">
        <f t="shared" si="103"/>
        <v>0.47985205804064823</v>
      </c>
      <c r="BK238" s="437">
        <f t="shared" si="103"/>
        <v>0.4521649299811753</v>
      </c>
      <c r="BL238" s="437">
        <f t="shared" si="103"/>
        <v>0.42731060946734173</v>
      </c>
      <c r="BM238" s="437">
        <f t="shared" si="103"/>
        <v>0.38461450918041212</v>
      </c>
      <c r="BN238" s="437">
        <f t="shared" si="103"/>
        <v>0.36617518434699287</v>
      </c>
      <c r="BO238" s="437">
        <f t="shared" si="103"/>
        <v>0.35757508479887046</v>
      </c>
      <c r="BP238" s="228"/>
      <c r="BQ238" s="228"/>
      <c r="BR238" s="231"/>
      <c r="BS238" s="433"/>
    </row>
    <row r="239" spans="51:71">
      <c r="AY239" s="235" t="s">
        <v>1381</v>
      </c>
      <c r="AZ239" s="231" t="s">
        <v>1026</v>
      </c>
      <c r="BA239" s="534">
        <f>'7b'!BD15</f>
        <v>102.09694397355153</v>
      </c>
      <c r="BB239" s="231"/>
      <c r="BC239" s="236" t="s">
        <v>1379</v>
      </c>
      <c r="BD239" s="231" t="s">
        <v>165</v>
      </c>
      <c r="BE239" s="227">
        <f t="shared" ref="BE239:BO239" si="104">BE238*(180/PI())</f>
        <v>61.233031354041344</v>
      </c>
      <c r="BF239" s="227">
        <f t="shared" si="104"/>
        <v>50.528331958051496</v>
      </c>
      <c r="BG239" s="227">
        <f t="shared" si="104"/>
        <v>42.325376609042273</v>
      </c>
      <c r="BH239" s="227">
        <f t="shared" si="104"/>
        <v>36.076779511566535</v>
      </c>
      <c r="BI239" s="227">
        <f t="shared" si="104"/>
        <v>31.264447499844788</v>
      </c>
      <c r="BJ239" s="227">
        <f t="shared" si="104"/>
        <v>27.493497716395762</v>
      </c>
      <c r="BK239" s="227">
        <f t="shared" si="104"/>
        <v>25.907142131749726</v>
      </c>
      <c r="BL239" s="227">
        <f t="shared" si="104"/>
        <v>24.483094463641638</v>
      </c>
      <c r="BM239" s="227">
        <f t="shared" si="104"/>
        <v>22.03678811553327</v>
      </c>
      <c r="BN239" s="227">
        <f t="shared" si="104"/>
        <v>20.980292625507577</v>
      </c>
      <c r="BO239" s="227">
        <f t="shared" si="104"/>
        <v>20.487543218007797</v>
      </c>
      <c r="BP239" s="231"/>
      <c r="BQ239" s="231"/>
      <c r="BR239" s="231"/>
      <c r="BS239" s="433"/>
    </row>
    <row r="240" spans="51:71">
      <c r="AY240" s="235" t="s">
        <v>1381</v>
      </c>
      <c r="AZ240" s="231" t="s">
        <v>658</v>
      </c>
      <c r="BA240" s="239">
        <f>1.689*BA239</f>
        <v>172.44173837132854</v>
      </c>
      <c r="BB240" s="231"/>
      <c r="BC240" s="223" t="s">
        <v>1382</v>
      </c>
      <c r="BD240" s="223" t="s">
        <v>1380</v>
      </c>
      <c r="BE240" s="437">
        <f t="shared" ref="BE240:BO240" si="105">BE241*(PI()/180)</f>
        <v>1.0374166610893578</v>
      </c>
      <c r="BF240" s="437">
        <f t="shared" si="105"/>
        <v>0.96227546018834453</v>
      </c>
      <c r="BG240" s="437">
        <f t="shared" si="105"/>
        <v>0.88713425928733147</v>
      </c>
      <c r="BH240" s="437">
        <f t="shared" si="105"/>
        <v>0.81199305838631819</v>
      </c>
      <c r="BI240" s="437">
        <f t="shared" si="105"/>
        <v>0.73685185748530502</v>
      </c>
      <c r="BJ240" s="437">
        <f t="shared" si="105"/>
        <v>0.66171065658429173</v>
      </c>
      <c r="BK240" s="437">
        <f t="shared" si="105"/>
        <v>0.6241400561337852</v>
      </c>
      <c r="BL240" s="437">
        <f t="shared" si="105"/>
        <v>0.58656945568327856</v>
      </c>
      <c r="BM240" s="437">
        <f t="shared" si="105"/>
        <v>0.51142825478226539</v>
      </c>
      <c r="BN240" s="437">
        <f t="shared" si="105"/>
        <v>0.4738576543317588</v>
      </c>
      <c r="BO240" s="437">
        <f t="shared" si="105"/>
        <v>0.45507235410650548</v>
      </c>
      <c r="BP240" s="231"/>
      <c r="BQ240" s="231"/>
      <c r="BR240" s="231"/>
      <c r="BS240" s="433"/>
    </row>
    <row r="241" spans="51:71">
      <c r="AY241" s="235" t="s">
        <v>1383</v>
      </c>
      <c r="AZ241" s="231" t="s">
        <v>87</v>
      </c>
      <c r="BA241" s="248">
        <f>BA240/BA236</f>
        <v>0.16005087061438503</v>
      </c>
      <c r="BB241" s="231"/>
      <c r="BC241" s="223" t="s">
        <v>1382</v>
      </c>
      <c r="BD241" s="223" t="s">
        <v>165</v>
      </c>
      <c r="BE241" s="228">
        <f t="shared" ref="BE241:BJ241" si="106">$BK241+($BA255*(BE230-$BK230))</f>
        <v>59.439596276973894</v>
      </c>
      <c r="BF241" s="228">
        <f t="shared" si="106"/>
        <v>55.134322597801216</v>
      </c>
      <c r="BG241" s="228">
        <f t="shared" si="106"/>
        <v>50.829048918628544</v>
      </c>
      <c r="BH241" s="228">
        <f t="shared" si="106"/>
        <v>46.523775239455865</v>
      </c>
      <c r="BI241" s="228">
        <f t="shared" si="106"/>
        <v>42.218501560283194</v>
      </c>
      <c r="BJ241" s="228">
        <f t="shared" si="106"/>
        <v>37.913227881110515</v>
      </c>
      <c r="BK241" s="852">
        <f>'7b'!BD32</f>
        <v>35.760591041524179</v>
      </c>
      <c r="BL241" s="228">
        <f>$BK241+($BA255*(BL230-$BK230))</f>
        <v>33.607954201937844</v>
      </c>
      <c r="BM241" s="228">
        <f>$BK241+($BA255*(BM230-$BK230))</f>
        <v>29.302680522765165</v>
      </c>
      <c r="BN241" s="228">
        <f>$BK241+($BA255*(BN230-$BK230))</f>
        <v>27.150043683178829</v>
      </c>
      <c r="BO241" s="228">
        <f>$BK241+($BA255*(BO230-$BK230))</f>
        <v>26.073725263385661</v>
      </c>
      <c r="BP241" s="231"/>
      <c r="BQ241" s="231"/>
      <c r="BR241" s="231"/>
      <c r="BS241" s="433"/>
    </row>
    <row r="242" spans="51:71">
      <c r="AY242" s="235" t="s">
        <v>1384</v>
      </c>
      <c r="AZ242" s="231" t="s">
        <v>87</v>
      </c>
      <c r="BA242" s="534">
        <f>'7b'!BD18</f>
        <v>2</v>
      </c>
      <c r="BB242" s="231"/>
      <c r="BC242" s="574" t="s">
        <v>199</v>
      </c>
      <c r="BD242" s="231"/>
      <c r="BE242" s="231">
        <f>1</f>
        <v>1</v>
      </c>
      <c r="BF242" s="231">
        <f>1</f>
        <v>1</v>
      </c>
      <c r="BG242" s="231">
        <f>1</f>
        <v>1</v>
      </c>
      <c r="BH242" s="231">
        <f>1</f>
        <v>1</v>
      </c>
      <c r="BI242" s="231">
        <f>1</f>
        <v>1</v>
      </c>
      <c r="BJ242" s="231">
        <f>1</f>
        <v>1</v>
      </c>
      <c r="BK242" s="231">
        <f>1</f>
        <v>1</v>
      </c>
      <c r="BL242" s="231">
        <f>1</f>
        <v>1</v>
      </c>
      <c r="BM242" s="231">
        <f>1</f>
        <v>1</v>
      </c>
      <c r="BN242" s="231">
        <f>1</f>
        <v>1</v>
      </c>
      <c r="BO242" s="231">
        <f>1</f>
        <v>1</v>
      </c>
      <c r="BP242" s="231"/>
      <c r="BQ242" s="231"/>
      <c r="BR242" s="231"/>
      <c r="BS242" s="433"/>
    </row>
    <row r="243" spans="51:71">
      <c r="AY243" s="235" t="s">
        <v>1385</v>
      </c>
      <c r="AZ243" s="231" t="s">
        <v>188</v>
      </c>
      <c r="BA243" s="534">
        <f>'7b'!BD19</f>
        <v>6</v>
      </c>
      <c r="BB243" s="231"/>
      <c r="BC243" s="574" t="s">
        <v>189</v>
      </c>
      <c r="BD243" s="231"/>
      <c r="BE243" s="251">
        <f t="shared" ref="BE243:BO243" si="107">(($BA250/BE230)+(BE235*$BA251*BE236/(8*(BE230^2))))</f>
        <v>2.648261544257021</v>
      </c>
      <c r="BF243" s="251">
        <f t="shared" si="107"/>
        <v>1.6315916802505739</v>
      </c>
      <c r="BG243" s="251">
        <f t="shared" si="107"/>
        <v>1.1798253045250813</v>
      </c>
      <c r="BH243" s="251">
        <f t="shared" si="107"/>
        <v>0.92551017319340678</v>
      </c>
      <c r="BI243" s="251">
        <f t="shared" si="107"/>
        <v>0.74925523721632181</v>
      </c>
      <c r="BJ243" s="251">
        <f t="shared" si="107"/>
        <v>0.62699430103648224</v>
      </c>
      <c r="BK243" s="251">
        <f t="shared" si="107"/>
        <v>0.57885242266523129</v>
      </c>
      <c r="BL243" s="251">
        <f t="shared" si="107"/>
        <v>0.53705709137350177</v>
      </c>
      <c r="BM243" s="251">
        <f t="shared" si="107"/>
        <v>0.46803072405884494</v>
      </c>
      <c r="BN243" s="251">
        <f t="shared" si="107"/>
        <v>0.43918621003426189</v>
      </c>
      <c r="BO243" s="251">
        <f t="shared" si="107"/>
        <v>0.42591428066433568</v>
      </c>
      <c r="BP243" s="231"/>
      <c r="BQ243" s="231"/>
      <c r="BR243" s="231"/>
      <c r="BS243" s="433"/>
    </row>
    <row r="244" spans="51:71">
      <c r="AY244" s="235" t="s">
        <v>1386</v>
      </c>
      <c r="AZ244" s="231" t="s">
        <v>1387</v>
      </c>
      <c r="BA244" s="534">
        <f>'7b'!BD20</f>
        <v>1506.7394129964387</v>
      </c>
      <c r="BB244" s="231"/>
      <c r="BC244" s="574" t="s">
        <v>164</v>
      </c>
      <c r="BD244" s="231"/>
      <c r="BE244" s="251">
        <f t="shared" ref="BE244:BO244" si="108">(-1)*((BE235*$BA251*BE236/(8*(BE230^2)))*(BE240-BE238))</f>
        <v>2.5879380183306697E-2</v>
      </c>
      <c r="BF244" s="251">
        <f t="shared" si="108"/>
        <v>-3.3544353143262755E-2</v>
      </c>
      <c r="BG244" s="251">
        <f t="shared" si="108"/>
        <v>-3.993686511620409E-2</v>
      </c>
      <c r="BH244" s="251">
        <f t="shared" si="108"/>
        <v>-3.5904980907937832E-2</v>
      </c>
      <c r="BI244" s="251">
        <f t="shared" si="108"/>
        <v>-2.7166388322973141E-2</v>
      </c>
      <c r="BJ244" s="251">
        <f t="shared" si="108"/>
        <v>-1.9380940337506807E-2</v>
      </c>
      <c r="BK244" s="251">
        <f t="shared" si="108"/>
        <v>-1.601509043125449E-2</v>
      </c>
      <c r="BL244" s="251">
        <f t="shared" si="108"/>
        <v>-1.3009397214874652E-2</v>
      </c>
      <c r="BM244" s="251">
        <f t="shared" si="108"/>
        <v>-8.0219104005733698E-3</v>
      </c>
      <c r="BN244" s="251">
        <f t="shared" si="108"/>
        <v>-5.9997188028585854E-3</v>
      </c>
      <c r="BO244" s="251">
        <f t="shared" si="108"/>
        <v>-5.0969022696283825E-3</v>
      </c>
      <c r="BP244" s="231"/>
      <c r="BQ244" s="231"/>
      <c r="BR244" s="231"/>
      <c r="BS244" s="433"/>
    </row>
    <row r="245" spans="51:71" ht="15.6">
      <c r="AY245" s="235" t="s">
        <v>1388</v>
      </c>
      <c r="AZ245" s="231" t="s">
        <v>1389</v>
      </c>
      <c r="BA245" s="437">
        <f>BA244/60</f>
        <v>25.112323549940644</v>
      </c>
      <c r="BB245" s="231"/>
      <c r="BC245" s="223" t="s">
        <v>1390</v>
      </c>
      <c r="BD245" s="223" t="s">
        <v>1380</v>
      </c>
      <c r="BE245" s="437">
        <f t="shared" ref="BE245:BO245" si="109">(((-1)*BE243)+(((BE243^2)-(4*BE242*BE244))^0.5))/(2*BE242)</f>
        <v>-9.8085431776573362E-3</v>
      </c>
      <c r="BF245" s="437">
        <f t="shared" si="109"/>
        <v>2.0306549483178116E-2</v>
      </c>
      <c r="BG245" s="437">
        <f t="shared" si="109"/>
        <v>3.2930668658242235E-2</v>
      </c>
      <c r="BH245" s="437">
        <f t="shared" si="109"/>
        <v>3.7292162249903393E-2</v>
      </c>
      <c r="BI245" s="437">
        <f t="shared" si="109"/>
        <v>3.4654974409175698E-2</v>
      </c>
      <c r="BJ245" s="437">
        <f t="shared" si="109"/>
        <v>2.9520930230519882E-2</v>
      </c>
      <c r="BK245" s="437">
        <f t="shared" si="109"/>
        <v>2.6457663275770094E-2</v>
      </c>
      <c r="BL245" s="437">
        <f t="shared" si="109"/>
        <v>2.3219594090551021E-2</v>
      </c>
      <c r="BM245" s="437">
        <f t="shared" si="109"/>
        <v>1.6554189325755198E-2</v>
      </c>
      <c r="BN245" s="437">
        <f t="shared" si="109"/>
        <v>1.3260605655306651E-2</v>
      </c>
      <c r="BO245" s="437">
        <f t="shared" si="109"/>
        <v>1.1648393633678616E-2</v>
      </c>
      <c r="BP245" s="231"/>
      <c r="BQ245" s="231"/>
      <c r="BR245" s="231"/>
      <c r="BS245" s="433"/>
    </row>
    <row r="246" spans="51:71" ht="15.6">
      <c r="AY246" s="235" t="s">
        <v>1391</v>
      </c>
      <c r="AZ246" s="231" t="s">
        <v>1392</v>
      </c>
      <c r="BA246" s="227">
        <f>2*PI()*BA245</f>
        <v>157.78538235812695</v>
      </c>
      <c r="BB246" s="231"/>
      <c r="BC246" s="223" t="s">
        <v>1390</v>
      </c>
      <c r="BD246" s="223" t="s">
        <v>165</v>
      </c>
      <c r="BE246" s="437">
        <f t="shared" ref="BE246:BO246" si="110">BE245*(180/PI())</f>
        <v>-0.56198812725160263</v>
      </c>
      <c r="BF246" s="437">
        <f t="shared" si="110"/>
        <v>1.163479581859669</v>
      </c>
      <c r="BG246" s="437">
        <f t="shared" si="110"/>
        <v>1.8867883306610176</v>
      </c>
      <c r="BH246" s="437">
        <f t="shared" si="110"/>
        <v>2.1366835058365568</v>
      </c>
      <c r="BI246" s="437">
        <f t="shared" si="110"/>
        <v>1.9855837727796413</v>
      </c>
      <c r="BJ246" s="437">
        <f t="shared" si="110"/>
        <v>1.6914247095089536</v>
      </c>
      <c r="BK246" s="437">
        <f t="shared" si="110"/>
        <v>1.5159124414798986</v>
      </c>
      <c r="BL246" s="437">
        <f t="shared" si="110"/>
        <v>1.3303847433954805</v>
      </c>
      <c r="BM246" s="437">
        <f t="shared" si="110"/>
        <v>0.9484851816262907</v>
      </c>
      <c r="BN246" s="437">
        <f t="shared" si="110"/>
        <v>0.75977673783638244</v>
      </c>
      <c r="BO246" s="437">
        <f t="shared" si="110"/>
        <v>0.66740379331684185</v>
      </c>
      <c r="BP246" s="231"/>
      <c r="BQ246" s="231"/>
      <c r="BR246" s="231"/>
      <c r="BS246" s="433"/>
    </row>
    <row r="247" spans="51:71" ht="15.6">
      <c r="AY247" s="235" t="s">
        <v>1393</v>
      </c>
      <c r="AZ247" s="231" t="s">
        <v>658</v>
      </c>
      <c r="BA247" s="227">
        <f>PI()*BA245*BA243</f>
        <v>473.35614707438083</v>
      </c>
      <c r="BB247" s="231"/>
      <c r="BC247" s="223" t="s">
        <v>1394</v>
      </c>
      <c r="BD247" s="223" t="s">
        <v>1380</v>
      </c>
      <c r="BE247" s="437">
        <f t="shared" ref="BE247:BO247" si="111">BE240-BE238-BE245</f>
        <v>-2.1492803837927843E-2</v>
      </c>
      <c r="BF247" s="437">
        <f t="shared" si="111"/>
        <v>6.0083152496494541E-2</v>
      </c>
      <c r="BG247" s="437">
        <f t="shared" si="111"/>
        <v>0.11548641165470885</v>
      </c>
      <c r="BH247" s="437">
        <f t="shared" si="111"/>
        <v>0.14504231014354707</v>
      </c>
      <c r="BI247" s="437">
        <f t="shared" si="111"/>
        <v>0.15652933538692843</v>
      </c>
      <c r="BJ247" s="437">
        <f t="shared" si="111"/>
        <v>0.15233766831312362</v>
      </c>
      <c r="BK247" s="437">
        <f t="shared" si="111"/>
        <v>0.14551746287683981</v>
      </c>
      <c r="BL247" s="437">
        <f t="shared" si="111"/>
        <v>0.13603925212538581</v>
      </c>
      <c r="BM247" s="437">
        <f t="shared" si="111"/>
        <v>0.11025955627609807</v>
      </c>
      <c r="BN247" s="437">
        <f t="shared" si="111"/>
        <v>9.4421864329459287E-2</v>
      </c>
      <c r="BO247" s="437">
        <f t="shared" si="111"/>
        <v>8.584887567395641E-2</v>
      </c>
      <c r="BP247" s="231"/>
      <c r="BQ247" s="231"/>
      <c r="BR247" s="231"/>
      <c r="BS247" s="433"/>
    </row>
    <row r="248" spans="51:71">
      <c r="AY248" s="235" t="s">
        <v>1395</v>
      </c>
      <c r="AZ248" s="231" t="s">
        <v>87</v>
      </c>
      <c r="BA248" s="231">
        <f>BA247/BA236</f>
        <v>0.43934295818095365</v>
      </c>
      <c r="BB248" s="231"/>
      <c r="BC248" s="223" t="s">
        <v>1394</v>
      </c>
      <c r="BD248" s="223" t="s">
        <v>165</v>
      </c>
      <c r="BE248" s="437">
        <f t="shared" ref="BE248:BO248" si="112">BE247*(180/PI())</f>
        <v>-1.2314469498158431</v>
      </c>
      <c r="BF248" s="437">
        <f t="shared" si="112"/>
        <v>3.4425110578900529</v>
      </c>
      <c r="BG248" s="437">
        <f t="shared" si="112"/>
        <v>6.6168839789252587</v>
      </c>
      <c r="BH248" s="437">
        <f t="shared" si="112"/>
        <v>8.3103122220527759</v>
      </c>
      <c r="BI248" s="437">
        <f t="shared" si="112"/>
        <v>8.9684702876587661</v>
      </c>
      <c r="BJ248" s="437">
        <f t="shared" si="112"/>
        <v>8.728305455205799</v>
      </c>
      <c r="BK248" s="437">
        <f t="shared" si="112"/>
        <v>8.3375364682945552</v>
      </c>
      <c r="BL248" s="437">
        <f t="shared" si="112"/>
        <v>7.794474994900721</v>
      </c>
      <c r="BM248" s="437">
        <f t="shared" si="112"/>
        <v>6.3174072256056073</v>
      </c>
      <c r="BN248" s="437">
        <f t="shared" si="112"/>
        <v>5.4099743198348724</v>
      </c>
      <c r="BO248" s="437">
        <f t="shared" si="112"/>
        <v>4.9187782520610233</v>
      </c>
      <c r="BP248" s="231"/>
      <c r="BQ248" s="231"/>
      <c r="BR248" s="231"/>
      <c r="BS248" s="433"/>
    </row>
    <row r="249" spans="51:71" ht="15.6">
      <c r="AY249" s="235" t="s">
        <v>1396</v>
      </c>
      <c r="AZ249" s="231" t="s">
        <v>1397</v>
      </c>
      <c r="BA249" s="248">
        <f>60*BA240/(BA244*BA243)</f>
        <v>1.1444695538188336</v>
      </c>
      <c r="BB249" s="231"/>
      <c r="BC249" s="223" t="s">
        <v>1398</v>
      </c>
      <c r="BD249" s="223" t="s">
        <v>87</v>
      </c>
      <c r="BE249" s="437">
        <f t="shared" ref="BE249:BO249" si="113">$BA251*BE247</f>
        <v>-0.12895682302756706</v>
      </c>
      <c r="BF249" s="437">
        <f t="shared" si="113"/>
        <v>0.36049891497896724</v>
      </c>
      <c r="BG249" s="437">
        <f t="shared" si="113"/>
        <v>0.69291846992825312</v>
      </c>
      <c r="BH249" s="437">
        <f t="shared" si="113"/>
        <v>0.87025386086128242</v>
      </c>
      <c r="BI249" s="437">
        <f t="shared" si="113"/>
        <v>0.93917601232157055</v>
      </c>
      <c r="BJ249" s="437">
        <f t="shared" si="113"/>
        <v>0.91402600987874172</v>
      </c>
      <c r="BK249" s="437">
        <f t="shared" si="113"/>
        <v>0.87310477726103886</v>
      </c>
      <c r="BL249" s="437">
        <f t="shared" si="113"/>
        <v>0.81623551275231487</v>
      </c>
      <c r="BM249" s="437">
        <f t="shared" si="113"/>
        <v>0.66155733765658842</v>
      </c>
      <c r="BN249" s="437">
        <f t="shared" si="113"/>
        <v>0.56653118597675567</v>
      </c>
      <c r="BO249" s="437">
        <f t="shared" si="113"/>
        <v>0.51509325404373851</v>
      </c>
      <c r="BP249" s="231"/>
      <c r="BQ249" s="231"/>
      <c r="BR249" s="231"/>
      <c r="BS249" s="433"/>
    </row>
    <row r="250" spans="51:71" ht="15.6">
      <c r="AY250" s="235" t="s">
        <v>1399</v>
      </c>
      <c r="AZ250" s="231" t="s">
        <v>87</v>
      </c>
      <c r="BA250" s="248">
        <f>BA249/PI()</f>
        <v>0.36429597341688663</v>
      </c>
      <c r="BB250" s="231"/>
      <c r="BC250" s="223" t="s">
        <v>1400</v>
      </c>
      <c r="BD250" s="223" t="s">
        <v>87</v>
      </c>
      <c r="BE250" s="248">
        <f t="shared" ref="BE250:BO250" si="114">$BA252+($BA253*((BE249-$BA254)^2))</f>
        <v>6.7781690911363343E-3</v>
      </c>
      <c r="BF250" s="248">
        <f t="shared" si="114"/>
        <v>6.4430979320732251E-3</v>
      </c>
      <c r="BG250" s="248">
        <f t="shared" si="114"/>
        <v>8.9476046498923548E-3</v>
      </c>
      <c r="BH250" s="248">
        <f t="shared" si="114"/>
        <v>1.1187656240855836E-2</v>
      </c>
      <c r="BI250" s="248">
        <f t="shared" si="114"/>
        <v>1.2227987784237757E-2</v>
      </c>
      <c r="BJ250" s="248">
        <f t="shared" si="114"/>
        <v>1.1837357437712311E-2</v>
      </c>
      <c r="BK250" s="248">
        <f t="shared" si="114"/>
        <v>1.1228805188977366E-2</v>
      </c>
      <c r="BL250" s="248">
        <f t="shared" si="114"/>
        <v>1.0438697584523399E-2</v>
      </c>
      <c r="BM250" s="248">
        <f t="shared" si="114"/>
        <v>8.6169090971029687E-3</v>
      </c>
      <c r="BN250" s="248">
        <f t="shared" si="114"/>
        <v>7.7349822889120259E-3</v>
      </c>
      <c r="BO250" s="248">
        <f t="shared" si="114"/>
        <v>7.332930841482458E-3</v>
      </c>
      <c r="BP250" s="231"/>
      <c r="BQ250" s="231"/>
      <c r="BR250" s="231"/>
      <c r="BS250" s="433"/>
    </row>
    <row r="251" spans="51:71" ht="15.6">
      <c r="AY251" s="235" t="s">
        <v>1401</v>
      </c>
      <c r="AZ251" s="231" t="s">
        <v>1402</v>
      </c>
      <c r="BA251" s="534">
        <f>'7b'!BD27</f>
        <v>6</v>
      </c>
      <c r="BB251" s="231"/>
      <c r="BC251" s="223" t="s">
        <v>1403</v>
      </c>
      <c r="BD251" s="223" t="s">
        <v>87</v>
      </c>
      <c r="BE251" s="227">
        <f t="shared" ref="BE251:BO251" si="115">BE249/BE250</f>
        <v>-19.025318090131613</v>
      </c>
      <c r="BF251" s="227">
        <f t="shared" si="115"/>
        <v>55.951177334187726</v>
      </c>
      <c r="BG251" s="227">
        <f t="shared" si="115"/>
        <v>77.441784370366577</v>
      </c>
      <c r="BH251" s="227">
        <f t="shared" si="115"/>
        <v>77.786968255534234</v>
      </c>
      <c r="BI251" s="227">
        <f t="shared" si="115"/>
        <v>76.805442472897838</v>
      </c>
      <c r="BJ251" s="227">
        <f t="shared" si="115"/>
        <v>77.215376378411236</v>
      </c>
      <c r="BK251" s="227">
        <f t="shared" si="115"/>
        <v>77.755804163216993</v>
      </c>
      <c r="BL251" s="227">
        <f t="shared" si="115"/>
        <v>78.19323302961476</v>
      </c>
      <c r="BM251" s="227">
        <f t="shared" si="115"/>
        <v>76.77432014212684</v>
      </c>
      <c r="BN251" s="227">
        <f t="shared" si="115"/>
        <v>73.242725686504684</v>
      </c>
      <c r="BO251" s="227">
        <f t="shared" si="115"/>
        <v>70.243844538919035</v>
      </c>
      <c r="BP251" s="231"/>
      <c r="BQ251" s="231"/>
      <c r="BR251" s="231"/>
      <c r="BS251" s="433"/>
    </row>
    <row r="252" spans="51:71" ht="15.6">
      <c r="AY252" s="235" t="s">
        <v>86</v>
      </c>
      <c r="AZ252" s="231"/>
      <c r="BA252" s="534">
        <f>'7b'!BD28</f>
        <v>6.0000000000000001E-3</v>
      </c>
      <c r="BB252" s="231"/>
      <c r="BC252" s="223" t="s">
        <v>1404</v>
      </c>
      <c r="BD252" s="223" t="s">
        <v>87</v>
      </c>
      <c r="BE252" s="244">
        <f t="shared" ref="BE252:BO252" si="116">(PI()/8)*((($BA$249^2)+(PI()^2)*(BE$230^2))*BE$235*((BE$249*COS(BE$238+BE$245))-(BE$250*SIN(BE$238+BE$245))))</f>
        <v>-4.9060644137051326E-3</v>
      </c>
      <c r="BF252" s="244">
        <f t="shared" si="116"/>
        <v>2.0003789800447567E-2</v>
      </c>
      <c r="BG252" s="244">
        <f t="shared" si="116"/>
        <v>5.9033073902277855E-2</v>
      </c>
      <c r="BH252" s="244">
        <f t="shared" si="116"/>
        <v>0.10652490966349658</v>
      </c>
      <c r="BI252" s="244">
        <f t="shared" si="116"/>
        <v>0.14449588811711139</v>
      </c>
      <c r="BJ252" s="244">
        <f t="shared" si="116"/>
        <v>0.16870343386418282</v>
      </c>
      <c r="BK252" s="244">
        <f t="shared" si="116"/>
        <v>0.17375359811072555</v>
      </c>
      <c r="BL252" s="244">
        <f t="shared" si="116"/>
        <v>0.17342356820778074</v>
      </c>
      <c r="BM252" s="244">
        <f t="shared" si="116"/>
        <v>0.15571093963607446</v>
      </c>
      <c r="BN252" s="244">
        <f t="shared" si="116"/>
        <v>0.1383743618619637</v>
      </c>
      <c r="BO252" s="244">
        <f t="shared" si="116"/>
        <v>0.12769943222944924</v>
      </c>
      <c r="BP252" s="231"/>
      <c r="BQ252" s="231"/>
      <c r="BR252" s="231"/>
      <c r="BS252" s="433"/>
    </row>
    <row r="253" spans="51:71" ht="15.6">
      <c r="AY253" s="235" t="s">
        <v>1405</v>
      </c>
      <c r="AZ253" s="231"/>
      <c r="BA253" s="534">
        <f>'7b'!BD29</f>
        <v>0.01</v>
      </c>
      <c r="BB253" s="231"/>
      <c r="BC253" s="223" t="s">
        <v>1406</v>
      </c>
      <c r="BD253" s="231" t="s">
        <v>87</v>
      </c>
      <c r="BE253" s="244">
        <f t="shared" ref="BE253:BO253" si="117">(PI()/8)*(PI()*BE230*(($BA$249^2)+(PI()^2)*(BE$230^2))*BE$235*((BE$249*SIN(BE$238+BE$245))+(BE$250*COS(BE$238+BE$245))))</f>
        <v>-4.8690412914002964E-3</v>
      </c>
      <c r="BF253" s="244">
        <f t="shared" si="117"/>
        <v>2.4762371409167618E-2</v>
      </c>
      <c r="BG253" s="244">
        <f t="shared" si="117"/>
        <v>7.4058905663927269E-2</v>
      </c>
      <c r="BH253" s="244">
        <f t="shared" si="117"/>
        <v>0.13525867390617372</v>
      </c>
      <c r="BI253" s="244">
        <f t="shared" si="117"/>
        <v>0.18368692272981427</v>
      </c>
      <c r="BJ253" s="244">
        <f t="shared" si="117"/>
        <v>0.21356533628732161</v>
      </c>
      <c r="BK253" s="244">
        <f t="shared" si="117"/>
        <v>0.2191479586643835</v>
      </c>
      <c r="BL253" s="244">
        <f t="shared" si="117"/>
        <v>0.21775111656813625</v>
      </c>
      <c r="BM253" s="244">
        <f t="shared" si="117"/>
        <v>0.19355057794261774</v>
      </c>
      <c r="BN253" s="244">
        <f t="shared" si="117"/>
        <v>0.17125023976557099</v>
      </c>
      <c r="BO253" s="244">
        <f t="shared" si="117"/>
        <v>0.15780117319253395</v>
      </c>
      <c r="BP253" s="231"/>
      <c r="BQ253" s="231"/>
      <c r="BR253" s="231"/>
      <c r="BS253" s="433"/>
    </row>
    <row r="254" spans="51:71">
      <c r="AY254" s="235" t="s">
        <v>1407</v>
      </c>
      <c r="AZ254" s="231"/>
      <c r="BA254" s="534">
        <f>'7b'!BD30</f>
        <v>0.15</v>
      </c>
      <c r="BB254" s="231"/>
      <c r="BC254" s="231"/>
      <c r="BD254" s="231"/>
      <c r="BE254" s="231"/>
      <c r="BF254" s="244">
        <f>0.5*(BF230-BE230)*(BF252+BE252)</f>
        <v>7.5488626933712158E-4</v>
      </c>
      <c r="BG254" s="244">
        <f>0.5*(BG230-BF230)*(BG252+BF252)</f>
        <v>3.9518431851362727E-3</v>
      </c>
      <c r="BH254" s="244">
        <f>0.5*(BH230-BG230)*(BH252+BG252)</f>
        <v>8.2778991782887206E-3</v>
      </c>
      <c r="BI254" s="244">
        <f>0.5*(BI230-BH230)*(BI252+BH252)</f>
        <v>1.2551039889030396E-2</v>
      </c>
      <c r="BJ254" s="244">
        <f>0.5*(BJ230-BF230)*(BJ252+BF252)</f>
        <v>3.7741444732926073E-2</v>
      </c>
      <c r="BK254" s="244">
        <f>0.5*(BK230-BJ230)*(BK252+BJ252)</f>
        <v>8.5614257993727183E-3</v>
      </c>
      <c r="BL254" s="244">
        <f>0.5*(BL230-BK230)*(BL252+BK252)</f>
        <v>8.6794291579626644E-3</v>
      </c>
      <c r="BM254" s="244">
        <f>0.5*(BM230-BK230)*(BM252+BK252)</f>
        <v>2.4709840331010004E-2</v>
      </c>
      <c r="BN254" s="244">
        <f>0.5*(BN230-BM230)*(BN252+BM252)</f>
        <v>7.3521325374509439E-3</v>
      </c>
      <c r="BO254" s="244">
        <f>0.5*(BO230-BN230)*(BO252+BN252)</f>
        <v>3.3259224261426648E-3</v>
      </c>
      <c r="BP254" s="231"/>
      <c r="BQ254" s="231"/>
      <c r="BR254" s="231"/>
      <c r="BS254" s="433"/>
    </row>
    <row r="255" spans="51:71">
      <c r="AY255" s="246" t="s">
        <v>1408</v>
      </c>
      <c r="AZ255" s="223" t="s">
        <v>165</v>
      </c>
      <c r="BA255" s="534">
        <f>'7b'!BD31</f>
        <v>-43.052736791726751</v>
      </c>
      <c r="BB255" s="231"/>
      <c r="BC255" s="231"/>
      <c r="BD255" s="231"/>
      <c r="BE255" s="231"/>
      <c r="BF255" s="244">
        <f>0.5*(BF230-BE230)*(BF253+BE253)</f>
        <v>9.9466650588836587E-4</v>
      </c>
      <c r="BG255" s="244">
        <f>0.5*(BG230-BF230)*(BG253+BF253)</f>
        <v>4.9410638536547457E-3</v>
      </c>
      <c r="BH255" s="244">
        <f>0.5*(BH230-BG230)*(BH253+BG253)</f>
        <v>1.0465878978505047E-2</v>
      </c>
      <c r="BI255" s="244">
        <f>0.5*(BI230-BH230)*(BI253+BH253)</f>
        <v>1.5947279831799395E-2</v>
      </c>
      <c r="BJ255" s="244">
        <f>0.5*(BJ230-BF230)*(BJ253+BF253)</f>
        <v>4.7665541539297841E-2</v>
      </c>
      <c r="BK255" s="244">
        <f>0.5*(BK230-BJ230)*(BK253+BJ253)</f>
        <v>1.0817832373792637E-2</v>
      </c>
      <c r="BL255" s="244">
        <f>0.5*(BL230-BK230)*(BL253+BK253)</f>
        <v>1.0922476880813003E-2</v>
      </c>
      <c r="BM255" s="244">
        <f>0.5*(BM230-BK230)*(BM253+BK253)</f>
        <v>3.0952390245525097E-2</v>
      </c>
      <c r="BN255" s="244">
        <f>0.5*(BN230-BM230)*(BN253+BM253)</f>
        <v>9.1200204427047057E-3</v>
      </c>
      <c r="BO255" s="244">
        <f>0.5*(BO230-BN230)*(BO253+BN253)</f>
        <v>4.1131426619763151E-3</v>
      </c>
      <c r="BP255" s="231"/>
      <c r="BQ255" s="231"/>
      <c r="BR255" s="231"/>
      <c r="BS255" s="433"/>
    </row>
    <row r="256" spans="51:71" ht="13.8" thickBot="1">
      <c r="AY256" s="235"/>
      <c r="AZ256" s="231"/>
      <c r="BA256" s="231"/>
      <c r="BB256" s="231"/>
      <c r="BC256" s="231"/>
      <c r="BD256" s="231"/>
      <c r="BE256" s="231"/>
      <c r="BF256" s="231"/>
      <c r="BG256" s="231"/>
      <c r="BH256" s="231"/>
      <c r="BI256" s="231"/>
      <c r="BJ256" s="231"/>
      <c r="BK256" s="231"/>
      <c r="BL256" s="231"/>
      <c r="BM256" s="231"/>
      <c r="BN256" s="231"/>
      <c r="BO256" s="231"/>
      <c r="BP256" s="231"/>
      <c r="BQ256" s="231"/>
      <c r="BR256" s="231"/>
      <c r="BS256" s="433"/>
    </row>
    <row r="257" spans="51:71" ht="17.399999999999999">
      <c r="AY257" s="401" t="s">
        <v>1409</v>
      </c>
      <c r="AZ257" s="402"/>
      <c r="BA257" s="403"/>
      <c r="BB257" s="231"/>
      <c r="BC257" s="231"/>
      <c r="BD257" s="231"/>
      <c r="BE257" s="231"/>
      <c r="BF257" s="231"/>
      <c r="BG257" s="231"/>
      <c r="BH257" s="231"/>
      <c r="BI257" s="231"/>
      <c r="BJ257" s="231"/>
      <c r="BK257" s="231"/>
      <c r="BL257" s="231"/>
      <c r="BM257" s="231"/>
      <c r="BN257" s="231"/>
      <c r="BO257" s="231"/>
      <c r="BP257" s="231"/>
      <c r="BQ257" s="231"/>
      <c r="BR257" s="231"/>
      <c r="BS257" s="433"/>
    </row>
    <row r="258" spans="51:71" ht="15.6">
      <c r="AY258" s="404" t="s">
        <v>641</v>
      </c>
      <c r="AZ258" s="405" t="s">
        <v>90</v>
      </c>
      <c r="BA258" s="406" t="s">
        <v>91</v>
      </c>
      <c r="BB258" s="231"/>
      <c r="BC258" s="231"/>
      <c r="BD258" s="231"/>
      <c r="BE258" s="231"/>
      <c r="BF258" s="231"/>
      <c r="BG258" s="231"/>
      <c r="BH258" s="231"/>
      <c r="BI258" s="231"/>
      <c r="BJ258" s="231"/>
      <c r="BK258" s="231"/>
      <c r="BL258" s="231"/>
      <c r="BM258" s="231"/>
      <c r="BN258" s="231"/>
      <c r="BO258" s="231"/>
      <c r="BP258" s="231"/>
      <c r="BQ258" s="1045"/>
      <c r="BR258" s="1046"/>
      <c r="BS258" s="1047"/>
    </row>
    <row r="259" spans="51:71">
      <c r="AY259" s="216" t="s">
        <v>1384</v>
      </c>
      <c r="AZ259" s="217" t="s">
        <v>87</v>
      </c>
      <c r="BA259" s="218">
        <f>BA242</f>
        <v>2</v>
      </c>
      <c r="BB259" s="231"/>
      <c r="BC259" s="231"/>
      <c r="BD259" s="231"/>
      <c r="BE259" s="231"/>
      <c r="BF259" s="231"/>
      <c r="BG259" s="231"/>
      <c r="BH259" s="231"/>
      <c r="BI259" s="231"/>
      <c r="BJ259" s="231"/>
      <c r="BK259" s="231"/>
      <c r="BL259" s="231"/>
      <c r="BM259" s="231"/>
      <c r="BN259" s="231"/>
      <c r="BO259" s="231"/>
      <c r="BP259" s="231"/>
      <c r="BQ259" s="1048"/>
      <c r="BR259" s="1046"/>
      <c r="BS259" s="1047"/>
    </row>
    <row r="260" spans="51:71">
      <c r="AY260" s="216" t="s">
        <v>1385</v>
      </c>
      <c r="AZ260" s="217" t="s">
        <v>188</v>
      </c>
      <c r="BA260" s="218">
        <f>BA243</f>
        <v>6</v>
      </c>
      <c r="BB260" s="231"/>
      <c r="BC260" s="231"/>
      <c r="BD260" s="231"/>
      <c r="BE260" s="231"/>
      <c r="BF260" s="231"/>
      <c r="BG260" s="231"/>
      <c r="BH260" s="231"/>
      <c r="BI260" s="231"/>
      <c r="BJ260" s="231"/>
      <c r="BK260" s="231"/>
      <c r="BL260" s="231"/>
      <c r="BM260" s="231"/>
      <c r="BN260" s="231"/>
      <c r="BO260" s="231"/>
      <c r="BP260" s="231"/>
      <c r="BQ260" s="1048"/>
      <c r="BR260" s="239"/>
      <c r="BS260" s="693"/>
    </row>
    <row r="261" spans="51:71">
      <c r="AY261" s="216" t="s">
        <v>1386</v>
      </c>
      <c r="AZ261" s="217" t="s">
        <v>1387</v>
      </c>
      <c r="BA261" s="218">
        <f>BA244</f>
        <v>1506.7394129964387</v>
      </c>
      <c r="BB261" s="231"/>
      <c r="BC261" s="231"/>
      <c r="BD261" s="231"/>
      <c r="BE261" s="231"/>
      <c r="BF261" s="231"/>
      <c r="BG261" s="231"/>
      <c r="BH261" s="231"/>
      <c r="BI261" s="231"/>
      <c r="BJ261" s="231"/>
      <c r="BK261" s="231"/>
      <c r="BL261" s="231"/>
      <c r="BM261" s="231"/>
      <c r="BN261" s="231"/>
      <c r="BO261" s="231"/>
      <c r="BP261" s="231"/>
      <c r="BQ261" s="1048"/>
      <c r="BR261" s="239"/>
      <c r="BS261" s="693"/>
    </row>
    <row r="262" spans="51:71" ht="15.6">
      <c r="AY262" s="129" t="s">
        <v>1410</v>
      </c>
      <c r="AZ262" s="122" t="s">
        <v>165</v>
      </c>
      <c r="BA262" s="408">
        <f>BK241</f>
        <v>35.760591041524179</v>
      </c>
      <c r="BB262" s="231"/>
      <c r="BC262" s="231"/>
      <c r="BD262" s="231"/>
      <c r="BE262" s="231"/>
      <c r="BF262" s="231"/>
      <c r="BG262" s="231"/>
      <c r="BH262" s="231"/>
      <c r="BI262" s="231"/>
      <c r="BJ262" s="231"/>
      <c r="BK262" s="231"/>
      <c r="BL262" s="231"/>
      <c r="BM262" s="231"/>
      <c r="BN262" s="231"/>
      <c r="BO262" s="231"/>
      <c r="BP262" s="231"/>
      <c r="BQ262" s="1048"/>
      <c r="BR262" s="239"/>
      <c r="BS262" s="693"/>
    </row>
    <row r="263" spans="51:71">
      <c r="AY263" s="129" t="s">
        <v>1408</v>
      </c>
      <c r="AZ263" s="122" t="s">
        <v>165</v>
      </c>
      <c r="BA263" s="408">
        <f>BA255</f>
        <v>-43.052736791726751</v>
      </c>
      <c r="BB263" s="231"/>
      <c r="BC263" s="231"/>
      <c r="BD263" s="231"/>
      <c r="BE263" s="231"/>
      <c r="BF263" s="231"/>
      <c r="BG263" s="231"/>
      <c r="BH263" s="231"/>
      <c r="BI263" s="231"/>
      <c r="BJ263" s="231"/>
      <c r="BK263" s="231"/>
      <c r="BL263" s="231"/>
      <c r="BM263" s="231"/>
      <c r="BN263" s="231"/>
      <c r="BO263" s="231"/>
      <c r="BP263" s="231"/>
      <c r="BQ263" s="1048"/>
      <c r="BR263" s="239"/>
      <c r="BS263" s="693"/>
    </row>
    <row r="264" spans="51:71">
      <c r="AY264" s="129" t="s">
        <v>1411</v>
      </c>
      <c r="AZ264" s="122" t="s">
        <v>619</v>
      </c>
      <c r="BA264" s="408">
        <f>BA273/((PI()/4)*(BA243^2))</f>
        <v>5.8816702406927863</v>
      </c>
      <c r="BB264" s="231"/>
      <c r="BC264" s="231"/>
      <c r="BD264" s="231"/>
      <c r="BE264" s="231"/>
      <c r="BF264" s="231"/>
      <c r="BG264" s="231"/>
      <c r="BH264" s="231"/>
      <c r="BI264" s="231"/>
      <c r="BJ264" s="231"/>
      <c r="BK264" s="231"/>
      <c r="BL264" s="231"/>
      <c r="BM264" s="231"/>
      <c r="BN264" s="231"/>
      <c r="BO264" s="231"/>
      <c r="BP264" s="231"/>
      <c r="BQ264" s="1048"/>
      <c r="BR264" s="239"/>
      <c r="BS264" s="693"/>
    </row>
    <row r="265" spans="51:71">
      <c r="AY265" s="129" t="s">
        <v>1412</v>
      </c>
      <c r="AZ265" s="122" t="s">
        <v>87</v>
      </c>
      <c r="BA265" s="411">
        <f>BA242*BK232/(PI()*(BA243/2))</f>
        <v>8.3765759522050176E-2</v>
      </c>
      <c r="BB265" s="231"/>
      <c r="BC265" s="231"/>
      <c r="BD265" s="231"/>
      <c r="BE265" s="231"/>
      <c r="BF265" s="227"/>
      <c r="BG265" s="1049"/>
      <c r="BH265" s="231"/>
      <c r="BI265" s="231"/>
      <c r="BJ265" s="231"/>
      <c r="BK265" s="231"/>
      <c r="BL265" s="231"/>
      <c r="BM265" s="231"/>
      <c r="BN265" s="231"/>
      <c r="BO265" s="231"/>
      <c r="BP265" s="231"/>
      <c r="BQ265" s="1048"/>
      <c r="BR265" s="239"/>
      <c r="BS265" s="693"/>
    </row>
    <row r="266" spans="51:71">
      <c r="AY266" s="216" t="s">
        <v>33</v>
      </c>
      <c r="AZ266" s="217" t="s">
        <v>188</v>
      </c>
      <c r="BA266" s="413">
        <f>BA231</f>
        <v>10000</v>
      </c>
      <c r="BB266" s="231"/>
      <c r="BC266" s="231"/>
      <c r="BD266" s="231"/>
      <c r="BE266" s="231"/>
      <c r="BF266" s="451"/>
      <c r="BG266" s="1049"/>
      <c r="BH266" s="231"/>
      <c r="BI266" s="231"/>
      <c r="BJ266" s="231"/>
      <c r="BK266" s="231"/>
      <c r="BL266" s="231"/>
      <c r="BM266" s="231"/>
      <c r="BN266" s="231"/>
      <c r="BO266" s="231"/>
      <c r="BP266" s="231"/>
      <c r="BQ266" s="1048"/>
      <c r="BR266" s="239"/>
      <c r="BS266" s="693"/>
    </row>
    <row r="267" spans="51:71">
      <c r="AY267" s="216" t="s">
        <v>1366</v>
      </c>
      <c r="AZ267" s="217" t="s">
        <v>648</v>
      </c>
      <c r="BA267" s="218">
        <f>BA232</f>
        <v>0</v>
      </c>
      <c r="BB267" s="231"/>
      <c r="BC267" s="231"/>
      <c r="BD267" s="231"/>
      <c r="BE267" s="231"/>
      <c r="BF267" s="231"/>
      <c r="BG267" s="231"/>
      <c r="BH267" s="231"/>
      <c r="BI267" s="231"/>
      <c r="BJ267" s="231"/>
      <c r="BK267" s="231"/>
      <c r="BL267" s="231"/>
      <c r="BM267" s="231"/>
      <c r="BN267" s="231"/>
      <c r="BO267" s="231"/>
      <c r="BP267" s="231"/>
      <c r="BQ267" s="1048"/>
      <c r="BR267" s="239"/>
      <c r="BS267" s="693"/>
    </row>
    <row r="268" spans="51:71">
      <c r="AY268" s="216" t="s">
        <v>1381</v>
      </c>
      <c r="AZ268" s="122" t="s">
        <v>1026</v>
      </c>
      <c r="BA268" s="218">
        <f>BA239</f>
        <v>102.09694397355153</v>
      </c>
      <c r="BB268" s="231"/>
      <c r="BC268" s="231"/>
      <c r="BD268" s="231"/>
      <c r="BE268" s="231"/>
      <c r="BF268" s="231"/>
      <c r="BG268" s="231"/>
      <c r="BH268" s="231"/>
      <c r="BI268" s="231"/>
      <c r="BJ268" s="231"/>
      <c r="BK268" s="231"/>
      <c r="BL268" s="231"/>
      <c r="BM268" s="231"/>
      <c r="BN268" s="231"/>
      <c r="BO268" s="231"/>
      <c r="BP268" s="231"/>
      <c r="BQ268" s="1048"/>
      <c r="BR268" s="239"/>
      <c r="BS268" s="693"/>
    </row>
    <row r="269" spans="51:71">
      <c r="AY269" s="129" t="s">
        <v>1413</v>
      </c>
      <c r="AZ269" s="122" t="s">
        <v>87</v>
      </c>
      <c r="BA269" s="411">
        <f>SUM(BF254:BO254)</f>
        <v>0.11590586350665757</v>
      </c>
      <c r="BB269" s="231"/>
      <c r="BC269" s="231"/>
      <c r="BD269" s="231"/>
      <c r="BE269" s="231"/>
      <c r="BF269" s="231"/>
      <c r="BG269" s="231"/>
      <c r="BH269" s="231"/>
      <c r="BI269" s="231"/>
      <c r="BJ269" s="231"/>
      <c r="BK269" s="231"/>
      <c r="BL269" s="231"/>
      <c r="BM269" s="231"/>
      <c r="BN269" s="231"/>
      <c r="BO269" s="231"/>
      <c r="BP269" s="231"/>
      <c r="BQ269" s="1048"/>
      <c r="BR269" s="239"/>
      <c r="BS269" s="693"/>
    </row>
    <row r="270" spans="51:71">
      <c r="AY270" s="129" t="s">
        <v>1414</v>
      </c>
      <c r="AZ270" s="122" t="s">
        <v>87</v>
      </c>
      <c r="BA270" s="411">
        <f>SUM(BF255:BO255)</f>
        <v>0.14594029331395719</v>
      </c>
      <c r="BB270" s="231"/>
      <c r="BC270" s="231"/>
      <c r="BD270" s="231"/>
      <c r="BE270" s="231"/>
      <c r="BF270" s="248"/>
      <c r="BG270" s="1049"/>
      <c r="BH270" s="231"/>
      <c r="BI270" s="231"/>
      <c r="BJ270" s="231"/>
      <c r="BK270" s="231"/>
      <c r="BL270" s="231"/>
      <c r="BM270" s="231"/>
      <c r="BN270" s="231"/>
      <c r="BO270" s="231"/>
      <c r="BP270" s="231"/>
      <c r="BQ270" s="1048"/>
      <c r="BR270" s="239"/>
      <c r="BS270" s="693"/>
    </row>
    <row r="271" spans="51:71">
      <c r="AY271" s="415" t="s">
        <v>1415</v>
      </c>
      <c r="AZ271" s="122" t="s">
        <v>87</v>
      </c>
      <c r="BA271" s="411">
        <f>BA269*BA249/BA270</f>
        <v>0.90893836705592534</v>
      </c>
      <c r="BB271" s="231"/>
      <c r="BC271" s="231"/>
      <c r="BD271" s="231"/>
      <c r="BE271" s="231"/>
      <c r="BF271" s="231"/>
      <c r="BG271" s="231"/>
      <c r="BH271" s="231"/>
      <c r="BI271" s="231"/>
      <c r="BJ271" s="231"/>
      <c r="BK271" s="231"/>
      <c r="BL271" s="231"/>
      <c r="BM271" s="231"/>
      <c r="BN271" s="231"/>
      <c r="BO271" s="231"/>
      <c r="BP271" s="231"/>
      <c r="BQ271" s="1048"/>
      <c r="BR271" s="239"/>
      <c r="BS271" s="693"/>
    </row>
    <row r="272" spans="51:71">
      <c r="AY272" s="129" t="s">
        <v>70</v>
      </c>
      <c r="AZ272" s="122" t="s">
        <v>1416</v>
      </c>
      <c r="BA272" s="413">
        <f>BA270*BA238*(BA245^3)*(BA243^5)/550</f>
        <v>57.363853904294082</v>
      </c>
      <c r="BB272" s="231"/>
      <c r="BC272" s="231"/>
      <c r="BD272" s="231"/>
      <c r="BE272" s="231"/>
      <c r="BF272" s="231"/>
      <c r="BG272" s="231"/>
      <c r="BH272" s="231"/>
      <c r="BI272" s="231"/>
      <c r="BJ272" s="231"/>
      <c r="BK272" s="231"/>
      <c r="BL272" s="231"/>
      <c r="BM272" s="231"/>
      <c r="BN272" s="231"/>
      <c r="BO272" s="231"/>
      <c r="BP272" s="231"/>
      <c r="BQ272" s="1048"/>
      <c r="BR272" s="239"/>
      <c r="BS272" s="693"/>
    </row>
    <row r="273" spans="51:71" ht="13.8" thickBot="1">
      <c r="AY273" s="416" t="s">
        <v>69</v>
      </c>
      <c r="AZ273" s="137" t="s">
        <v>436</v>
      </c>
      <c r="BA273" s="226">
        <f>BA269*BA238*(BA245^2)*(BA243^4)</f>
        <v>166.3003081709835</v>
      </c>
      <c r="BB273" s="231"/>
      <c r="BC273" s="231"/>
      <c r="BD273" s="231"/>
      <c r="BE273" s="231"/>
      <c r="BF273" s="227"/>
      <c r="BG273" s="1049"/>
      <c r="BH273" s="231"/>
      <c r="BI273" s="231"/>
      <c r="BJ273" s="231"/>
      <c r="BK273" s="231"/>
      <c r="BL273" s="231"/>
      <c r="BM273" s="231"/>
      <c r="BN273" s="231"/>
      <c r="BO273" s="231"/>
      <c r="BP273" s="231"/>
      <c r="BQ273" s="1048"/>
      <c r="BR273" s="239"/>
      <c r="BS273" s="693"/>
    </row>
    <row r="274" spans="51:71">
      <c r="AY274" s="235"/>
      <c r="AZ274" s="231"/>
      <c r="BA274" s="231"/>
      <c r="BB274" s="231"/>
      <c r="BC274" s="417"/>
      <c r="BD274" s="418"/>
      <c r="BE274" s="419"/>
      <c r="BF274" s="231"/>
      <c r="BG274" s="1049"/>
      <c r="BH274" s="231"/>
      <c r="BI274" s="231"/>
      <c r="BJ274" s="231"/>
      <c r="BK274" s="231"/>
      <c r="BL274" s="231"/>
      <c r="BM274" s="231"/>
      <c r="BN274" s="231"/>
      <c r="BO274" s="231"/>
      <c r="BP274" s="231"/>
      <c r="BQ274" s="1048"/>
      <c r="BR274" s="239"/>
      <c r="BS274" s="693"/>
    </row>
    <row r="275" spans="51:71">
      <c r="AY275" s="235"/>
      <c r="AZ275" s="231"/>
      <c r="BA275" s="231"/>
      <c r="BB275" s="231"/>
      <c r="BC275" s="417"/>
      <c r="BD275" s="418"/>
      <c r="BE275" s="420"/>
      <c r="BF275" s="248"/>
      <c r="BG275" s="1049"/>
      <c r="BH275" s="231"/>
      <c r="BI275" s="231"/>
      <c r="BJ275" s="231"/>
      <c r="BK275" s="231"/>
      <c r="BL275" s="231"/>
      <c r="BM275" s="231"/>
      <c r="BN275" s="231"/>
      <c r="BO275" s="231"/>
      <c r="BP275" s="231"/>
      <c r="BQ275" s="231"/>
      <c r="BR275" s="231"/>
      <c r="BS275" s="433"/>
    </row>
    <row r="276" spans="51:71">
      <c r="AY276" s="235"/>
      <c r="AZ276" s="231"/>
      <c r="BA276" s="231"/>
      <c r="BB276" s="231"/>
      <c r="BC276" s="417"/>
      <c r="BD276" s="418"/>
      <c r="BE276" s="421"/>
      <c r="BF276" s="248"/>
      <c r="BG276" s="1049"/>
      <c r="BH276" s="231"/>
      <c r="BI276" s="231"/>
      <c r="BJ276" s="231"/>
      <c r="BK276" s="231"/>
      <c r="BL276" s="231"/>
      <c r="BM276" s="231"/>
      <c r="BN276" s="231"/>
      <c r="BO276" s="231"/>
      <c r="BP276" s="231"/>
      <c r="BQ276" s="231"/>
      <c r="BR276" s="231"/>
      <c r="BS276" s="433"/>
    </row>
    <row r="277" spans="51:71" ht="21">
      <c r="AY277" s="1039" t="s">
        <v>2562</v>
      </c>
      <c r="AZ277" s="231"/>
      <c r="BA277" s="231"/>
      <c r="BB277" s="231"/>
      <c r="BC277" s="231"/>
      <c r="BD277" s="231"/>
      <c r="BE277" s="231"/>
      <c r="BF277" s="231"/>
      <c r="BG277" s="231"/>
      <c r="BH277" s="231"/>
      <c r="BI277" s="231"/>
      <c r="BJ277" s="231"/>
      <c r="BK277" s="231"/>
      <c r="BL277" s="231"/>
      <c r="BM277" s="231"/>
      <c r="BN277" s="231"/>
      <c r="BO277" s="231"/>
      <c r="BP277" s="231"/>
      <c r="BQ277" s="231"/>
      <c r="BR277" s="231"/>
      <c r="BS277" s="433"/>
    </row>
    <row r="278" spans="51:71">
      <c r="AY278" s="1040" t="s">
        <v>1361</v>
      </c>
      <c r="AZ278" s="231"/>
      <c r="BA278" s="231"/>
      <c r="BB278" s="231"/>
      <c r="BC278" s="231"/>
      <c r="BD278" s="231"/>
      <c r="BE278" s="231"/>
      <c r="BF278" s="231"/>
      <c r="BG278" s="231"/>
      <c r="BH278" s="231"/>
      <c r="BI278" s="231"/>
      <c r="BJ278" s="231"/>
      <c r="BK278" s="231"/>
      <c r="BL278" s="231"/>
      <c r="BM278" s="231"/>
      <c r="BN278" s="251"/>
      <c r="BO278" s="231"/>
      <c r="BP278" s="231"/>
      <c r="BQ278" s="231"/>
      <c r="BR278" s="231"/>
      <c r="BS278" s="433"/>
    </row>
    <row r="279" spans="51:71">
      <c r="AY279" s="235"/>
      <c r="AZ279" s="231"/>
      <c r="BA279" s="231"/>
      <c r="BB279" s="231"/>
      <c r="BC279" s="231"/>
      <c r="BD279" s="231"/>
      <c r="BE279" s="231"/>
      <c r="BF279" s="231"/>
      <c r="BG279" s="231"/>
      <c r="BH279" s="231"/>
      <c r="BI279" s="231"/>
      <c r="BJ279" s="231"/>
      <c r="BK279" s="231"/>
      <c r="BL279" s="231"/>
      <c r="BM279" s="231"/>
      <c r="BN279" s="251"/>
      <c r="BO279" s="231"/>
      <c r="BP279" s="231"/>
      <c r="BQ279" s="231"/>
      <c r="BR279" s="231"/>
      <c r="BS279" s="433"/>
    </row>
    <row r="280" spans="51:71" ht="17.399999999999999">
      <c r="AY280" s="1041" t="s">
        <v>1362</v>
      </c>
      <c r="AZ280" s="231"/>
      <c r="BA280" s="231"/>
      <c r="BB280" s="231"/>
      <c r="BC280" s="231"/>
      <c r="BD280" s="231"/>
      <c r="BE280" s="231"/>
      <c r="BF280" s="231"/>
      <c r="BG280" s="231"/>
      <c r="BH280" s="231"/>
      <c r="BI280" s="231"/>
      <c r="BJ280" s="231"/>
      <c r="BK280" s="231"/>
      <c r="BL280" s="231"/>
      <c r="BM280" s="231"/>
      <c r="BN280" s="251"/>
      <c r="BO280" s="231"/>
      <c r="BP280" s="231"/>
      <c r="BQ280" s="231"/>
      <c r="BR280" s="231"/>
      <c r="BS280" s="433"/>
    </row>
    <row r="281" spans="51:71" ht="13.8">
      <c r="AY281" s="1042" t="s">
        <v>1363</v>
      </c>
      <c r="AZ281" s="231"/>
      <c r="BA281" s="231"/>
      <c r="BB281" s="231"/>
      <c r="BC281" s="231"/>
      <c r="BD281" s="231"/>
      <c r="BE281" s="231"/>
      <c r="BF281" s="231"/>
      <c r="BG281" s="231"/>
      <c r="BH281" s="231"/>
      <c r="BI281" s="231"/>
      <c r="BJ281" s="231"/>
      <c r="BK281" s="231"/>
      <c r="BL281" s="231"/>
      <c r="BM281" s="231"/>
      <c r="BN281" s="251"/>
      <c r="BO281" s="231"/>
      <c r="BP281" s="231"/>
      <c r="BQ281" s="231"/>
      <c r="BR281" s="231"/>
      <c r="BS281" s="433"/>
    </row>
    <row r="282" spans="51:71">
      <c r="AY282" s="235"/>
      <c r="AZ282" s="231"/>
      <c r="BA282" s="231"/>
      <c r="BB282" s="231"/>
      <c r="BC282" s="231"/>
      <c r="BD282" s="231"/>
      <c r="BE282" s="231"/>
      <c r="BF282" s="231"/>
      <c r="BG282" s="231"/>
      <c r="BH282" s="231"/>
      <c r="BI282" s="231"/>
      <c r="BJ282" s="437"/>
      <c r="BK282" s="231"/>
      <c r="BL282" s="231"/>
      <c r="BM282" s="231"/>
      <c r="BN282" s="231"/>
      <c r="BO282" s="231"/>
      <c r="BP282" s="231"/>
      <c r="BQ282" s="231"/>
      <c r="BR282" s="231"/>
      <c r="BS282" s="433"/>
    </row>
    <row r="283" spans="51:71">
      <c r="AY283" s="1023" t="s">
        <v>1364</v>
      </c>
      <c r="AZ283" s="233" t="s">
        <v>90</v>
      </c>
      <c r="BA283" s="233" t="s">
        <v>91</v>
      </c>
      <c r="BB283" s="231"/>
      <c r="BC283" s="231"/>
      <c r="BD283" s="233" t="s">
        <v>90</v>
      </c>
      <c r="BE283" s="231"/>
      <c r="BF283" s="231"/>
      <c r="BG283" s="231"/>
      <c r="BH283" s="231"/>
      <c r="BI283" s="231"/>
      <c r="BJ283" s="231"/>
      <c r="BK283" s="231"/>
      <c r="BL283" s="231"/>
      <c r="BM283" s="231"/>
      <c r="BN283" s="231"/>
      <c r="BO283" s="231"/>
      <c r="BP283" s="231"/>
      <c r="BQ283" s="231"/>
      <c r="BR283" s="231"/>
      <c r="BS283" s="433"/>
    </row>
    <row r="284" spans="51:71">
      <c r="AY284" s="235"/>
      <c r="AZ284" s="231"/>
      <c r="BA284" s="231"/>
      <c r="BB284" s="231"/>
      <c r="BC284" s="574" t="s">
        <v>1365</v>
      </c>
      <c r="BD284" s="574" t="s">
        <v>87</v>
      </c>
      <c r="BE284" s="334">
        <f t="shared" ref="BE284:BO284" si="118">BE$68</f>
        <v>0.2</v>
      </c>
      <c r="BF284" s="334">
        <f t="shared" si="118"/>
        <v>0.3</v>
      </c>
      <c r="BG284" s="334">
        <f t="shared" si="118"/>
        <v>0.4</v>
      </c>
      <c r="BH284" s="334">
        <f t="shared" si="118"/>
        <v>0.5</v>
      </c>
      <c r="BI284" s="334">
        <f t="shared" si="118"/>
        <v>0.6</v>
      </c>
      <c r="BJ284" s="334">
        <f t="shared" si="118"/>
        <v>0.7</v>
      </c>
      <c r="BK284" s="334">
        <f t="shared" si="118"/>
        <v>0.75</v>
      </c>
      <c r="BL284" s="334">
        <f t="shared" si="118"/>
        <v>0.8</v>
      </c>
      <c r="BM284" s="334">
        <f t="shared" si="118"/>
        <v>0.9</v>
      </c>
      <c r="BN284" s="334">
        <f t="shared" si="118"/>
        <v>0.95</v>
      </c>
      <c r="BO284" s="334">
        <f t="shared" si="118"/>
        <v>0.97499999999999998</v>
      </c>
      <c r="BP284" s="231"/>
      <c r="BQ284" s="231"/>
      <c r="BR284" s="231"/>
      <c r="BS284" s="433"/>
    </row>
    <row r="285" spans="51:71">
      <c r="AY285" s="235" t="s">
        <v>33</v>
      </c>
      <c r="AZ285" s="231" t="s">
        <v>188</v>
      </c>
      <c r="BA285" s="535">
        <f>'7b'!BE7</f>
        <v>3500</v>
      </c>
      <c r="BB285" s="231"/>
      <c r="BC285" s="574" t="s">
        <v>50</v>
      </c>
      <c r="BD285" s="574" t="s">
        <v>188</v>
      </c>
      <c r="BE285" s="334">
        <f t="shared" ref="BE285:BO285" si="119">BE284*($BA297/2)</f>
        <v>0.60000000000000009</v>
      </c>
      <c r="BF285" s="334">
        <f t="shared" si="119"/>
        <v>0.89999999999999991</v>
      </c>
      <c r="BG285" s="334">
        <f t="shared" si="119"/>
        <v>1.2000000000000002</v>
      </c>
      <c r="BH285" s="334">
        <f t="shared" si="119"/>
        <v>1.5</v>
      </c>
      <c r="BI285" s="334">
        <f t="shared" si="119"/>
        <v>1.7999999999999998</v>
      </c>
      <c r="BJ285" s="334">
        <f t="shared" si="119"/>
        <v>2.0999999999999996</v>
      </c>
      <c r="BK285" s="334">
        <f t="shared" si="119"/>
        <v>2.25</v>
      </c>
      <c r="BL285" s="334">
        <f t="shared" si="119"/>
        <v>2.4000000000000004</v>
      </c>
      <c r="BM285" s="334">
        <f t="shared" si="119"/>
        <v>2.7</v>
      </c>
      <c r="BN285" s="334">
        <f t="shared" si="119"/>
        <v>2.8499999999999996</v>
      </c>
      <c r="BO285" s="334">
        <f t="shared" si="119"/>
        <v>2.9249999999999998</v>
      </c>
      <c r="BP285" s="231"/>
      <c r="BQ285" s="231"/>
      <c r="BR285" s="231"/>
      <c r="BS285" s="433"/>
    </row>
    <row r="286" spans="51:71">
      <c r="AY286" s="235" t="s">
        <v>1366</v>
      </c>
      <c r="AZ286" s="231" t="s">
        <v>648</v>
      </c>
      <c r="BA286" s="535">
        <f>'7b'!BE8</f>
        <v>0</v>
      </c>
      <c r="BB286" s="231"/>
      <c r="BC286" s="231" t="s">
        <v>1367</v>
      </c>
      <c r="BD286" s="231" t="s">
        <v>188</v>
      </c>
      <c r="BE286" s="536">
        <f>'7b'!BE33</f>
        <v>0.5</v>
      </c>
      <c r="BF286" s="334">
        <f>$BE286</f>
        <v>0.5</v>
      </c>
      <c r="BG286" s="334">
        <f>$BE286</f>
        <v>0.5</v>
      </c>
      <c r="BH286" s="334">
        <f>$BE286</f>
        <v>0.5</v>
      </c>
      <c r="BI286" s="334">
        <f t="shared" ref="BI286:BN286" si="120">$BH286-(((BI285-$BH285)/($BO285-$BH285))*($BH286-$BO286))</f>
        <v>0.4578947368421053</v>
      </c>
      <c r="BJ286" s="334">
        <f t="shared" si="120"/>
        <v>0.41578947368421054</v>
      </c>
      <c r="BK286" s="334">
        <f t="shared" si="120"/>
        <v>0.39473684210526316</v>
      </c>
      <c r="BL286" s="334">
        <f t="shared" si="120"/>
        <v>0.37368421052631573</v>
      </c>
      <c r="BM286" s="334">
        <f t="shared" si="120"/>
        <v>0.33157894736842097</v>
      </c>
      <c r="BN286" s="334">
        <f t="shared" si="120"/>
        <v>0.31052631578947371</v>
      </c>
      <c r="BO286" s="536">
        <f>'7b'!BE34</f>
        <v>0.3</v>
      </c>
      <c r="BP286" s="231"/>
      <c r="BQ286" s="231"/>
      <c r="BR286" s="231"/>
      <c r="BS286" s="433"/>
    </row>
    <row r="287" spans="51:71">
      <c r="AY287" s="235" t="s">
        <v>1368</v>
      </c>
      <c r="AZ287" s="231" t="s">
        <v>1369</v>
      </c>
      <c r="BA287" s="251">
        <f>(-0.00356616*BA285)+59+459.6</f>
        <v>506.11844000000002</v>
      </c>
      <c r="BB287" s="231"/>
      <c r="BC287" s="231" t="s">
        <v>1370</v>
      </c>
      <c r="BD287" s="231" t="s">
        <v>188</v>
      </c>
      <c r="BE287" s="231">
        <f t="shared" ref="BE287:BO287" si="121">BE286/2</f>
        <v>0.25</v>
      </c>
      <c r="BF287" s="231">
        <f t="shared" si="121"/>
        <v>0.25</v>
      </c>
      <c r="BG287" s="231">
        <f t="shared" si="121"/>
        <v>0.25</v>
      </c>
      <c r="BH287" s="231">
        <f t="shared" si="121"/>
        <v>0.25</v>
      </c>
      <c r="BI287" s="231">
        <f t="shared" si="121"/>
        <v>0.22894736842105265</v>
      </c>
      <c r="BJ287" s="231">
        <f t="shared" si="121"/>
        <v>0.20789473684210527</v>
      </c>
      <c r="BK287" s="231">
        <f t="shared" si="121"/>
        <v>0.19736842105263158</v>
      </c>
      <c r="BL287" s="231">
        <f t="shared" si="121"/>
        <v>0.18684210526315786</v>
      </c>
      <c r="BM287" s="231">
        <f t="shared" si="121"/>
        <v>0.16578947368421049</v>
      </c>
      <c r="BN287" s="231">
        <f t="shared" si="121"/>
        <v>0.15526315789473685</v>
      </c>
      <c r="BO287" s="231">
        <f t="shared" si="121"/>
        <v>0.15</v>
      </c>
      <c r="BP287" s="231"/>
      <c r="BQ287" s="231"/>
      <c r="BR287" s="231"/>
      <c r="BS287" s="433"/>
    </row>
    <row r="288" spans="51:71">
      <c r="AY288" s="235" t="s">
        <v>1371</v>
      </c>
      <c r="AZ288" s="231" t="s">
        <v>658</v>
      </c>
      <c r="BA288" s="587">
        <f xml:space="preserve"> (-0.00000000808691*(BA285^2)) + (-0.0038153*BA285) + 1116.38</f>
        <v>1102.9273853525001</v>
      </c>
      <c r="BB288" s="231"/>
      <c r="BC288" s="231" t="s">
        <v>1372</v>
      </c>
      <c r="BD288" s="231" t="s">
        <v>188</v>
      </c>
      <c r="BE288" s="231">
        <f t="shared" ref="BE288:BO288" si="122">(-1)*BE287</f>
        <v>-0.25</v>
      </c>
      <c r="BF288" s="231">
        <f t="shared" si="122"/>
        <v>-0.25</v>
      </c>
      <c r="BG288" s="231">
        <f t="shared" si="122"/>
        <v>-0.25</v>
      </c>
      <c r="BH288" s="231">
        <f t="shared" si="122"/>
        <v>-0.25</v>
      </c>
      <c r="BI288" s="231">
        <f t="shared" si="122"/>
        <v>-0.22894736842105265</v>
      </c>
      <c r="BJ288" s="231">
        <f t="shared" si="122"/>
        <v>-0.20789473684210527</v>
      </c>
      <c r="BK288" s="231">
        <f t="shared" si="122"/>
        <v>-0.19736842105263158</v>
      </c>
      <c r="BL288" s="231">
        <f t="shared" si="122"/>
        <v>-0.18684210526315786</v>
      </c>
      <c r="BM288" s="231">
        <f t="shared" si="122"/>
        <v>-0.16578947368421049</v>
      </c>
      <c r="BN288" s="231">
        <f t="shared" si="122"/>
        <v>-0.15526315789473685</v>
      </c>
      <c r="BO288" s="231">
        <f t="shared" si="122"/>
        <v>-0.15</v>
      </c>
      <c r="BP288" s="231"/>
      <c r="BQ288" s="231"/>
      <c r="BR288" s="231"/>
      <c r="BS288" s="433"/>
    </row>
    <row r="289" spans="51:71" ht="15.6">
      <c r="AY289" s="235" t="s">
        <v>671</v>
      </c>
      <c r="AZ289" s="231" t="s">
        <v>1369</v>
      </c>
      <c r="BA289" s="587">
        <f>((((5/9)*((BA287-32))+BA286)*(9/5))+32)</f>
        <v>506.11844000000002</v>
      </c>
      <c r="BB289" s="231"/>
      <c r="BC289" s="236" t="s">
        <v>1373</v>
      </c>
      <c r="BD289" s="231" t="s">
        <v>87</v>
      </c>
      <c r="BE289" s="437">
        <f t="shared" ref="BE289:BO289" si="123">$BA$296*BE286/(PI()*$BA$297/2)</f>
        <v>0.1061032953945969</v>
      </c>
      <c r="BF289" s="437">
        <f t="shared" si="123"/>
        <v>0.1061032953945969</v>
      </c>
      <c r="BG289" s="437">
        <f t="shared" si="123"/>
        <v>0.1061032953945969</v>
      </c>
      <c r="BH289" s="437">
        <f t="shared" si="123"/>
        <v>0.1061032953945969</v>
      </c>
      <c r="BI289" s="437">
        <f t="shared" si="123"/>
        <v>9.7168281045578217E-2</v>
      </c>
      <c r="BJ289" s="437">
        <f t="shared" si="123"/>
        <v>8.8233266696559523E-2</v>
      </c>
      <c r="BK289" s="437">
        <f t="shared" si="123"/>
        <v>8.3765759522050176E-2</v>
      </c>
      <c r="BL289" s="437">
        <f t="shared" si="123"/>
        <v>7.9298252347540829E-2</v>
      </c>
      <c r="BM289" s="437">
        <f t="shared" si="123"/>
        <v>7.0363237998522135E-2</v>
      </c>
      <c r="BN289" s="437">
        <f t="shared" si="123"/>
        <v>6.5895730824012816E-2</v>
      </c>
      <c r="BO289" s="437">
        <f t="shared" si="123"/>
        <v>6.3661977236758135E-2</v>
      </c>
      <c r="BP289" s="231"/>
      <c r="BQ289" s="231"/>
      <c r="BR289" s="231"/>
      <c r="BS289" s="433"/>
    </row>
    <row r="290" spans="51:71" ht="15.6">
      <c r="AY290" s="235" t="s">
        <v>1374</v>
      </c>
      <c r="AZ290" s="231" t="s">
        <v>658</v>
      </c>
      <c r="BA290" s="587">
        <f>( (-0.00000000808691*(BA285^2)) + (-0.0038153*BA285) + 1116.38)*((BA289/BA287)^0.5)</f>
        <v>1102.9273853525001</v>
      </c>
      <c r="BB290" s="231"/>
      <c r="BC290" s="231" t="s">
        <v>1375</v>
      </c>
      <c r="BD290" s="231" t="s">
        <v>87</v>
      </c>
      <c r="BE290" s="437">
        <f t="shared" ref="BE290:BO290" si="124">((BE284^2)+($BA304^2))^0.5</f>
        <v>0.41906507800897774</v>
      </c>
      <c r="BF290" s="437">
        <f t="shared" si="124"/>
        <v>0.47499004158684272</v>
      </c>
      <c r="BG290" s="437">
        <f t="shared" si="124"/>
        <v>0.54370537941671193</v>
      </c>
      <c r="BH290" s="437">
        <f t="shared" si="124"/>
        <v>0.62097950015010206</v>
      </c>
      <c r="BI290" s="437">
        <f t="shared" si="124"/>
        <v>0.70399967301602528</v>
      </c>
      <c r="BJ290" s="437">
        <f t="shared" si="124"/>
        <v>0.79095862066651157</v>
      </c>
      <c r="BK290" s="437">
        <f t="shared" si="124"/>
        <v>0.83553308708073948</v>
      </c>
      <c r="BL290" s="437">
        <f t="shared" si="124"/>
        <v>0.88069037669698125</v>
      </c>
      <c r="BM290" s="437">
        <f t="shared" si="124"/>
        <v>0.97242765263369113</v>
      </c>
      <c r="BN290" s="437">
        <f t="shared" si="124"/>
        <v>1.0188795510788655</v>
      </c>
      <c r="BO290" s="437">
        <f t="shared" si="124"/>
        <v>1.0422286407533956</v>
      </c>
      <c r="BP290" s="231"/>
      <c r="BQ290" s="231"/>
      <c r="BR290" s="231"/>
      <c r="BS290" s="433"/>
    </row>
    <row r="291" spans="51:71">
      <c r="AY291" s="235" t="s">
        <v>1376</v>
      </c>
      <c r="AZ291" s="231" t="s">
        <v>1377</v>
      </c>
      <c r="BA291" s="1043">
        <f xml:space="preserve"> ( (-0.00000000000621692*(BA285^3)) + (0.00000107111*(BA285^2)) + (-0.0760997*BA285) + 2115.57)/144</f>
        <v>12.931080535104167</v>
      </c>
      <c r="BB291" s="231"/>
      <c r="BC291" s="231"/>
      <c r="BD291" s="231"/>
      <c r="BE291" s="231"/>
      <c r="BF291" s="231"/>
      <c r="BG291" s="231"/>
      <c r="BH291" s="231"/>
      <c r="BI291" s="231"/>
      <c r="BJ291" s="231"/>
      <c r="BK291" s="231"/>
      <c r="BL291" s="231"/>
      <c r="BM291" s="231"/>
      <c r="BN291" s="231"/>
      <c r="BO291" s="231"/>
      <c r="BP291" s="231"/>
      <c r="BQ291" s="231"/>
      <c r="BR291" s="231"/>
      <c r="BS291" s="433"/>
    </row>
    <row r="292" spans="51:71">
      <c r="AY292" s="235" t="s">
        <v>1378</v>
      </c>
      <c r="AZ292" s="231" t="s">
        <v>673</v>
      </c>
      <c r="BA292" s="1044">
        <f xml:space="preserve"> (( -3.4153E-18*(BA285^3)) + (0.000000000000764697*(BA285^2)) + (-0.0000000694512*BA285) + 0.00237699) * (BA287/BA289)</f>
        <v>2.1431319072624999E-3</v>
      </c>
      <c r="BB292" s="231"/>
      <c r="BC292" s="236" t="s">
        <v>1379</v>
      </c>
      <c r="BD292" s="231" t="s">
        <v>1380</v>
      </c>
      <c r="BE292" s="437">
        <f t="shared" ref="BE292:BO292" si="125">ATAN($BA304/BE284)</f>
        <v>1.0732704304349938</v>
      </c>
      <c r="BF292" s="437">
        <f t="shared" si="125"/>
        <v>0.88719118871692748</v>
      </c>
      <c r="BG292" s="437">
        <f t="shared" si="125"/>
        <v>0.74410771247588248</v>
      </c>
      <c r="BH292" s="437">
        <f t="shared" si="125"/>
        <v>0.63481813924050112</v>
      </c>
      <c r="BI292" s="437">
        <f t="shared" si="125"/>
        <v>0.55048078544542656</v>
      </c>
      <c r="BJ292" s="437">
        <f t="shared" si="125"/>
        <v>0.48429791477190981</v>
      </c>
      <c r="BK292" s="437">
        <f t="shared" si="125"/>
        <v>0.45643262776078131</v>
      </c>
      <c r="BL292" s="437">
        <f t="shared" si="125"/>
        <v>0.43140710481804695</v>
      </c>
      <c r="BM292" s="437">
        <f t="shared" si="125"/>
        <v>0.38839327559248177</v>
      </c>
      <c r="BN292" s="437">
        <f t="shared" si="125"/>
        <v>0.36980797505388807</v>
      </c>
      <c r="BO292" s="437">
        <f t="shared" si="125"/>
        <v>0.36113807026699096</v>
      </c>
      <c r="BP292" s="228"/>
      <c r="BQ292" s="228"/>
      <c r="BR292" s="231"/>
      <c r="BS292" s="433"/>
    </row>
    <row r="293" spans="51:71">
      <c r="AY293" s="235" t="s">
        <v>1381</v>
      </c>
      <c r="AZ293" s="231" t="s">
        <v>1026</v>
      </c>
      <c r="BA293" s="534">
        <f>'7b'!BE15</f>
        <v>98.083706866886658</v>
      </c>
      <c r="BB293" s="231"/>
      <c r="BC293" s="236" t="s">
        <v>1379</v>
      </c>
      <c r="BD293" s="231" t="s">
        <v>165</v>
      </c>
      <c r="BE293" s="227">
        <f t="shared" ref="BE293:BO293" si="126">BE292*(180/PI())</f>
        <v>61.493865940114368</v>
      </c>
      <c r="BF293" s="227">
        <f t="shared" si="126"/>
        <v>50.832310734674486</v>
      </c>
      <c r="BG293" s="227">
        <f t="shared" si="126"/>
        <v>42.634231428002217</v>
      </c>
      <c r="BH293" s="227">
        <f t="shared" si="126"/>
        <v>36.372400136828944</v>
      </c>
      <c r="BI293" s="227">
        <f t="shared" si="126"/>
        <v>31.540225709069535</v>
      </c>
      <c r="BJ293" s="227">
        <f t="shared" si="126"/>
        <v>27.74822654341688</v>
      </c>
      <c r="BK293" s="227">
        <f t="shared" si="126"/>
        <v>26.151663202758503</v>
      </c>
      <c r="BL293" s="227">
        <f t="shared" si="126"/>
        <v>24.717806358032014</v>
      </c>
      <c r="BM293" s="227">
        <f t="shared" si="126"/>
        <v>22.253295482710655</v>
      </c>
      <c r="BN293" s="227">
        <f t="shared" si="126"/>
        <v>21.18843620086702</v>
      </c>
      <c r="BO293" s="227">
        <f t="shared" si="126"/>
        <v>20.691687247797546</v>
      </c>
      <c r="BP293" s="231"/>
      <c r="BQ293" s="231"/>
      <c r="BR293" s="231"/>
      <c r="BS293" s="433"/>
    </row>
    <row r="294" spans="51:71">
      <c r="AY294" s="235" t="s">
        <v>1381</v>
      </c>
      <c r="AZ294" s="231" t="s">
        <v>658</v>
      </c>
      <c r="BA294" s="239">
        <f>1.689*BA293</f>
        <v>165.66338089817157</v>
      </c>
      <c r="BB294" s="231"/>
      <c r="BC294" s="223" t="s">
        <v>1382</v>
      </c>
      <c r="BD294" s="223" t="s">
        <v>1380</v>
      </c>
      <c r="BE294" s="437">
        <f t="shared" ref="BE294:BO294" si="127">BE295*(PI()/180)</f>
        <v>1.0374166610893578</v>
      </c>
      <c r="BF294" s="437">
        <f t="shared" si="127"/>
        <v>0.96227546018834453</v>
      </c>
      <c r="BG294" s="437">
        <f t="shared" si="127"/>
        <v>0.88713425928733147</v>
      </c>
      <c r="BH294" s="437">
        <f t="shared" si="127"/>
        <v>0.81199305838631819</v>
      </c>
      <c r="BI294" s="437">
        <f t="shared" si="127"/>
        <v>0.73685185748530502</v>
      </c>
      <c r="BJ294" s="437">
        <f t="shared" si="127"/>
        <v>0.66171065658429173</v>
      </c>
      <c r="BK294" s="437">
        <f t="shared" si="127"/>
        <v>0.6241400561337852</v>
      </c>
      <c r="BL294" s="437">
        <f t="shared" si="127"/>
        <v>0.58656945568327856</v>
      </c>
      <c r="BM294" s="437">
        <f t="shared" si="127"/>
        <v>0.51142825478226539</v>
      </c>
      <c r="BN294" s="437">
        <f t="shared" si="127"/>
        <v>0.4738576543317588</v>
      </c>
      <c r="BO294" s="437">
        <f t="shared" si="127"/>
        <v>0.45507235410650548</v>
      </c>
      <c r="BP294" s="231"/>
      <c r="BQ294" s="231"/>
      <c r="BR294" s="231"/>
      <c r="BS294" s="433"/>
    </row>
    <row r="295" spans="51:71">
      <c r="AY295" s="235" t="s">
        <v>1383</v>
      </c>
      <c r="AZ295" s="231" t="s">
        <v>87</v>
      </c>
      <c r="BA295" s="248">
        <f>BA294/BA290</f>
        <v>0.15020334348233169</v>
      </c>
      <c r="BB295" s="231"/>
      <c r="BC295" s="223" t="s">
        <v>1382</v>
      </c>
      <c r="BD295" s="223" t="s">
        <v>165</v>
      </c>
      <c r="BE295" s="228">
        <f t="shared" ref="BE295:BJ295" si="128">$BK295+($BA309*(BE284-$BK284))</f>
        <v>59.439596276973894</v>
      </c>
      <c r="BF295" s="228">
        <f t="shared" si="128"/>
        <v>55.134322597801216</v>
      </c>
      <c r="BG295" s="228">
        <f t="shared" si="128"/>
        <v>50.829048918628544</v>
      </c>
      <c r="BH295" s="228">
        <f t="shared" si="128"/>
        <v>46.523775239455865</v>
      </c>
      <c r="BI295" s="228">
        <f t="shared" si="128"/>
        <v>42.218501560283194</v>
      </c>
      <c r="BJ295" s="228">
        <f t="shared" si="128"/>
        <v>37.913227881110515</v>
      </c>
      <c r="BK295" s="852">
        <f>'7b'!BE32</f>
        <v>35.760591041524179</v>
      </c>
      <c r="BL295" s="228">
        <f>$BK295+($BA309*(BL284-$BK284))</f>
        <v>33.607954201937844</v>
      </c>
      <c r="BM295" s="228">
        <f>$BK295+($BA309*(BM284-$BK284))</f>
        <v>29.302680522765165</v>
      </c>
      <c r="BN295" s="228">
        <f>$BK295+($BA309*(BN284-$BK284))</f>
        <v>27.150043683178829</v>
      </c>
      <c r="BO295" s="228">
        <f>$BK295+($BA309*(BO284-$BK284))</f>
        <v>26.073725263385661</v>
      </c>
      <c r="BP295" s="231"/>
      <c r="BQ295" s="231"/>
      <c r="BR295" s="231"/>
      <c r="BS295" s="433"/>
    </row>
    <row r="296" spans="51:71">
      <c r="AY296" s="235" t="s">
        <v>1384</v>
      </c>
      <c r="AZ296" s="231" t="s">
        <v>87</v>
      </c>
      <c r="BA296" s="534">
        <f>'7b'!BE18</f>
        <v>2</v>
      </c>
      <c r="BB296" s="231"/>
      <c r="BC296" s="574" t="s">
        <v>199</v>
      </c>
      <c r="BD296" s="231"/>
      <c r="BE296" s="231">
        <f>1</f>
        <v>1</v>
      </c>
      <c r="BF296" s="231">
        <f>1</f>
        <v>1</v>
      </c>
      <c r="BG296" s="231">
        <f>1</f>
        <v>1</v>
      </c>
      <c r="BH296" s="231">
        <f>1</f>
        <v>1</v>
      </c>
      <c r="BI296" s="231">
        <f>1</f>
        <v>1</v>
      </c>
      <c r="BJ296" s="231">
        <f>1</f>
        <v>1</v>
      </c>
      <c r="BK296" s="231">
        <f>1</f>
        <v>1</v>
      </c>
      <c r="BL296" s="231">
        <f>1</f>
        <v>1</v>
      </c>
      <c r="BM296" s="231">
        <f>1</f>
        <v>1</v>
      </c>
      <c r="BN296" s="231">
        <f>1</f>
        <v>1</v>
      </c>
      <c r="BO296" s="231">
        <f>1</f>
        <v>1</v>
      </c>
      <c r="BP296" s="231"/>
      <c r="BQ296" s="231"/>
      <c r="BR296" s="231"/>
      <c r="BS296" s="433"/>
    </row>
    <row r="297" spans="51:71">
      <c r="AY297" s="235" t="s">
        <v>1385</v>
      </c>
      <c r="AZ297" s="231" t="s">
        <v>188</v>
      </c>
      <c r="BA297" s="534">
        <f>'7b'!BE19</f>
        <v>6</v>
      </c>
      <c r="BB297" s="231"/>
      <c r="BC297" s="574" t="s">
        <v>189</v>
      </c>
      <c r="BD297" s="231"/>
      <c r="BE297" s="251">
        <f t="shared" ref="BE297:BO297" si="129">(($BA304/BE284)+(BE289*$BA305*BE290/(8*(BE284^2))))</f>
        <v>2.6750042434064953</v>
      </c>
      <c r="BF297" s="251">
        <f t="shared" si="129"/>
        <v>1.6475172460181728</v>
      </c>
      <c r="BG297" s="251">
        <f t="shared" si="129"/>
        <v>1.1910672511882012</v>
      </c>
      <c r="BH297" s="251">
        <f t="shared" si="129"/>
        <v>0.93418421816624675</v>
      </c>
      <c r="BI297" s="251">
        <f t="shared" si="129"/>
        <v>0.75628033280003448</v>
      </c>
      <c r="BJ297" s="251">
        <f t="shared" si="129"/>
        <v>0.63290561968420123</v>
      </c>
      <c r="BK297" s="251">
        <f t="shared" si="129"/>
        <v>0.58433228762749567</v>
      </c>
      <c r="BL297" s="251">
        <f t="shared" si="129"/>
        <v>0.54216566790457221</v>
      </c>
      <c r="BM297" s="251">
        <f t="shared" si="129"/>
        <v>0.47253272300852678</v>
      </c>
      <c r="BN297" s="251">
        <f t="shared" si="129"/>
        <v>0.44343712349220304</v>
      </c>
      <c r="BO297" s="251">
        <f t="shared" si="129"/>
        <v>0.43005012520811869</v>
      </c>
      <c r="BP297" s="231"/>
      <c r="BQ297" s="231"/>
      <c r="BR297" s="231"/>
      <c r="BS297" s="433"/>
    </row>
    <row r="298" spans="51:71">
      <c r="AY298" s="235" t="s">
        <v>1386</v>
      </c>
      <c r="AZ298" s="231" t="s">
        <v>1387</v>
      </c>
      <c r="BA298" s="534">
        <f>'7b'!BE20</f>
        <v>1431.930433453681</v>
      </c>
      <c r="BB298" s="231"/>
      <c r="BC298" s="574" t="s">
        <v>164</v>
      </c>
      <c r="BD298" s="231"/>
      <c r="BE298" s="251">
        <f t="shared" ref="BE298:BO298" si="130">(-1)*((BE289*$BA305*BE290/(8*(BE284^2)))*(BE294-BE292))</f>
        <v>2.9891412383174911E-2</v>
      </c>
      <c r="BF298" s="251">
        <f t="shared" si="130"/>
        <v>-3.1534148052062581E-2</v>
      </c>
      <c r="BG298" s="251">
        <f t="shared" si="130"/>
        <v>-3.8676791258608463E-2</v>
      </c>
      <c r="BH298" s="251">
        <f t="shared" si="130"/>
        <v>-3.5021087983696984E-2</v>
      </c>
      <c r="BI298" s="251">
        <f t="shared" si="130"/>
        <v>-2.6560377500152377E-2</v>
      </c>
      <c r="BJ298" s="251">
        <f t="shared" si="130"/>
        <v>-1.8951173753839867E-2</v>
      </c>
      <c r="BK298" s="251">
        <f t="shared" si="130"/>
        <v>-1.5650247837543752E-2</v>
      </c>
      <c r="BL298" s="251">
        <f t="shared" si="130"/>
        <v>-1.2698560932963968E-2</v>
      </c>
      <c r="BM298" s="251">
        <f t="shared" si="130"/>
        <v>-7.7948535784728538E-3</v>
      </c>
      <c r="BN298" s="251">
        <f t="shared" si="130"/>
        <v>-5.8054370958171694E-3</v>
      </c>
      <c r="BO298" s="251">
        <f t="shared" si="130"/>
        <v>-4.9172160118075865E-3</v>
      </c>
      <c r="BP298" s="231"/>
      <c r="BQ298" s="231"/>
      <c r="BR298" s="231"/>
      <c r="BS298" s="433"/>
    </row>
    <row r="299" spans="51:71" ht="15.6">
      <c r="AY299" s="235" t="s">
        <v>1388</v>
      </c>
      <c r="AZ299" s="231" t="s">
        <v>1389</v>
      </c>
      <c r="BA299" s="437">
        <f>BA298/60</f>
        <v>23.865507224228015</v>
      </c>
      <c r="BB299" s="231"/>
      <c r="BC299" s="223" t="s">
        <v>1390</v>
      </c>
      <c r="BD299" s="223" t="s">
        <v>1380</v>
      </c>
      <c r="BE299" s="437">
        <f t="shared" ref="BE299:BO299" si="131">(((-1)*BE297)+(((BE297^2)-(4*BE296*BE298))^0.5))/(2*BE296)</f>
        <v>-1.1221414922999662E-2</v>
      </c>
      <c r="BF299" s="437">
        <f t="shared" si="131"/>
        <v>1.8923058905198853E-2</v>
      </c>
      <c r="BG299" s="437">
        <f t="shared" si="131"/>
        <v>3.1632293817870361E-2</v>
      </c>
      <c r="BH299" s="437">
        <f t="shared" si="131"/>
        <v>3.6093866825801846E-2</v>
      </c>
      <c r="BI299" s="437">
        <f t="shared" si="131"/>
        <v>3.3624770117390845E-2</v>
      </c>
      <c r="BJ299" s="437">
        <f t="shared" si="131"/>
        <v>2.8646530364166034E-2</v>
      </c>
      <c r="BK299" s="437">
        <f t="shared" si="131"/>
        <v>2.5656610923132706E-2</v>
      </c>
      <c r="BL299" s="437">
        <f t="shared" si="131"/>
        <v>2.2489071714054343E-2</v>
      </c>
      <c r="BM299" s="437">
        <f t="shared" si="131"/>
        <v>1.5957045730148778E-2</v>
      </c>
      <c r="BN299" s="437">
        <f t="shared" si="131"/>
        <v>1.2726650869931661E-2</v>
      </c>
      <c r="BO299" s="437">
        <f t="shared" si="131"/>
        <v>1.1145212984239899E-2</v>
      </c>
      <c r="BP299" s="231"/>
      <c r="BQ299" s="231"/>
      <c r="BR299" s="231"/>
      <c r="BS299" s="433"/>
    </row>
    <row r="300" spans="51:71" ht="15.6">
      <c r="AY300" s="235" t="s">
        <v>1391</v>
      </c>
      <c r="AZ300" s="231" t="s">
        <v>1392</v>
      </c>
      <c r="BA300" s="227">
        <f>2*PI()*BA299</f>
        <v>149.95140433965773</v>
      </c>
      <c r="BB300" s="231"/>
      <c r="BC300" s="223" t="s">
        <v>1390</v>
      </c>
      <c r="BD300" s="223" t="s">
        <v>165</v>
      </c>
      <c r="BE300" s="437">
        <f t="shared" ref="BE300:BO300" si="132">BE299*(180/PI())</f>
        <v>-0.64293971525300031</v>
      </c>
      <c r="BF300" s="437">
        <f t="shared" si="132"/>
        <v>1.0842114107453424</v>
      </c>
      <c r="BG300" s="437">
        <f t="shared" si="132"/>
        <v>1.8123969320817372</v>
      </c>
      <c r="BH300" s="437">
        <f t="shared" si="132"/>
        <v>2.0680262354256991</v>
      </c>
      <c r="BI300" s="437">
        <f t="shared" si="132"/>
        <v>1.9265574148241051</v>
      </c>
      <c r="BJ300" s="437">
        <f t="shared" si="132"/>
        <v>1.641325287560075</v>
      </c>
      <c r="BK300" s="437">
        <f t="shared" si="132"/>
        <v>1.4700155225047511</v>
      </c>
      <c r="BL300" s="437">
        <f t="shared" si="132"/>
        <v>1.2885288943823541</v>
      </c>
      <c r="BM300" s="437">
        <f t="shared" si="132"/>
        <v>0.91427137383477608</v>
      </c>
      <c r="BN300" s="437">
        <f t="shared" si="132"/>
        <v>0.72918338218358181</v>
      </c>
      <c r="BO300" s="437">
        <f t="shared" si="132"/>
        <v>0.63857366577135155</v>
      </c>
      <c r="BP300" s="231"/>
      <c r="BQ300" s="231"/>
      <c r="BR300" s="231"/>
      <c r="BS300" s="433"/>
    </row>
    <row r="301" spans="51:71" ht="15.6">
      <c r="AY301" s="235" t="s">
        <v>1393</v>
      </c>
      <c r="AZ301" s="231" t="s">
        <v>658</v>
      </c>
      <c r="BA301" s="227">
        <f>PI()*BA299*BA297</f>
        <v>449.85421301897316</v>
      </c>
      <c r="BB301" s="231"/>
      <c r="BC301" s="223" t="s">
        <v>1394</v>
      </c>
      <c r="BD301" s="223" t="s">
        <v>1380</v>
      </c>
      <c r="BE301" s="437">
        <f t="shared" ref="BE301:BO301" si="133">BE294-BE292-BE299</f>
        <v>-2.4632354422636338E-2</v>
      </c>
      <c r="BF301" s="437">
        <f t="shared" si="133"/>
        <v>5.6161212566218199E-2</v>
      </c>
      <c r="BG301" s="437">
        <f t="shared" si="133"/>
        <v>0.11139425299357864</v>
      </c>
      <c r="BH301" s="437">
        <f t="shared" si="133"/>
        <v>0.14108105232001522</v>
      </c>
      <c r="BI301" s="437">
        <f t="shared" si="133"/>
        <v>0.15274630192248762</v>
      </c>
      <c r="BJ301" s="437">
        <f t="shared" si="133"/>
        <v>0.14876621144821589</v>
      </c>
      <c r="BK301" s="437">
        <f t="shared" si="133"/>
        <v>0.14205081744987119</v>
      </c>
      <c r="BL301" s="437">
        <f t="shared" si="133"/>
        <v>0.13267327915117727</v>
      </c>
      <c r="BM301" s="437">
        <f t="shared" si="133"/>
        <v>0.10707793345963484</v>
      </c>
      <c r="BN301" s="437">
        <f t="shared" si="133"/>
        <v>9.1323028407939072E-2</v>
      </c>
      <c r="BO301" s="437">
        <f t="shared" si="133"/>
        <v>8.2789070855274621E-2</v>
      </c>
      <c r="BP301" s="231"/>
      <c r="BQ301" s="231"/>
      <c r="BR301" s="231"/>
      <c r="BS301" s="433"/>
    </row>
    <row r="302" spans="51:71">
      <c r="AY302" s="235" t="s">
        <v>1395</v>
      </c>
      <c r="AZ302" s="231" t="s">
        <v>87</v>
      </c>
      <c r="BA302" s="231">
        <f>BA301/BA290</f>
        <v>0.40787291982526835</v>
      </c>
      <c r="BB302" s="231"/>
      <c r="BC302" s="223" t="s">
        <v>1394</v>
      </c>
      <c r="BD302" s="223" t="s">
        <v>165</v>
      </c>
      <c r="BE302" s="437">
        <f t="shared" ref="BE302:BO302" si="134">BE301*(180/PI())</f>
        <v>-1.4113299478874699</v>
      </c>
      <c r="BF302" s="437">
        <f t="shared" si="134"/>
        <v>3.2178004523813861</v>
      </c>
      <c r="BG302" s="437">
        <f t="shared" si="134"/>
        <v>6.3824205585445917</v>
      </c>
      <c r="BH302" s="437">
        <f t="shared" si="134"/>
        <v>8.0833488672012237</v>
      </c>
      <c r="BI302" s="437">
        <f t="shared" si="134"/>
        <v>8.7517184363895524</v>
      </c>
      <c r="BJ302" s="437">
        <f t="shared" si="134"/>
        <v>8.5236760501335613</v>
      </c>
      <c r="BK302" s="437">
        <f t="shared" si="134"/>
        <v>8.1389123162609263</v>
      </c>
      <c r="BL302" s="437">
        <f t="shared" si="134"/>
        <v>7.6016189495234743</v>
      </c>
      <c r="BM302" s="437">
        <f t="shared" si="134"/>
        <v>6.1351136662197385</v>
      </c>
      <c r="BN302" s="437">
        <f t="shared" si="134"/>
        <v>5.2324241001282301</v>
      </c>
      <c r="BO302" s="437">
        <f t="shared" si="134"/>
        <v>4.7434643498167643</v>
      </c>
      <c r="BP302" s="231"/>
      <c r="BQ302" s="231"/>
      <c r="BR302" s="231"/>
      <c r="BS302" s="433"/>
    </row>
    <row r="303" spans="51:71" ht="15.6">
      <c r="AY303" s="235" t="s">
        <v>1396</v>
      </c>
      <c r="AZ303" s="231" t="s">
        <v>1397</v>
      </c>
      <c r="BA303" s="248">
        <f>60*BA294/(BA298*BA297)</f>
        <v>1.1569233883702517</v>
      </c>
      <c r="BB303" s="231"/>
      <c r="BC303" s="223" t="s">
        <v>1398</v>
      </c>
      <c r="BD303" s="223" t="s">
        <v>87</v>
      </c>
      <c r="BE303" s="437">
        <f t="shared" ref="BE303:BO303" si="135">$BA305*BE301</f>
        <v>-0.14779412653581803</v>
      </c>
      <c r="BF303" s="437">
        <f t="shared" si="135"/>
        <v>0.3369672753973092</v>
      </c>
      <c r="BG303" s="437">
        <f t="shared" si="135"/>
        <v>0.66836551796147181</v>
      </c>
      <c r="BH303" s="437">
        <f t="shared" si="135"/>
        <v>0.84648631392009133</v>
      </c>
      <c r="BI303" s="437">
        <f t="shared" si="135"/>
        <v>0.91647781153492569</v>
      </c>
      <c r="BJ303" s="437">
        <f t="shared" si="135"/>
        <v>0.89259726868929534</v>
      </c>
      <c r="BK303" s="437">
        <f t="shared" si="135"/>
        <v>0.85230490469922715</v>
      </c>
      <c r="BL303" s="437">
        <f t="shared" si="135"/>
        <v>0.79603967490706362</v>
      </c>
      <c r="BM303" s="437">
        <f t="shared" si="135"/>
        <v>0.64246760075780907</v>
      </c>
      <c r="BN303" s="437">
        <f t="shared" si="135"/>
        <v>0.54793817044763449</v>
      </c>
      <c r="BO303" s="437">
        <f t="shared" si="135"/>
        <v>0.49673442513164773</v>
      </c>
      <c r="BP303" s="231"/>
      <c r="BQ303" s="231"/>
      <c r="BR303" s="231"/>
      <c r="BS303" s="433"/>
    </row>
    <row r="304" spans="51:71" ht="15.6">
      <c r="AY304" s="235" t="s">
        <v>1399</v>
      </c>
      <c r="AZ304" s="231" t="s">
        <v>87</v>
      </c>
      <c r="BA304" s="248">
        <f>BA303/PI()</f>
        <v>0.36826015207550028</v>
      </c>
      <c r="BB304" s="231"/>
      <c r="BC304" s="223" t="s">
        <v>1400</v>
      </c>
      <c r="BD304" s="223" t="s">
        <v>87</v>
      </c>
      <c r="BE304" s="248">
        <f t="shared" ref="BE304:BO304" si="136">$BA306+($BA307*((BE303-$BA308)^2))</f>
        <v>6.8868134179923086E-3</v>
      </c>
      <c r="BF304" s="248">
        <f t="shared" si="136"/>
        <v>6.3495676206949325E-3</v>
      </c>
      <c r="BG304" s="248">
        <f t="shared" si="136"/>
        <v>8.6870281021146495E-3</v>
      </c>
      <c r="BH304" s="248">
        <f t="shared" si="136"/>
        <v>1.085093185477996E-2</v>
      </c>
      <c r="BI304" s="248">
        <f t="shared" si="136"/>
        <v>1.187488235575369E-2</v>
      </c>
      <c r="BJ304" s="248">
        <f t="shared" si="136"/>
        <v>1.1514507034648016E-2</v>
      </c>
      <c r="BK304" s="248">
        <f t="shared" si="136"/>
        <v>1.0932321791645905E-2</v>
      </c>
      <c r="BL304" s="248">
        <f t="shared" si="136"/>
        <v>1.0173672615540245E-2</v>
      </c>
      <c r="BM304" s="248">
        <f t="shared" si="136"/>
        <v>8.4252433779615291E-3</v>
      </c>
      <c r="BN304" s="248">
        <f t="shared" si="136"/>
        <v>7.5835478749921061E-3</v>
      </c>
      <c r="BO304" s="248">
        <f t="shared" si="136"/>
        <v>7.2022476157137423E-3</v>
      </c>
      <c r="BP304" s="231"/>
      <c r="BQ304" s="231"/>
      <c r="BR304" s="231"/>
      <c r="BS304" s="433"/>
    </row>
    <row r="305" spans="51:71" ht="15.6">
      <c r="AY305" s="235" t="s">
        <v>1401</v>
      </c>
      <c r="AZ305" s="231" t="s">
        <v>1402</v>
      </c>
      <c r="BA305" s="534">
        <f>'7b'!BE27</f>
        <v>6</v>
      </c>
      <c r="BB305" s="231"/>
      <c r="BC305" s="223" t="s">
        <v>1403</v>
      </c>
      <c r="BD305" s="223" t="s">
        <v>87</v>
      </c>
      <c r="BE305" s="227">
        <f t="shared" ref="BE305:BO305" si="137">BE303/BE304</f>
        <v>-21.460451672713386</v>
      </c>
      <c r="BF305" s="227">
        <f t="shared" si="137"/>
        <v>53.069326216645536</v>
      </c>
      <c r="BG305" s="227">
        <f t="shared" si="137"/>
        <v>76.938339568485361</v>
      </c>
      <c r="BH305" s="227">
        <f t="shared" si="137"/>
        <v>78.010471842305819</v>
      </c>
      <c r="BI305" s="227">
        <f t="shared" si="137"/>
        <v>77.177843458033777</v>
      </c>
      <c r="BJ305" s="227">
        <f t="shared" si="137"/>
        <v>77.51936457230893</v>
      </c>
      <c r="BK305" s="227">
        <f t="shared" si="137"/>
        <v>77.961929857436914</v>
      </c>
      <c r="BL305" s="227">
        <f t="shared" si="137"/>
        <v>78.245064981854838</v>
      </c>
      <c r="BM305" s="227">
        <f t="shared" si="137"/>
        <v>76.255079163452351</v>
      </c>
      <c r="BN305" s="227">
        <f t="shared" si="137"/>
        <v>72.253538776295372</v>
      </c>
      <c r="BO305" s="227">
        <f t="shared" si="137"/>
        <v>68.969362292943245</v>
      </c>
      <c r="BP305" s="231"/>
      <c r="BQ305" s="231"/>
      <c r="BR305" s="231"/>
      <c r="BS305" s="433"/>
    </row>
    <row r="306" spans="51:71" ht="15.6">
      <c r="AY306" s="235" t="s">
        <v>86</v>
      </c>
      <c r="AZ306" s="231"/>
      <c r="BA306" s="534">
        <f>'7b'!BE28</f>
        <v>6.0000000000000001E-3</v>
      </c>
      <c r="BB306" s="231"/>
      <c r="BC306" s="223" t="s">
        <v>1404</v>
      </c>
      <c r="BD306" s="223" t="s">
        <v>87</v>
      </c>
      <c r="BE306" s="244">
        <f t="shared" ref="BE306:BO306" si="138">(PI()/8)*((($BA$303^2)+(PI()^2)*(BE$284^2))*BE$289*((BE$303*COS(BE$292+BE$299))-(BE$304*SIN(BE$292+BE$299))))</f>
        <v>-5.6332787454064434E-3</v>
      </c>
      <c r="BF306" s="244">
        <f t="shared" si="138"/>
        <v>1.8820243439752801E-2</v>
      </c>
      <c r="BG306" s="244">
        <f t="shared" si="138"/>
        <v>5.7265983567226203E-2</v>
      </c>
      <c r="BH306" s="244">
        <f t="shared" si="138"/>
        <v>0.10406978539810303</v>
      </c>
      <c r="BI306" s="244">
        <f t="shared" si="138"/>
        <v>0.14147778951325019</v>
      </c>
      <c r="BJ306" s="244">
        <f t="shared" si="138"/>
        <v>0.16518000468123073</v>
      </c>
      <c r="BK306" s="244">
        <f t="shared" si="138"/>
        <v>0.17000874490689555</v>
      </c>
      <c r="BL306" s="244">
        <f t="shared" si="138"/>
        <v>0.16948249854483838</v>
      </c>
      <c r="BM306" s="244">
        <f t="shared" si="138"/>
        <v>0.15146489101159236</v>
      </c>
      <c r="BN306" s="244">
        <f t="shared" si="138"/>
        <v>0.13402523896121027</v>
      </c>
      <c r="BO306" s="244">
        <f t="shared" si="138"/>
        <v>0.1233123692368459</v>
      </c>
      <c r="BP306" s="231"/>
      <c r="BQ306" s="231"/>
      <c r="BR306" s="231"/>
      <c r="BS306" s="433"/>
    </row>
    <row r="307" spans="51:71" ht="15.6">
      <c r="AY307" s="235" t="s">
        <v>1405</v>
      </c>
      <c r="AZ307" s="231"/>
      <c r="BA307" s="534">
        <f>'7b'!BE29</f>
        <v>0.01</v>
      </c>
      <c r="BB307" s="231"/>
      <c r="BC307" s="223" t="s">
        <v>1406</v>
      </c>
      <c r="BD307" s="231" t="s">
        <v>87</v>
      </c>
      <c r="BE307" s="244">
        <f t="shared" ref="BE307:BO307" si="139">(PI()/8)*(PI()*BE284*(($BA$303^2)+(PI()^2)*(BE$284^2))*BE$289*((BE$303*SIN(BE$292+BE$299))+(BE$304*COS(BE$292+BE$299))))</f>
        <v>-5.7048438872558107E-3</v>
      </c>
      <c r="BF307" s="244">
        <f t="shared" si="139"/>
        <v>2.3535282754477933E-2</v>
      </c>
      <c r="BG307" s="244">
        <f t="shared" si="139"/>
        <v>7.2444667270137916E-2</v>
      </c>
      <c r="BH307" s="244">
        <f t="shared" si="139"/>
        <v>0.13320541669937902</v>
      </c>
      <c r="BI307" s="244">
        <f t="shared" si="139"/>
        <v>0.18129721378665131</v>
      </c>
      <c r="BJ307" s="244">
        <f t="shared" si="139"/>
        <v>0.21081109089550715</v>
      </c>
      <c r="BK307" s="244">
        <f t="shared" si="139"/>
        <v>0.21619702831186</v>
      </c>
      <c r="BL307" s="244">
        <f t="shared" si="139"/>
        <v>0.21459280499500574</v>
      </c>
      <c r="BM307" s="244">
        <f t="shared" si="139"/>
        <v>0.18994630976401461</v>
      </c>
      <c r="BN307" s="244">
        <f t="shared" si="139"/>
        <v>0.16741021228778125</v>
      </c>
      <c r="BO307" s="244">
        <f t="shared" si="139"/>
        <v>0.15384127942490183</v>
      </c>
      <c r="BP307" s="231"/>
      <c r="BQ307" s="231"/>
      <c r="BR307" s="231"/>
      <c r="BS307" s="433"/>
    </row>
    <row r="308" spans="51:71">
      <c r="AY308" s="235" t="s">
        <v>1407</v>
      </c>
      <c r="AZ308" s="231"/>
      <c r="BA308" s="534">
        <f>'7b'!BE30</f>
        <v>0.15</v>
      </c>
      <c r="BB308" s="231"/>
      <c r="BC308" s="231"/>
      <c r="BD308" s="231"/>
      <c r="BE308" s="231"/>
      <c r="BF308" s="244">
        <f>0.5*(BF284-BE284)*(BF306+BE306)</f>
        <v>6.5934823471731766E-4</v>
      </c>
      <c r="BG308" s="244">
        <f>0.5*(BG284-BF284)*(BG306+BF306)</f>
        <v>3.8043113503489516E-3</v>
      </c>
      <c r="BH308" s="244">
        <f>0.5*(BH284-BG284)*(BH306+BG306)</f>
        <v>8.0667884482664605E-3</v>
      </c>
      <c r="BI308" s="244">
        <f>0.5*(BI284-BH284)*(BI306+BH306)</f>
        <v>1.2277378745567658E-2</v>
      </c>
      <c r="BJ308" s="244">
        <f>0.5*(BJ284-BF284)*(BJ306+BF306)</f>
        <v>3.6800049624196703E-2</v>
      </c>
      <c r="BK308" s="244">
        <f>0.5*(BK284-BJ284)*(BK306+BJ306)</f>
        <v>8.3797187397031646E-3</v>
      </c>
      <c r="BL308" s="244">
        <f>0.5*(BL284-BK284)*(BL306+BK306)</f>
        <v>8.4872810862933554E-3</v>
      </c>
      <c r="BM308" s="244">
        <f>0.5*(BM284-BK284)*(BM306+BK306)</f>
        <v>2.4110522693886593E-2</v>
      </c>
      <c r="BN308" s="244">
        <f>0.5*(BN284-BM284)*(BN306+BM306)</f>
        <v>7.1372532493200564E-3</v>
      </c>
      <c r="BO308" s="244">
        <f>0.5*(BO284-BN284)*(BO306+BN306)</f>
        <v>3.2167201024757052E-3</v>
      </c>
      <c r="BP308" s="231"/>
      <c r="BQ308" s="231"/>
      <c r="BR308" s="231"/>
      <c r="BS308" s="433"/>
    </row>
    <row r="309" spans="51:71">
      <c r="AY309" s="246" t="s">
        <v>1408</v>
      </c>
      <c r="AZ309" s="223" t="s">
        <v>165</v>
      </c>
      <c r="BA309" s="534">
        <f>'7b'!BE31</f>
        <v>-43.052736791726751</v>
      </c>
      <c r="BB309" s="231"/>
      <c r="BC309" s="231"/>
      <c r="BD309" s="231"/>
      <c r="BE309" s="231"/>
      <c r="BF309" s="244">
        <f>0.5*(BF284-BE284)*(BF307+BE307)</f>
        <v>8.9152194336110586E-4</v>
      </c>
      <c r="BG309" s="244">
        <f>0.5*(BG284-BF284)*(BG307+BF307)</f>
        <v>4.798997501230794E-3</v>
      </c>
      <c r="BH309" s="244">
        <f>0.5*(BH284-BG284)*(BH307+BG307)</f>
        <v>1.0282504198475845E-2</v>
      </c>
      <c r="BI309" s="244">
        <f>0.5*(BI284-BH284)*(BI307+BH307)</f>
        <v>1.5725131524301512E-2</v>
      </c>
      <c r="BJ309" s="244">
        <f>0.5*(BJ284-BF284)*(BJ307+BF307)</f>
        <v>4.6869274729997017E-2</v>
      </c>
      <c r="BK309" s="244">
        <f>0.5*(BK284-BJ284)*(BK307+BJ307)</f>
        <v>1.0675202980184187E-2</v>
      </c>
      <c r="BL309" s="244">
        <f>0.5*(BL284-BK284)*(BL307+BK307)</f>
        <v>1.0769745832671653E-2</v>
      </c>
      <c r="BM309" s="244">
        <f>0.5*(BM284-BK284)*(BM307+BK307)</f>
        <v>3.04607503556906E-2</v>
      </c>
      <c r="BN309" s="244">
        <f>0.5*(BN284-BM284)*(BN307+BM307)</f>
        <v>8.9339130512948849E-3</v>
      </c>
      <c r="BO309" s="244">
        <f>0.5*(BO284-BN284)*(BO307+BN307)</f>
        <v>4.0156436464085423E-3</v>
      </c>
      <c r="BP309" s="231"/>
      <c r="BQ309" s="231"/>
      <c r="BR309" s="231"/>
      <c r="BS309" s="433"/>
    </row>
    <row r="310" spans="51:71" ht="13.8" thickBot="1">
      <c r="AY310" s="235"/>
      <c r="AZ310" s="231"/>
      <c r="BA310" s="231"/>
      <c r="BB310" s="231"/>
      <c r="BC310" s="231"/>
      <c r="BD310" s="231"/>
      <c r="BE310" s="231"/>
      <c r="BF310" s="231"/>
      <c r="BG310" s="231"/>
      <c r="BH310" s="231"/>
      <c r="BI310" s="231"/>
      <c r="BJ310" s="231"/>
      <c r="BK310" s="231"/>
      <c r="BL310" s="231"/>
      <c r="BM310" s="231"/>
      <c r="BN310" s="231"/>
      <c r="BO310" s="231"/>
      <c r="BP310" s="231"/>
      <c r="BQ310" s="231"/>
      <c r="BR310" s="231"/>
      <c r="BS310" s="433"/>
    </row>
    <row r="311" spans="51:71" ht="17.399999999999999">
      <c r="AY311" s="401" t="s">
        <v>1409</v>
      </c>
      <c r="AZ311" s="402"/>
      <c r="BA311" s="403"/>
      <c r="BB311" s="231"/>
      <c r="BC311" s="231"/>
      <c r="BD311" s="231"/>
      <c r="BE311" s="231"/>
      <c r="BF311" s="231"/>
      <c r="BG311" s="231"/>
      <c r="BH311" s="231"/>
      <c r="BI311" s="231"/>
      <c r="BJ311" s="231"/>
      <c r="BK311" s="231"/>
      <c r="BL311" s="231"/>
      <c r="BM311" s="231"/>
      <c r="BN311" s="231"/>
      <c r="BO311" s="231"/>
      <c r="BP311" s="231"/>
      <c r="BQ311" s="231"/>
      <c r="BR311" s="231"/>
      <c r="BS311" s="433"/>
    </row>
    <row r="312" spans="51:71" ht="15.6">
      <c r="AY312" s="404" t="s">
        <v>641</v>
      </c>
      <c r="AZ312" s="405" t="s">
        <v>90</v>
      </c>
      <c r="BA312" s="406" t="s">
        <v>91</v>
      </c>
      <c r="BB312" s="231"/>
      <c r="BC312" s="231"/>
      <c r="BD312" s="231"/>
      <c r="BE312" s="231"/>
      <c r="BF312" s="231"/>
      <c r="BG312" s="231"/>
      <c r="BH312" s="231"/>
      <c r="BI312" s="231"/>
      <c r="BJ312" s="231"/>
      <c r="BK312" s="231"/>
      <c r="BL312" s="231"/>
      <c r="BM312" s="231"/>
      <c r="BN312" s="231"/>
      <c r="BO312" s="231"/>
      <c r="BP312" s="231"/>
      <c r="BQ312" s="1045"/>
      <c r="BR312" s="1046"/>
      <c r="BS312" s="1047"/>
    </row>
    <row r="313" spans="51:71">
      <c r="AY313" s="216" t="s">
        <v>1384</v>
      </c>
      <c r="AZ313" s="217" t="s">
        <v>87</v>
      </c>
      <c r="BA313" s="218">
        <f>BA296</f>
        <v>2</v>
      </c>
      <c r="BB313" s="231"/>
      <c r="BC313" s="231"/>
      <c r="BD313" s="231"/>
      <c r="BE313" s="231"/>
      <c r="BF313" s="231"/>
      <c r="BG313" s="231"/>
      <c r="BH313" s="231"/>
      <c r="BI313" s="231"/>
      <c r="BJ313" s="231"/>
      <c r="BK313" s="231"/>
      <c r="BL313" s="231"/>
      <c r="BM313" s="231"/>
      <c r="BN313" s="231"/>
      <c r="BO313" s="231"/>
      <c r="BP313" s="231"/>
      <c r="BQ313" s="1048"/>
      <c r="BR313" s="1046"/>
      <c r="BS313" s="1047"/>
    </row>
    <row r="314" spans="51:71">
      <c r="AY314" s="216" t="s">
        <v>1385</v>
      </c>
      <c r="AZ314" s="217" t="s">
        <v>188</v>
      </c>
      <c r="BA314" s="218">
        <f>BA297</f>
        <v>6</v>
      </c>
      <c r="BB314" s="231"/>
      <c r="BC314" s="231"/>
      <c r="BD314" s="231"/>
      <c r="BE314" s="231"/>
      <c r="BF314" s="231"/>
      <c r="BG314" s="231"/>
      <c r="BH314" s="231"/>
      <c r="BI314" s="231"/>
      <c r="BJ314" s="231"/>
      <c r="BK314" s="231"/>
      <c r="BL314" s="231"/>
      <c r="BM314" s="231"/>
      <c r="BN314" s="231"/>
      <c r="BO314" s="231"/>
      <c r="BP314" s="231"/>
      <c r="BQ314" s="1048"/>
      <c r="BR314" s="239"/>
      <c r="BS314" s="693"/>
    </row>
    <row r="315" spans="51:71">
      <c r="AY315" s="216" t="s">
        <v>1386</v>
      </c>
      <c r="AZ315" s="217" t="s">
        <v>1387</v>
      </c>
      <c r="BA315" s="218">
        <f>BA298</f>
        <v>1431.930433453681</v>
      </c>
      <c r="BB315" s="231"/>
      <c r="BC315" s="231"/>
      <c r="BD315" s="231"/>
      <c r="BE315" s="231"/>
      <c r="BF315" s="231"/>
      <c r="BG315" s="231"/>
      <c r="BH315" s="231"/>
      <c r="BI315" s="231"/>
      <c r="BJ315" s="231"/>
      <c r="BK315" s="231"/>
      <c r="BL315" s="231"/>
      <c r="BM315" s="231"/>
      <c r="BN315" s="231"/>
      <c r="BO315" s="231"/>
      <c r="BP315" s="231"/>
      <c r="BQ315" s="1048"/>
      <c r="BR315" s="239"/>
      <c r="BS315" s="693"/>
    </row>
    <row r="316" spans="51:71" ht="15.6">
      <c r="AY316" s="129" t="s">
        <v>1410</v>
      </c>
      <c r="AZ316" s="122" t="s">
        <v>165</v>
      </c>
      <c r="BA316" s="408">
        <f>BK295</f>
        <v>35.760591041524179</v>
      </c>
      <c r="BB316" s="231"/>
      <c r="BC316" s="231"/>
      <c r="BD316" s="231"/>
      <c r="BE316" s="231"/>
      <c r="BF316" s="231"/>
      <c r="BG316" s="231"/>
      <c r="BH316" s="231"/>
      <c r="BI316" s="231"/>
      <c r="BJ316" s="231"/>
      <c r="BK316" s="231"/>
      <c r="BL316" s="231"/>
      <c r="BM316" s="231"/>
      <c r="BN316" s="231"/>
      <c r="BO316" s="231"/>
      <c r="BP316" s="231"/>
      <c r="BQ316" s="1048"/>
      <c r="BR316" s="239"/>
      <c r="BS316" s="693"/>
    </row>
    <row r="317" spans="51:71">
      <c r="AY317" s="129" t="s">
        <v>1408</v>
      </c>
      <c r="AZ317" s="122" t="s">
        <v>165</v>
      </c>
      <c r="BA317" s="408">
        <f>BA309</f>
        <v>-43.052736791726751</v>
      </c>
      <c r="BB317" s="231"/>
      <c r="BC317" s="231"/>
      <c r="BD317" s="231"/>
      <c r="BE317" s="231"/>
      <c r="BF317" s="231"/>
      <c r="BG317" s="231"/>
      <c r="BH317" s="231"/>
      <c r="BI317" s="231"/>
      <c r="BJ317" s="231"/>
      <c r="BK317" s="231"/>
      <c r="BL317" s="231"/>
      <c r="BM317" s="231"/>
      <c r="BN317" s="231"/>
      <c r="BO317" s="231"/>
      <c r="BP317" s="231"/>
      <c r="BQ317" s="1048"/>
      <c r="BR317" s="239"/>
      <c r="BS317" s="693"/>
    </row>
    <row r="318" spans="51:71">
      <c r="AY318" s="129" t="s">
        <v>1411</v>
      </c>
      <c r="AZ318" s="122" t="s">
        <v>619</v>
      </c>
      <c r="BA318" s="408">
        <f>BA327/((PI()/4)*(BA297^2))</f>
        <v>6.3189981651569473</v>
      </c>
      <c r="BB318" s="231"/>
      <c r="BC318" s="231"/>
      <c r="BD318" s="231"/>
      <c r="BE318" s="231"/>
      <c r="BF318" s="231"/>
      <c r="BG318" s="231"/>
      <c r="BH318" s="231"/>
      <c r="BI318" s="231"/>
      <c r="BJ318" s="231"/>
      <c r="BK318" s="231"/>
      <c r="BL318" s="231"/>
      <c r="BM318" s="231"/>
      <c r="BN318" s="231"/>
      <c r="BO318" s="231"/>
      <c r="BP318" s="231"/>
      <c r="BQ318" s="1048"/>
      <c r="BR318" s="239"/>
      <c r="BS318" s="693"/>
    </row>
    <row r="319" spans="51:71">
      <c r="AY319" s="129" t="s">
        <v>1412</v>
      </c>
      <c r="AZ319" s="122" t="s">
        <v>87</v>
      </c>
      <c r="BA319" s="411">
        <f>BA296*BK286/(PI()*(BA297/2))</f>
        <v>8.3765759522050176E-2</v>
      </c>
      <c r="BB319" s="231"/>
      <c r="BC319" s="231"/>
      <c r="BD319" s="231"/>
      <c r="BE319" s="231"/>
      <c r="BF319" s="227"/>
      <c r="BG319" s="1049"/>
      <c r="BH319" s="231"/>
      <c r="BI319" s="231"/>
      <c r="BJ319" s="231"/>
      <c r="BK319" s="231"/>
      <c r="BL319" s="231"/>
      <c r="BM319" s="231"/>
      <c r="BN319" s="231"/>
      <c r="BO319" s="231"/>
      <c r="BP319" s="231"/>
      <c r="BQ319" s="1048"/>
      <c r="BR319" s="239"/>
      <c r="BS319" s="693"/>
    </row>
    <row r="320" spans="51:71">
      <c r="AY320" s="216" t="s">
        <v>33</v>
      </c>
      <c r="AZ320" s="217" t="s">
        <v>188</v>
      </c>
      <c r="BA320" s="413">
        <f>BA285</f>
        <v>3500</v>
      </c>
      <c r="BB320" s="231"/>
      <c r="BC320" s="231"/>
      <c r="BD320" s="231"/>
      <c r="BE320" s="231"/>
      <c r="BF320" s="451"/>
      <c r="BG320" s="1049"/>
      <c r="BH320" s="231"/>
      <c r="BI320" s="231"/>
      <c r="BJ320" s="231"/>
      <c r="BK320" s="231"/>
      <c r="BL320" s="231"/>
      <c r="BM320" s="231"/>
      <c r="BN320" s="231"/>
      <c r="BO320" s="231"/>
      <c r="BP320" s="231"/>
      <c r="BQ320" s="1048"/>
      <c r="BR320" s="239"/>
      <c r="BS320" s="693"/>
    </row>
    <row r="321" spans="51:71">
      <c r="AY321" s="216" t="s">
        <v>1366</v>
      </c>
      <c r="AZ321" s="217" t="s">
        <v>648</v>
      </c>
      <c r="BA321" s="218">
        <f>BA286</f>
        <v>0</v>
      </c>
      <c r="BB321" s="231"/>
      <c r="BC321" s="231"/>
      <c r="BD321" s="231"/>
      <c r="BE321" s="231"/>
      <c r="BF321" s="231"/>
      <c r="BG321" s="231"/>
      <c r="BH321" s="231"/>
      <c r="BI321" s="231"/>
      <c r="BJ321" s="231"/>
      <c r="BK321" s="231"/>
      <c r="BL321" s="231"/>
      <c r="BM321" s="231"/>
      <c r="BN321" s="231"/>
      <c r="BO321" s="231"/>
      <c r="BP321" s="231"/>
      <c r="BQ321" s="1048"/>
      <c r="BR321" s="239"/>
      <c r="BS321" s="693"/>
    </row>
    <row r="322" spans="51:71">
      <c r="AY322" s="216" t="s">
        <v>1381</v>
      </c>
      <c r="AZ322" s="122" t="s">
        <v>1026</v>
      </c>
      <c r="BA322" s="218">
        <f>BA293</f>
        <v>98.083706866886658</v>
      </c>
      <c r="BB322" s="231"/>
      <c r="BC322" s="231"/>
      <c r="BD322" s="231"/>
      <c r="BE322" s="231"/>
      <c r="BF322" s="231"/>
      <c r="BG322" s="231"/>
      <c r="BH322" s="231"/>
      <c r="BI322" s="231"/>
      <c r="BJ322" s="231"/>
      <c r="BK322" s="231"/>
      <c r="BL322" s="231"/>
      <c r="BM322" s="231"/>
      <c r="BN322" s="231"/>
      <c r="BO322" s="231"/>
      <c r="BP322" s="231"/>
      <c r="BQ322" s="1048"/>
      <c r="BR322" s="239"/>
      <c r="BS322" s="693"/>
    </row>
    <row r="323" spans="51:71">
      <c r="AY323" s="129" t="s">
        <v>1413</v>
      </c>
      <c r="AZ323" s="122" t="s">
        <v>87</v>
      </c>
      <c r="BA323" s="411">
        <f>SUM(BF308:BO308)</f>
        <v>0.11293937227477598</v>
      </c>
      <c r="BB323" s="231"/>
      <c r="BC323" s="231"/>
      <c r="BD323" s="231"/>
      <c r="BE323" s="231"/>
      <c r="BF323" s="231"/>
      <c r="BG323" s="231"/>
      <c r="BH323" s="231"/>
      <c r="BI323" s="231"/>
      <c r="BJ323" s="231"/>
      <c r="BK323" s="231"/>
      <c r="BL323" s="231"/>
      <c r="BM323" s="231"/>
      <c r="BN323" s="231"/>
      <c r="BO323" s="231"/>
      <c r="BP323" s="231"/>
      <c r="BQ323" s="1048"/>
      <c r="BR323" s="239"/>
      <c r="BS323" s="693"/>
    </row>
    <row r="324" spans="51:71">
      <c r="AY324" s="129" t="s">
        <v>1414</v>
      </c>
      <c r="AZ324" s="122" t="s">
        <v>87</v>
      </c>
      <c r="BA324" s="411">
        <f>SUM(BF309:BO309)</f>
        <v>0.14342268576361614</v>
      </c>
      <c r="BB324" s="231"/>
      <c r="BC324" s="231"/>
      <c r="BD324" s="231"/>
      <c r="BE324" s="231"/>
      <c r="BF324" s="248"/>
      <c r="BG324" s="1049"/>
      <c r="BH324" s="231"/>
      <c r="BI324" s="231"/>
      <c r="BJ324" s="231"/>
      <c r="BK324" s="231"/>
      <c r="BL324" s="231"/>
      <c r="BM324" s="231"/>
      <c r="BN324" s="231"/>
      <c r="BO324" s="231"/>
      <c r="BP324" s="231"/>
      <c r="BQ324" s="1048"/>
      <c r="BR324" s="239"/>
      <c r="BS324" s="693"/>
    </row>
    <row r="325" spans="51:71">
      <c r="AY325" s="415" t="s">
        <v>1415</v>
      </c>
      <c r="AZ325" s="122" t="s">
        <v>87</v>
      </c>
      <c r="BA325" s="411">
        <f>BA323*BA303/BA324</f>
        <v>0.91102882753078263</v>
      </c>
      <c r="BB325" s="231"/>
      <c r="BC325" s="231"/>
      <c r="BD325" s="231"/>
      <c r="BE325" s="231"/>
      <c r="BF325" s="231"/>
      <c r="BG325" s="231"/>
      <c r="BH325" s="231"/>
      <c r="BI325" s="231"/>
      <c r="BJ325" s="231"/>
      <c r="BK325" s="231"/>
      <c r="BL325" s="231"/>
      <c r="BM325" s="231"/>
      <c r="BN325" s="231"/>
      <c r="BO325" s="231"/>
      <c r="BP325" s="231"/>
      <c r="BQ325" s="1048"/>
      <c r="BR325" s="239"/>
      <c r="BS325" s="693"/>
    </row>
    <row r="326" spans="51:71">
      <c r="AY326" s="129" t="s">
        <v>70</v>
      </c>
      <c r="AZ326" s="122" t="s">
        <v>1416</v>
      </c>
      <c r="BA326" s="413">
        <f>BA324*BA292*(BA299^3)*(BA297^5)/550</f>
        <v>59.070727928361592</v>
      </c>
      <c r="BB326" s="231"/>
      <c r="BC326" s="231"/>
      <c r="BD326" s="231"/>
      <c r="BE326" s="231"/>
      <c r="BF326" s="231"/>
      <c r="BG326" s="231"/>
      <c r="BH326" s="231"/>
      <c r="BI326" s="231"/>
      <c r="BJ326" s="231"/>
      <c r="BK326" s="231"/>
      <c r="BL326" s="231"/>
      <c r="BM326" s="231"/>
      <c r="BN326" s="231"/>
      <c r="BO326" s="231"/>
      <c r="BP326" s="231"/>
      <c r="BQ326" s="1048"/>
      <c r="BR326" s="239"/>
      <c r="BS326" s="693"/>
    </row>
    <row r="327" spans="51:71" ht="13.8" thickBot="1">
      <c r="AY327" s="416" t="s">
        <v>69</v>
      </c>
      <c r="AZ327" s="137" t="s">
        <v>436</v>
      </c>
      <c r="BA327" s="226">
        <f>BA323*BA292*(BA299^2)*(BA297^4)</f>
        <v>178.66546392334004</v>
      </c>
      <c r="BB327" s="231"/>
      <c r="BC327" s="231"/>
      <c r="BD327" s="231"/>
      <c r="BE327" s="231"/>
      <c r="BF327" s="227"/>
      <c r="BG327" s="1049"/>
      <c r="BH327" s="231"/>
      <c r="BI327" s="231"/>
      <c r="BJ327" s="231"/>
      <c r="BK327" s="231"/>
      <c r="BL327" s="231"/>
      <c r="BM327" s="231"/>
      <c r="BN327" s="231"/>
      <c r="BO327" s="231"/>
      <c r="BP327" s="231"/>
      <c r="BQ327" s="1048"/>
      <c r="BR327" s="239"/>
      <c r="BS327" s="693"/>
    </row>
    <row r="328" spans="51:71">
      <c r="AY328" s="235"/>
      <c r="AZ328" s="231"/>
      <c r="BA328" s="231"/>
      <c r="BB328" s="231"/>
      <c r="BC328" s="417"/>
      <c r="BD328" s="418"/>
      <c r="BE328" s="419"/>
      <c r="BF328" s="231"/>
      <c r="BG328" s="1049"/>
      <c r="BH328" s="231"/>
      <c r="BI328" s="231"/>
      <c r="BJ328" s="231"/>
      <c r="BK328" s="231"/>
      <c r="BL328" s="231"/>
      <c r="BM328" s="231"/>
      <c r="BN328" s="231"/>
      <c r="BO328" s="231"/>
      <c r="BP328" s="231"/>
      <c r="BQ328" s="1048"/>
      <c r="BR328" s="239"/>
      <c r="BS328" s="693"/>
    </row>
    <row r="329" spans="51:71">
      <c r="AY329" s="235"/>
      <c r="AZ329" s="231"/>
      <c r="BA329" s="231"/>
      <c r="BB329" s="231"/>
      <c r="BC329" s="417"/>
      <c r="BD329" s="418"/>
      <c r="BE329" s="420"/>
      <c r="BF329" s="248"/>
      <c r="BG329" s="1049"/>
      <c r="BH329" s="231"/>
      <c r="BI329" s="231"/>
      <c r="BJ329" s="231"/>
      <c r="BK329" s="231"/>
      <c r="BL329" s="231"/>
      <c r="BM329" s="231"/>
      <c r="BN329" s="231"/>
      <c r="BO329" s="231"/>
      <c r="BP329" s="231"/>
      <c r="BQ329" s="231"/>
      <c r="BR329" s="231"/>
      <c r="BS329" s="433"/>
    </row>
    <row r="330" spans="51:71">
      <c r="AY330" s="235"/>
      <c r="AZ330" s="231"/>
      <c r="BA330" s="231"/>
      <c r="BB330" s="231"/>
      <c r="BC330" s="417"/>
      <c r="BD330" s="418"/>
      <c r="BE330" s="421"/>
      <c r="BF330" s="248"/>
      <c r="BG330" s="1049"/>
      <c r="BH330" s="231"/>
      <c r="BI330" s="231"/>
      <c r="BJ330" s="231"/>
      <c r="BK330" s="231"/>
      <c r="BL330" s="231"/>
      <c r="BM330" s="231"/>
      <c r="BN330" s="231"/>
      <c r="BO330" s="231"/>
      <c r="BP330" s="231"/>
      <c r="BQ330" s="231"/>
      <c r="BR330" s="231"/>
      <c r="BS330" s="433"/>
    </row>
    <row r="331" spans="51:71" ht="21">
      <c r="AY331" s="1039" t="s">
        <v>2563</v>
      </c>
      <c r="AZ331" s="231"/>
      <c r="BA331" s="231"/>
      <c r="BB331" s="231"/>
      <c r="BC331" s="231"/>
      <c r="BD331" s="231"/>
      <c r="BE331" s="231"/>
      <c r="BF331" s="231"/>
      <c r="BG331" s="231"/>
      <c r="BH331" s="231"/>
      <c r="BI331" s="231"/>
      <c r="BJ331" s="231"/>
      <c r="BK331" s="231"/>
      <c r="BL331" s="231"/>
      <c r="BM331" s="231"/>
      <c r="BN331" s="231"/>
      <c r="BO331" s="231"/>
      <c r="BP331" s="231"/>
      <c r="BQ331" s="231"/>
      <c r="BR331" s="231"/>
      <c r="BS331" s="433"/>
    </row>
    <row r="332" spans="51:71">
      <c r="AY332" s="1040" t="s">
        <v>1361</v>
      </c>
      <c r="AZ332" s="231"/>
      <c r="BA332" s="231"/>
      <c r="BB332" s="231"/>
      <c r="BC332" s="231"/>
      <c r="BD332" s="231"/>
      <c r="BE332" s="231"/>
      <c r="BF332" s="231"/>
      <c r="BG332" s="231"/>
      <c r="BH332" s="231"/>
      <c r="BI332" s="231"/>
      <c r="BJ332" s="231"/>
      <c r="BK332" s="231"/>
      <c r="BL332" s="231"/>
      <c r="BM332" s="231"/>
      <c r="BN332" s="251"/>
      <c r="BO332" s="231"/>
      <c r="BP332" s="231"/>
      <c r="BQ332" s="231"/>
      <c r="BR332" s="231"/>
      <c r="BS332" s="433"/>
    </row>
    <row r="333" spans="51:71">
      <c r="AY333" s="235"/>
      <c r="AZ333" s="231"/>
      <c r="BA333" s="231"/>
      <c r="BB333" s="231"/>
      <c r="BC333" s="231"/>
      <c r="BD333" s="231"/>
      <c r="BE333" s="231"/>
      <c r="BF333" s="231"/>
      <c r="BG333" s="231"/>
      <c r="BH333" s="231"/>
      <c r="BI333" s="231"/>
      <c r="BJ333" s="231"/>
      <c r="BK333" s="231"/>
      <c r="BL333" s="231"/>
      <c r="BM333" s="231"/>
      <c r="BN333" s="251"/>
      <c r="BO333" s="231"/>
      <c r="BP333" s="231"/>
      <c r="BQ333" s="231"/>
      <c r="BR333" s="231"/>
      <c r="BS333" s="433"/>
    </row>
    <row r="334" spans="51:71" ht="17.399999999999999">
      <c r="AY334" s="1041" t="s">
        <v>1362</v>
      </c>
      <c r="AZ334" s="231"/>
      <c r="BA334" s="231"/>
      <c r="BB334" s="231"/>
      <c r="BC334" s="231"/>
      <c r="BD334" s="231"/>
      <c r="BE334" s="231"/>
      <c r="BF334" s="231"/>
      <c r="BG334" s="231"/>
      <c r="BH334" s="231"/>
      <c r="BI334" s="231"/>
      <c r="BJ334" s="231"/>
      <c r="BK334" s="231"/>
      <c r="BL334" s="231"/>
      <c r="BM334" s="231"/>
      <c r="BN334" s="251"/>
      <c r="BO334" s="231"/>
      <c r="BP334" s="231"/>
      <c r="BQ334" s="231"/>
      <c r="BR334" s="231"/>
      <c r="BS334" s="433"/>
    </row>
    <row r="335" spans="51:71" ht="13.8">
      <c r="AY335" s="1042" t="s">
        <v>1363</v>
      </c>
      <c r="AZ335" s="231"/>
      <c r="BA335" s="231"/>
      <c r="BB335" s="231"/>
      <c r="BC335" s="231"/>
      <c r="BD335" s="231"/>
      <c r="BE335" s="231"/>
      <c r="BF335" s="231"/>
      <c r="BG335" s="231"/>
      <c r="BH335" s="231"/>
      <c r="BI335" s="231"/>
      <c r="BJ335" s="231"/>
      <c r="BK335" s="231"/>
      <c r="BL335" s="231"/>
      <c r="BM335" s="231"/>
      <c r="BN335" s="251"/>
      <c r="BO335" s="231"/>
      <c r="BP335" s="231"/>
      <c r="BQ335" s="231"/>
      <c r="BR335" s="231"/>
      <c r="BS335" s="433"/>
    </row>
    <row r="336" spans="51:71">
      <c r="AY336" s="235"/>
      <c r="AZ336" s="231"/>
      <c r="BA336" s="231"/>
      <c r="BB336" s="231"/>
      <c r="BC336" s="231"/>
      <c r="BD336" s="231"/>
      <c r="BE336" s="231"/>
      <c r="BF336" s="231"/>
      <c r="BG336" s="231"/>
      <c r="BH336" s="231"/>
      <c r="BI336" s="231"/>
      <c r="BJ336" s="437"/>
      <c r="BK336" s="231"/>
      <c r="BL336" s="231"/>
      <c r="BM336" s="231"/>
      <c r="BN336" s="231"/>
      <c r="BO336" s="231"/>
      <c r="BP336" s="231"/>
      <c r="BQ336" s="231"/>
      <c r="BR336" s="231"/>
      <c r="BS336" s="433"/>
    </row>
    <row r="337" spans="51:71">
      <c r="AY337" s="1023" t="s">
        <v>1364</v>
      </c>
      <c r="AZ337" s="233" t="s">
        <v>90</v>
      </c>
      <c r="BA337" s="233" t="s">
        <v>91</v>
      </c>
      <c r="BB337" s="231"/>
      <c r="BC337" s="231"/>
      <c r="BD337" s="233" t="s">
        <v>90</v>
      </c>
      <c r="BE337" s="231"/>
      <c r="BF337" s="231"/>
      <c r="BG337" s="231"/>
      <c r="BH337" s="231"/>
      <c r="BI337" s="231"/>
      <c r="BJ337" s="231"/>
      <c r="BK337" s="231"/>
      <c r="BL337" s="231"/>
      <c r="BM337" s="231"/>
      <c r="BN337" s="231"/>
      <c r="BO337" s="231"/>
      <c r="BP337" s="231"/>
      <c r="BQ337" s="231"/>
      <c r="BR337" s="231"/>
      <c r="BS337" s="433"/>
    </row>
    <row r="338" spans="51:71">
      <c r="AY338" s="235"/>
      <c r="AZ338" s="231"/>
      <c r="BA338" s="231"/>
      <c r="BB338" s="231"/>
      <c r="BC338" s="574" t="s">
        <v>1365</v>
      </c>
      <c r="BD338" s="574" t="s">
        <v>87</v>
      </c>
      <c r="BE338" s="334">
        <f t="shared" ref="BE338:BO338" si="140">BE$68</f>
        <v>0.2</v>
      </c>
      <c r="BF338" s="334">
        <f t="shared" si="140"/>
        <v>0.3</v>
      </c>
      <c r="BG338" s="334">
        <f t="shared" si="140"/>
        <v>0.4</v>
      </c>
      <c r="BH338" s="334">
        <f t="shared" si="140"/>
        <v>0.5</v>
      </c>
      <c r="BI338" s="334">
        <f t="shared" si="140"/>
        <v>0.6</v>
      </c>
      <c r="BJ338" s="334">
        <f t="shared" si="140"/>
        <v>0.7</v>
      </c>
      <c r="BK338" s="334">
        <f t="shared" si="140"/>
        <v>0.75</v>
      </c>
      <c r="BL338" s="334">
        <f t="shared" si="140"/>
        <v>0.8</v>
      </c>
      <c r="BM338" s="334">
        <f t="shared" si="140"/>
        <v>0.9</v>
      </c>
      <c r="BN338" s="334">
        <f t="shared" si="140"/>
        <v>0.95</v>
      </c>
      <c r="BO338" s="334">
        <f t="shared" si="140"/>
        <v>0.97499999999999998</v>
      </c>
      <c r="BP338" s="231"/>
      <c r="BQ338" s="231"/>
      <c r="BR338" s="231"/>
      <c r="BS338" s="433"/>
    </row>
    <row r="339" spans="51:71">
      <c r="AY339" s="235" t="s">
        <v>33</v>
      </c>
      <c r="AZ339" s="231" t="s">
        <v>188</v>
      </c>
      <c r="BA339" s="537">
        <f>'7b'!BG7</f>
        <v>0</v>
      </c>
      <c r="BB339" s="231"/>
      <c r="BC339" s="574" t="s">
        <v>50</v>
      </c>
      <c r="BD339" s="574" t="s">
        <v>188</v>
      </c>
      <c r="BE339" s="334">
        <f t="shared" ref="BE339:BO339" si="141">BE338*($BA351/2)</f>
        <v>0.60000000000000009</v>
      </c>
      <c r="BF339" s="334">
        <f t="shared" si="141"/>
        <v>0.89999999999999991</v>
      </c>
      <c r="BG339" s="334">
        <f t="shared" si="141"/>
        <v>1.2000000000000002</v>
      </c>
      <c r="BH339" s="334">
        <f t="shared" si="141"/>
        <v>1.5</v>
      </c>
      <c r="BI339" s="334">
        <f t="shared" si="141"/>
        <v>1.7999999999999998</v>
      </c>
      <c r="BJ339" s="334">
        <f t="shared" si="141"/>
        <v>2.0999999999999996</v>
      </c>
      <c r="BK339" s="334">
        <f t="shared" si="141"/>
        <v>2.25</v>
      </c>
      <c r="BL339" s="334">
        <f t="shared" si="141"/>
        <v>2.4000000000000004</v>
      </c>
      <c r="BM339" s="334">
        <f t="shared" si="141"/>
        <v>2.7</v>
      </c>
      <c r="BN339" s="334">
        <f t="shared" si="141"/>
        <v>2.8499999999999996</v>
      </c>
      <c r="BO339" s="334">
        <f t="shared" si="141"/>
        <v>2.9249999999999998</v>
      </c>
      <c r="BP339" s="231"/>
      <c r="BQ339" s="231"/>
      <c r="BR339" s="231"/>
      <c r="BS339" s="433"/>
    </row>
    <row r="340" spans="51:71">
      <c r="AY340" s="235" t="s">
        <v>1366</v>
      </c>
      <c r="AZ340" s="231" t="s">
        <v>648</v>
      </c>
      <c r="BA340" s="537">
        <f>'7b'!BG8</f>
        <v>0</v>
      </c>
      <c r="BB340" s="231"/>
      <c r="BC340" s="231" t="s">
        <v>1367</v>
      </c>
      <c r="BD340" s="231" t="s">
        <v>188</v>
      </c>
      <c r="BE340" s="536">
        <f>'7b'!BG33</f>
        <v>0.5</v>
      </c>
      <c r="BF340" s="334">
        <f>$BE340</f>
        <v>0.5</v>
      </c>
      <c r="BG340" s="334">
        <f>$BE340</f>
        <v>0.5</v>
      </c>
      <c r="BH340" s="334">
        <f>$BE340</f>
        <v>0.5</v>
      </c>
      <c r="BI340" s="334">
        <f t="shared" ref="BI340:BN340" si="142">$BH340-(((BI339-$BH339)/($BO339-$BH339))*($BH340-$BO340))</f>
        <v>0.4578947368421053</v>
      </c>
      <c r="BJ340" s="334">
        <f t="shared" si="142"/>
        <v>0.41578947368421054</v>
      </c>
      <c r="BK340" s="334">
        <f t="shared" si="142"/>
        <v>0.39473684210526316</v>
      </c>
      <c r="BL340" s="334">
        <f t="shared" si="142"/>
        <v>0.37368421052631573</v>
      </c>
      <c r="BM340" s="334">
        <f t="shared" si="142"/>
        <v>0.33157894736842097</v>
      </c>
      <c r="BN340" s="334">
        <f t="shared" si="142"/>
        <v>0.31052631578947371</v>
      </c>
      <c r="BO340" s="536">
        <f>'7b'!BG34</f>
        <v>0.3</v>
      </c>
      <c r="BP340" s="231"/>
      <c r="BQ340" s="231"/>
      <c r="BR340" s="231"/>
      <c r="BS340" s="433"/>
    </row>
    <row r="341" spans="51:71">
      <c r="AY341" s="235" t="s">
        <v>1368</v>
      </c>
      <c r="AZ341" s="231" t="s">
        <v>1369</v>
      </c>
      <c r="BA341" s="251">
        <f>(-0.00356616*BA339)+59+459.6</f>
        <v>518.6</v>
      </c>
      <c r="BB341" s="231"/>
      <c r="BC341" s="231" t="s">
        <v>1370</v>
      </c>
      <c r="BD341" s="231" t="s">
        <v>188</v>
      </c>
      <c r="BE341" s="231">
        <f t="shared" ref="BE341:BO341" si="143">BE340/2</f>
        <v>0.25</v>
      </c>
      <c r="BF341" s="231">
        <f t="shared" si="143"/>
        <v>0.25</v>
      </c>
      <c r="BG341" s="231">
        <f t="shared" si="143"/>
        <v>0.25</v>
      </c>
      <c r="BH341" s="231">
        <f t="shared" si="143"/>
        <v>0.25</v>
      </c>
      <c r="BI341" s="231">
        <f t="shared" si="143"/>
        <v>0.22894736842105265</v>
      </c>
      <c r="BJ341" s="231">
        <f t="shared" si="143"/>
        <v>0.20789473684210527</v>
      </c>
      <c r="BK341" s="231">
        <f t="shared" si="143"/>
        <v>0.19736842105263158</v>
      </c>
      <c r="BL341" s="231">
        <f t="shared" si="143"/>
        <v>0.18684210526315786</v>
      </c>
      <c r="BM341" s="231">
        <f t="shared" si="143"/>
        <v>0.16578947368421049</v>
      </c>
      <c r="BN341" s="231">
        <f t="shared" si="143"/>
        <v>0.15526315789473685</v>
      </c>
      <c r="BO341" s="231">
        <f t="shared" si="143"/>
        <v>0.15</v>
      </c>
      <c r="BP341" s="231"/>
      <c r="BQ341" s="231"/>
      <c r="BR341" s="231"/>
      <c r="BS341" s="433"/>
    </row>
    <row r="342" spans="51:71">
      <c r="AY342" s="235" t="s">
        <v>1371</v>
      </c>
      <c r="AZ342" s="231" t="s">
        <v>658</v>
      </c>
      <c r="BA342" s="587">
        <f xml:space="preserve"> (-0.00000000808691*(BA339^2)) + (-0.0038153*BA339) + 1116.38</f>
        <v>1116.3800000000001</v>
      </c>
      <c r="BB342" s="231"/>
      <c r="BC342" s="231" t="s">
        <v>1372</v>
      </c>
      <c r="BD342" s="231" t="s">
        <v>188</v>
      </c>
      <c r="BE342" s="231">
        <f t="shared" ref="BE342:BO342" si="144">(-1)*BE341</f>
        <v>-0.25</v>
      </c>
      <c r="BF342" s="231">
        <f t="shared" si="144"/>
        <v>-0.25</v>
      </c>
      <c r="BG342" s="231">
        <f t="shared" si="144"/>
        <v>-0.25</v>
      </c>
      <c r="BH342" s="231">
        <f t="shared" si="144"/>
        <v>-0.25</v>
      </c>
      <c r="BI342" s="231">
        <f t="shared" si="144"/>
        <v>-0.22894736842105265</v>
      </c>
      <c r="BJ342" s="231">
        <f t="shared" si="144"/>
        <v>-0.20789473684210527</v>
      </c>
      <c r="BK342" s="231">
        <f t="shared" si="144"/>
        <v>-0.19736842105263158</v>
      </c>
      <c r="BL342" s="231">
        <f t="shared" si="144"/>
        <v>-0.18684210526315786</v>
      </c>
      <c r="BM342" s="231">
        <f t="shared" si="144"/>
        <v>-0.16578947368421049</v>
      </c>
      <c r="BN342" s="231">
        <f t="shared" si="144"/>
        <v>-0.15526315789473685</v>
      </c>
      <c r="BO342" s="231">
        <f t="shared" si="144"/>
        <v>-0.15</v>
      </c>
      <c r="BP342" s="231"/>
      <c r="BQ342" s="231"/>
      <c r="BR342" s="231"/>
      <c r="BS342" s="433"/>
    </row>
    <row r="343" spans="51:71" ht="15.6">
      <c r="AY343" s="235" t="s">
        <v>671</v>
      </c>
      <c r="AZ343" s="231" t="s">
        <v>1369</v>
      </c>
      <c r="BA343" s="587">
        <f>((((5/9)*((BA341-32))+BA340)*(9/5))+32)</f>
        <v>518.60000000000014</v>
      </c>
      <c r="BB343" s="231"/>
      <c r="BC343" s="236" t="s">
        <v>1373</v>
      </c>
      <c r="BD343" s="231" t="s">
        <v>87</v>
      </c>
      <c r="BE343" s="437">
        <f t="shared" ref="BE343:BO343" si="145">$BA$350*BE340/(PI()*$BA$351/2)</f>
        <v>0.1061032953945969</v>
      </c>
      <c r="BF343" s="437">
        <f t="shared" si="145"/>
        <v>0.1061032953945969</v>
      </c>
      <c r="BG343" s="437">
        <f t="shared" si="145"/>
        <v>0.1061032953945969</v>
      </c>
      <c r="BH343" s="437">
        <f t="shared" si="145"/>
        <v>0.1061032953945969</v>
      </c>
      <c r="BI343" s="437">
        <f t="shared" si="145"/>
        <v>9.7168281045578217E-2</v>
      </c>
      <c r="BJ343" s="437">
        <f t="shared" si="145"/>
        <v>8.8233266696559523E-2</v>
      </c>
      <c r="BK343" s="437">
        <f t="shared" si="145"/>
        <v>8.3765759522050176E-2</v>
      </c>
      <c r="BL343" s="437">
        <f t="shared" si="145"/>
        <v>7.9298252347540829E-2</v>
      </c>
      <c r="BM343" s="437">
        <f t="shared" si="145"/>
        <v>7.0363237998522135E-2</v>
      </c>
      <c r="BN343" s="437">
        <f t="shared" si="145"/>
        <v>6.5895730824012816E-2</v>
      </c>
      <c r="BO343" s="437">
        <f t="shared" si="145"/>
        <v>6.3661977236758135E-2</v>
      </c>
      <c r="BP343" s="231"/>
      <c r="BQ343" s="231"/>
      <c r="BR343" s="231"/>
      <c r="BS343" s="433"/>
    </row>
    <row r="344" spans="51:71" ht="15.6">
      <c r="AY344" s="235" t="s">
        <v>1374</v>
      </c>
      <c r="AZ344" s="231" t="s">
        <v>658</v>
      </c>
      <c r="BA344" s="587">
        <f>( (-0.00000000808691*(BA339^2)) + (-0.0038153*BA339) + 1116.38)*((BA343/BA341)^0.5)</f>
        <v>1116.3800000000001</v>
      </c>
      <c r="BB344" s="231"/>
      <c r="BC344" s="231" t="s">
        <v>1375</v>
      </c>
      <c r="BD344" s="231" t="s">
        <v>87</v>
      </c>
      <c r="BE344" s="437">
        <f t="shared" ref="BE344:BO344" si="146">((BE338^2)+($BA358^2))^0.5</f>
        <v>0.26098130500837818</v>
      </c>
      <c r="BF344" s="437">
        <f t="shared" si="146"/>
        <v>0.34367316095947342</v>
      </c>
      <c r="BG344" s="437">
        <f t="shared" si="146"/>
        <v>0.43371792857095054</v>
      </c>
      <c r="BH344" s="437">
        <f t="shared" si="146"/>
        <v>0.52736253333345184</v>
      </c>
      <c r="BI344" s="437">
        <f t="shared" si="146"/>
        <v>0.62298574748053115</v>
      </c>
      <c r="BJ344" s="437">
        <f t="shared" si="146"/>
        <v>0.71979944537619367</v>
      </c>
      <c r="BK344" s="437">
        <f t="shared" si="146"/>
        <v>0.76851235615562885</v>
      </c>
      <c r="BL344" s="437">
        <f t="shared" si="146"/>
        <v>0.8173807200832891</v>
      </c>
      <c r="BM344" s="437">
        <f t="shared" si="146"/>
        <v>0.91548415691582352</v>
      </c>
      <c r="BN344" s="437">
        <f t="shared" si="146"/>
        <v>0.96468193803132651</v>
      </c>
      <c r="BO344" s="437">
        <f t="shared" si="146"/>
        <v>0.98931099335035999</v>
      </c>
      <c r="BP344" s="231"/>
      <c r="BQ344" s="231"/>
      <c r="BR344" s="231"/>
      <c r="BS344" s="433"/>
    </row>
    <row r="345" spans="51:71">
      <c r="AY345" s="235" t="s">
        <v>1376</v>
      </c>
      <c r="AZ345" s="231" t="s">
        <v>1377</v>
      </c>
      <c r="BA345" s="1043">
        <f xml:space="preserve"> ( (-0.00000000000621692*(BA339^3)) + (0.00000107111*(BA339^2)) + (-0.0760997*BA339) + 2115.57)/144</f>
        <v>14.691458333333335</v>
      </c>
      <c r="BB345" s="231"/>
      <c r="BC345" s="231"/>
      <c r="BD345" s="231"/>
      <c r="BE345" s="231"/>
      <c r="BF345" s="231"/>
      <c r="BG345" s="231"/>
      <c r="BH345" s="231"/>
      <c r="BI345" s="231"/>
      <c r="BJ345" s="231"/>
      <c r="BK345" s="231"/>
      <c r="BL345" s="231"/>
      <c r="BM345" s="231"/>
      <c r="BN345" s="231"/>
      <c r="BO345" s="231"/>
      <c r="BP345" s="231"/>
      <c r="BQ345" s="231"/>
      <c r="BR345" s="231"/>
      <c r="BS345" s="433"/>
    </row>
    <row r="346" spans="51:71">
      <c r="AY346" s="235" t="s">
        <v>1378</v>
      </c>
      <c r="AZ346" s="231" t="s">
        <v>673</v>
      </c>
      <c r="BA346" s="1044">
        <f xml:space="preserve"> (( -3.4153E-18*(BA339^3)) + (0.000000000000764697*(BA339^2)) + (-0.0000000694512*BA339) + 0.00237699) * (BA341/BA343)</f>
        <v>2.3769899999999994E-3</v>
      </c>
      <c r="BB346" s="231"/>
      <c r="BC346" s="236" t="s">
        <v>1379</v>
      </c>
      <c r="BD346" s="231" t="s">
        <v>1380</v>
      </c>
      <c r="BE346" s="437">
        <f t="shared" ref="BE346:BO346" si="147">ATAN($BA358/BE338)</f>
        <v>0.69767423478296309</v>
      </c>
      <c r="BF346" s="437">
        <f t="shared" si="147"/>
        <v>0.50963548292418692</v>
      </c>
      <c r="BG346" s="437">
        <f t="shared" si="147"/>
        <v>0.39691389102210833</v>
      </c>
      <c r="BH346" s="437">
        <f t="shared" si="147"/>
        <v>0.32354481112175265</v>
      </c>
      <c r="BI346" s="437">
        <f t="shared" si="147"/>
        <v>0.27248945350908732</v>
      </c>
      <c r="BJ346" s="437">
        <f t="shared" si="147"/>
        <v>0.23509117290724094</v>
      </c>
      <c r="BK346" s="437">
        <f t="shared" si="147"/>
        <v>0.21993588186919633</v>
      </c>
      <c r="BL346" s="437">
        <f t="shared" si="147"/>
        <v>0.20658998802317691</v>
      </c>
      <c r="BM346" s="437">
        <f t="shared" si="147"/>
        <v>0.18418208915003165</v>
      </c>
      <c r="BN346" s="437">
        <f t="shared" si="147"/>
        <v>0.17468956829383628</v>
      </c>
      <c r="BO346" s="437">
        <f t="shared" si="147"/>
        <v>0.1702975470080699</v>
      </c>
      <c r="BP346" s="228"/>
      <c r="BQ346" s="228"/>
      <c r="BR346" s="231"/>
      <c r="BS346" s="433"/>
    </row>
    <row r="347" spans="51:71">
      <c r="AY347" s="235" t="s">
        <v>1381</v>
      </c>
      <c r="AZ347" s="231" t="s">
        <v>1026</v>
      </c>
      <c r="BA347" s="852">
        <f>'7b'!BG15</f>
        <v>54</v>
      </c>
      <c r="BB347" s="231"/>
      <c r="BC347" s="236" t="s">
        <v>1379</v>
      </c>
      <c r="BD347" s="231" t="s">
        <v>165</v>
      </c>
      <c r="BE347" s="227">
        <f t="shared" ref="BE347:BO347" si="148">BE346*(180/PI())</f>
        <v>39.973789128083084</v>
      </c>
      <c r="BF347" s="227">
        <f t="shared" si="148"/>
        <v>29.199962261667444</v>
      </c>
      <c r="BG347" s="227">
        <f t="shared" si="148"/>
        <v>22.741490785682306</v>
      </c>
      <c r="BH347" s="227">
        <f t="shared" si="148"/>
        <v>18.537752160633804</v>
      </c>
      <c r="BI347" s="227">
        <f t="shared" si="148"/>
        <v>15.612495647896964</v>
      </c>
      <c r="BJ347" s="227">
        <f t="shared" si="148"/>
        <v>13.46973200836519</v>
      </c>
      <c r="BK347" s="227">
        <f t="shared" si="148"/>
        <v>12.601397794592792</v>
      </c>
      <c r="BL347" s="227">
        <f t="shared" si="148"/>
        <v>11.836734403386261</v>
      </c>
      <c r="BM347" s="227">
        <f t="shared" si="148"/>
        <v>10.552856370199086</v>
      </c>
      <c r="BN347" s="227">
        <f t="shared" si="148"/>
        <v>10.00897498819918</v>
      </c>
      <c r="BO347" s="227">
        <f t="shared" si="148"/>
        <v>9.7573307049931444</v>
      </c>
      <c r="BP347" s="231"/>
      <c r="BQ347" s="231"/>
      <c r="BR347" s="231"/>
      <c r="BS347" s="433"/>
    </row>
    <row r="348" spans="51:71">
      <c r="AY348" s="235" t="s">
        <v>1381</v>
      </c>
      <c r="AZ348" s="231" t="s">
        <v>658</v>
      </c>
      <c r="BA348" s="239">
        <f>1.689*BA347</f>
        <v>91.206000000000003</v>
      </c>
      <c r="BB348" s="231"/>
      <c r="BC348" s="223" t="s">
        <v>1382</v>
      </c>
      <c r="BD348" s="223" t="s">
        <v>1380</v>
      </c>
      <c r="BE348" s="437">
        <f t="shared" ref="BE348:BO348" si="149">BE349*(PI()/180)</f>
        <v>1.0374166610893578</v>
      </c>
      <c r="BF348" s="437">
        <f t="shared" si="149"/>
        <v>0.96227546018834453</v>
      </c>
      <c r="BG348" s="437">
        <f t="shared" si="149"/>
        <v>0.88713425928733147</v>
      </c>
      <c r="BH348" s="437">
        <f t="shared" si="149"/>
        <v>0.81199305838631819</v>
      </c>
      <c r="BI348" s="437">
        <f t="shared" si="149"/>
        <v>0.73685185748530502</v>
      </c>
      <c r="BJ348" s="437">
        <f t="shared" si="149"/>
        <v>0.66171065658429173</v>
      </c>
      <c r="BK348" s="437">
        <f t="shared" si="149"/>
        <v>0.6241400561337852</v>
      </c>
      <c r="BL348" s="437">
        <f t="shared" si="149"/>
        <v>0.58656945568327856</v>
      </c>
      <c r="BM348" s="437">
        <f t="shared" si="149"/>
        <v>0.51142825478226539</v>
      </c>
      <c r="BN348" s="437">
        <f t="shared" si="149"/>
        <v>0.4738576543317588</v>
      </c>
      <c r="BO348" s="437">
        <f t="shared" si="149"/>
        <v>0.45507235410650548</v>
      </c>
      <c r="BP348" s="231"/>
      <c r="BQ348" s="231"/>
      <c r="BR348" s="231"/>
      <c r="BS348" s="433"/>
    </row>
    <row r="349" spans="51:71">
      <c r="AY349" s="235" t="s">
        <v>1383</v>
      </c>
      <c r="AZ349" s="231" t="s">
        <v>87</v>
      </c>
      <c r="BA349" s="248">
        <f>BA348/BA344</f>
        <v>8.1697988140238986E-2</v>
      </c>
      <c r="BB349" s="231"/>
      <c r="BC349" s="223" t="s">
        <v>1382</v>
      </c>
      <c r="BD349" s="223" t="s">
        <v>165</v>
      </c>
      <c r="BE349" s="228">
        <f t="shared" ref="BE349:BJ349" si="150">$BK349+($BA363*(BE338-$BK338))</f>
        <v>59.439596276973894</v>
      </c>
      <c r="BF349" s="228">
        <f t="shared" si="150"/>
        <v>55.134322597801216</v>
      </c>
      <c r="BG349" s="228">
        <f t="shared" si="150"/>
        <v>50.829048918628544</v>
      </c>
      <c r="BH349" s="228">
        <f t="shared" si="150"/>
        <v>46.523775239455865</v>
      </c>
      <c r="BI349" s="228">
        <f t="shared" si="150"/>
        <v>42.218501560283194</v>
      </c>
      <c r="BJ349" s="228">
        <f t="shared" si="150"/>
        <v>37.913227881110515</v>
      </c>
      <c r="BK349" s="852">
        <f>'7b'!BG32</f>
        <v>35.760591041524179</v>
      </c>
      <c r="BL349" s="228">
        <f>$BK349+($BA363*(BL338-$BK338))</f>
        <v>33.607954201937844</v>
      </c>
      <c r="BM349" s="228">
        <f>$BK349+($BA363*(BM338-$BK338))</f>
        <v>29.302680522765165</v>
      </c>
      <c r="BN349" s="228">
        <f>$BK349+($BA363*(BN338-$BK338))</f>
        <v>27.150043683178829</v>
      </c>
      <c r="BO349" s="228">
        <f>$BK349+($BA363*(BO338-$BK338))</f>
        <v>26.073725263385661</v>
      </c>
      <c r="BP349" s="231"/>
      <c r="BQ349" s="231"/>
      <c r="BR349" s="231"/>
      <c r="BS349" s="433"/>
    </row>
    <row r="350" spans="51:71">
      <c r="AY350" s="235" t="s">
        <v>1384</v>
      </c>
      <c r="AZ350" s="231" t="s">
        <v>87</v>
      </c>
      <c r="BA350" s="534">
        <f>'7b'!BG18</f>
        <v>2</v>
      </c>
      <c r="BB350" s="231"/>
      <c r="BC350" s="574" t="s">
        <v>199</v>
      </c>
      <c r="BD350" s="231"/>
      <c r="BE350" s="231">
        <f>1</f>
        <v>1</v>
      </c>
      <c r="BF350" s="231">
        <f>1</f>
        <v>1</v>
      </c>
      <c r="BG350" s="231">
        <f>1</f>
        <v>1</v>
      </c>
      <c r="BH350" s="231">
        <f>1</f>
        <v>1</v>
      </c>
      <c r="BI350" s="231">
        <f>1</f>
        <v>1</v>
      </c>
      <c r="BJ350" s="231">
        <f>1</f>
        <v>1</v>
      </c>
      <c r="BK350" s="231">
        <f>1</f>
        <v>1</v>
      </c>
      <c r="BL350" s="231">
        <f>1</f>
        <v>1</v>
      </c>
      <c r="BM350" s="231">
        <f>1</f>
        <v>1</v>
      </c>
      <c r="BN350" s="231">
        <f>1</f>
        <v>1</v>
      </c>
      <c r="BO350" s="231">
        <f>1</f>
        <v>1</v>
      </c>
      <c r="BP350" s="231"/>
      <c r="BQ350" s="231"/>
      <c r="BR350" s="231"/>
      <c r="BS350" s="433"/>
    </row>
    <row r="351" spans="51:71">
      <c r="AY351" s="235" t="s">
        <v>1385</v>
      </c>
      <c r="AZ351" s="231" t="s">
        <v>188</v>
      </c>
      <c r="BA351" s="534">
        <f>'7b'!BG19</f>
        <v>6</v>
      </c>
      <c r="BB351" s="231"/>
      <c r="BC351" s="574" t="s">
        <v>189</v>
      </c>
      <c r="BD351" s="231"/>
      <c r="BE351" s="251">
        <f t="shared" ref="BE351:BO351" si="151">(($BA358/BE338)+(BE343*$BA359*BE344/(8*(BE338^2))))</f>
        <v>1.3575261771502558</v>
      </c>
      <c r="BF351" s="251">
        <f t="shared" si="151"/>
        <v>0.86275403618201107</v>
      </c>
      <c r="BG351" s="251">
        <f t="shared" si="151"/>
        <v>0.63487378465741029</v>
      </c>
      <c r="BH351" s="251">
        <f t="shared" si="151"/>
        <v>0.50319285508978395</v>
      </c>
      <c r="BI351" s="251">
        <f t="shared" si="151"/>
        <v>0.40555356885271837</v>
      </c>
      <c r="BJ351" s="251">
        <f t="shared" si="151"/>
        <v>0.33672968126187974</v>
      </c>
      <c r="BK351" s="251">
        <f t="shared" si="151"/>
        <v>0.30938545970515369</v>
      </c>
      <c r="BL351" s="251">
        <f t="shared" si="151"/>
        <v>0.28553735281970527</v>
      </c>
      <c r="BM351" s="251">
        <f t="shared" si="151"/>
        <v>0.24593825730836563</v>
      </c>
      <c r="BN351" s="251">
        <f t="shared" si="151"/>
        <v>0.2293154414124241</v>
      </c>
      <c r="BO351" s="251">
        <f t="shared" si="151"/>
        <v>0.2216526939417566</v>
      </c>
      <c r="BP351" s="231"/>
      <c r="BQ351" s="231"/>
      <c r="BR351" s="231"/>
      <c r="BS351" s="433"/>
    </row>
    <row r="352" spans="51:71">
      <c r="AY352" s="235" t="s">
        <v>1386</v>
      </c>
      <c r="AZ352" s="231" t="s">
        <v>1387</v>
      </c>
      <c r="BA352" s="534">
        <f>'7b'!BG20</f>
        <v>1731.5439653981284</v>
      </c>
      <c r="BB352" s="231"/>
      <c r="BC352" s="574" t="s">
        <v>164</v>
      </c>
      <c r="BD352" s="231"/>
      <c r="BE352" s="251">
        <f t="shared" ref="BE352:BO352" si="152">(-1)*((BE343*$BA359*BE344/(8*(BE338^2)))*(BE348-BE346))</f>
        <v>-0.17639624141524096</v>
      </c>
      <c r="BF352" s="251">
        <f t="shared" si="152"/>
        <v>-0.13754542583612786</v>
      </c>
      <c r="BG352" s="251">
        <f t="shared" si="152"/>
        <v>-0.10574720079893749</v>
      </c>
      <c r="BH352" s="251">
        <f t="shared" si="152"/>
        <v>-8.1993222382089184E-2</v>
      </c>
      <c r="BI352" s="251">
        <f t="shared" si="152"/>
        <v>-5.856234307299972E-2</v>
      </c>
      <c r="BJ352" s="251">
        <f t="shared" si="152"/>
        <v>-4.1471499194663204E-2</v>
      </c>
      <c r="BK352" s="251">
        <f t="shared" si="152"/>
        <v>-3.4694203058212025E-2</v>
      </c>
      <c r="BL352" s="251">
        <f t="shared" si="152"/>
        <v>-2.8862199548571062E-2</v>
      </c>
      <c r="BM352" s="251">
        <f t="shared" si="152"/>
        <v>-1.9518545922096054E-2</v>
      </c>
      <c r="BN352" s="251">
        <f t="shared" si="152"/>
        <v>-1.5804135405994773E-2</v>
      </c>
      <c r="BO352" s="251">
        <f t="shared" si="152"/>
        <v>-1.4150329615130143E-2</v>
      </c>
      <c r="BP352" s="231"/>
      <c r="BQ352" s="231"/>
      <c r="BR352" s="231"/>
      <c r="BS352" s="433"/>
    </row>
    <row r="353" spans="51:71" ht="15.6">
      <c r="AY353" s="235" t="s">
        <v>1388</v>
      </c>
      <c r="AZ353" s="231" t="s">
        <v>1389</v>
      </c>
      <c r="BA353" s="437">
        <f>BA352/60</f>
        <v>28.859066089968806</v>
      </c>
      <c r="BB353" s="231"/>
      <c r="BC353" s="223" t="s">
        <v>1390</v>
      </c>
      <c r="BD353" s="223" t="s">
        <v>1380</v>
      </c>
      <c r="BE353" s="437">
        <f t="shared" ref="BE353:BO353" si="153">(((-1)*BE351)+(((BE351^2)-(4*BE350*BE352))^0.5))/(2*BE350)</f>
        <v>0.11943210799478876</v>
      </c>
      <c r="BF353" s="437">
        <f t="shared" si="153"/>
        <v>0.1375092249956204</v>
      </c>
      <c r="BG353" s="437">
        <f t="shared" si="153"/>
        <v>0.13700054166000519</v>
      </c>
      <c r="BH353" s="437">
        <f t="shared" si="153"/>
        <v>0.12957805315317528</v>
      </c>
      <c r="BI353" s="437">
        <f t="shared" si="153"/>
        <v>0.11294582701490877</v>
      </c>
      <c r="BJ353" s="437">
        <f t="shared" si="153"/>
        <v>9.5866532894886891E-2</v>
      </c>
      <c r="BK353" s="437">
        <f t="shared" si="153"/>
        <v>8.743129565388616E-2</v>
      </c>
      <c r="BL353" s="437">
        <f t="shared" si="153"/>
        <v>7.9143681318130293E-2</v>
      </c>
      <c r="BM353" s="437">
        <f t="shared" si="153"/>
        <v>6.3148985789481735E-2</v>
      </c>
      <c r="BN353" s="437">
        <f t="shared" si="153"/>
        <v>5.5490827108744339E-2</v>
      </c>
      <c r="BO353" s="437">
        <f t="shared" si="153"/>
        <v>5.1755351870164848E-2</v>
      </c>
      <c r="BP353" s="231"/>
      <c r="BQ353" s="231"/>
      <c r="BR353" s="231"/>
      <c r="BS353" s="433"/>
    </row>
    <row r="354" spans="51:71" ht="15.6">
      <c r="AY354" s="235" t="s">
        <v>1391</v>
      </c>
      <c r="AZ354" s="231" t="s">
        <v>1392</v>
      </c>
      <c r="BA354" s="227">
        <f>2*PI()*BA353</f>
        <v>181.32686003541664</v>
      </c>
      <c r="BB354" s="231"/>
      <c r="BC354" s="223" t="s">
        <v>1390</v>
      </c>
      <c r="BD354" s="223" t="s">
        <v>165</v>
      </c>
      <c r="BE354" s="437">
        <f t="shared" ref="BE354:BO354" si="154">BE353*(180/PI())</f>
        <v>6.8429557264520531</v>
      </c>
      <c r="BF354" s="437">
        <f t="shared" si="154"/>
        <v>7.8786982363638955</v>
      </c>
      <c r="BG354" s="437">
        <f t="shared" si="154"/>
        <v>7.8495528281245068</v>
      </c>
      <c r="BH354" s="437">
        <f t="shared" si="154"/>
        <v>7.4242755631987922</v>
      </c>
      <c r="BI354" s="437">
        <f t="shared" si="154"/>
        <v>6.4713192015689494</v>
      </c>
      <c r="BJ354" s="437">
        <f t="shared" si="154"/>
        <v>5.4927477314290929</v>
      </c>
      <c r="BK354" s="437">
        <f t="shared" si="154"/>
        <v>5.0094442383281743</v>
      </c>
      <c r="BL354" s="437">
        <f t="shared" si="154"/>
        <v>4.5345989146572458</v>
      </c>
      <c r="BM354" s="437">
        <f t="shared" si="154"/>
        <v>3.6181703662689144</v>
      </c>
      <c r="BN354" s="437">
        <f t="shared" si="154"/>
        <v>3.1793901950211869</v>
      </c>
      <c r="BO354" s="437">
        <f t="shared" si="154"/>
        <v>2.9653632293749581</v>
      </c>
      <c r="BP354" s="231"/>
      <c r="BQ354" s="231"/>
      <c r="BR354" s="231"/>
      <c r="BS354" s="433"/>
    </row>
    <row r="355" spans="51:71" ht="15.6">
      <c r="AY355" s="235" t="s">
        <v>1393</v>
      </c>
      <c r="AZ355" s="231" t="s">
        <v>658</v>
      </c>
      <c r="BA355" s="227">
        <f>PI()*BA353*BA351</f>
        <v>543.98058010624993</v>
      </c>
      <c r="BB355" s="231"/>
      <c r="BC355" s="223" t="s">
        <v>1394</v>
      </c>
      <c r="BD355" s="223" t="s">
        <v>1380</v>
      </c>
      <c r="BE355" s="437">
        <f t="shared" ref="BE355:BO355" si="155">BE348-BE346-BE353</f>
        <v>0.22031031831160597</v>
      </c>
      <c r="BF355" s="437">
        <f t="shared" si="155"/>
        <v>0.31513075226853721</v>
      </c>
      <c r="BG355" s="437">
        <f t="shared" si="155"/>
        <v>0.35321982660521795</v>
      </c>
      <c r="BH355" s="437">
        <f t="shared" si="155"/>
        <v>0.35887019411139026</v>
      </c>
      <c r="BI355" s="437">
        <f t="shared" si="155"/>
        <v>0.3514165769613089</v>
      </c>
      <c r="BJ355" s="437">
        <f t="shared" si="155"/>
        <v>0.33075295078216393</v>
      </c>
      <c r="BK355" s="437">
        <f t="shared" si="155"/>
        <v>0.31677287861070269</v>
      </c>
      <c r="BL355" s="437">
        <f t="shared" si="155"/>
        <v>0.30083578634197139</v>
      </c>
      <c r="BM355" s="437">
        <f t="shared" si="155"/>
        <v>0.26409717984275199</v>
      </c>
      <c r="BN355" s="437">
        <f t="shared" si="155"/>
        <v>0.24367725892917821</v>
      </c>
      <c r="BO355" s="437">
        <f t="shared" si="155"/>
        <v>0.23301945522827078</v>
      </c>
      <c r="BP355" s="231"/>
      <c r="BQ355" s="231"/>
      <c r="BR355" s="231"/>
      <c r="BS355" s="433"/>
    </row>
    <row r="356" spans="51:71">
      <c r="AY356" s="235" t="s">
        <v>1395</v>
      </c>
      <c r="AZ356" s="231" t="s">
        <v>87</v>
      </c>
      <c r="BA356" s="231">
        <f>BA355/BA344</f>
        <v>0.48727187884613649</v>
      </c>
      <c r="BB356" s="231"/>
      <c r="BC356" s="223" t="s">
        <v>1394</v>
      </c>
      <c r="BD356" s="223" t="s">
        <v>165</v>
      </c>
      <c r="BE356" s="437">
        <f t="shared" ref="BE356:BO356" si="156">BE355*(180/PI())</f>
        <v>12.622851422438758</v>
      </c>
      <c r="BF356" s="437">
        <f t="shared" si="156"/>
        <v>18.055662099769876</v>
      </c>
      <c r="BG356" s="437">
        <f t="shared" si="156"/>
        <v>20.238005304821737</v>
      </c>
      <c r="BH356" s="437">
        <f t="shared" si="156"/>
        <v>20.561747515623271</v>
      </c>
      <c r="BI356" s="437">
        <f t="shared" si="156"/>
        <v>20.134686710817281</v>
      </c>
      <c r="BJ356" s="437">
        <f t="shared" si="156"/>
        <v>18.950748141316236</v>
      </c>
      <c r="BK356" s="437">
        <f t="shared" si="156"/>
        <v>18.149749008603212</v>
      </c>
      <c r="BL356" s="437">
        <f t="shared" si="156"/>
        <v>17.236620883894336</v>
      </c>
      <c r="BM356" s="437">
        <f t="shared" si="156"/>
        <v>15.131653786297168</v>
      </c>
      <c r="BN356" s="437">
        <f t="shared" si="156"/>
        <v>13.961678499958465</v>
      </c>
      <c r="BO356" s="437">
        <f t="shared" si="156"/>
        <v>13.351031329017561</v>
      </c>
      <c r="BP356" s="231"/>
      <c r="BQ356" s="231"/>
      <c r="BR356" s="231"/>
      <c r="BS356" s="433"/>
    </row>
    <row r="357" spans="51:71" ht="15.6">
      <c r="AY357" s="235" t="s">
        <v>1396</v>
      </c>
      <c r="AZ357" s="231" t="s">
        <v>1397</v>
      </c>
      <c r="BA357" s="248">
        <f>60*BA348/(BA352*BA351)</f>
        <v>0.52673222177774337</v>
      </c>
      <c r="BB357" s="231"/>
      <c r="BC357" s="223" t="s">
        <v>1398</v>
      </c>
      <c r="BD357" s="223" t="s">
        <v>87</v>
      </c>
      <c r="BE357" s="437">
        <f t="shared" ref="BE357:BO357" si="157">$BA359*BE355</f>
        <v>1.3218619098696358</v>
      </c>
      <c r="BF357" s="437">
        <f t="shared" si="157"/>
        <v>1.8907845136112233</v>
      </c>
      <c r="BG357" s="437">
        <f t="shared" si="157"/>
        <v>2.1193189596313076</v>
      </c>
      <c r="BH357" s="437">
        <f t="shared" si="157"/>
        <v>2.1532211646683415</v>
      </c>
      <c r="BI357" s="437">
        <f t="shared" si="157"/>
        <v>2.1084994617678534</v>
      </c>
      <c r="BJ357" s="437">
        <f t="shared" si="157"/>
        <v>1.9845177046929836</v>
      </c>
      <c r="BK357" s="437">
        <f t="shared" si="157"/>
        <v>1.9006372716642161</v>
      </c>
      <c r="BL357" s="437">
        <f t="shared" si="157"/>
        <v>1.8050147180518283</v>
      </c>
      <c r="BM357" s="437">
        <f t="shared" si="157"/>
        <v>1.5845830790565119</v>
      </c>
      <c r="BN357" s="437">
        <f t="shared" si="157"/>
        <v>1.4620635535750692</v>
      </c>
      <c r="BO357" s="437">
        <f t="shared" si="157"/>
        <v>1.3981167313696248</v>
      </c>
      <c r="BP357" s="231"/>
      <c r="BQ357" s="231"/>
      <c r="BR357" s="231"/>
      <c r="BS357" s="433"/>
    </row>
    <row r="358" spans="51:71" ht="15.6">
      <c r="AY358" s="235" t="s">
        <v>1399</v>
      </c>
      <c r="AZ358" s="231" t="s">
        <v>87</v>
      </c>
      <c r="BA358" s="248">
        <f>BA357/PI()</f>
        <v>0.16766407356340868</v>
      </c>
      <c r="BB358" s="231"/>
      <c r="BC358" s="223" t="s">
        <v>1400</v>
      </c>
      <c r="BD358" s="223" t="s">
        <v>87</v>
      </c>
      <c r="BE358" s="248">
        <f t="shared" ref="BE358:BO358" si="158">$BA360+($BA361*((BE357-$BA362)^2))</f>
        <v>1.9732603358033105E-2</v>
      </c>
      <c r="BF358" s="248">
        <f t="shared" si="158"/>
        <v>3.630330722828664E-2</v>
      </c>
      <c r="BG358" s="248">
        <f t="shared" si="158"/>
        <v>4.4782171647633359E-2</v>
      </c>
      <c r="BH358" s="248">
        <f t="shared" si="158"/>
        <v>4.6128950345751867E-2</v>
      </c>
      <c r="BI358" s="248">
        <f t="shared" si="158"/>
        <v>4.435720141744972E-2</v>
      </c>
      <c r="BJ358" s="248">
        <f t="shared" si="158"/>
        <v>3.9654552088320132E-2</v>
      </c>
      <c r="BK358" s="248">
        <f t="shared" si="158"/>
        <v>3.6647308569399309E-2</v>
      </c>
      <c r="BL358" s="248">
        <f t="shared" si="158"/>
        <v>3.3390737169681731E-2</v>
      </c>
      <c r="BM358" s="248">
        <f t="shared" si="158"/>
        <v>2.6580286107152629E-2</v>
      </c>
      <c r="BN358" s="248">
        <f t="shared" si="158"/>
        <v>2.3215107686200387E-2</v>
      </c>
      <c r="BO358" s="248">
        <f t="shared" si="158"/>
        <v>2.1577953751247964E-2</v>
      </c>
      <c r="BP358" s="231"/>
      <c r="BQ358" s="231"/>
      <c r="BR358" s="231"/>
      <c r="BS358" s="433"/>
    </row>
    <row r="359" spans="51:71" ht="15.6">
      <c r="AY359" s="235" t="s">
        <v>1401</v>
      </c>
      <c r="AZ359" s="231" t="s">
        <v>1402</v>
      </c>
      <c r="BA359" s="534">
        <f>'7b'!BG27</f>
        <v>6</v>
      </c>
      <c r="BB359" s="231"/>
      <c r="BC359" s="223" t="s">
        <v>1403</v>
      </c>
      <c r="BD359" s="223" t="s">
        <v>87</v>
      </c>
      <c r="BE359" s="227">
        <f t="shared" ref="BE359:BO359" si="159">BE357/BE358</f>
        <v>66.988723478876821</v>
      </c>
      <c r="BF359" s="227">
        <f t="shared" si="159"/>
        <v>52.082982460010442</v>
      </c>
      <c r="BG359" s="227">
        <f t="shared" si="159"/>
        <v>47.325059988315886</v>
      </c>
      <c r="BH359" s="227">
        <f t="shared" si="159"/>
        <v>46.678303939916923</v>
      </c>
      <c r="BI359" s="227">
        <f t="shared" si="159"/>
        <v>47.534546688925893</v>
      </c>
      <c r="BJ359" s="227">
        <f t="shared" si="159"/>
        <v>50.045142365320132</v>
      </c>
      <c r="BK359" s="227">
        <f t="shared" si="159"/>
        <v>51.862942897019671</v>
      </c>
      <c r="BL359" s="227">
        <f t="shared" si="159"/>
        <v>54.057348565839796</v>
      </c>
      <c r="BM359" s="227">
        <f t="shared" si="159"/>
        <v>59.614974521666568</v>
      </c>
      <c r="BN359" s="227">
        <f t="shared" si="159"/>
        <v>62.978969270263377</v>
      </c>
      <c r="BO359" s="227">
        <f t="shared" si="159"/>
        <v>64.793758828441483</v>
      </c>
      <c r="BP359" s="231"/>
      <c r="BQ359" s="231"/>
      <c r="BR359" s="231"/>
      <c r="BS359" s="433"/>
    </row>
    <row r="360" spans="51:71" ht="15.6">
      <c r="AY360" s="235" t="s">
        <v>86</v>
      </c>
      <c r="AZ360" s="231"/>
      <c r="BA360" s="534">
        <f>'7b'!BG28</f>
        <v>6.0000000000000001E-3</v>
      </c>
      <c r="BB360" s="231"/>
      <c r="BC360" s="223" t="s">
        <v>1404</v>
      </c>
      <c r="BD360" s="223" t="s">
        <v>87</v>
      </c>
      <c r="BE360" s="244">
        <f t="shared" ref="BE360:BO360" si="160">(PI()/8)*((($BA$357^2)+(PI()^2)*(BE$338^2))*BE$343*((BE$357*COS(BE$346+BE$353))-(BE$358*SIN(BE$346+BE$353))))</f>
        <v>2.4934356098831659E-2</v>
      </c>
      <c r="BF360" s="244">
        <f t="shared" si="160"/>
        <v>7.2205919786512876E-2</v>
      </c>
      <c r="BG360" s="244">
        <f t="shared" si="160"/>
        <v>0.13936487337424747</v>
      </c>
      <c r="BH360" s="244">
        <f t="shared" si="160"/>
        <v>0.21909986790732555</v>
      </c>
      <c r="BI360" s="244">
        <f t="shared" si="160"/>
        <v>0.28313900184717461</v>
      </c>
      <c r="BJ360" s="244">
        <f t="shared" si="160"/>
        <v>0.33025229835721248</v>
      </c>
      <c r="BK360" s="244">
        <f t="shared" si="160"/>
        <v>0.34523478714343558</v>
      </c>
      <c r="BL360" s="244">
        <f t="shared" si="160"/>
        <v>0.35368028005922336</v>
      </c>
      <c r="BM360" s="244">
        <f t="shared" si="160"/>
        <v>0.34966937563379236</v>
      </c>
      <c r="BN360" s="244">
        <f t="shared" si="160"/>
        <v>0.33707328861831071</v>
      </c>
      <c r="BO360" s="244">
        <f t="shared" si="160"/>
        <v>0.3281986210831695</v>
      </c>
      <c r="BP360" s="231"/>
      <c r="BQ360" s="231"/>
      <c r="BR360" s="231"/>
      <c r="BS360" s="433"/>
    </row>
    <row r="361" spans="51:71" ht="15.6">
      <c r="AY361" s="235" t="s">
        <v>1405</v>
      </c>
      <c r="AZ361" s="231"/>
      <c r="BA361" s="534">
        <f>'7b'!BG29</f>
        <v>0.01</v>
      </c>
      <c r="BB361" s="231"/>
      <c r="BC361" s="223" t="s">
        <v>1406</v>
      </c>
      <c r="BD361" s="231" t="s">
        <v>87</v>
      </c>
      <c r="BE361" s="244">
        <f t="shared" ref="BE361:BO361" si="161">(PI()/8)*(PI()*BE338*(($BA$357^2)+(PI()^2)*(BE$338^2))*BE$343*((BE$357*SIN(BE$346+BE$353))+(BE$358*COS(BE$346+BE$353))))</f>
        <v>1.7200595862747178E-2</v>
      </c>
      <c r="BF361" s="244">
        <f t="shared" si="161"/>
        <v>5.3510895315228221E-2</v>
      </c>
      <c r="BG361" s="244">
        <f t="shared" si="161"/>
        <v>0.10859241704321848</v>
      </c>
      <c r="BH361" s="244">
        <f t="shared" si="161"/>
        <v>0.17679363056871</v>
      </c>
      <c r="BI361" s="244">
        <f t="shared" si="161"/>
        <v>0.22972784920340455</v>
      </c>
      <c r="BJ361" s="244">
        <f t="shared" si="161"/>
        <v>0.26587804572593993</v>
      </c>
      <c r="BK361" s="244">
        <f t="shared" si="161"/>
        <v>0.27557899260684993</v>
      </c>
      <c r="BL361" s="244">
        <f t="shared" si="161"/>
        <v>0.27909326430896153</v>
      </c>
      <c r="BM361" s="244">
        <f t="shared" si="161"/>
        <v>0.26735588354743844</v>
      </c>
      <c r="BN361" s="244">
        <f t="shared" si="161"/>
        <v>0.25265322666414669</v>
      </c>
      <c r="BO361" s="244">
        <f t="shared" si="161"/>
        <v>0.24333338875217064</v>
      </c>
      <c r="BP361" s="231"/>
      <c r="BQ361" s="231"/>
      <c r="BR361" s="231"/>
      <c r="BS361" s="433"/>
    </row>
    <row r="362" spans="51:71">
      <c r="AY362" s="235" t="s">
        <v>1407</v>
      </c>
      <c r="AZ362" s="231"/>
      <c r="BA362" s="534">
        <f>'7b'!BG30</f>
        <v>0.15</v>
      </c>
      <c r="BB362" s="231"/>
      <c r="BC362" s="231"/>
      <c r="BD362" s="231"/>
      <c r="BE362" s="231"/>
      <c r="BF362" s="244">
        <f>0.5*(BF338-BE338)*(BF360+BE360)</f>
        <v>4.8570137942672252E-3</v>
      </c>
      <c r="BG362" s="244">
        <f>0.5*(BG338-BF338)*(BG360+BF360)</f>
        <v>1.057853965803802E-2</v>
      </c>
      <c r="BH362" s="244">
        <f>0.5*(BH338-BG338)*(BH360+BG360)</f>
        <v>1.7923237064078647E-2</v>
      </c>
      <c r="BI362" s="244">
        <f>0.5*(BI338-BH338)*(BI360+BH360)</f>
        <v>2.5111943487725004E-2</v>
      </c>
      <c r="BJ362" s="244">
        <f>0.5*(BJ338-BF338)*(BJ360+BF360)</f>
        <v>8.0491643628745058E-2</v>
      </c>
      <c r="BK362" s="244">
        <f>0.5*(BK338-BJ338)*(BK360+BJ360)</f>
        <v>1.6887177137516217E-2</v>
      </c>
      <c r="BL362" s="244">
        <f>0.5*(BL338-BK338)*(BL360+BK360)</f>
        <v>1.7472876680066488E-2</v>
      </c>
      <c r="BM362" s="244">
        <f>0.5*(BM338-BK338)*(BM360+BK360)</f>
        <v>5.2117812208292098E-2</v>
      </c>
      <c r="BN362" s="244">
        <f>0.5*(BN338-BM338)*(BN360+BM360)</f>
        <v>1.7168566606302553E-2</v>
      </c>
      <c r="BO362" s="244">
        <f>0.5*(BO338-BN338)*(BO360+BN360)</f>
        <v>8.3158988712685091E-3</v>
      </c>
      <c r="BP362" s="231"/>
      <c r="BQ362" s="231"/>
      <c r="BR362" s="231"/>
      <c r="BS362" s="433"/>
    </row>
    <row r="363" spans="51:71">
      <c r="AY363" s="246" t="s">
        <v>1408</v>
      </c>
      <c r="AZ363" s="223" t="s">
        <v>165</v>
      </c>
      <c r="BA363" s="534">
        <f>'7b'!BG31</f>
        <v>-43.052736791726751</v>
      </c>
      <c r="BB363" s="231"/>
      <c r="BC363" s="231"/>
      <c r="BD363" s="231"/>
      <c r="BE363" s="231"/>
      <c r="BF363" s="244">
        <f>0.5*(BF338-BE338)*(BF361+BE361)</f>
        <v>3.5355745588987694E-3</v>
      </c>
      <c r="BG363" s="244">
        <f>0.5*(BG338-BF338)*(BG361+BF361)</f>
        <v>8.1051656179223393E-3</v>
      </c>
      <c r="BH363" s="244">
        <f>0.5*(BH338-BG338)*(BH361+BG361)</f>
        <v>1.4269302380596422E-2</v>
      </c>
      <c r="BI363" s="244">
        <f>0.5*(BI338-BH338)*(BI361+BH361)</f>
        <v>2.0326073988605722E-2</v>
      </c>
      <c r="BJ363" s="244">
        <f>0.5*(BJ338-BF338)*(BJ361+BF361)</f>
        <v>6.387778820823363E-2</v>
      </c>
      <c r="BK363" s="244">
        <f>0.5*(BK338-BJ338)*(BK361+BJ361)</f>
        <v>1.353642595831976E-2</v>
      </c>
      <c r="BL363" s="244">
        <f>0.5*(BL338-BK338)*(BL361+BK361)</f>
        <v>1.3866806422895299E-2</v>
      </c>
      <c r="BM363" s="244">
        <f>0.5*(BM338-BK338)*(BM361+BK361)</f>
        <v>4.0720115711571636E-2</v>
      </c>
      <c r="BN363" s="244">
        <f>0.5*(BN338-BM338)*(BN361+BM361)</f>
        <v>1.3000227755289612E-2</v>
      </c>
      <c r="BO363" s="244">
        <f>0.5*(BO338-BN338)*(BO361+BN361)</f>
        <v>6.199832692703972E-3</v>
      </c>
      <c r="BP363" s="231"/>
      <c r="BQ363" s="231"/>
      <c r="BR363" s="231"/>
      <c r="BS363" s="433"/>
    </row>
    <row r="364" spans="51:71" ht="13.8" thickBot="1">
      <c r="AY364" s="235"/>
      <c r="AZ364" s="231"/>
      <c r="BA364" s="231"/>
      <c r="BB364" s="231"/>
      <c r="BC364" s="231"/>
      <c r="BD364" s="231"/>
      <c r="BE364" s="231"/>
      <c r="BF364" s="231"/>
      <c r="BG364" s="231"/>
      <c r="BH364" s="231"/>
      <c r="BI364" s="231"/>
      <c r="BJ364" s="231"/>
      <c r="BK364" s="231"/>
      <c r="BL364" s="231"/>
      <c r="BM364" s="231"/>
      <c r="BN364" s="231"/>
      <c r="BO364" s="231"/>
      <c r="BP364" s="231"/>
      <c r="BQ364" s="231"/>
      <c r="BR364" s="231"/>
      <c r="BS364" s="433"/>
    </row>
    <row r="365" spans="51:71" ht="17.399999999999999">
      <c r="AY365" s="401" t="s">
        <v>1409</v>
      </c>
      <c r="AZ365" s="402"/>
      <c r="BA365" s="403"/>
      <c r="BB365" s="231"/>
      <c r="BC365" s="231"/>
      <c r="BD365" s="231"/>
      <c r="BE365" s="231"/>
      <c r="BF365" s="231"/>
      <c r="BG365" s="231"/>
      <c r="BH365" s="231"/>
      <c r="BI365" s="231"/>
      <c r="BJ365" s="231"/>
      <c r="BK365" s="231"/>
      <c r="BL365" s="231"/>
      <c r="BM365" s="231"/>
      <c r="BN365" s="231"/>
      <c r="BO365" s="231"/>
      <c r="BP365" s="231"/>
      <c r="BQ365" s="231"/>
      <c r="BR365" s="231"/>
      <c r="BS365" s="433"/>
    </row>
    <row r="366" spans="51:71" ht="15.6">
      <c r="AY366" s="404" t="s">
        <v>641</v>
      </c>
      <c r="AZ366" s="405" t="s">
        <v>90</v>
      </c>
      <c r="BA366" s="406" t="s">
        <v>91</v>
      </c>
      <c r="BB366" s="231"/>
      <c r="BC366" s="231"/>
      <c r="BD366" s="231"/>
      <c r="BE366" s="231"/>
      <c r="BF366" s="231"/>
      <c r="BG366" s="231"/>
      <c r="BH366" s="231"/>
      <c r="BI366" s="231"/>
      <c r="BJ366" s="231"/>
      <c r="BK366" s="231"/>
      <c r="BL366" s="231"/>
      <c r="BM366" s="231"/>
      <c r="BN366" s="231"/>
      <c r="BO366" s="231"/>
      <c r="BP366" s="231"/>
      <c r="BQ366" s="1045"/>
      <c r="BR366" s="1046"/>
      <c r="BS366" s="1047"/>
    </row>
    <row r="367" spans="51:71">
      <c r="AY367" s="216" t="s">
        <v>1384</v>
      </c>
      <c r="AZ367" s="217" t="s">
        <v>87</v>
      </c>
      <c r="BA367" s="218">
        <f>BA350</f>
        <v>2</v>
      </c>
      <c r="BB367" s="231"/>
      <c r="BC367" s="231"/>
      <c r="BD367" s="231"/>
      <c r="BE367" s="231"/>
      <c r="BF367" s="231"/>
      <c r="BG367" s="231"/>
      <c r="BH367" s="231"/>
      <c r="BI367" s="231"/>
      <c r="BJ367" s="231"/>
      <c r="BK367" s="231"/>
      <c r="BL367" s="231"/>
      <c r="BM367" s="231"/>
      <c r="BN367" s="231"/>
      <c r="BO367" s="231"/>
      <c r="BP367" s="231"/>
      <c r="BQ367" s="1048"/>
      <c r="BR367" s="1046"/>
      <c r="BS367" s="1047"/>
    </row>
    <row r="368" spans="51:71">
      <c r="AY368" s="216" t="s">
        <v>1385</v>
      </c>
      <c r="AZ368" s="217" t="s">
        <v>188</v>
      </c>
      <c r="BA368" s="218">
        <f>BA351</f>
        <v>6</v>
      </c>
      <c r="BB368" s="231"/>
      <c r="BC368" s="231"/>
      <c r="BD368" s="231"/>
      <c r="BE368" s="231"/>
      <c r="BF368" s="231"/>
      <c r="BG368" s="231"/>
      <c r="BH368" s="231"/>
      <c r="BI368" s="231"/>
      <c r="BJ368" s="231"/>
      <c r="BK368" s="231"/>
      <c r="BL368" s="231"/>
      <c r="BM368" s="231"/>
      <c r="BN368" s="231"/>
      <c r="BO368" s="231"/>
      <c r="BP368" s="231"/>
      <c r="BQ368" s="1048"/>
      <c r="BR368" s="239"/>
      <c r="BS368" s="693"/>
    </row>
    <row r="369" spans="51:71">
      <c r="AY369" s="216" t="s">
        <v>1386</v>
      </c>
      <c r="AZ369" s="217" t="s">
        <v>1387</v>
      </c>
      <c r="BA369" s="218">
        <f>BA352</f>
        <v>1731.5439653981284</v>
      </c>
      <c r="BB369" s="231"/>
      <c r="BC369" s="231"/>
      <c r="BD369" s="231"/>
      <c r="BE369" s="231"/>
      <c r="BF369" s="231"/>
      <c r="BG369" s="231"/>
      <c r="BH369" s="231"/>
      <c r="BI369" s="231"/>
      <c r="BJ369" s="231"/>
      <c r="BK369" s="231"/>
      <c r="BL369" s="231"/>
      <c r="BM369" s="231"/>
      <c r="BN369" s="231"/>
      <c r="BO369" s="231"/>
      <c r="BP369" s="231"/>
      <c r="BQ369" s="1048"/>
      <c r="BR369" s="239"/>
      <c r="BS369" s="693"/>
    </row>
    <row r="370" spans="51:71" ht="15.6">
      <c r="AY370" s="129" t="s">
        <v>1410</v>
      </c>
      <c r="AZ370" s="122" t="s">
        <v>165</v>
      </c>
      <c r="BA370" s="408">
        <f>BK349</f>
        <v>35.760591041524179</v>
      </c>
      <c r="BB370" s="231"/>
      <c r="BC370" s="231"/>
      <c r="BD370" s="231"/>
      <c r="BE370" s="231"/>
      <c r="BF370" s="231"/>
      <c r="BG370" s="231"/>
      <c r="BH370" s="231"/>
      <c r="BI370" s="231"/>
      <c r="BJ370" s="231"/>
      <c r="BK370" s="231"/>
      <c r="BL370" s="231"/>
      <c r="BM370" s="231"/>
      <c r="BN370" s="231"/>
      <c r="BO370" s="231"/>
      <c r="BP370" s="231"/>
      <c r="BQ370" s="1048"/>
      <c r="BR370" s="239"/>
      <c r="BS370" s="693"/>
    </row>
    <row r="371" spans="51:71">
      <c r="AY371" s="129" t="s">
        <v>1408</v>
      </c>
      <c r="AZ371" s="122" t="s">
        <v>165</v>
      </c>
      <c r="BA371" s="408">
        <f>BA363</f>
        <v>-43.052736791726751</v>
      </c>
      <c r="BB371" s="231"/>
      <c r="BC371" s="231"/>
      <c r="BD371" s="231"/>
      <c r="BE371" s="231"/>
      <c r="BF371" s="231"/>
      <c r="BG371" s="231"/>
      <c r="BH371" s="231"/>
      <c r="BI371" s="231"/>
      <c r="BJ371" s="231"/>
      <c r="BK371" s="231"/>
      <c r="BL371" s="231"/>
      <c r="BM371" s="231"/>
      <c r="BN371" s="231"/>
      <c r="BO371" s="231"/>
      <c r="BP371" s="231"/>
      <c r="BQ371" s="1048"/>
      <c r="BR371" s="239"/>
      <c r="BS371" s="693"/>
    </row>
    <row r="372" spans="51:71">
      <c r="AY372" s="129" t="s">
        <v>1411</v>
      </c>
      <c r="AZ372" s="122" t="s">
        <v>619</v>
      </c>
      <c r="BA372" s="408">
        <f>BA381/((PI()/4)*(BA351^2))</f>
        <v>22.769209284948342</v>
      </c>
      <c r="BB372" s="231"/>
      <c r="BC372" s="231"/>
      <c r="BD372" s="231"/>
      <c r="BE372" s="231"/>
      <c r="BF372" s="231"/>
      <c r="BG372" s="231"/>
      <c r="BH372" s="231"/>
      <c r="BI372" s="231"/>
      <c r="BJ372" s="231"/>
      <c r="BK372" s="231"/>
      <c r="BL372" s="231"/>
      <c r="BM372" s="231"/>
      <c r="BN372" s="231"/>
      <c r="BO372" s="231"/>
      <c r="BP372" s="231"/>
      <c r="BQ372" s="1048"/>
      <c r="BR372" s="239"/>
      <c r="BS372" s="693"/>
    </row>
    <row r="373" spans="51:71">
      <c r="AY373" s="129" t="s">
        <v>1412</v>
      </c>
      <c r="AZ373" s="122" t="s">
        <v>87</v>
      </c>
      <c r="BA373" s="411">
        <f>BA350*BK340/(PI()*(BA351/2))</f>
        <v>8.3765759522050176E-2</v>
      </c>
      <c r="BB373" s="231"/>
      <c r="BC373" s="231"/>
      <c r="BD373" s="231"/>
      <c r="BE373" s="231"/>
      <c r="BF373" s="227"/>
      <c r="BG373" s="1049"/>
      <c r="BH373" s="231"/>
      <c r="BI373" s="231"/>
      <c r="BJ373" s="231"/>
      <c r="BK373" s="231"/>
      <c r="BL373" s="231"/>
      <c r="BM373" s="231"/>
      <c r="BN373" s="231"/>
      <c r="BO373" s="231"/>
      <c r="BP373" s="231"/>
      <c r="BQ373" s="1048"/>
      <c r="BR373" s="239"/>
      <c r="BS373" s="693"/>
    </row>
    <row r="374" spans="51:71">
      <c r="AY374" s="216" t="s">
        <v>33</v>
      </c>
      <c r="AZ374" s="217" t="s">
        <v>188</v>
      </c>
      <c r="BA374" s="413">
        <f>BA339</f>
        <v>0</v>
      </c>
      <c r="BB374" s="231"/>
      <c r="BC374" s="231"/>
      <c r="BD374" s="231"/>
      <c r="BE374" s="231"/>
      <c r="BF374" s="451"/>
      <c r="BG374" s="1049"/>
      <c r="BH374" s="231"/>
      <c r="BI374" s="231"/>
      <c r="BJ374" s="231"/>
      <c r="BK374" s="231"/>
      <c r="BL374" s="231"/>
      <c r="BM374" s="231"/>
      <c r="BN374" s="231"/>
      <c r="BO374" s="231"/>
      <c r="BP374" s="231"/>
      <c r="BQ374" s="1048"/>
      <c r="BR374" s="239"/>
      <c r="BS374" s="693"/>
    </row>
    <row r="375" spans="51:71">
      <c r="AY375" s="216" t="s">
        <v>1366</v>
      </c>
      <c r="AZ375" s="217" t="s">
        <v>648</v>
      </c>
      <c r="BA375" s="218">
        <f>BA340</f>
        <v>0</v>
      </c>
      <c r="BB375" s="231"/>
      <c r="BC375" s="231"/>
      <c r="BD375" s="231"/>
      <c r="BE375" s="231"/>
      <c r="BF375" s="231"/>
      <c r="BG375" s="231"/>
      <c r="BH375" s="231"/>
      <c r="BI375" s="231"/>
      <c r="BJ375" s="231"/>
      <c r="BK375" s="231"/>
      <c r="BL375" s="231"/>
      <c r="BM375" s="231"/>
      <c r="BN375" s="231"/>
      <c r="BO375" s="231"/>
      <c r="BP375" s="231"/>
      <c r="BQ375" s="1048"/>
      <c r="BR375" s="239"/>
      <c r="BS375" s="693"/>
    </row>
    <row r="376" spans="51:71">
      <c r="AY376" s="216" t="s">
        <v>1381</v>
      </c>
      <c r="AZ376" s="122" t="s">
        <v>1026</v>
      </c>
      <c r="BA376" s="218">
        <f>BA347</f>
        <v>54</v>
      </c>
      <c r="BB376" s="231"/>
      <c r="BC376" s="231"/>
      <c r="BD376" s="231"/>
      <c r="BE376" s="231"/>
      <c r="BF376" s="231"/>
      <c r="BG376" s="231"/>
      <c r="BH376" s="231"/>
      <c r="BI376" s="231"/>
      <c r="BJ376" s="231"/>
      <c r="BK376" s="231"/>
      <c r="BL376" s="231"/>
      <c r="BM376" s="231"/>
      <c r="BN376" s="231"/>
      <c r="BO376" s="231"/>
      <c r="BP376" s="231"/>
      <c r="BQ376" s="1048"/>
      <c r="BR376" s="239"/>
      <c r="BS376" s="693"/>
    </row>
    <row r="377" spans="51:71">
      <c r="AY377" s="129" t="s">
        <v>1413</v>
      </c>
      <c r="AZ377" s="122" t="s">
        <v>87</v>
      </c>
      <c r="BA377" s="411">
        <f>SUM(BF362:BO362)</f>
        <v>0.25092470913629983</v>
      </c>
      <c r="BB377" s="231"/>
      <c r="BC377" s="231"/>
      <c r="BD377" s="231"/>
      <c r="BE377" s="231"/>
      <c r="BF377" s="231"/>
      <c r="BG377" s="231"/>
      <c r="BH377" s="231"/>
      <c r="BI377" s="231"/>
      <c r="BJ377" s="231"/>
      <c r="BK377" s="231"/>
      <c r="BL377" s="231"/>
      <c r="BM377" s="231"/>
      <c r="BN377" s="231"/>
      <c r="BO377" s="231"/>
      <c r="BP377" s="231"/>
      <c r="BQ377" s="1048"/>
      <c r="BR377" s="239"/>
      <c r="BS377" s="693"/>
    </row>
    <row r="378" spans="51:71">
      <c r="AY378" s="129" t="s">
        <v>1414</v>
      </c>
      <c r="AZ378" s="122" t="s">
        <v>87</v>
      </c>
      <c r="BA378" s="411">
        <f>SUM(BF363:BO363)</f>
        <v>0.19743731329503716</v>
      </c>
      <c r="BB378" s="231"/>
      <c r="BC378" s="231"/>
      <c r="BD378" s="231"/>
      <c r="BE378" s="231"/>
      <c r="BF378" s="248"/>
      <c r="BG378" s="1049"/>
      <c r="BH378" s="231"/>
      <c r="BI378" s="231"/>
      <c r="BJ378" s="231"/>
      <c r="BK378" s="231"/>
      <c r="BL378" s="231"/>
      <c r="BM378" s="231"/>
      <c r="BN378" s="231"/>
      <c r="BO378" s="231"/>
      <c r="BP378" s="231"/>
      <c r="BQ378" s="1048"/>
      <c r="BR378" s="239"/>
      <c r="BS378" s="693"/>
    </row>
    <row r="379" spans="51:71">
      <c r="AY379" s="415" t="s">
        <v>1415</v>
      </c>
      <c r="AZ379" s="122" t="s">
        <v>87</v>
      </c>
      <c r="BA379" s="411">
        <f>BA377*BA357/BA378</f>
        <v>0.66942832302823629</v>
      </c>
      <c r="BB379" s="231"/>
      <c r="BC379" s="231"/>
      <c r="BD379" s="231"/>
      <c r="BE379" s="231"/>
      <c r="BF379" s="231"/>
      <c r="BG379" s="231"/>
      <c r="BH379" s="231"/>
      <c r="BI379" s="231"/>
      <c r="BJ379" s="231"/>
      <c r="BK379" s="231"/>
      <c r="BL379" s="231"/>
      <c r="BM379" s="231"/>
      <c r="BN379" s="231"/>
      <c r="BO379" s="231"/>
      <c r="BP379" s="231"/>
      <c r="BQ379" s="1048"/>
      <c r="BR379" s="239"/>
      <c r="BS379" s="693"/>
    </row>
    <row r="380" spans="51:71">
      <c r="AY380" s="129" t="s">
        <v>70</v>
      </c>
      <c r="AZ380" s="122" t="s">
        <v>1416</v>
      </c>
      <c r="BA380" s="413">
        <f>BA378*BA346*(BA353^3)*(BA351^5)/550</f>
        <v>159.47659994888301</v>
      </c>
      <c r="BB380" s="231"/>
      <c r="BC380" s="231"/>
      <c r="BD380" s="231"/>
      <c r="BE380" s="231"/>
      <c r="BF380" s="231"/>
      <c r="BG380" s="231"/>
      <c r="BH380" s="231"/>
      <c r="BI380" s="231"/>
      <c r="BJ380" s="231"/>
      <c r="BK380" s="231"/>
      <c r="BL380" s="231"/>
      <c r="BM380" s="231"/>
      <c r="BN380" s="231"/>
      <c r="BO380" s="231"/>
      <c r="BP380" s="231"/>
      <c r="BQ380" s="1048"/>
      <c r="BR380" s="239"/>
      <c r="BS380" s="693"/>
    </row>
    <row r="381" spans="51:71" ht="13.8" thickBot="1">
      <c r="AY381" s="416" t="s">
        <v>69</v>
      </c>
      <c r="AZ381" s="137" t="s">
        <v>436</v>
      </c>
      <c r="BA381" s="226">
        <f>BA377*BA346*(BA353^2)*(BA351^4)</f>
        <v>643.78422555878001</v>
      </c>
      <c r="BB381" s="231"/>
      <c r="BC381" s="231"/>
      <c r="BD381" s="231"/>
      <c r="BE381" s="231"/>
      <c r="BF381" s="227"/>
      <c r="BG381" s="1049"/>
      <c r="BH381" s="231"/>
      <c r="BI381" s="231"/>
      <c r="BJ381" s="231"/>
      <c r="BK381" s="231"/>
      <c r="BL381" s="231"/>
      <c r="BM381" s="231"/>
      <c r="BN381" s="231"/>
      <c r="BO381" s="231"/>
      <c r="BP381" s="231"/>
      <c r="BQ381" s="1048"/>
      <c r="BR381" s="239"/>
      <c r="BS381" s="693"/>
    </row>
    <row r="382" spans="51:71">
      <c r="AY382" s="235"/>
      <c r="AZ382" s="231"/>
      <c r="BA382" s="231"/>
      <c r="BB382" s="231"/>
      <c r="BC382" s="417"/>
      <c r="BD382" s="418"/>
      <c r="BE382" s="419"/>
      <c r="BF382" s="231"/>
      <c r="BG382" s="1049"/>
      <c r="BH382" s="231"/>
      <c r="BI382" s="231"/>
      <c r="BJ382" s="231"/>
      <c r="BK382" s="231"/>
      <c r="BL382" s="231"/>
      <c r="BM382" s="231"/>
      <c r="BN382" s="231"/>
      <c r="BO382" s="231"/>
      <c r="BP382" s="231"/>
      <c r="BQ382" s="1048"/>
      <c r="BR382" s="239"/>
      <c r="BS382" s="693"/>
    </row>
    <row r="383" spans="51:71">
      <c r="AY383" s="235"/>
      <c r="AZ383" s="231"/>
      <c r="BA383" s="231"/>
      <c r="BB383" s="231"/>
      <c r="BC383" s="417"/>
      <c r="BD383" s="418"/>
      <c r="BE383" s="420"/>
      <c r="BF383" s="248"/>
      <c r="BG383" s="1049"/>
      <c r="BH383" s="231"/>
      <c r="BI383" s="231"/>
      <c r="BJ383" s="231"/>
      <c r="BK383" s="231"/>
      <c r="BL383" s="231"/>
      <c r="BM383" s="231"/>
      <c r="BN383" s="231"/>
      <c r="BO383" s="231"/>
      <c r="BP383" s="231"/>
      <c r="BQ383" s="231"/>
      <c r="BR383" s="231"/>
      <c r="BS383" s="433"/>
    </row>
    <row r="384" spans="51:71">
      <c r="AY384" s="235"/>
      <c r="AZ384" s="231"/>
      <c r="BA384" s="231"/>
      <c r="BB384" s="231"/>
      <c r="BC384" s="417"/>
      <c r="BD384" s="418"/>
      <c r="BE384" s="421"/>
      <c r="BF384" s="248"/>
      <c r="BG384" s="1049"/>
      <c r="BH384" s="231"/>
      <c r="BI384" s="231"/>
      <c r="BJ384" s="231"/>
      <c r="BK384" s="231"/>
      <c r="BL384" s="231"/>
      <c r="BM384" s="231"/>
      <c r="BN384" s="231"/>
      <c r="BO384" s="231"/>
      <c r="BP384" s="231"/>
      <c r="BQ384" s="231"/>
      <c r="BR384" s="231"/>
      <c r="BS384" s="433"/>
    </row>
    <row r="385" spans="51:71">
      <c r="AY385" s="235"/>
      <c r="AZ385" s="231"/>
      <c r="BA385" s="231"/>
      <c r="BB385" s="231"/>
      <c r="BC385" s="417"/>
      <c r="BD385" s="418"/>
      <c r="BE385" s="419"/>
      <c r="BF385" s="231"/>
      <c r="BG385" s="231"/>
      <c r="BH385" s="231"/>
      <c r="BI385" s="231"/>
      <c r="BJ385" s="231"/>
      <c r="BK385" s="231"/>
      <c r="BL385" s="231"/>
      <c r="BM385" s="231"/>
      <c r="BN385" s="231"/>
      <c r="BO385" s="231"/>
      <c r="BP385" s="231"/>
      <c r="BQ385" s="231"/>
      <c r="BR385" s="231"/>
      <c r="BS385" s="433"/>
    </row>
    <row r="386" spans="51:71" ht="13.8" thickBot="1">
      <c r="AY386" s="254"/>
      <c r="AZ386" s="255"/>
      <c r="BA386" s="255"/>
      <c r="BB386" s="255"/>
      <c r="BC386" s="1050"/>
      <c r="BD386" s="1051"/>
      <c r="BE386" s="1052"/>
      <c r="BF386" s="255"/>
      <c r="BG386" s="255"/>
      <c r="BH386" s="255"/>
      <c r="BI386" s="255"/>
      <c r="BJ386" s="255"/>
      <c r="BK386" s="255"/>
      <c r="BL386" s="255"/>
      <c r="BM386" s="255"/>
      <c r="BN386" s="255"/>
      <c r="BO386" s="255"/>
      <c r="BP386" s="255"/>
      <c r="BQ386" s="255"/>
      <c r="BR386" s="255"/>
      <c r="BS386" s="446"/>
    </row>
    <row r="387" spans="51:71">
      <c r="AY387" s="303"/>
      <c r="AZ387" s="303"/>
      <c r="BA387" s="303"/>
      <c r="BB387" s="303"/>
      <c r="BC387" s="417"/>
      <c r="BD387" s="418"/>
      <c r="BE387" s="422"/>
      <c r="BF387" s="303"/>
      <c r="BG387" s="303"/>
      <c r="BH387" s="303"/>
      <c r="BI387" s="303"/>
      <c r="BJ387" s="303"/>
      <c r="BK387" s="303"/>
      <c r="BL387" s="303"/>
      <c r="BM387" s="303"/>
      <c r="BN387" s="303"/>
      <c r="BO387" s="303"/>
      <c r="BP387" s="303"/>
      <c r="BQ387" s="303"/>
      <c r="BR387" s="303"/>
      <c r="BS387" s="303"/>
    </row>
  </sheetData>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2:S64"/>
  <sheetViews>
    <sheetView topLeftCell="E9" zoomScaleNormal="80" workbookViewId="0">
      <selection activeCell="F20" sqref="F20"/>
    </sheetView>
  </sheetViews>
  <sheetFormatPr defaultColWidth="9.109375" defaultRowHeight="13.2"/>
  <cols>
    <col min="1" max="1" width="6.109375" style="303" customWidth="1"/>
    <col min="2" max="2" width="25.109375" style="303" customWidth="1"/>
    <col min="3" max="3" width="13" style="303" bestFit="1" customWidth="1"/>
    <col min="4" max="4" width="8.109375" style="303" bestFit="1" customWidth="1"/>
    <col min="5" max="5" width="40.109375" style="303" bestFit="1" customWidth="1"/>
    <col min="6" max="6" width="11" style="303" customWidth="1"/>
    <col min="7" max="7" width="9.109375" style="303"/>
    <col min="8" max="8" width="5.109375" style="303" customWidth="1"/>
    <col min="9" max="9" width="21.44140625" style="303" customWidth="1"/>
    <col min="10" max="10" width="8.109375" style="303" bestFit="1" customWidth="1"/>
    <col min="11" max="11" width="9.109375" style="303"/>
    <col min="12" max="12" width="21.44140625" style="303" bestFit="1" customWidth="1"/>
    <col min="13" max="13" width="9.77734375" style="303" bestFit="1" customWidth="1"/>
    <col min="14" max="14" width="6.77734375" style="303" customWidth="1"/>
    <col min="15" max="15" width="20.77734375" style="303" customWidth="1"/>
    <col min="16" max="16" width="9.77734375" style="303" bestFit="1" customWidth="1"/>
    <col min="17" max="17" width="6.33203125" style="303" customWidth="1"/>
    <col min="18" max="18" width="30.44140625" style="303" bestFit="1" customWidth="1"/>
    <col min="19" max="19" width="9.33203125" style="303" bestFit="1" customWidth="1"/>
    <col min="20" max="16384" width="9.109375" style="303"/>
  </cols>
  <sheetData>
    <row r="2" spans="2:19" ht="21">
      <c r="B2" s="20" t="s">
        <v>1436</v>
      </c>
    </row>
    <row r="3" spans="2:19" ht="15">
      <c r="B3" s="304" t="s">
        <v>1437</v>
      </c>
    </row>
    <row r="4" spans="2:19" ht="15.6" thickBot="1">
      <c r="B4" s="304"/>
    </row>
    <row r="5" spans="2:19" ht="15.6">
      <c r="B5" s="429" t="s">
        <v>1438</v>
      </c>
      <c r="C5" s="229"/>
      <c r="D5" s="229"/>
      <c r="E5" s="229"/>
      <c r="F5" s="229"/>
      <c r="G5" s="229"/>
      <c r="H5" s="229"/>
      <c r="I5" s="229"/>
      <c r="J5" s="229"/>
      <c r="K5" s="229"/>
      <c r="L5" s="229"/>
      <c r="M5" s="430"/>
      <c r="O5" s="429" t="s">
        <v>2760</v>
      </c>
      <c r="P5" s="229"/>
      <c r="Q5" s="229"/>
      <c r="R5" s="229"/>
      <c r="S5" s="430"/>
    </row>
    <row r="6" spans="2:19">
      <c r="B6" s="235" t="s">
        <v>1439</v>
      </c>
      <c r="C6" s="539">
        <f>'3'!AX41</f>
        <v>4.8066490496486716E-2</v>
      </c>
      <c r="D6" s="431"/>
      <c r="E6" s="231" t="s">
        <v>1440</v>
      </c>
      <c r="F6" s="432">
        <v>0.03</v>
      </c>
      <c r="G6" s="231"/>
      <c r="H6" s="239"/>
      <c r="I6" s="231"/>
      <c r="J6" s="231"/>
      <c r="K6" s="231"/>
      <c r="L6" s="231"/>
      <c r="M6" s="433"/>
      <c r="O6" s="246" t="s">
        <v>1478</v>
      </c>
      <c r="P6" s="537">
        <f>'2'!Q74</f>
        <v>1046.6057378782366</v>
      </c>
      <c r="Q6" s="231"/>
      <c r="R6" s="231" t="s">
        <v>1479</v>
      </c>
      <c r="S6" s="452">
        <f>P12*C12*(C6 + C16*P16^2 + P17 + F21)</f>
        <v>285.61786679451063</v>
      </c>
    </row>
    <row r="7" spans="2:19">
      <c r="B7" s="235" t="s">
        <v>93</v>
      </c>
      <c r="C7" s="534">
        <f>'2'!F9</f>
        <v>5.9</v>
      </c>
      <c r="D7" s="431"/>
      <c r="E7" s="231" t="s">
        <v>1441</v>
      </c>
      <c r="F7" s="537">
        <f>IF('2'!F21=1,'7a'!Q15,IF('2'!F21=2,'7b'!BG50*'7b'!Q11,IF('2'!F21=3,'7a'!Q15,IF('2'!F21=4,'7b'!BG50*'7b'!Q11,IF('2'!F21=5,'7a'!Q15,'7b'!BG50*'7b'!Q11)))))</f>
        <v>643.78422555878001</v>
      </c>
      <c r="G7" s="231"/>
      <c r="H7" s="239"/>
      <c r="I7" s="231"/>
      <c r="J7" s="231"/>
      <c r="K7" s="231"/>
      <c r="L7" s="231"/>
      <c r="M7" s="433"/>
      <c r="O7" s="246" t="s">
        <v>1454</v>
      </c>
      <c r="P7" s="251">
        <f>P6/C12</f>
        <v>9.2215846552464651</v>
      </c>
      <c r="Q7" s="231"/>
      <c r="R7" s="231" t="s">
        <v>1480</v>
      </c>
      <c r="S7" s="453">
        <f>(180/3.14159)*ASIN(-S6/P6)</f>
        <v>-15.836872514006693</v>
      </c>
    </row>
    <row r="8" spans="2:19">
      <c r="B8" s="235" t="s">
        <v>94</v>
      </c>
      <c r="C8" s="534">
        <f>'3'!Q13</f>
        <v>0.96454164658384733</v>
      </c>
      <c r="D8" s="231"/>
      <c r="E8" s="231" t="s">
        <v>1442</v>
      </c>
      <c r="F8" s="101">
        <f>1*(3.23)*SQRT(C11/1000)</f>
        <v>3.6090063139213102</v>
      </c>
      <c r="G8" s="231"/>
      <c r="H8" s="239"/>
      <c r="I8" s="231"/>
      <c r="J8" s="231"/>
      <c r="K8" s="231"/>
      <c r="L8" s="231"/>
      <c r="M8" s="433"/>
      <c r="O8" s="235" t="s">
        <v>1638</v>
      </c>
      <c r="P8" s="434">
        <v>1.3</v>
      </c>
      <c r="Q8" s="431"/>
      <c r="R8" s="231" t="s">
        <v>1482</v>
      </c>
      <c r="S8" s="454">
        <v>-18.22</v>
      </c>
    </row>
    <row r="9" spans="2:19">
      <c r="B9" s="235" t="s">
        <v>1443</v>
      </c>
      <c r="C9" s="535">
        <f>'3'!J8</f>
        <v>0</v>
      </c>
      <c r="D9" s="231"/>
      <c r="E9" s="223" t="s">
        <v>1444</v>
      </c>
      <c r="F9" s="1230">
        <f>1*'5'!D131</f>
        <v>1.1622691207345315</v>
      </c>
      <c r="G9" s="231"/>
      <c r="H9" s="239"/>
      <c r="I9" s="231"/>
      <c r="J9" s="231"/>
      <c r="K9" s="231"/>
      <c r="L9" s="231"/>
      <c r="M9" s="433"/>
      <c r="O9" s="235" t="s">
        <v>1481</v>
      </c>
      <c r="P9" s="251">
        <f>P8*SQRT( 32.2*P7*(2/(C17*P16)) )</f>
        <v>83.92691116692211</v>
      </c>
      <c r="Q9" s="231"/>
      <c r="R9" s="231" t="s">
        <v>1466</v>
      </c>
      <c r="S9" s="452">
        <f>(1.23^2)*( 32.2*P7*(2/(C17*P16)) )/(0.19*32.2)</f>
        <v>1030.6626191626913</v>
      </c>
    </row>
    <row r="10" spans="2:19">
      <c r="B10" s="235" t="s">
        <v>1445</v>
      </c>
      <c r="C10" s="536">
        <f>'9'!N14</f>
        <v>1.830240380013596</v>
      </c>
      <c r="D10" s="431"/>
      <c r="E10" s="223" t="s">
        <v>1446</v>
      </c>
      <c r="F10" s="538">
        <f>'9'!N15</f>
        <v>2.9700000000000001E-2</v>
      </c>
      <c r="G10" s="231"/>
      <c r="H10" s="239"/>
      <c r="I10" s="231"/>
      <c r="J10" s="231"/>
      <c r="K10" s="231"/>
      <c r="L10" s="231"/>
      <c r="M10" s="433"/>
      <c r="O10" s="235" t="s">
        <v>1639</v>
      </c>
      <c r="P10" s="209">
        <v>1.1499999999999999</v>
      </c>
      <c r="Q10" s="231"/>
      <c r="R10" s="231" t="s">
        <v>1468</v>
      </c>
      <c r="S10" s="455">
        <f>S9*(1-COS(S8*3.1415/180))</f>
        <v>51.671342268793758</v>
      </c>
    </row>
    <row r="11" spans="2:19">
      <c r="B11" s="235" t="s">
        <v>1447</v>
      </c>
      <c r="C11" s="537">
        <f>'2'!P44</f>
        <v>1248.4473707141719</v>
      </c>
      <c r="D11" s="431"/>
      <c r="E11" s="231" t="s">
        <v>1448</v>
      </c>
      <c r="F11" s="209">
        <v>6</v>
      </c>
      <c r="G11" s="231">
        <f>(180/PI())*ASIN(('7b'!BG50-'3'!BC15)/'2'!S21)</f>
        <v>20.939038124359307</v>
      </c>
      <c r="H11" s="239"/>
      <c r="I11" s="231"/>
      <c r="J11" s="231"/>
      <c r="K11" s="231"/>
      <c r="L11" s="231"/>
      <c r="M11" s="433"/>
      <c r="O11" s="235" t="s">
        <v>1483</v>
      </c>
      <c r="P11" s="251">
        <f>P10*SQRT( 32.2*P7*(2/(C17*P16)) )</f>
        <v>74.243036801508012</v>
      </c>
      <c r="Q11" s="231"/>
      <c r="R11" s="231" t="s">
        <v>1455</v>
      </c>
      <c r="S11" s="455">
        <f>32.2*((P15/P6) - P14)</f>
        <v>-12.880000000000003</v>
      </c>
    </row>
    <row r="12" spans="2:19">
      <c r="B12" s="235" t="s">
        <v>1449</v>
      </c>
      <c r="C12" s="537">
        <f>IF('9'!N8="slot",1.15*'4'!L15,'4'!L15)</f>
        <v>113.49521551947018</v>
      </c>
      <c r="D12" s="431"/>
      <c r="E12" s="231" t="s">
        <v>1450</v>
      </c>
      <c r="F12" s="209">
        <v>50</v>
      </c>
      <c r="G12" s="231">
        <f>ASIN(SQRT(2)/2)</f>
        <v>0.78539816339744839</v>
      </c>
      <c r="H12" s="239"/>
      <c r="I12" s="231"/>
      <c r="J12" s="231"/>
      <c r="K12" s="231"/>
      <c r="L12" s="231"/>
      <c r="M12" s="433"/>
      <c r="O12" s="235" t="s">
        <v>1484</v>
      </c>
      <c r="P12" s="251">
        <f>0.5*C17*P9^2/32.2</f>
        <v>8.3643157467654454</v>
      </c>
      <c r="Q12" s="231"/>
      <c r="R12" s="231" t="s">
        <v>1461</v>
      </c>
      <c r="S12" s="456">
        <f>C17/(2*P7)*(P14*P16 - C6 - C16*P16 - P17 - F19)</f>
        <v>2.1024110496955448E-3</v>
      </c>
    </row>
    <row r="13" spans="2:19">
      <c r="B13" s="246" t="s">
        <v>586</v>
      </c>
      <c r="C13" s="534">
        <f>'3'!J22</f>
        <v>1</v>
      </c>
      <c r="D13" s="231"/>
      <c r="E13" s="94" t="s">
        <v>1309</v>
      </c>
      <c r="F13" s="434">
        <v>1.1499999999999999</v>
      </c>
      <c r="G13" s="231"/>
      <c r="H13" s="239"/>
      <c r="I13" s="231"/>
      <c r="J13" s="231"/>
      <c r="K13" s="231"/>
      <c r="L13" s="231"/>
      <c r="M13" s="433"/>
      <c r="O13" s="235" t="s">
        <v>1485</v>
      </c>
      <c r="P13" s="251">
        <f>0.5*C17*P11^2/32.2</f>
        <v>6.5454482692883431</v>
      </c>
      <c r="Q13" s="231"/>
      <c r="R13" s="94" t="s">
        <v>1488</v>
      </c>
      <c r="S13" s="455">
        <f>S12*(P11^2)</f>
        <v>11.588549653040486</v>
      </c>
    </row>
    <row r="14" spans="2:19">
      <c r="B14" s="235"/>
      <c r="C14" s="231"/>
      <c r="D14" s="231"/>
      <c r="E14" s="231"/>
      <c r="F14" s="231"/>
      <c r="G14" s="231"/>
      <c r="H14" s="239"/>
      <c r="I14" s="231"/>
      <c r="J14" s="231"/>
      <c r="K14" s="231"/>
      <c r="L14" s="231"/>
      <c r="M14" s="433"/>
      <c r="O14" s="235" t="s">
        <v>1486</v>
      </c>
      <c r="P14" s="432">
        <v>0.4</v>
      </c>
      <c r="Q14" s="231"/>
      <c r="R14" s="94" t="s">
        <v>1490</v>
      </c>
      <c r="S14" s="455">
        <f>S11/(S11+S13)</f>
        <v>9.973283162084865</v>
      </c>
    </row>
    <row r="15" spans="2:19">
      <c r="B15" s="235"/>
      <c r="C15" s="231"/>
      <c r="D15" s="231"/>
      <c r="E15" s="231"/>
      <c r="F15" s="231"/>
      <c r="G15" s="231"/>
      <c r="H15" s="239"/>
      <c r="I15" s="231"/>
      <c r="J15" s="231"/>
      <c r="K15" s="231"/>
      <c r="L15" s="231"/>
      <c r="M15" s="433"/>
      <c r="O15" s="235" t="s">
        <v>1487</v>
      </c>
      <c r="P15" s="209">
        <v>0</v>
      </c>
      <c r="Q15" s="231"/>
      <c r="R15" s="231"/>
      <c r="S15" s="433"/>
    </row>
    <row r="16" spans="2:19">
      <c r="B16" s="235" t="s">
        <v>191</v>
      </c>
      <c r="C16" s="244">
        <f>1/(3.14159*C7*C8)</f>
        <v>5.593420867639827E-2</v>
      </c>
      <c r="D16" s="431"/>
      <c r="E16" s="223" t="s">
        <v>1451</v>
      </c>
      <c r="F16" s="248">
        <f>F7/C11</f>
        <v>0.51566789330534968</v>
      </c>
      <c r="G16" s="231"/>
      <c r="H16" s="239"/>
      <c r="I16" s="231"/>
      <c r="J16" s="231"/>
      <c r="K16" s="231"/>
      <c r="L16" s="231"/>
      <c r="M16" s="433"/>
      <c r="O16" s="235" t="s">
        <v>1489</v>
      </c>
      <c r="P16" s="539">
        <f>'9'!O14</f>
        <v>1.8632101583914</v>
      </c>
      <c r="Q16" s="231"/>
      <c r="R16" s="440" t="s">
        <v>1492</v>
      </c>
      <c r="S16" s="457">
        <f>(S10-50)/TAN(S8*3.14159/180)</f>
        <v>-5.07744690441407</v>
      </c>
    </row>
    <row r="17" spans="2:19">
      <c r="B17" s="235" t="s">
        <v>1452</v>
      </c>
      <c r="C17" s="244">
        <f>IF(C9&lt;10000,(1-0.00002615*C9)*0.076474,IF(C9&gt;40000,(-0.0000091*C9+0.6211)*0.076474,(-0.00001681*C9+0.9066)*0.076474))</f>
        <v>7.6474E-2</v>
      </c>
      <c r="D17" s="231"/>
      <c r="E17" s="223" t="s">
        <v>1453</v>
      </c>
      <c r="F17" s="248">
        <f>F16*((C13-1)/C13)</f>
        <v>0</v>
      </c>
      <c r="G17" s="231"/>
      <c r="H17" s="239"/>
      <c r="I17" s="231"/>
      <c r="J17" s="231"/>
      <c r="K17" s="231"/>
      <c r="L17" s="231"/>
      <c r="M17" s="433"/>
      <c r="O17" s="246" t="s">
        <v>1491</v>
      </c>
      <c r="P17" s="540">
        <f>'9'!O15</f>
        <v>4.9005000000000007E-2</v>
      </c>
      <c r="Q17" s="231"/>
      <c r="R17" s="440" t="s">
        <v>1472</v>
      </c>
      <c r="S17" s="457">
        <f>-S9*SIN(S8*3.14159/180)</f>
        <v>322.25341320483398</v>
      </c>
    </row>
    <row r="18" spans="2:19">
      <c r="B18" s="235" t="s">
        <v>1454</v>
      </c>
      <c r="C18" s="227">
        <f>C11/C12</f>
        <v>11</v>
      </c>
      <c r="D18" s="231"/>
      <c r="E18" s="231" t="s">
        <v>1455</v>
      </c>
      <c r="F18" s="227">
        <f>32.174*(F16-F6)</f>
        <v>15.625878799206319</v>
      </c>
      <c r="G18" s="231"/>
      <c r="H18" s="239"/>
      <c r="I18" s="231"/>
      <c r="J18" s="231"/>
      <c r="K18" s="231"/>
      <c r="L18" s="231"/>
      <c r="M18" s="433"/>
      <c r="O18" s="249" t="s">
        <v>1309</v>
      </c>
      <c r="P18" s="434">
        <v>1.1499999999999999</v>
      </c>
      <c r="Q18" s="231"/>
      <c r="R18" s="440" t="s">
        <v>1493</v>
      </c>
      <c r="S18" s="457">
        <f>3*P11</f>
        <v>222.72911040452402</v>
      </c>
    </row>
    <row r="19" spans="2:19">
      <c r="B19" s="235" t="s">
        <v>1449</v>
      </c>
      <c r="C19" s="227">
        <f>C11/C18</f>
        <v>113.49521551947018</v>
      </c>
      <c r="D19" s="231"/>
      <c r="E19" s="223" t="s">
        <v>1456</v>
      </c>
      <c r="F19" s="248">
        <f>F8*F9/C12</f>
        <v>3.6958708576460664E-2</v>
      </c>
      <c r="G19" s="231"/>
      <c r="H19" s="239"/>
      <c r="I19" s="231"/>
      <c r="J19" s="231"/>
      <c r="K19" s="231"/>
      <c r="L19" s="231"/>
      <c r="M19" s="433"/>
      <c r="O19" s="235"/>
      <c r="P19" s="231"/>
      <c r="Q19" s="231"/>
      <c r="R19" s="440" t="s">
        <v>1494</v>
      </c>
      <c r="S19" s="457">
        <f>(0.5/S12)*LN( S11/(S11 + S12*P11^2) )</f>
        <v>546.96959336732709</v>
      </c>
    </row>
    <row r="20" spans="2:19">
      <c r="B20" s="235" t="s">
        <v>1637</v>
      </c>
      <c r="C20" s="434">
        <v>1.1000000000000001</v>
      </c>
      <c r="D20" s="231"/>
      <c r="E20" s="223" t="s">
        <v>1458</v>
      </c>
      <c r="F20" s="248">
        <f>0.00405*(C11^0.785)/C12</f>
        <v>9.6189597393798419E-3</v>
      </c>
      <c r="G20" s="231"/>
      <c r="H20" s="239"/>
      <c r="I20" s="231"/>
      <c r="J20" s="231"/>
      <c r="K20" s="231"/>
      <c r="L20" s="231"/>
      <c r="M20" s="433"/>
      <c r="O20" s="235"/>
      <c r="P20" s="231"/>
      <c r="Q20" s="231"/>
      <c r="R20" s="231"/>
      <c r="S20" s="457"/>
    </row>
    <row r="21" spans="2:19">
      <c r="B21" s="235" t="s">
        <v>1457</v>
      </c>
      <c r="C21" s="227">
        <f>C20*SQRT( 32.2*C18*(2/(C17*C10)) )</f>
        <v>78.256602952946835</v>
      </c>
      <c r="D21" s="231"/>
      <c r="E21" s="223" t="s">
        <v>1460</v>
      </c>
      <c r="F21" s="248">
        <f>F20</f>
        <v>9.6189597393798419E-3</v>
      </c>
      <c r="G21" s="231"/>
      <c r="H21" s="239"/>
      <c r="I21" s="231"/>
      <c r="J21" s="231"/>
      <c r="K21" s="231"/>
      <c r="L21" s="231"/>
      <c r="M21" s="433"/>
      <c r="O21" s="235"/>
      <c r="P21" s="231"/>
      <c r="Q21" s="231"/>
      <c r="R21" s="440" t="s">
        <v>1495</v>
      </c>
      <c r="S21" s="457">
        <f>SUM(S16:S20)</f>
        <v>1086.8746700722709</v>
      </c>
    </row>
    <row r="22" spans="2:19" ht="13.8" thickBot="1">
      <c r="B22" s="235" t="s">
        <v>1459</v>
      </c>
      <c r="C22" s="227">
        <f>0.5*C17*(C21^2)/32.2</f>
        <v>7.2722687934035894</v>
      </c>
      <c r="D22" s="231"/>
      <c r="E22" s="231" t="s">
        <v>1461</v>
      </c>
      <c r="F22" s="436">
        <f>C17/(2*C18)*(F6*C10 - C6 - C16*C10 - F10 - F19)</f>
        <v>-5.6379078235582498E-4</v>
      </c>
      <c r="G22" s="231"/>
      <c r="H22" s="231"/>
      <c r="I22" s="223" t="s">
        <v>1462</v>
      </c>
      <c r="J22" s="231"/>
      <c r="K22" s="209">
        <v>2</v>
      </c>
      <c r="L22" s="231"/>
      <c r="M22" s="433"/>
      <c r="O22" s="254"/>
      <c r="P22" s="255"/>
      <c r="Q22" s="255"/>
      <c r="R22" s="458" t="s">
        <v>1496</v>
      </c>
      <c r="S22" s="459">
        <f>P18*S21</f>
        <v>1249.9058705831114</v>
      </c>
    </row>
    <row r="23" spans="2:19" ht="15.6">
      <c r="B23" s="235"/>
      <c r="C23" s="231"/>
      <c r="D23" s="231"/>
      <c r="E23" s="94" t="s">
        <v>1463</v>
      </c>
      <c r="F23" s="437">
        <f>F22*(C21^2)</f>
        <v>-3.4527088219165347</v>
      </c>
      <c r="G23" s="231"/>
      <c r="H23" s="231"/>
      <c r="I23" s="438" t="s">
        <v>1464</v>
      </c>
      <c r="J23" s="402"/>
      <c r="K23" s="403"/>
      <c r="L23" s="231"/>
      <c r="M23" s="433"/>
    </row>
    <row r="24" spans="2:19">
      <c r="B24" s="249" t="s">
        <v>2609</v>
      </c>
      <c r="C24" s="99">
        <f>(C21/C20)/1.689</f>
        <v>42.120998413771908</v>
      </c>
      <c r="D24" s="231"/>
      <c r="E24" s="94" t="s">
        <v>1465</v>
      </c>
      <c r="F24" s="437">
        <f>(F18+F23)/F18</f>
        <v>0.77903906293629344</v>
      </c>
      <c r="G24" s="231"/>
      <c r="H24" s="231"/>
      <c r="I24" s="216"/>
      <c r="J24" s="217"/>
      <c r="K24" s="218"/>
      <c r="L24" s="231"/>
      <c r="M24" s="433"/>
      <c r="O24" s="94"/>
      <c r="P24" s="239"/>
      <c r="Q24" s="239"/>
      <c r="R24" s="239"/>
      <c r="S24" s="239"/>
    </row>
    <row r="25" spans="2:19">
      <c r="B25" s="235"/>
      <c r="C25" s="231"/>
      <c r="D25" s="231"/>
      <c r="E25" s="231" t="s">
        <v>1466</v>
      </c>
      <c r="F25" s="227">
        <f>C21^2/(0.15*32.2)</f>
        <v>1267.9287589513804</v>
      </c>
      <c r="G25" s="231"/>
      <c r="H25" s="231"/>
      <c r="I25" s="129" t="s">
        <v>507</v>
      </c>
      <c r="J25" s="122" t="s">
        <v>1467</v>
      </c>
      <c r="K25" s="439">
        <f>C11</f>
        <v>1248.4473707141719</v>
      </c>
      <c r="L25" s="231"/>
      <c r="M25" s="433"/>
      <c r="O25" s="239"/>
      <c r="P25" s="237"/>
      <c r="Q25" s="239"/>
      <c r="R25" s="239"/>
      <c r="S25" s="228"/>
    </row>
    <row r="26" spans="2:19">
      <c r="B26" s="235"/>
      <c r="C26" s="231"/>
      <c r="D26" s="231"/>
      <c r="E26" s="231" t="s">
        <v>1468</v>
      </c>
      <c r="F26" s="227">
        <f>F25*(1-COS(F11*3.14159/180))</f>
        <v>6.9458346840298608</v>
      </c>
      <c r="G26" s="231"/>
      <c r="H26" s="231"/>
      <c r="I26" s="129" t="s">
        <v>33</v>
      </c>
      <c r="J26" s="122" t="s">
        <v>188</v>
      </c>
      <c r="K26" s="413">
        <f>C9</f>
        <v>0</v>
      </c>
      <c r="L26" s="231"/>
      <c r="M26" s="433"/>
      <c r="O26" s="239"/>
      <c r="P26" s="309"/>
      <c r="Q26" s="239"/>
      <c r="R26" s="239"/>
      <c r="S26" s="309"/>
    </row>
    <row r="27" spans="2:19">
      <c r="B27" s="235"/>
      <c r="C27" s="231"/>
      <c r="D27" s="231"/>
      <c r="E27" s="231"/>
      <c r="F27" s="231"/>
      <c r="G27" s="231"/>
      <c r="H27" s="231"/>
      <c r="I27" s="129" t="s">
        <v>1469</v>
      </c>
      <c r="J27" s="122" t="s">
        <v>594</v>
      </c>
      <c r="K27" s="413">
        <f>F7/C13</f>
        <v>643.78422555878001</v>
      </c>
      <c r="L27" s="231"/>
      <c r="M27" s="433"/>
      <c r="O27" s="239"/>
      <c r="P27" s="309"/>
      <c r="Q27" s="313"/>
      <c r="R27" s="239"/>
      <c r="S27" s="239"/>
    </row>
    <row r="28" spans="2:19">
      <c r="B28" s="235"/>
      <c r="C28" s="231"/>
      <c r="D28" s="231"/>
      <c r="E28" s="440" t="s">
        <v>1470</v>
      </c>
      <c r="F28" s="227">
        <f>(0.5/F22)*LN( (F18 + F22*C21^2)/F18 )</f>
        <v>221.44215301752695</v>
      </c>
      <c r="G28" s="231"/>
      <c r="H28" s="231"/>
      <c r="I28" s="129" t="s">
        <v>616</v>
      </c>
      <c r="J28" s="122" t="s">
        <v>414</v>
      </c>
      <c r="K28" s="408">
        <f>C21/(1.2*1.689)</f>
        <v>38.610915212624249</v>
      </c>
      <c r="L28" s="231"/>
      <c r="M28" s="433"/>
      <c r="O28" s="239"/>
      <c r="P28" s="309"/>
      <c r="Q28" s="239"/>
      <c r="R28" s="239"/>
      <c r="S28" s="228"/>
    </row>
    <row r="29" spans="2:19">
      <c r="B29" s="235"/>
      <c r="C29" s="231"/>
      <c r="D29" s="231"/>
      <c r="E29" s="440" t="s">
        <v>1471</v>
      </c>
      <c r="F29" s="227">
        <f>3*C21</f>
        <v>234.76980885884052</v>
      </c>
      <c r="G29" s="231"/>
      <c r="H29" s="231"/>
      <c r="I29" s="216"/>
      <c r="J29" s="217"/>
      <c r="K29" s="218"/>
      <c r="L29" s="231"/>
      <c r="M29" s="433"/>
      <c r="O29" s="239"/>
      <c r="P29" s="239"/>
      <c r="Q29" s="239"/>
      <c r="R29" s="239"/>
      <c r="S29" s="334"/>
    </row>
    <row r="30" spans="2:19">
      <c r="B30" s="235"/>
      <c r="C30" s="231"/>
      <c r="D30" s="231"/>
      <c r="E30" s="440" t="s">
        <v>1472</v>
      </c>
      <c r="F30" s="227">
        <f>F25*SIN(F11*3.14159/180)</f>
        <v>132.53453316833742</v>
      </c>
      <c r="G30" s="231"/>
      <c r="H30" s="231"/>
      <c r="I30" s="221" t="s">
        <v>1473</v>
      </c>
      <c r="J30" s="217"/>
      <c r="K30" s="218"/>
      <c r="L30" s="231"/>
      <c r="M30" s="433"/>
      <c r="O30" s="239"/>
      <c r="P30" s="309"/>
      <c r="Q30" s="239"/>
      <c r="R30" s="239"/>
      <c r="S30" s="334"/>
    </row>
    <row r="31" spans="2:19">
      <c r="B31" s="238"/>
      <c r="C31" s="239"/>
      <c r="D31" s="239"/>
      <c r="E31" s="440" t="s">
        <v>1474</v>
      </c>
      <c r="F31" s="227">
        <f>(F12-F26)/TAN(F11*3.14159/180)</f>
        <v>409.63336863355715</v>
      </c>
      <c r="G31" s="239"/>
      <c r="H31" s="231"/>
      <c r="I31" s="129" t="s">
        <v>1475</v>
      </c>
      <c r="J31" s="122" t="s">
        <v>188</v>
      </c>
      <c r="K31" s="441">
        <f>F33</f>
        <v>1148.1368432300014</v>
      </c>
      <c r="L31" s="231"/>
      <c r="M31" s="433"/>
      <c r="O31" s="239"/>
      <c r="P31" s="309"/>
      <c r="Q31" s="239"/>
      <c r="R31" s="239"/>
      <c r="S31" s="1082"/>
    </row>
    <row r="32" spans="2:19" ht="13.8" thickBot="1">
      <c r="B32" s="238"/>
      <c r="C32" s="239"/>
      <c r="D32" s="239"/>
      <c r="E32" s="231"/>
      <c r="F32" s="231"/>
      <c r="G32" s="239"/>
      <c r="H32" s="231"/>
      <c r="I32" s="416" t="s">
        <v>625</v>
      </c>
      <c r="J32" s="137" t="s">
        <v>188</v>
      </c>
      <c r="K32" s="226">
        <f>S22</f>
        <v>1249.9058705831114</v>
      </c>
      <c r="L32" s="231"/>
      <c r="M32" s="433"/>
      <c r="O32" s="239"/>
      <c r="P32" s="309"/>
      <c r="Q32" s="239"/>
      <c r="R32" s="239"/>
      <c r="S32" s="334"/>
    </row>
    <row r="33" spans="2:19" ht="13.8">
      <c r="B33" s="238"/>
      <c r="C33" s="239"/>
      <c r="D33" s="239"/>
      <c r="E33" s="440" t="s">
        <v>1476</v>
      </c>
      <c r="F33" s="442">
        <f>IF(F31&gt;0,(F13*(F28+F29+F30+F31)),(F13*(F28+F29+F30)))</f>
        <v>1148.1368432300014</v>
      </c>
      <c r="G33" s="239"/>
      <c r="H33" s="231"/>
      <c r="I33" s="231"/>
      <c r="J33" s="231"/>
      <c r="K33" s="231"/>
      <c r="L33" s="231"/>
      <c r="M33" s="433"/>
      <c r="O33" s="239"/>
      <c r="P33" s="739"/>
      <c r="Q33" s="239"/>
      <c r="R33" s="239"/>
      <c r="S33" s="334"/>
    </row>
    <row r="34" spans="2:19" ht="13.8" thickBot="1">
      <c r="B34" s="444"/>
      <c r="C34" s="445"/>
      <c r="D34" s="445"/>
      <c r="E34" s="255"/>
      <c r="F34" s="255"/>
      <c r="G34" s="445"/>
      <c r="H34" s="255"/>
      <c r="I34" s="445"/>
      <c r="J34" s="445"/>
      <c r="K34" s="445"/>
      <c r="L34" s="255"/>
      <c r="M34" s="446"/>
      <c r="O34" s="239"/>
      <c r="P34" s="239"/>
      <c r="Q34" s="239"/>
      <c r="R34" s="239"/>
      <c r="S34" s="239"/>
    </row>
    <row r="35" spans="2:19">
      <c r="B35" s="239"/>
      <c r="C35" s="239"/>
      <c r="D35" s="239"/>
      <c r="E35" s="231"/>
      <c r="F35" s="231"/>
      <c r="G35" s="239"/>
      <c r="H35" s="231"/>
      <c r="I35" s="96"/>
      <c r="J35" s="239"/>
      <c r="K35" s="239"/>
      <c r="L35" s="231"/>
      <c r="M35" s="231"/>
      <c r="O35" s="239"/>
      <c r="P35" s="523"/>
      <c r="Q35" s="239"/>
      <c r="R35" s="96"/>
      <c r="S35" s="237"/>
    </row>
    <row r="36" spans="2:19">
      <c r="B36" s="239"/>
      <c r="C36" s="239"/>
      <c r="D36" s="239"/>
      <c r="E36" s="96"/>
      <c r="F36" s="443"/>
      <c r="G36" s="239"/>
      <c r="H36" s="231"/>
      <c r="I36" s="94"/>
      <c r="J36" s="94"/>
      <c r="K36" s="312"/>
      <c r="L36" s="231"/>
      <c r="M36" s="231"/>
      <c r="O36" s="239"/>
      <c r="P36" s="1029"/>
      <c r="Q36" s="239"/>
      <c r="R36" s="96"/>
      <c r="S36" s="237"/>
    </row>
    <row r="37" spans="2:19">
      <c r="B37" s="239" t="s">
        <v>2797</v>
      </c>
      <c r="C37" s="239">
        <f>ASIN(('7b'!BG50-'3'!BC15)/'2'!P44)</f>
        <v>0.36545515733179557</v>
      </c>
      <c r="D37" s="239" t="s">
        <v>1380</v>
      </c>
      <c r="E37" s="96"/>
      <c r="F37" s="443"/>
      <c r="G37" s="239"/>
      <c r="H37" s="231"/>
      <c r="I37" s="94"/>
      <c r="J37" s="94"/>
      <c r="K37" s="312"/>
      <c r="L37" s="231"/>
      <c r="M37" s="231"/>
      <c r="O37" s="239"/>
      <c r="P37" s="309"/>
      <c r="Q37" s="239"/>
      <c r="R37" s="96"/>
      <c r="S37" s="237"/>
    </row>
    <row r="38" spans="2:19">
      <c r="B38" s="239"/>
      <c r="C38" s="239">
        <f>C37*180/PI()</f>
        <v>20.93903811640137</v>
      </c>
      <c r="D38" s="239"/>
      <c r="E38" s="96"/>
      <c r="F38" s="443"/>
      <c r="G38" s="239"/>
      <c r="H38" s="231"/>
      <c r="I38" s="94"/>
      <c r="J38" s="94"/>
      <c r="K38" s="1153"/>
      <c r="L38" s="231"/>
      <c r="M38" s="231"/>
      <c r="O38" s="239"/>
      <c r="P38" s="239"/>
      <c r="Q38" s="239"/>
      <c r="R38" s="96"/>
      <c r="S38" s="237"/>
    </row>
    <row r="39" spans="2:19">
      <c r="B39" s="239"/>
      <c r="C39" s="239"/>
      <c r="D39" s="239"/>
      <c r="E39" s="96"/>
      <c r="F39" s="443"/>
      <c r="G39" s="239"/>
      <c r="H39" s="231"/>
      <c r="I39" s="94"/>
      <c r="J39" s="94"/>
      <c r="K39" s="1153"/>
      <c r="L39" s="231"/>
      <c r="M39" s="231"/>
      <c r="O39" s="239"/>
      <c r="P39" s="239"/>
      <c r="Q39" s="239"/>
      <c r="R39" s="239"/>
      <c r="S39" s="237"/>
    </row>
    <row r="40" spans="2:19">
      <c r="B40" s="217" t="s">
        <v>2796</v>
      </c>
      <c r="C40" s="217">
        <f>C21*SIN(C37)*60</f>
        <v>1678.0145360425111</v>
      </c>
      <c r="D40" s="239" t="s">
        <v>2798</v>
      </c>
      <c r="E40" s="96"/>
      <c r="F40" s="443"/>
      <c r="G40" s="239"/>
      <c r="H40" s="231"/>
      <c r="I40" s="231"/>
      <c r="J40" s="231"/>
      <c r="K40" s="231"/>
      <c r="L40" s="231"/>
      <c r="M40" s="231"/>
      <c r="O40" s="239"/>
      <c r="P40" s="239"/>
      <c r="Q40" s="239"/>
      <c r="R40" s="96"/>
      <c r="S40" s="237"/>
    </row>
    <row r="41" spans="2:19">
      <c r="B41" s="323"/>
      <c r="C41" s="323"/>
      <c r="D41" s="323"/>
      <c r="E41" s="447"/>
      <c r="F41" s="448"/>
      <c r="G41" s="323"/>
      <c r="O41" s="239"/>
      <c r="P41" s="239"/>
      <c r="Q41" s="239"/>
      <c r="R41" s="96"/>
      <c r="S41" s="1350"/>
    </row>
    <row r="63" spans="5:6">
      <c r="E63" s="307"/>
      <c r="F63" s="448"/>
    </row>
    <row r="64" spans="5:6">
      <c r="E64" s="307"/>
      <c r="F64" s="448"/>
    </row>
  </sheetData>
  <printOptions gridLines="1" gridLinesSet="0"/>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T173"/>
  <sheetViews>
    <sheetView zoomScale="69" zoomScaleNormal="80" workbookViewId="0">
      <selection activeCell="C51" sqref="C51"/>
    </sheetView>
  </sheetViews>
  <sheetFormatPr defaultColWidth="9.109375" defaultRowHeight="13.2"/>
  <cols>
    <col min="1" max="1" width="6.109375" style="303" customWidth="1"/>
    <col min="2" max="2" width="14.33203125" style="303" customWidth="1"/>
    <col min="3" max="3" width="17.109375" style="303" customWidth="1"/>
    <col min="4" max="5" width="15.77734375" style="239" bestFit="1" customWidth="1"/>
    <col min="6" max="6" width="11.44140625" style="303" customWidth="1"/>
    <col min="7" max="7" width="32.109375" style="303" bestFit="1" customWidth="1"/>
    <col min="8" max="8" width="6.77734375" style="303" customWidth="1"/>
    <col min="9" max="9" width="10.44140625" style="303" customWidth="1"/>
    <col min="10" max="10" width="18.6640625" style="303" customWidth="1"/>
    <col min="11" max="11" width="9.109375" style="303"/>
    <col min="12" max="12" width="7.109375" style="303" bestFit="1" customWidth="1"/>
    <col min="13" max="13" width="7.44140625" style="303" bestFit="1" customWidth="1"/>
    <col min="14" max="19" width="9.109375" style="303"/>
    <col min="20" max="20" width="13.6640625" style="303" bestFit="1" customWidth="1"/>
    <col min="21" max="16384" width="9.109375" style="303"/>
  </cols>
  <sheetData>
    <row r="2" spans="2:20" ht="21">
      <c r="B2" s="20" t="s">
        <v>1499</v>
      </c>
    </row>
    <row r="3" spans="2:20" ht="15">
      <c r="B3" s="304" t="s">
        <v>1500</v>
      </c>
    </row>
    <row r="4" spans="2:20" ht="13.8" thickBot="1"/>
    <row r="5" spans="2:20" ht="15.6">
      <c r="B5" s="465" t="s">
        <v>1501</v>
      </c>
      <c r="C5" s="465"/>
      <c r="D5" s="466"/>
      <c r="E5" s="466"/>
      <c r="F5" s="465" t="s">
        <v>90</v>
      </c>
      <c r="G5" s="465" t="s">
        <v>352</v>
      </c>
      <c r="I5" s="467" t="s">
        <v>1502</v>
      </c>
      <c r="J5" s="468"/>
      <c r="K5" s="468"/>
      <c r="L5" s="468"/>
      <c r="M5" s="468"/>
      <c r="N5" s="469"/>
      <c r="O5" s="402"/>
      <c r="P5" s="403"/>
      <c r="R5" s="321"/>
      <c r="S5" s="321"/>
      <c r="T5" s="321"/>
    </row>
    <row r="6" spans="2:20">
      <c r="B6" s="314" t="s">
        <v>1023</v>
      </c>
      <c r="C6" s="531" t="str">
        <f>'4'!E5</f>
        <v>NACA 65(4)-021</v>
      </c>
      <c r="D6" s="471" t="str">
        <f>C6</f>
        <v>NACA 65(4)-021</v>
      </c>
      <c r="E6" s="471" t="str">
        <f>D6</f>
        <v>NACA 65(4)-021</v>
      </c>
      <c r="F6" s="315" t="s">
        <v>87</v>
      </c>
      <c r="G6" s="315" t="s">
        <v>1503</v>
      </c>
      <c r="I6" s="472"/>
      <c r="J6" s="473"/>
      <c r="K6" s="473"/>
      <c r="L6" s="473"/>
      <c r="M6" s="473"/>
      <c r="N6" s="122"/>
      <c r="O6" s="217"/>
      <c r="P6" s="218"/>
      <c r="R6" s="321"/>
      <c r="S6" s="321"/>
      <c r="T6" s="321"/>
    </row>
    <row r="7" spans="2:20" ht="15.6">
      <c r="B7" s="474" t="s">
        <v>1504</v>
      </c>
      <c r="C7" s="532">
        <f>'4'!E16</f>
        <v>0</v>
      </c>
      <c r="D7" s="340">
        <f>C7</f>
        <v>0</v>
      </c>
      <c r="E7" s="340">
        <f>D7</f>
        <v>0</v>
      </c>
      <c r="F7" s="314" t="s">
        <v>165</v>
      </c>
      <c r="G7" s="315" t="s">
        <v>1505</v>
      </c>
      <c r="H7" s="324"/>
      <c r="I7" s="476"/>
      <c r="J7" s="477"/>
      <c r="K7" s="478" t="s">
        <v>1506</v>
      </c>
      <c r="L7" s="478" t="s">
        <v>1507</v>
      </c>
      <c r="M7" s="478" t="s">
        <v>1508</v>
      </c>
      <c r="N7" s="479" t="s">
        <v>624</v>
      </c>
      <c r="O7" s="480" t="s">
        <v>625</v>
      </c>
      <c r="P7" s="481" t="s">
        <v>90</v>
      </c>
      <c r="R7" s="321"/>
      <c r="S7" s="321"/>
      <c r="T7" s="321"/>
    </row>
    <row r="8" spans="2:20">
      <c r="B8" s="474" t="s">
        <v>182</v>
      </c>
      <c r="C8" s="532">
        <f>'4'!L8</f>
        <v>1</v>
      </c>
      <c r="D8" s="340">
        <f t="shared" ref="D8:E21" si="0">C8</f>
        <v>1</v>
      </c>
      <c r="E8" s="340">
        <f t="shared" si="0"/>
        <v>1</v>
      </c>
      <c r="F8" s="315" t="s">
        <v>87</v>
      </c>
      <c r="G8" s="315" t="s">
        <v>1509</v>
      </c>
      <c r="H8" s="324"/>
      <c r="I8" s="472" t="s">
        <v>1510</v>
      </c>
      <c r="J8" s="217"/>
      <c r="K8" s="482" t="str">
        <f>C24</f>
        <v>plain</v>
      </c>
      <c r="L8" s="482" t="str">
        <f>D24</f>
        <v>plain</v>
      </c>
      <c r="M8" s="482" t="str">
        <f>E24</f>
        <v>plain</v>
      </c>
      <c r="N8" s="483" t="str">
        <f t="shared" ref="N8:O10" si="1">M8</f>
        <v>plain</v>
      </c>
      <c r="O8" s="483" t="str">
        <f t="shared" si="1"/>
        <v>plain</v>
      </c>
      <c r="P8" s="484" t="s">
        <v>87</v>
      </c>
      <c r="R8" s="321"/>
      <c r="S8" s="321"/>
      <c r="T8" s="321"/>
    </row>
    <row r="9" spans="2:20">
      <c r="B9" s="314" t="s">
        <v>838</v>
      </c>
      <c r="C9" s="532">
        <f>'4'!L10</f>
        <v>0.21</v>
      </c>
      <c r="D9" s="340">
        <f t="shared" si="0"/>
        <v>0.21</v>
      </c>
      <c r="E9" s="340">
        <f t="shared" si="0"/>
        <v>0.21</v>
      </c>
      <c r="F9" s="315" t="s">
        <v>87</v>
      </c>
      <c r="G9" s="315" t="s">
        <v>1511</v>
      </c>
      <c r="H9" s="324"/>
      <c r="I9" s="485" t="s">
        <v>1512</v>
      </c>
      <c r="J9" s="217"/>
      <c r="K9" s="482" t="str">
        <f>IF(C83&gt;0,"Yes","No")</f>
        <v>No</v>
      </c>
      <c r="L9" s="482" t="str">
        <f>IF(D83&gt;0,"Yes","No")</f>
        <v>No</v>
      </c>
      <c r="M9" s="482" t="str">
        <f>IF(E83&gt;0,"Yes","No")</f>
        <v>No</v>
      </c>
      <c r="N9" s="483" t="str">
        <f t="shared" si="1"/>
        <v>No</v>
      </c>
      <c r="O9" s="483" t="str">
        <f t="shared" si="1"/>
        <v>No</v>
      </c>
      <c r="P9" s="484" t="s">
        <v>87</v>
      </c>
      <c r="R9" s="321"/>
      <c r="S9" s="321"/>
      <c r="T9" s="321"/>
    </row>
    <row r="10" spans="2:20">
      <c r="B10" s="314" t="s">
        <v>1513</v>
      </c>
      <c r="C10" s="533">
        <f>1.2*'3'!U9</f>
        <v>8.1522808931001889E-2</v>
      </c>
      <c r="D10" s="340">
        <f t="shared" si="0"/>
        <v>8.1522808931001889E-2</v>
      </c>
      <c r="E10" s="340">
        <f t="shared" si="0"/>
        <v>8.1522808931001889E-2</v>
      </c>
      <c r="F10" s="315" t="s">
        <v>87</v>
      </c>
      <c r="G10" s="315" t="s">
        <v>1514</v>
      </c>
      <c r="H10" s="324"/>
      <c r="I10" s="129" t="s">
        <v>1515</v>
      </c>
      <c r="J10" s="217"/>
      <c r="K10" s="486">
        <f>C25</f>
        <v>0.36</v>
      </c>
      <c r="L10" s="486">
        <f t="shared" ref="L10:M13" si="2">D25</f>
        <v>0.36</v>
      </c>
      <c r="M10" s="486">
        <f t="shared" si="2"/>
        <v>0.36</v>
      </c>
      <c r="N10" s="486">
        <f t="shared" si="1"/>
        <v>0.36</v>
      </c>
      <c r="O10" s="486">
        <f t="shared" si="1"/>
        <v>0.36</v>
      </c>
      <c r="P10" s="484" t="str">
        <f>F25</f>
        <v xml:space="preserve"> -</v>
      </c>
      <c r="R10" s="321"/>
      <c r="S10" s="321"/>
      <c r="T10" s="321"/>
    </row>
    <row r="11" spans="2:20">
      <c r="B11" s="474" t="s">
        <v>189</v>
      </c>
      <c r="C11" s="342">
        <v>0.99498743710661997</v>
      </c>
      <c r="D11" s="340">
        <f t="shared" si="0"/>
        <v>0.99498743710661997</v>
      </c>
      <c r="E11" s="340">
        <f t="shared" si="0"/>
        <v>0.99498743710661997</v>
      </c>
      <c r="F11" s="315" t="s">
        <v>87</v>
      </c>
      <c r="G11" s="314"/>
      <c r="H11" s="251"/>
      <c r="I11" s="129" t="s">
        <v>1516</v>
      </c>
      <c r="J11" s="217"/>
      <c r="K11" s="486">
        <f>C26</f>
        <v>20</v>
      </c>
      <c r="L11" s="486">
        <f t="shared" si="2"/>
        <v>40</v>
      </c>
      <c r="M11" s="486">
        <f t="shared" si="2"/>
        <v>60</v>
      </c>
      <c r="N11" s="434">
        <v>40</v>
      </c>
      <c r="O11" s="434">
        <v>55</v>
      </c>
      <c r="P11" s="484" t="str">
        <f>F26</f>
        <v>deg</v>
      </c>
      <c r="R11" s="321"/>
      <c r="S11" s="321"/>
      <c r="T11" s="321"/>
    </row>
    <row r="12" spans="2:20">
      <c r="B12" s="314" t="s">
        <v>93</v>
      </c>
      <c r="C12" s="532">
        <f>'2'!F9</f>
        <v>5.9</v>
      </c>
      <c r="D12" s="340">
        <f t="shared" si="0"/>
        <v>5.9</v>
      </c>
      <c r="E12" s="340">
        <f t="shared" si="0"/>
        <v>5.9</v>
      </c>
      <c r="F12" s="315" t="s">
        <v>87</v>
      </c>
      <c r="G12" s="315" t="s">
        <v>1517</v>
      </c>
      <c r="H12" s="487"/>
      <c r="I12" s="129" t="s">
        <v>1518</v>
      </c>
      <c r="J12" s="217"/>
      <c r="K12" s="486">
        <f>C27</f>
        <v>0.2</v>
      </c>
      <c r="L12" s="486">
        <f t="shared" si="2"/>
        <v>0.2</v>
      </c>
      <c r="M12" s="486">
        <f t="shared" si="2"/>
        <v>0.2</v>
      </c>
      <c r="N12" s="486">
        <f>M12</f>
        <v>0.2</v>
      </c>
      <c r="O12" s="486">
        <f>N12</f>
        <v>0.2</v>
      </c>
      <c r="P12" s="484" t="str">
        <f>F27</f>
        <v xml:space="preserve"> -</v>
      </c>
      <c r="R12" s="321"/>
      <c r="S12" s="321"/>
      <c r="T12" s="321"/>
    </row>
    <row r="13" spans="2:20" ht="15.6">
      <c r="B13" s="488" t="s">
        <v>1519</v>
      </c>
      <c r="C13" s="532">
        <f>'4'!E19</f>
        <v>0</v>
      </c>
      <c r="D13" s="340">
        <f t="shared" si="0"/>
        <v>0</v>
      </c>
      <c r="E13" s="340">
        <f t="shared" si="0"/>
        <v>0</v>
      </c>
      <c r="F13" s="314" t="s">
        <v>165</v>
      </c>
      <c r="G13" s="315" t="s">
        <v>1520</v>
      </c>
      <c r="H13" s="251"/>
      <c r="I13" s="129" t="s">
        <v>1521</v>
      </c>
      <c r="J13" s="217"/>
      <c r="K13" s="486">
        <f>C28</f>
        <v>0.36</v>
      </c>
      <c r="L13" s="486">
        <f t="shared" si="2"/>
        <v>0.36</v>
      </c>
      <c r="M13" s="486">
        <f t="shared" si="2"/>
        <v>0.36</v>
      </c>
      <c r="N13" s="486">
        <f>M13</f>
        <v>0.36</v>
      </c>
      <c r="O13" s="486">
        <f>N13</f>
        <v>0.36</v>
      </c>
      <c r="P13" s="484" t="str">
        <f>F28</f>
        <v xml:space="preserve"> -</v>
      </c>
      <c r="R13" s="321"/>
      <c r="S13" s="321"/>
      <c r="T13" s="321"/>
    </row>
    <row r="14" spans="2:20" ht="15.6">
      <c r="B14" s="314" t="s">
        <v>1522</v>
      </c>
      <c r="C14" s="533">
        <f>'4'!E7</f>
        <v>0.1</v>
      </c>
      <c r="D14" s="340">
        <f t="shared" si="0"/>
        <v>0.1</v>
      </c>
      <c r="E14" s="340">
        <f t="shared" si="0"/>
        <v>0.1</v>
      </c>
      <c r="F14" s="314" t="s">
        <v>1021</v>
      </c>
      <c r="G14" s="315" t="s">
        <v>1503</v>
      </c>
      <c r="H14" s="324"/>
      <c r="I14" s="485" t="s">
        <v>1523</v>
      </c>
      <c r="J14" s="217"/>
      <c r="K14" s="489">
        <f>C85</f>
        <v>1.7459618786766371</v>
      </c>
      <c r="L14" s="489">
        <f>D85</f>
        <v>1.830240380013596</v>
      </c>
      <c r="M14" s="489">
        <f>E85</f>
        <v>1.8742000845173348</v>
      </c>
      <c r="N14" s="490">
        <f>IF(N$11&gt;=$K$11,IF(N$11&gt;=$L$11,($L14+(((N$11-$L$11)/($M$11-$L$11))*($M14-$L14))),($K14+(((N$11-$K$11)/($L$11-$K$11))*($L14-$K14)))))</f>
        <v>1.830240380013596</v>
      </c>
      <c r="O14" s="490">
        <f>IF(O$11&gt;=$K$11,IF(O$11&gt;=$L$11,($L14+(((O$11-$L$11)/($M$11-$L$11))*($M14-$L14))),($K14+(((O$11-$K$11)/($L$11-$K$11))*($L14-$K14)))))</f>
        <v>1.8632101583914</v>
      </c>
      <c r="P14" s="491" t="s">
        <v>87</v>
      </c>
      <c r="R14" s="542"/>
      <c r="S14" s="542"/>
      <c r="T14" s="542"/>
    </row>
    <row r="15" spans="2:20" ht="15.6">
      <c r="B15" s="314" t="s">
        <v>1524</v>
      </c>
      <c r="C15" s="533">
        <f>'4'!M35</f>
        <v>7.8795989605121131E-2</v>
      </c>
      <c r="D15" s="340">
        <f t="shared" si="0"/>
        <v>7.8795989605121131E-2</v>
      </c>
      <c r="E15" s="340">
        <f t="shared" si="0"/>
        <v>7.8795989605121131E-2</v>
      </c>
      <c r="F15" s="314" t="s">
        <v>1021</v>
      </c>
      <c r="G15" s="315" t="s">
        <v>1525</v>
      </c>
      <c r="H15" s="332"/>
      <c r="I15" s="485" t="s">
        <v>1526</v>
      </c>
      <c r="J15" s="217"/>
      <c r="K15" s="492">
        <f>C90</f>
        <v>1.188E-2</v>
      </c>
      <c r="L15" s="492">
        <f>D90</f>
        <v>2.9700000000000001E-2</v>
      </c>
      <c r="M15" s="492">
        <f>E90</f>
        <v>5.544000000000001E-2</v>
      </c>
      <c r="N15" s="493">
        <f>IF(N$11&gt;=K$11,IF(N$11&gt;=L$11,(L15+(((N$11-L$11)/(M$11-L$11))*(M15-L15))),(K15+(((N$11-K$11)/(L$11-K$11))*(L15-K15)))))</f>
        <v>2.9700000000000001E-2</v>
      </c>
      <c r="O15" s="493">
        <f>IF(O$11&gt;=$K$11,IF(O$11&gt;=$L$11,($L15+(((O$11-$L$11)/($M$11-$L$11))*($M15-$L15))),($K15+(((O$11-$K$11)/($L$11-$K$11))*($L15-$K15)))))</f>
        <v>4.9005000000000007E-2</v>
      </c>
      <c r="P15" s="494" t="s">
        <v>87</v>
      </c>
      <c r="R15" s="542"/>
      <c r="S15" s="542"/>
      <c r="T15" s="542"/>
    </row>
    <row r="16" spans="2:20" ht="16.2" thickBot="1">
      <c r="B16" s="474" t="s">
        <v>1527</v>
      </c>
      <c r="C16" s="532">
        <f>'4'!E9</f>
        <v>0</v>
      </c>
      <c r="D16" s="340">
        <f t="shared" si="0"/>
        <v>0</v>
      </c>
      <c r="E16" s="340">
        <f t="shared" si="0"/>
        <v>0</v>
      </c>
      <c r="F16" s="315" t="s">
        <v>165</v>
      </c>
      <c r="G16" s="315" t="s">
        <v>1503</v>
      </c>
      <c r="H16" s="251"/>
      <c r="I16" s="495"/>
      <c r="J16" s="496"/>
      <c r="K16" s="496"/>
      <c r="L16" s="497"/>
      <c r="M16" s="498"/>
      <c r="N16" s="499"/>
      <c r="O16" s="225"/>
      <c r="P16" s="500"/>
    </row>
    <row r="17" spans="2:17" ht="15.6">
      <c r="B17" s="314" t="s">
        <v>1528</v>
      </c>
      <c r="C17" s="532">
        <f>'4'!E6</f>
        <v>1.4</v>
      </c>
      <c r="D17" s="340">
        <f t="shared" si="0"/>
        <v>1.4</v>
      </c>
      <c r="E17" s="340">
        <f t="shared" si="0"/>
        <v>1.4</v>
      </c>
      <c r="F17" s="315" t="s">
        <v>87</v>
      </c>
      <c r="G17" s="315" t="s">
        <v>1503</v>
      </c>
      <c r="H17" s="251"/>
      <c r="I17" s="94"/>
      <c r="J17" s="501"/>
      <c r="K17" s="94"/>
      <c r="L17" s="502"/>
      <c r="M17" s="94"/>
      <c r="N17" s="503"/>
    </row>
    <row r="18" spans="2:17" ht="15.6">
      <c r="B18" s="474" t="s">
        <v>1529</v>
      </c>
      <c r="C18" s="475">
        <v>18</v>
      </c>
      <c r="D18" s="340">
        <f t="shared" si="0"/>
        <v>18</v>
      </c>
      <c r="E18" s="340">
        <f t="shared" si="0"/>
        <v>18</v>
      </c>
      <c r="F18" s="315" t="s">
        <v>165</v>
      </c>
      <c r="G18" s="315" t="s">
        <v>1503</v>
      </c>
      <c r="H18" s="251"/>
      <c r="I18" s="94"/>
      <c r="J18" s="94"/>
      <c r="K18" s="94"/>
      <c r="L18" s="99"/>
      <c r="M18" s="94"/>
      <c r="N18" s="503"/>
    </row>
    <row r="19" spans="2:17">
      <c r="B19" s="315" t="s">
        <v>1530</v>
      </c>
      <c r="C19" s="532">
        <f>'8'!C12</f>
        <v>113.49521551947018</v>
      </c>
      <c r="D19" s="342">
        <f t="shared" si="0"/>
        <v>113.49521551947018</v>
      </c>
      <c r="E19" s="342">
        <f t="shared" si="0"/>
        <v>113.49521551947018</v>
      </c>
      <c r="F19" s="319" t="s">
        <v>826</v>
      </c>
      <c r="G19" s="319" t="s">
        <v>1531</v>
      </c>
      <c r="H19" s="251"/>
    </row>
    <row r="20" spans="2:17">
      <c r="B20" s="319" t="s">
        <v>1532</v>
      </c>
      <c r="C20" s="532">
        <f>'5'!T6</f>
        <v>3.25</v>
      </c>
      <c r="D20" s="340">
        <f t="shared" si="0"/>
        <v>3.25</v>
      </c>
      <c r="E20" s="340">
        <f t="shared" si="0"/>
        <v>3.25</v>
      </c>
      <c r="F20" s="319" t="s">
        <v>188</v>
      </c>
      <c r="G20" s="319" t="s">
        <v>1533</v>
      </c>
      <c r="H20" s="251"/>
    </row>
    <row r="21" spans="2:17">
      <c r="B21" s="319" t="s">
        <v>1534</v>
      </c>
      <c r="C21" s="475">
        <v>2.5</v>
      </c>
      <c r="D21" s="340">
        <f t="shared" si="0"/>
        <v>2.5</v>
      </c>
      <c r="E21" s="340">
        <f t="shared" si="0"/>
        <v>2.5</v>
      </c>
      <c r="F21" s="319" t="s">
        <v>188</v>
      </c>
      <c r="G21" s="319" t="s">
        <v>1535</v>
      </c>
      <c r="H21" s="324"/>
    </row>
    <row r="22" spans="2:17">
      <c r="B22" s="236"/>
      <c r="C22" s="504"/>
      <c r="D22" s="504"/>
      <c r="E22" s="504"/>
      <c r="F22" s="223"/>
      <c r="G22" s="231"/>
    </row>
    <row r="23" spans="2:17" ht="13.8">
      <c r="B23" s="465" t="s">
        <v>1536</v>
      </c>
      <c r="C23" s="319"/>
      <c r="D23" s="316"/>
      <c r="E23" s="316"/>
      <c r="F23" s="314"/>
      <c r="G23" s="314"/>
      <c r="H23" s="231"/>
    </row>
    <row r="24" spans="2:17">
      <c r="B24" s="314" t="s">
        <v>1537</v>
      </c>
      <c r="C24" s="470" t="s">
        <v>2789</v>
      </c>
      <c r="D24" s="471" t="str">
        <f>C24</f>
        <v>plain</v>
      </c>
      <c r="E24" s="471" t="str">
        <f>D24</f>
        <v>plain</v>
      </c>
      <c r="F24" s="315" t="s">
        <v>87</v>
      </c>
      <c r="G24" s="315" t="s">
        <v>1538</v>
      </c>
      <c r="H24" s="231"/>
    </row>
    <row r="25" spans="2:17" ht="15.6">
      <c r="B25" s="315" t="s">
        <v>1539</v>
      </c>
      <c r="C25" s="475">
        <f>0.36</f>
        <v>0.36</v>
      </c>
      <c r="D25" s="342">
        <f>C25</f>
        <v>0.36</v>
      </c>
      <c r="E25" s="342">
        <f>D25</f>
        <v>0.36</v>
      </c>
      <c r="F25" s="315" t="s">
        <v>87</v>
      </c>
      <c r="G25" s="315" t="s">
        <v>1540</v>
      </c>
      <c r="H25" s="251"/>
    </row>
    <row r="26" spans="2:17" ht="15.6">
      <c r="B26" s="474" t="s">
        <v>1541</v>
      </c>
      <c r="C26" s="475">
        <v>20</v>
      </c>
      <c r="D26" s="505">
        <v>40</v>
      </c>
      <c r="E26" s="505">
        <v>60</v>
      </c>
      <c r="F26" s="314" t="s">
        <v>165</v>
      </c>
      <c r="G26" s="315" t="s">
        <v>1540</v>
      </c>
      <c r="H26" s="251"/>
    </row>
    <row r="27" spans="2:17" ht="15.6">
      <c r="B27" s="314" t="s">
        <v>1542</v>
      </c>
      <c r="C27" s="475">
        <v>0.2</v>
      </c>
      <c r="D27" s="342">
        <f>C27</f>
        <v>0.2</v>
      </c>
      <c r="E27" s="342">
        <f>D27</f>
        <v>0.2</v>
      </c>
      <c r="F27" s="315" t="s">
        <v>87</v>
      </c>
      <c r="G27" s="315" t="s">
        <v>1540</v>
      </c>
      <c r="H27" s="251"/>
    </row>
    <row r="28" spans="2:17">
      <c r="B28" s="319" t="s">
        <v>1543</v>
      </c>
      <c r="C28" s="475">
        <v>0.36</v>
      </c>
      <c r="D28" s="342">
        <f>C28</f>
        <v>0.36</v>
      </c>
      <c r="E28" s="342">
        <f>D28</f>
        <v>0.36</v>
      </c>
      <c r="F28" s="315" t="s">
        <v>87</v>
      </c>
      <c r="G28" s="315" t="s">
        <v>1540</v>
      </c>
      <c r="H28" s="251"/>
      <c r="I28" s="338"/>
      <c r="L28" s="94"/>
    </row>
    <row r="29" spans="2:17">
      <c r="B29" s="231"/>
      <c r="C29" s="343"/>
      <c r="D29" s="343"/>
      <c r="E29" s="343"/>
      <c r="F29" s="231"/>
      <c r="G29" s="231"/>
      <c r="H29" s="231"/>
      <c r="I29" s="334"/>
      <c r="L29" s="334"/>
    </row>
    <row r="30" spans="2:17">
      <c r="B30" s="440" t="s">
        <v>1544</v>
      </c>
      <c r="C30" s="343"/>
      <c r="D30" s="343"/>
      <c r="E30" s="343"/>
      <c r="F30" s="231"/>
      <c r="G30" s="231"/>
      <c r="H30" s="231"/>
      <c r="I30" s="334"/>
      <c r="L30" s="334"/>
      <c r="Q30" s="335" t="s">
        <v>1545</v>
      </c>
    </row>
    <row r="31" spans="2:17">
      <c r="B31" s="440" t="s">
        <v>1546</v>
      </c>
      <c r="C31" s="96" t="s">
        <v>1546</v>
      </c>
      <c r="D31" s="96"/>
      <c r="E31" s="96"/>
      <c r="F31" s="231"/>
      <c r="G31" s="231"/>
      <c r="H31" s="231"/>
      <c r="I31" s="239"/>
      <c r="L31" s="239"/>
    </row>
    <row r="32" spans="2:17">
      <c r="B32" s="506" t="s">
        <v>1547</v>
      </c>
      <c r="C32" s="507">
        <v>0.88</v>
      </c>
      <c r="D32" s="508">
        <v>0.6</v>
      </c>
      <c r="E32" s="508">
        <v>0.51</v>
      </c>
      <c r="F32" s="509" t="s">
        <v>87</v>
      </c>
      <c r="G32" s="315" t="s">
        <v>1548</v>
      </c>
      <c r="H32" s="231"/>
      <c r="I32" s="231"/>
      <c r="L32" s="231"/>
    </row>
    <row r="33" spans="2:14" ht="15.6">
      <c r="B33" s="314" t="s">
        <v>1549</v>
      </c>
      <c r="C33" s="475">
        <v>3.8</v>
      </c>
      <c r="D33" s="319">
        <f>C33</f>
        <v>3.8</v>
      </c>
      <c r="E33" s="319">
        <f>D33</f>
        <v>3.8</v>
      </c>
      <c r="F33" s="509" t="s">
        <v>1550</v>
      </c>
      <c r="G33" s="315" t="s">
        <v>1551</v>
      </c>
      <c r="H33" s="231"/>
      <c r="I33" s="231"/>
      <c r="J33" s="231"/>
      <c r="K33" s="231"/>
      <c r="L33" s="231"/>
    </row>
    <row r="34" spans="2:14" ht="15.6">
      <c r="B34" s="474" t="s">
        <v>1552</v>
      </c>
      <c r="C34" s="342">
        <f>-(PI()/180)*C33*C32*C26/C14</f>
        <v>-11.672762037338073</v>
      </c>
      <c r="D34" s="342">
        <f>-(PI()/180)*D33*D32*D26/D14</f>
        <v>-15.917402778188283</v>
      </c>
      <c r="E34" s="342">
        <f>-(PI()/180)*E33*E32*E26/E14</f>
        <v>-20.294688542190062</v>
      </c>
      <c r="F34" s="510" t="s">
        <v>165</v>
      </c>
      <c r="G34" s="314"/>
      <c r="H34" s="251"/>
      <c r="I34" s="231"/>
      <c r="J34" s="231"/>
      <c r="K34" s="231"/>
      <c r="L34" s="231"/>
    </row>
    <row r="35" spans="2:14">
      <c r="B35" s="231"/>
      <c r="C35" s="343"/>
      <c r="D35" s="343"/>
      <c r="E35" s="343"/>
      <c r="F35" s="231"/>
      <c r="G35" s="231"/>
      <c r="H35" s="231"/>
      <c r="I35" s="231"/>
      <c r="J35" s="231"/>
      <c r="K35" s="231"/>
      <c r="L35" s="231"/>
    </row>
    <row r="36" spans="2:14">
      <c r="B36" s="440" t="s">
        <v>1553</v>
      </c>
      <c r="C36" s="96" t="s">
        <v>1553</v>
      </c>
      <c r="D36" s="96"/>
      <c r="E36" s="96"/>
      <c r="F36" s="231"/>
      <c r="G36" s="231"/>
      <c r="H36" s="231"/>
      <c r="I36" s="231"/>
      <c r="J36" s="231"/>
      <c r="K36" s="231"/>
      <c r="L36" s="231"/>
    </row>
    <row r="37" spans="2:14" ht="15.6">
      <c r="B37" s="315" t="s">
        <v>1554</v>
      </c>
      <c r="C37" s="507">
        <v>-0.42</v>
      </c>
      <c r="D37" s="310">
        <v>-0.33</v>
      </c>
      <c r="E37" s="310">
        <v>-0.2</v>
      </c>
      <c r="F37" s="509" t="s">
        <v>1555</v>
      </c>
      <c r="G37" s="315" t="s">
        <v>1556</v>
      </c>
      <c r="H37" s="231"/>
      <c r="I37" s="231"/>
      <c r="J37" s="231"/>
      <c r="K37" s="231"/>
      <c r="L37" s="231"/>
      <c r="N37" s="335" t="s">
        <v>1545</v>
      </c>
    </row>
    <row r="38" spans="2:14" ht="15.6">
      <c r="B38" s="474" t="s">
        <v>1552</v>
      </c>
      <c r="C38" s="342">
        <f>C26*C37</f>
        <v>-8.4</v>
      </c>
      <c r="D38" s="322">
        <f>D26*D37</f>
        <v>-13.200000000000001</v>
      </c>
      <c r="E38" s="322">
        <f>E26*E37</f>
        <v>-12</v>
      </c>
      <c r="F38" s="510" t="s">
        <v>165</v>
      </c>
      <c r="G38" s="314"/>
      <c r="H38" s="251"/>
      <c r="I38" s="231"/>
      <c r="J38" s="231"/>
      <c r="K38" s="231"/>
      <c r="L38" s="231"/>
    </row>
    <row r="39" spans="2:14" ht="22.8">
      <c r="B39" s="236"/>
      <c r="C39" s="94"/>
      <c r="F39" s="231"/>
      <c r="G39" s="231"/>
      <c r="H39" s="231"/>
      <c r="I39" s="1351" t="s">
        <v>2761</v>
      </c>
      <c r="J39" s="231"/>
      <c r="K39" s="231"/>
      <c r="L39" s="231"/>
    </row>
    <row r="40" spans="2:14">
      <c r="B40" s="440" t="s">
        <v>1557</v>
      </c>
      <c r="C40" s="96" t="s">
        <v>1557</v>
      </c>
      <c r="D40" s="96"/>
      <c r="E40" s="96"/>
      <c r="F40" s="231"/>
      <c r="G40" s="231"/>
      <c r="H40" s="231"/>
      <c r="I40" s="231"/>
      <c r="J40" s="231"/>
      <c r="K40" s="231"/>
      <c r="L40" s="231"/>
    </row>
    <row r="41" spans="2:14">
      <c r="B41" s="315" t="s">
        <v>191</v>
      </c>
      <c r="C41" s="511">
        <v>1</v>
      </c>
      <c r="D41" s="316">
        <f>C41</f>
        <v>1</v>
      </c>
      <c r="E41" s="316">
        <f>D41</f>
        <v>1</v>
      </c>
      <c r="F41" s="509" t="s">
        <v>87</v>
      </c>
      <c r="G41" s="315" t="s">
        <v>1558</v>
      </c>
      <c r="H41" s="231"/>
      <c r="I41" s="231"/>
      <c r="J41" s="231"/>
      <c r="K41" s="231"/>
      <c r="L41" s="231"/>
    </row>
    <row r="42" spans="2:14">
      <c r="B42" s="474" t="s">
        <v>1559</v>
      </c>
      <c r="C42" s="507">
        <v>0.7</v>
      </c>
      <c r="D42" s="310">
        <v>1.1200000000000001</v>
      </c>
      <c r="E42" s="310">
        <v>1.35</v>
      </c>
      <c r="F42" s="509" t="s">
        <v>87</v>
      </c>
      <c r="G42" s="315" t="s">
        <v>1560</v>
      </c>
      <c r="H42" s="231"/>
      <c r="I42" s="231"/>
      <c r="J42" s="231"/>
      <c r="K42" s="231"/>
      <c r="L42" s="231"/>
    </row>
    <row r="43" spans="2:14" ht="15.6">
      <c r="B43" s="474" t="s">
        <v>1552</v>
      </c>
      <c r="C43" s="342">
        <f>-C41*C42/C14</f>
        <v>-6.9999999999999991</v>
      </c>
      <c r="D43" s="322">
        <f>-D41*D42/D14</f>
        <v>-11.200000000000001</v>
      </c>
      <c r="E43" s="322">
        <f>-E41*E42/E14</f>
        <v>-13.5</v>
      </c>
      <c r="F43" s="510" t="s">
        <v>165</v>
      </c>
      <c r="G43" s="314"/>
      <c r="H43" s="251"/>
      <c r="I43" s="231"/>
      <c r="J43" s="231"/>
      <c r="K43" s="231"/>
      <c r="L43" s="231"/>
    </row>
    <row r="44" spans="2:14">
      <c r="B44" s="236"/>
      <c r="C44" s="94"/>
      <c r="F44" s="231"/>
      <c r="G44" s="231"/>
      <c r="H44" s="231"/>
      <c r="I44" s="231"/>
      <c r="J44" s="231"/>
      <c r="K44" s="231"/>
      <c r="L44" s="231"/>
    </row>
    <row r="45" spans="2:14">
      <c r="B45" s="440" t="s">
        <v>1561</v>
      </c>
      <c r="C45" s="94"/>
      <c r="F45" s="231"/>
      <c r="G45" s="231"/>
      <c r="H45" s="231"/>
      <c r="I45" s="231"/>
      <c r="J45" s="231"/>
      <c r="K45" s="231"/>
      <c r="L45" s="231"/>
    </row>
    <row r="46" spans="2:14" ht="15.6">
      <c r="B46" s="314" t="s">
        <v>1562</v>
      </c>
      <c r="C46" s="475">
        <v>0</v>
      </c>
      <c r="D46" s="512">
        <f>C46</f>
        <v>0</v>
      </c>
      <c r="E46" s="512">
        <f>D46</f>
        <v>0</v>
      </c>
      <c r="F46" s="510"/>
      <c r="G46" s="315" t="s">
        <v>1563</v>
      </c>
      <c r="H46" s="227"/>
      <c r="I46" s="231"/>
      <c r="J46" s="231"/>
      <c r="K46" s="231"/>
      <c r="L46" s="231"/>
    </row>
    <row r="47" spans="2:14" ht="26.4">
      <c r="B47" s="314" t="s">
        <v>1564</v>
      </c>
      <c r="C47" s="342">
        <f>4/((1+C46)*COS(PI()*C7/180))</f>
        <v>4</v>
      </c>
      <c r="D47" s="322">
        <f>4/((1+D46)*COS(PI()*D7/180))</f>
        <v>4</v>
      </c>
      <c r="E47" s="322">
        <f>4/((1+E46)*COS(PI()*E7/180))</f>
        <v>4</v>
      </c>
      <c r="F47" s="513" t="str">
        <f>IF(C12-C47&gt;0,"High","Low")</f>
        <v>High</v>
      </c>
      <c r="G47" s="514" t="s">
        <v>1565</v>
      </c>
      <c r="H47" s="251"/>
      <c r="I47" s="231"/>
      <c r="J47" s="231"/>
      <c r="K47" s="231"/>
      <c r="L47" s="231"/>
    </row>
    <row r="48" spans="2:14">
      <c r="B48" s="231"/>
      <c r="C48" s="94"/>
      <c r="F48" s="231"/>
      <c r="G48" s="231"/>
      <c r="H48" s="231"/>
      <c r="I48" s="231"/>
      <c r="J48" s="231"/>
      <c r="K48" s="231"/>
      <c r="L48" s="231"/>
    </row>
    <row r="49" spans="2:14">
      <c r="B49" s="440" t="s">
        <v>1566</v>
      </c>
      <c r="C49" s="94"/>
      <c r="F49" s="231"/>
      <c r="G49" s="440"/>
      <c r="H49" s="231"/>
      <c r="I49" s="231"/>
      <c r="J49" s="231"/>
      <c r="K49" s="231"/>
      <c r="L49" s="231"/>
    </row>
    <row r="50" spans="2:14">
      <c r="B50" s="474" t="s">
        <v>1567</v>
      </c>
      <c r="C50" s="507">
        <v>3.9</v>
      </c>
      <c r="D50" s="316">
        <f>C50</f>
        <v>3.9</v>
      </c>
      <c r="E50" s="316">
        <f>D50</f>
        <v>3.9</v>
      </c>
      <c r="F50" s="510" t="s">
        <v>1477</v>
      </c>
      <c r="G50" s="315" t="s">
        <v>1568</v>
      </c>
      <c r="H50" s="231"/>
      <c r="I50" s="231"/>
      <c r="J50" s="231"/>
      <c r="K50" s="231"/>
      <c r="L50" s="231"/>
    </row>
    <row r="51" spans="2:14" ht="15.6">
      <c r="B51" s="314" t="s">
        <v>1569</v>
      </c>
      <c r="C51" s="507">
        <v>0.9</v>
      </c>
      <c r="D51" s="316">
        <f>C51</f>
        <v>0.9</v>
      </c>
      <c r="E51" s="316">
        <f>D51</f>
        <v>0.9</v>
      </c>
      <c r="F51" s="509" t="s">
        <v>87</v>
      </c>
      <c r="G51" s="315" t="s">
        <v>1570</v>
      </c>
      <c r="H51" s="231"/>
      <c r="I51" s="223"/>
      <c r="J51" s="223"/>
      <c r="K51" s="223"/>
      <c r="L51" s="223"/>
      <c r="M51" s="335"/>
      <c r="N51" s="335"/>
    </row>
    <row r="52" spans="2:14" ht="15.6">
      <c r="B52" s="315" t="s">
        <v>1571</v>
      </c>
      <c r="C52" s="319">
        <f>C51*C17</f>
        <v>1.26</v>
      </c>
      <c r="D52" s="314">
        <f>D51*D17</f>
        <v>1.26</v>
      </c>
      <c r="E52" s="314">
        <f>E51*E17</f>
        <v>1.26</v>
      </c>
      <c r="F52" s="509" t="s">
        <v>87</v>
      </c>
      <c r="G52" s="314"/>
      <c r="H52" s="231"/>
      <c r="I52" s="223"/>
      <c r="J52" s="223"/>
      <c r="K52" s="223"/>
      <c r="L52" s="223"/>
      <c r="M52" s="335"/>
      <c r="N52" s="335"/>
    </row>
    <row r="53" spans="2:14" s="335" customFormat="1" ht="15.6">
      <c r="B53" s="474" t="s">
        <v>1572</v>
      </c>
      <c r="C53" s="507">
        <v>2.1</v>
      </c>
      <c r="D53" s="316">
        <f>C53</f>
        <v>2.1</v>
      </c>
      <c r="E53" s="316">
        <f>D53</f>
        <v>2.1</v>
      </c>
      <c r="F53" s="510" t="s">
        <v>165</v>
      </c>
      <c r="G53" s="315" t="s">
        <v>1573</v>
      </c>
      <c r="H53" s="223"/>
      <c r="I53" s="231"/>
      <c r="J53" s="231"/>
      <c r="K53" s="231"/>
      <c r="L53" s="231"/>
      <c r="M53" s="303"/>
      <c r="N53" s="303"/>
    </row>
    <row r="54" spans="2:14" s="335" customFormat="1" ht="15.6">
      <c r="B54" s="474" t="s">
        <v>1529</v>
      </c>
      <c r="C54" s="342">
        <f>C52/C15 + C16 + C53</f>
        <v>18.090661533846767</v>
      </c>
      <c r="D54" s="322">
        <f>D52/D15 + D16 + D53</f>
        <v>18.090661533846767</v>
      </c>
      <c r="E54" s="322">
        <f>E52/E15 + E16 + E53</f>
        <v>18.090661533846767</v>
      </c>
      <c r="F54" s="510" t="s">
        <v>165</v>
      </c>
      <c r="G54" s="314"/>
      <c r="H54" s="515"/>
      <c r="I54" s="231"/>
      <c r="J54" s="231"/>
      <c r="K54" s="231"/>
      <c r="L54" s="231"/>
      <c r="M54" s="303"/>
      <c r="N54" s="303"/>
    </row>
    <row r="55" spans="2:14">
      <c r="B55" s="236"/>
      <c r="C55" s="94"/>
      <c r="F55" s="231"/>
      <c r="G55" s="231"/>
      <c r="H55" s="231"/>
      <c r="I55" s="231"/>
      <c r="J55" s="231"/>
      <c r="K55" s="231"/>
      <c r="L55" s="231"/>
    </row>
    <row r="56" spans="2:14">
      <c r="B56" s="440" t="s">
        <v>1574</v>
      </c>
      <c r="C56" s="94"/>
      <c r="D56" s="94"/>
      <c r="E56" s="94"/>
      <c r="F56" s="223"/>
      <c r="G56" s="223"/>
      <c r="H56" s="231"/>
      <c r="I56" s="231"/>
      <c r="J56" s="231"/>
      <c r="K56" s="231"/>
      <c r="L56" s="231"/>
    </row>
    <row r="57" spans="2:14">
      <c r="B57" s="315" t="s">
        <v>1575</v>
      </c>
      <c r="C57" s="330">
        <f>(C46+1)*(C12/C11)*COS(C7*PI()/180)</f>
        <v>5.9297231100293519</v>
      </c>
      <c r="D57" s="516">
        <f>(D46+1)*(D12/D11)*COS(D7*PI()/180)</f>
        <v>5.9297231100293519</v>
      </c>
      <c r="E57" s="516">
        <f>(E46+1)*(E12/E11)*COS(E7*PI()/180)</f>
        <v>5.9297231100293519</v>
      </c>
      <c r="F57" s="509" t="s">
        <v>87</v>
      </c>
      <c r="G57" s="315"/>
      <c r="H57" s="248"/>
      <c r="I57" s="231"/>
      <c r="J57" s="231"/>
      <c r="K57" s="231"/>
      <c r="L57" s="231"/>
    </row>
    <row r="58" spans="2:14" ht="15.6">
      <c r="B58" s="314" t="s">
        <v>1576</v>
      </c>
      <c r="C58" s="507">
        <v>1.2</v>
      </c>
      <c r="D58" s="316">
        <f>C58</f>
        <v>1.2</v>
      </c>
      <c r="E58" s="316">
        <f>D58</f>
        <v>1.2</v>
      </c>
      <c r="F58" s="509" t="s">
        <v>87</v>
      </c>
      <c r="G58" s="315" t="s">
        <v>1577</v>
      </c>
      <c r="H58" s="231"/>
      <c r="I58" s="231"/>
      <c r="J58" s="231"/>
      <c r="K58" s="231"/>
      <c r="L58" s="231"/>
    </row>
    <row r="59" spans="2:14" ht="15.6">
      <c r="B59" s="314" t="s">
        <v>1578</v>
      </c>
      <c r="C59" s="507">
        <v>0</v>
      </c>
      <c r="D59" s="316">
        <f>C59</f>
        <v>0</v>
      </c>
      <c r="E59" s="316">
        <f>D59</f>
        <v>0</v>
      </c>
      <c r="F59" s="509" t="s">
        <v>87</v>
      </c>
      <c r="G59" s="315" t="s">
        <v>1579</v>
      </c>
      <c r="H59" s="231"/>
      <c r="I59" s="231"/>
      <c r="J59" s="231"/>
      <c r="K59" s="231"/>
      <c r="L59" s="231"/>
    </row>
    <row r="60" spans="2:14">
      <c r="B60" s="314" t="s">
        <v>1580</v>
      </c>
      <c r="C60" s="330">
        <f>(C59 + 1)*C12*TAN(C7*PI()/180)</f>
        <v>0</v>
      </c>
      <c r="D60" s="516">
        <f>(D59 + 1)*D12*TAN(D7*PI()/180)</f>
        <v>0</v>
      </c>
      <c r="E60" s="516">
        <f>(E59 + 1)*E12*TAN(E7*PI()/180)</f>
        <v>0</v>
      </c>
      <c r="F60" s="509" t="s">
        <v>87</v>
      </c>
      <c r="G60" s="314"/>
      <c r="H60" s="248"/>
      <c r="I60" s="231"/>
      <c r="J60" s="231"/>
      <c r="K60" s="231"/>
      <c r="L60" s="231"/>
    </row>
    <row r="61" spans="2:14" ht="15.6">
      <c r="B61" s="474" t="s">
        <v>1581</v>
      </c>
      <c r="C61" s="507">
        <v>-1.4999999999999999E-2</v>
      </c>
      <c r="D61" s="316">
        <f>C61</f>
        <v>-1.4999999999999999E-2</v>
      </c>
      <c r="E61" s="316">
        <f>D61</f>
        <v>-1.4999999999999999E-2</v>
      </c>
      <c r="F61" s="509" t="s">
        <v>87</v>
      </c>
      <c r="G61" s="315" t="s">
        <v>1582</v>
      </c>
      <c r="H61" s="231"/>
      <c r="I61" s="231"/>
      <c r="J61" s="231"/>
      <c r="K61" s="231"/>
      <c r="L61" s="231"/>
    </row>
    <row r="62" spans="2:14" ht="15.6">
      <c r="B62" s="314" t="s">
        <v>1571</v>
      </c>
      <c r="C62" s="319">
        <f>C58+C61</f>
        <v>1.1850000000000001</v>
      </c>
      <c r="D62" s="314">
        <f>D58+D61</f>
        <v>1.1850000000000001</v>
      </c>
      <c r="E62" s="314">
        <f>E58+E61</f>
        <v>1.1850000000000001</v>
      </c>
      <c r="F62" s="509" t="s">
        <v>87</v>
      </c>
      <c r="G62" s="314"/>
      <c r="H62" s="231"/>
      <c r="I62" s="231"/>
      <c r="J62" s="231"/>
      <c r="K62" s="231"/>
      <c r="L62" s="231"/>
    </row>
    <row r="63" spans="2:14" ht="15.6">
      <c r="B63" s="474" t="s">
        <v>1583</v>
      </c>
      <c r="C63" s="507">
        <v>34</v>
      </c>
      <c r="D63" s="316">
        <f>C63</f>
        <v>34</v>
      </c>
      <c r="E63" s="316">
        <f>D63</f>
        <v>34</v>
      </c>
      <c r="F63" s="510" t="s">
        <v>165</v>
      </c>
      <c r="G63" s="315" t="s">
        <v>1584</v>
      </c>
      <c r="H63" s="231"/>
      <c r="I63" s="440"/>
      <c r="J63" s="440"/>
      <c r="K63" s="440"/>
      <c r="L63" s="440"/>
      <c r="M63" s="307"/>
      <c r="N63" s="307"/>
    </row>
    <row r="64" spans="2:14">
      <c r="B64" s="315" t="s">
        <v>1585</v>
      </c>
      <c r="C64" s="330">
        <f>C12*COS(C7*PI()/180)*(1+(2*C8^2))</f>
        <v>17.700000000000003</v>
      </c>
      <c r="D64" s="516">
        <f>D12*COS(D7*PI()/180)*(1+(2*D8^2))</f>
        <v>17.700000000000003</v>
      </c>
      <c r="E64" s="516">
        <f>E12*COS(E7*PI()/180)*(1+(2*E8^2))</f>
        <v>17.700000000000003</v>
      </c>
      <c r="F64" s="509" t="s">
        <v>87</v>
      </c>
      <c r="G64" s="314"/>
      <c r="H64" s="248"/>
      <c r="I64" s="440"/>
      <c r="J64" s="440"/>
      <c r="K64" s="440"/>
      <c r="L64" s="440"/>
      <c r="M64" s="307"/>
      <c r="N64" s="307"/>
    </row>
    <row r="65" spans="2:14" s="307" customFormat="1" ht="15.6">
      <c r="B65" s="474" t="s">
        <v>1586</v>
      </c>
      <c r="C65" s="507">
        <v>1</v>
      </c>
      <c r="D65" s="316">
        <f>C65</f>
        <v>1</v>
      </c>
      <c r="E65" s="316">
        <f>D65</f>
        <v>1</v>
      </c>
      <c r="F65" s="510" t="s">
        <v>165</v>
      </c>
      <c r="G65" s="315" t="s">
        <v>1587</v>
      </c>
      <c r="H65" s="440"/>
      <c r="I65" s="440"/>
      <c r="J65" s="440"/>
      <c r="K65" s="440"/>
      <c r="L65" s="440"/>
    </row>
    <row r="66" spans="2:14" s="307" customFormat="1" ht="15.6">
      <c r="B66" s="474" t="s">
        <v>1529</v>
      </c>
      <c r="C66" s="319">
        <f>C63+C65</f>
        <v>35</v>
      </c>
      <c r="D66" s="314">
        <f>D63+D65</f>
        <v>35</v>
      </c>
      <c r="E66" s="314">
        <f>E63+E65</f>
        <v>35</v>
      </c>
      <c r="F66" s="510" t="s">
        <v>165</v>
      </c>
      <c r="G66" s="314"/>
      <c r="H66" s="440"/>
      <c r="I66" s="440"/>
      <c r="J66" s="440"/>
      <c r="K66" s="440"/>
      <c r="L66" s="440"/>
    </row>
    <row r="67" spans="2:14" s="307" customFormat="1">
      <c r="B67" s="236"/>
      <c r="C67" s="94"/>
      <c r="D67" s="239"/>
      <c r="E67" s="239"/>
      <c r="F67" s="231"/>
      <c r="G67" s="231"/>
      <c r="H67" s="440"/>
      <c r="I67" s="440"/>
      <c r="J67" s="440"/>
      <c r="K67" s="440"/>
      <c r="L67" s="440"/>
    </row>
    <row r="68" spans="2:14" s="307" customFormat="1">
      <c r="B68" s="440" t="s">
        <v>1588</v>
      </c>
      <c r="C68" s="96"/>
      <c r="D68" s="96"/>
      <c r="E68" s="96"/>
      <c r="F68" s="440"/>
      <c r="G68" s="440"/>
      <c r="H68" s="440"/>
      <c r="I68" s="231"/>
      <c r="J68" s="231"/>
      <c r="K68" s="231"/>
      <c r="L68" s="231"/>
      <c r="M68" s="303"/>
      <c r="N68" s="303"/>
    </row>
    <row r="69" spans="2:14" s="307" customFormat="1">
      <c r="B69" s="315" t="s">
        <v>1589</v>
      </c>
      <c r="C69" s="517" t="str">
        <f>IF(C24="slot","slot",IF(C24="plain","plain",IF(C24="split","split")))</f>
        <v>plain</v>
      </c>
      <c r="D69" s="518" t="str">
        <f>IF(D24="slot","slot",IF(D24="plain","plain",IF(D24="split","split")))</f>
        <v>plain</v>
      </c>
      <c r="E69" s="518" t="str">
        <f>IF(E24="slot","slot",IF(E24="plain","plain",IF(E24="split","split")))</f>
        <v>plain</v>
      </c>
      <c r="F69" s="315" t="s">
        <v>87</v>
      </c>
      <c r="G69" s="519"/>
      <c r="H69" s="440"/>
      <c r="I69" s="231"/>
      <c r="J69" s="231"/>
      <c r="K69" s="231"/>
      <c r="L69" s="231"/>
      <c r="M69" s="303"/>
      <c r="N69" s="303"/>
    </row>
    <row r="70" spans="2:14" ht="15.6">
      <c r="B70" s="474" t="s">
        <v>1590</v>
      </c>
      <c r="C70" s="319">
        <f>IF(C69="slot",C38+C16,IF(C69="plain",C34+C16,IF(C69="split",C43+C16)))</f>
        <v>-11.672762037338073</v>
      </c>
      <c r="D70" s="520">
        <f>IF(D69="slot",D38+D16,IF(D69="plain",D34+D16,IF(D69="split",D43+D16)))</f>
        <v>-15.917402778188283</v>
      </c>
      <c r="E70" s="520">
        <f>IF(E69="slot",E38+E16,IF(E69="plain",E34+E16,IF(E69="split",E43+E16)))</f>
        <v>-20.294688542190062</v>
      </c>
      <c r="F70" s="315" t="s">
        <v>165</v>
      </c>
      <c r="G70" s="519"/>
      <c r="H70" s="231"/>
      <c r="I70" s="231"/>
      <c r="J70" s="231"/>
      <c r="K70" s="231"/>
      <c r="L70" s="231"/>
    </row>
    <row r="71" spans="2:14" ht="15.6">
      <c r="B71" s="315" t="s">
        <v>1591</v>
      </c>
      <c r="C71" s="342">
        <f>IF($F47="Low",C66,C54)</f>
        <v>18.090661533846767</v>
      </c>
      <c r="D71" s="342">
        <f>IF($F47="Low",D66,D54)</f>
        <v>18.090661533846767</v>
      </c>
      <c r="E71" s="342">
        <f>IF($F47="Low",E66,E54)</f>
        <v>18.090661533846767</v>
      </c>
      <c r="F71" s="315" t="s">
        <v>165</v>
      </c>
      <c r="G71" s="519"/>
      <c r="H71" s="231"/>
      <c r="I71" s="231"/>
      <c r="J71" s="231"/>
      <c r="K71" s="231"/>
      <c r="L71" s="231"/>
    </row>
    <row r="72" spans="2:14" ht="16.2" thickBot="1">
      <c r="B72" s="314" t="s">
        <v>1592</v>
      </c>
      <c r="C72" s="319">
        <f>IF($F47="Low",C62,C52)</f>
        <v>1.26</v>
      </c>
      <c r="D72" s="319">
        <f>IF($F47="Low",D62,D52)</f>
        <v>1.26</v>
      </c>
      <c r="E72" s="319">
        <f>IF($F47="Low",E62,E52)</f>
        <v>1.26</v>
      </c>
      <c r="F72" s="315" t="s">
        <v>87</v>
      </c>
      <c r="G72" s="519"/>
      <c r="H72" s="231"/>
      <c r="I72" s="231"/>
      <c r="J72" s="231"/>
      <c r="K72" s="231"/>
      <c r="L72" s="231"/>
    </row>
    <row r="73" spans="2:14" ht="16.2" thickTop="1">
      <c r="B73" s="474" t="s">
        <v>1593</v>
      </c>
      <c r="C73" s="521">
        <v>-1</v>
      </c>
      <c r="D73" s="310">
        <v>-2.7</v>
      </c>
      <c r="E73" s="310">
        <v>-5.75</v>
      </c>
      <c r="F73" s="314" t="s">
        <v>165</v>
      </c>
      <c r="G73" s="315" t="s">
        <v>1594</v>
      </c>
      <c r="H73" s="231"/>
      <c r="I73" s="231"/>
      <c r="J73" s="231"/>
      <c r="K73" s="231"/>
      <c r="L73" s="231"/>
    </row>
    <row r="74" spans="2:14" ht="15.6">
      <c r="B74" s="474" t="s">
        <v>1595</v>
      </c>
      <c r="C74" s="319">
        <f>C18 + C73</f>
        <v>17</v>
      </c>
      <c r="D74" s="314">
        <f>D18 + D73</f>
        <v>15.3</v>
      </c>
      <c r="E74" s="314">
        <f>E18 + E73</f>
        <v>12.25</v>
      </c>
      <c r="F74" s="314" t="s">
        <v>165</v>
      </c>
      <c r="G74" s="314"/>
      <c r="H74" s="231"/>
      <c r="I74" s="231"/>
      <c r="J74" s="231"/>
      <c r="K74" s="231"/>
      <c r="L74" s="231"/>
    </row>
    <row r="75" spans="2:14" ht="15.6">
      <c r="B75" s="315" t="s">
        <v>1596</v>
      </c>
      <c r="C75" s="319">
        <f>C14*(C74-C70)</f>
        <v>2.8672762037338075</v>
      </c>
      <c r="D75" s="314">
        <f>D14*(D74-D70)</f>
        <v>3.1217402778188283</v>
      </c>
      <c r="E75" s="314">
        <f>E14*(E74-E70)</f>
        <v>3.2544688542190059</v>
      </c>
      <c r="F75" s="315" t="s">
        <v>87</v>
      </c>
      <c r="G75" s="314"/>
      <c r="H75" s="231"/>
      <c r="I75" s="231"/>
      <c r="J75" s="231"/>
      <c r="K75" s="231"/>
      <c r="L75" s="231"/>
    </row>
    <row r="76" spans="2:14" ht="15.6">
      <c r="B76" s="474" t="s">
        <v>1597</v>
      </c>
      <c r="C76" s="319">
        <f>C75 - C17</f>
        <v>1.4672762037338076</v>
      </c>
      <c r="D76" s="314">
        <f>D75 - D17</f>
        <v>1.7217402778188284</v>
      </c>
      <c r="E76" s="314">
        <f>E75 - E17</f>
        <v>1.854468854219006</v>
      </c>
      <c r="F76" s="315" t="s">
        <v>87</v>
      </c>
      <c r="G76" s="314"/>
      <c r="H76" s="231"/>
      <c r="I76" s="231"/>
      <c r="J76" s="231"/>
      <c r="K76" s="231"/>
      <c r="L76" s="231"/>
    </row>
    <row r="77" spans="2:14">
      <c r="B77" s="315" t="s">
        <v>1598</v>
      </c>
      <c r="C77" s="330">
        <f>(1-0.08*(COS(C13*PI()/180))^2)*(COS(C13*PI()/180))^(3/4)</f>
        <v>0.92</v>
      </c>
      <c r="D77" s="516">
        <f>(1-0.08*(COS(D13*PI()/180))^2)*(COS(D13*PI()/180))^(3/4)</f>
        <v>0.92</v>
      </c>
      <c r="E77" s="516">
        <f>(1-0.08*(COS(E13*PI()/180))^2)*(COS(E13*PI()/180))^(3/4)</f>
        <v>0.92</v>
      </c>
      <c r="F77" s="315" t="s">
        <v>87</v>
      </c>
      <c r="G77" s="314"/>
      <c r="H77" s="231"/>
      <c r="I77" s="248"/>
      <c r="J77" s="231"/>
      <c r="K77" s="231"/>
      <c r="L77" s="231"/>
    </row>
    <row r="78" spans="2:14" ht="15.6">
      <c r="B78" s="474" t="s">
        <v>1581</v>
      </c>
      <c r="C78" s="330">
        <f>C76*C25*C77</f>
        <v>0.48596187867663715</v>
      </c>
      <c r="D78" s="516">
        <f>D76*D25*D77</f>
        <v>0.570240380013596</v>
      </c>
      <c r="E78" s="516">
        <f>E76*E25*E77</f>
        <v>0.61420008451733477</v>
      </c>
      <c r="F78" s="315" t="s">
        <v>87</v>
      </c>
      <c r="G78" s="314"/>
      <c r="H78" s="231"/>
      <c r="I78" s="248"/>
      <c r="J78" s="231"/>
      <c r="K78" s="231"/>
      <c r="L78" s="231"/>
    </row>
    <row r="79" spans="2:14" ht="15.6">
      <c r="B79" s="314" t="s">
        <v>1571</v>
      </c>
      <c r="C79" s="330">
        <f>IF($F47="Low",C62+C78, C52+C78)</f>
        <v>1.7459618786766371</v>
      </c>
      <c r="D79" s="330">
        <f>IF($F47="Low",D62+D78, D52+D78)</f>
        <v>1.830240380013596</v>
      </c>
      <c r="E79" s="330">
        <f>IF($F47="Low",E62+E78, E52+E78)</f>
        <v>1.8742000845173348</v>
      </c>
      <c r="F79" s="315" t="s">
        <v>87</v>
      </c>
      <c r="G79" s="314"/>
      <c r="H79" s="231"/>
      <c r="I79" s="248"/>
      <c r="J79" s="231"/>
      <c r="K79" s="231"/>
      <c r="L79" s="231"/>
    </row>
    <row r="80" spans="2:14" ht="15.6">
      <c r="B80" s="315" t="s">
        <v>1599</v>
      </c>
      <c r="C80" s="342">
        <f>C71 + C73</f>
        <v>17.090661533846767</v>
      </c>
      <c r="D80" s="322">
        <f>D71 + D73</f>
        <v>15.390661533846767</v>
      </c>
      <c r="E80" s="322">
        <f>E71 + E73</f>
        <v>12.340661533846767</v>
      </c>
      <c r="F80" s="314" t="s">
        <v>165</v>
      </c>
      <c r="G80" s="314"/>
      <c r="H80" s="231"/>
      <c r="I80" s="231"/>
      <c r="J80" s="231"/>
      <c r="K80" s="231"/>
      <c r="L80" s="231"/>
    </row>
    <row r="81" spans="2:12">
      <c r="B81" s="231"/>
      <c r="C81" s="94"/>
      <c r="F81" s="231"/>
      <c r="G81" s="231"/>
      <c r="H81" s="231"/>
      <c r="I81" s="231"/>
      <c r="J81" s="231"/>
      <c r="K81" s="231"/>
      <c r="L81" s="231"/>
    </row>
    <row r="82" spans="2:12">
      <c r="B82" s="440" t="s">
        <v>1600</v>
      </c>
      <c r="C82" s="96"/>
      <c r="D82" s="96"/>
      <c r="E82" s="96"/>
      <c r="F82" s="440"/>
      <c r="G82" s="231"/>
      <c r="H82" s="231"/>
      <c r="I82" s="231"/>
      <c r="J82" s="231"/>
      <c r="K82" s="231"/>
      <c r="L82" s="231"/>
    </row>
    <row r="83" spans="2:12" ht="15.6">
      <c r="B83" s="474" t="s">
        <v>1597</v>
      </c>
      <c r="C83" s="507">
        <v>0</v>
      </c>
      <c r="D83" s="316">
        <f>C83</f>
        <v>0</v>
      </c>
      <c r="E83" s="316">
        <f>D83</f>
        <v>0</v>
      </c>
      <c r="F83" s="315" t="s">
        <v>87</v>
      </c>
      <c r="G83" s="315" t="s">
        <v>1601</v>
      </c>
      <c r="H83" s="231"/>
      <c r="I83" s="231"/>
      <c r="J83" s="231"/>
      <c r="K83" s="231"/>
      <c r="L83" s="231"/>
    </row>
    <row r="84" spans="2:12" ht="15.6">
      <c r="B84" s="474" t="s">
        <v>1581</v>
      </c>
      <c r="C84" s="340">
        <f>C83*C25*COS(C7*PI()/180)</f>
        <v>0</v>
      </c>
      <c r="D84" s="522">
        <f>D83*D25*COS(D7*PI()/180)</f>
        <v>0</v>
      </c>
      <c r="E84" s="522">
        <f>E83*E25*COS(E7*PI()/180)</f>
        <v>0</v>
      </c>
      <c r="F84" s="315" t="s">
        <v>87</v>
      </c>
      <c r="G84" s="314"/>
      <c r="H84" s="231"/>
      <c r="I84" s="437"/>
      <c r="J84" s="231"/>
      <c r="K84" s="231"/>
      <c r="L84" s="231"/>
    </row>
    <row r="85" spans="2:12" ht="15.6">
      <c r="B85" s="314" t="s">
        <v>1571</v>
      </c>
      <c r="C85" s="340">
        <f>C79 + C84</f>
        <v>1.7459618786766371</v>
      </c>
      <c r="D85" s="522">
        <f>D79 + D84</f>
        <v>1.830240380013596</v>
      </c>
      <c r="E85" s="522">
        <f>E79 + E84</f>
        <v>1.8742000845173348</v>
      </c>
      <c r="F85" s="315" t="s">
        <v>87</v>
      </c>
      <c r="G85" s="314"/>
      <c r="H85" s="231"/>
      <c r="I85" s="437"/>
      <c r="J85" s="231"/>
      <c r="K85" s="231"/>
      <c r="L85" s="231"/>
    </row>
    <row r="86" spans="2:12">
      <c r="C86" s="94"/>
      <c r="F86" s="231"/>
      <c r="G86" s="231"/>
      <c r="H86" s="231"/>
      <c r="I86" s="231"/>
      <c r="J86" s="231"/>
      <c r="K86" s="231"/>
      <c r="L86" s="231"/>
    </row>
    <row r="87" spans="2:12">
      <c r="B87" s="440" t="s">
        <v>1602</v>
      </c>
      <c r="C87" s="96"/>
      <c r="D87" s="96"/>
      <c r="E87" s="96"/>
      <c r="F87" s="440"/>
      <c r="G87" s="231"/>
      <c r="H87" s="231"/>
    </row>
    <row r="88" spans="2:12" ht="15.6">
      <c r="B88" s="314" t="s">
        <v>1603</v>
      </c>
      <c r="C88" s="507">
        <v>1.1000000000000001</v>
      </c>
      <c r="D88" s="316">
        <f>C88</f>
        <v>1.1000000000000001</v>
      </c>
      <c r="E88" s="316">
        <f>D88</f>
        <v>1.1000000000000001</v>
      </c>
      <c r="F88" s="510"/>
      <c r="G88" s="315" t="s">
        <v>1604</v>
      </c>
      <c r="H88" s="231"/>
    </row>
    <row r="89" spans="2:12" ht="15.6">
      <c r="B89" s="314" t="s">
        <v>1605</v>
      </c>
      <c r="C89" s="507">
        <v>0.03</v>
      </c>
      <c r="D89" s="306">
        <v>7.4999999999999997E-2</v>
      </c>
      <c r="E89" s="306">
        <v>0.14000000000000001</v>
      </c>
      <c r="F89" s="510"/>
      <c r="G89" s="315" t="s">
        <v>1606</v>
      </c>
    </row>
    <row r="90" spans="2:12" ht="15.6">
      <c r="B90" s="474" t="s">
        <v>1607</v>
      </c>
      <c r="C90" s="516">
        <f>C88*C89*C25</f>
        <v>1.188E-2</v>
      </c>
      <c r="D90" s="516">
        <f>D88*D89*D25</f>
        <v>2.9700000000000001E-2</v>
      </c>
      <c r="E90" s="516">
        <f>E88*E89*E25</f>
        <v>5.544000000000001E-2</v>
      </c>
      <c r="F90" s="510"/>
      <c r="G90" s="314"/>
      <c r="H90" s="231"/>
      <c r="I90" s="331"/>
    </row>
    <row r="91" spans="2:12">
      <c r="B91" s="236"/>
      <c r="C91" s="248"/>
      <c r="D91" s="523"/>
      <c r="E91" s="523"/>
      <c r="F91" s="231"/>
      <c r="G91" s="231"/>
      <c r="H91" s="231"/>
    </row>
    <row r="92" spans="2:12">
      <c r="B92" s="307" t="s">
        <v>1608</v>
      </c>
      <c r="H92" s="231"/>
    </row>
    <row r="93" spans="2:12">
      <c r="B93" s="94" t="s">
        <v>1609</v>
      </c>
      <c r="C93" s="101">
        <f>C25*C19*C27/(C28*((C12*C19)^0.5))</f>
        <v>0.87718817152740636</v>
      </c>
      <c r="D93" s="101">
        <f>D25*D19*D27/(D28*((D12*D19)^0.5))</f>
        <v>0.87718817152740636</v>
      </c>
      <c r="E93" s="101">
        <f>E25*E19*E27/(E28*((E12*E19)^0.5))</f>
        <v>0.87718817152740636</v>
      </c>
      <c r="F93" s="335" t="s">
        <v>188</v>
      </c>
      <c r="G93" s="335" t="s">
        <v>1610</v>
      </c>
      <c r="H93" s="231"/>
    </row>
    <row r="94" spans="2:12">
      <c r="B94" s="195" t="s">
        <v>1611</v>
      </c>
      <c r="C94" s="101">
        <f>C28*((C12*C19)^0.5)</f>
        <v>9.3157383816210544</v>
      </c>
      <c r="D94" s="101">
        <f>D28*((D12*D19)^0.5)</f>
        <v>9.3157383816210544</v>
      </c>
      <c r="E94" s="101">
        <f>E28*((E12*E19)^0.5)</f>
        <v>9.3157383816210544</v>
      </c>
      <c r="F94" s="335" t="s">
        <v>188</v>
      </c>
      <c r="G94" s="335" t="s">
        <v>1612</v>
      </c>
      <c r="H94" s="231"/>
    </row>
    <row r="95" spans="2:12">
      <c r="B95" s="195" t="s">
        <v>1613</v>
      </c>
      <c r="C95" s="99">
        <f>C93*C94</f>
        <v>8.1716555174018524</v>
      </c>
      <c r="D95" s="99">
        <f>D93*D94</f>
        <v>8.1716555174018524</v>
      </c>
      <c r="E95" s="99">
        <f>E93*E94</f>
        <v>8.1716555174018524</v>
      </c>
      <c r="F95" s="335" t="s">
        <v>826</v>
      </c>
      <c r="G95" s="335" t="s">
        <v>1614</v>
      </c>
      <c r="H95" s="231"/>
    </row>
    <row r="96" spans="2:12">
      <c r="B96" s="335" t="s">
        <v>1615</v>
      </c>
      <c r="C96" s="524">
        <f>C25*C19</f>
        <v>40.858277587009262</v>
      </c>
      <c r="D96" s="524">
        <f>D25*D19</f>
        <v>40.858277587009262</v>
      </c>
      <c r="E96" s="524">
        <f>E25*E19</f>
        <v>40.858277587009262</v>
      </c>
      <c r="F96" s="335" t="s">
        <v>826</v>
      </c>
      <c r="G96" s="335" t="s">
        <v>1616</v>
      </c>
      <c r="H96" s="231"/>
    </row>
    <row r="97" spans="2:13">
      <c r="B97" s="335" t="s">
        <v>1617</v>
      </c>
      <c r="C97" s="335">
        <f>C95/C96</f>
        <v>0.2</v>
      </c>
      <c r="D97" s="335">
        <f>D95/D96</f>
        <v>0.2</v>
      </c>
      <c r="E97" s="335">
        <f>E95/E96</f>
        <v>0.2</v>
      </c>
      <c r="F97" s="335" t="s">
        <v>87</v>
      </c>
      <c r="G97" s="335" t="s">
        <v>1618</v>
      </c>
      <c r="H97" s="231"/>
    </row>
    <row r="98" spans="2:13">
      <c r="B98" s="236"/>
      <c r="C98" s="248"/>
      <c r="D98" s="523"/>
      <c r="E98" s="523"/>
      <c r="F98" s="231"/>
      <c r="G98" s="231"/>
      <c r="H98" s="231"/>
    </row>
    <row r="99" spans="2:13">
      <c r="B99" s="440"/>
      <c r="C99" s="231"/>
      <c r="D99" s="231"/>
      <c r="E99" s="231"/>
    </row>
    <row r="100" spans="2:13">
      <c r="D100" s="303"/>
      <c r="E100" s="303"/>
    </row>
    <row r="101" spans="2:13">
      <c r="B101" s="440" t="s">
        <v>1619</v>
      </c>
      <c r="C101" s="440"/>
      <c r="D101" s="303"/>
      <c r="E101" s="440"/>
    </row>
    <row r="102" spans="2:13">
      <c r="D102" s="303"/>
      <c r="E102" s="303"/>
    </row>
    <row r="103" spans="2:13">
      <c r="B103" s="314" t="s">
        <v>1620</v>
      </c>
      <c r="C103" s="314"/>
      <c r="D103" s="314" t="s">
        <v>1621</v>
      </c>
      <c r="E103" s="314"/>
      <c r="J103" s="223"/>
      <c r="K103" s="231"/>
      <c r="L103" s="223"/>
      <c r="M103" s="231"/>
    </row>
    <row r="104" spans="2:13" ht="15.6">
      <c r="B104" s="525" t="s">
        <v>199</v>
      </c>
      <c r="C104" s="526" t="s">
        <v>1622</v>
      </c>
      <c r="D104" s="525" t="s">
        <v>199</v>
      </c>
      <c r="E104" s="526" t="s">
        <v>1622</v>
      </c>
      <c r="J104" s="527"/>
      <c r="K104" s="253"/>
      <c r="L104" s="527"/>
      <c r="M104" s="253"/>
    </row>
    <row r="105" spans="2:13">
      <c r="B105" s="522">
        <f>C16</f>
        <v>0</v>
      </c>
      <c r="C105" s="339">
        <v>0</v>
      </c>
      <c r="D105" s="339">
        <f>C70</f>
        <v>-11.672762037338073</v>
      </c>
      <c r="E105" s="339">
        <v>0</v>
      </c>
      <c r="J105" s="334"/>
      <c r="K105" s="334"/>
      <c r="L105" s="334"/>
      <c r="M105" s="334"/>
    </row>
    <row r="106" spans="2:13">
      <c r="B106" s="522">
        <f>C106/C14 + B105</f>
        <v>11.199999999999998</v>
      </c>
      <c r="C106" s="522">
        <f>0.8*C17</f>
        <v>1.1199999999999999</v>
      </c>
      <c r="D106" s="522">
        <f>E106/C14 + D105</f>
        <v>11.265447592532388</v>
      </c>
      <c r="E106" s="522">
        <f>0.8*C75</f>
        <v>2.2938209629870463</v>
      </c>
      <c r="J106" s="437"/>
      <c r="K106" s="437"/>
      <c r="L106" s="437"/>
      <c r="M106" s="437"/>
    </row>
    <row r="107" spans="2:13">
      <c r="B107" s="522">
        <f>C18</f>
        <v>18</v>
      </c>
      <c r="C107" s="522">
        <f>C17</f>
        <v>1.4</v>
      </c>
      <c r="D107" s="522">
        <f>C74</f>
        <v>17</v>
      </c>
      <c r="E107" s="522">
        <f>C75</f>
        <v>2.8672762037338075</v>
      </c>
      <c r="J107" s="437"/>
      <c r="K107" s="437"/>
      <c r="L107" s="437"/>
      <c r="M107" s="437"/>
    </row>
    <row r="108" spans="2:13">
      <c r="B108" s="522">
        <f>B107 + (B107-B106)</f>
        <v>24.800000000000004</v>
      </c>
      <c r="C108" s="522">
        <f>C106</f>
        <v>1.1199999999999999</v>
      </c>
      <c r="D108" s="522">
        <f>D107 + (D107-D106)</f>
        <v>22.734552407467611</v>
      </c>
      <c r="E108" s="522">
        <f>E106</f>
        <v>2.2938209629870463</v>
      </c>
      <c r="J108" s="437"/>
      <c r="K108" s="437"/>
      <c r="L108" s="437"/>
      <c r="M108" s="437"/>
    </row>
    <row r="109" spans="2:13">
      <c r="B109" s="437"/>
      <c r="C109" s="437"/>
      <c r="D109" s="437"/>
      <c r="E109" s="437"/>
      <c r="F109" s="437"/>
      <c r="G109" s="437"/>
      <c r="H109" s="437"/>
      <c r="I109" s="437"/>
      <c r="J109" s="437"/>
      <c r="K109" s="437"/>
      <c r="L109" s="437"/>
      <c r="M109" s="437"/>
    </row>
    <row r="110" spans="2:13">
      <c r="B110" s="314" t="s">
        <v>1623</v>
      </c>
      <c r="C110" s="314"/>
      <c r="D110" s="315" t="s">
        <v>1624</v>
      </c>
      <c r="E110" s="314"/>
      <c r="F110" s="437"/>
      <c r="G110" s="437"/>
      <c r="H110" s="437"/>
      <c r="I110" s="437"/>
      <c r="J110" s="437"/>
      <c r="K110" s="437"/>
      <c r="L110" s="437"/>
      <c r="M110" s="437"/>
    </row>
    <row r="111" spans="2:13" ht="15.6">
      <c r="B111" s="525" t="s">
        <v>199</v>
      </c>
      <c r="C111" s="526" t="s">
        <v>1398</v>
      </c>
      <c r="D111" s="525" t="s">
        <v>199</v>
      </c>
      <c r="E111" s="526" t="s">
        <v>1398</v>
      </c>
      <c r="F111" s="437"/>
      <c r="G111" s="437"/>
      <c r="H111" s="437"/>
      <c r="I111" s="437"/>
      <c r="J111" s="437"/>
      <c r="K111" s="437"/>
      <c r="L111" s="437"/>
      <c r="M111" s="437"/>
    </row>
    <row r="112" spans="2:13">
      <c r="B112" s="339">
        <f>$C$16</f>
        <v>0</v>
      </c>
      <c r="C112" s="339">
        <v>0</v>
      </c>
      <c r="D112" s="339">
        <f>$C$70</f>
        <v>-11.672762037338073</v>
      </c>
      <c r="E112" s="339">
        <v>0</v>
      </c>
      <c r="F112" s="437"/>
      <c r="G112" s="437"/>
      <c r="H112" s="437"/>
      <c r="I112" s="437"/>
      <c r="J112" s="437"/>
      <c r="K112" s="437"/>
      <c r="L112" s="437"/>
      <c r="M112" s="437"/>
    </row>
    <row r="113" spans="2:13">
      <c r="B113" s="522">
        <f>$C$113/$C$15 + $C$16</f>
        <v>12.792529227077411</v>
      </c>
      <c r="C113" s="522">
        <f>0.8*$C$72</f>
        <v>1.008</v>
      </c>
      <c r="D113" s="522">
        <f>E113/$C$15 + $C$70</f>
        <v>6.0536414248316657</v>
      </c>
      <c r="E113" s="522">
        <f>0.8*$C$79</f>
        <v>1.3967695029413099</v>
      </c>
      <c r="F113" s="437"/>
      <c r="G113" s="437"/>
      <c r="H113" s="437"/>
      <c r="I113" s="437"/>
      <c r="J113" s="437"/>
      <c r="K113" s="437"/>
      <c r="L113" s="437"/>
      <c r="M113" s="437"/>
    </row>
    <row r="114" spans="2:13">
      <c r="B114" s="522">
        <f>$C$71</f>
        <v>18.090661533846767</v>
      </c>
      <c r="C114" s="522">
        <f>$C$72</f>
        <v>1.26</v>
      </c>
      <c r="D114" s="522">
        <f>$C$80</f>
        <v>17.090661533846767</v>
      </c>
      <c r="E114" s="522">
        <f>$C$79+$C$84</f>
        <v>1.7459618786766371</v>
      </c>
      <c r="F114" s="437"/>
      <c r="G114" s="437"/>
      <c r="H114" s="437"/>
      <c r="I114" s="437"/>
      <c r="J114" s="437"/>
      <c r="K114" s="437"/>
      <c r="L114" s="437"/>
      <c r="M114" s="437"/>
    </row>
    <row r="115" spans="2:13">
      <c r="B115" s="522">
        <f>B114 + (B114-B113)</f>
        <v>23.388793840616124</v>
      </c>
      <c r="C115" s="522">
        <f>C113</f>
        <v>1.008</v>
      </c>
      <c r="D115" s="522">
        <f>D114 + (D114-D113)</f>
        <v>28.127681642861866</v>
      </c>
      <c r="E115" s="522">
        <f>E113</f>
        <v>1.3967695029413099</v>
      </c>
      <c r="F115" s="437"/>
      <c r="G115" s="437"/>
      <c r="H115" s="437"/>
      <c r="I115" s="437"/>
      <c r="J115" s="437"/>
      <c r="K115" s="437"/>
      <c r="L115" s="437"/>
      <c r="M115" s="437"/>
    </row>
    <row r="116" spans="2:13">
      <c r="B116" s="437"/>
      <c r="C116" s="437"/>
      <c r="D116" s="437"/>
      <c r="E116" s="437"/>
      <c r="F116" s="437"/>
      <c r="G116" s="437"/>
      <c r="H116" s="437"/>
      <c r="I116" s="437"/>
      <c r="J116" s="437"/>
      <c r="K116" s="437"/>
      <c r="L116" s="437"/>
      <c r="M116" s="437"/>
    </row>
    <row r="117" spans="2:13">
      <c r="B117" s="314" t="s">
        <v>1623</v>
      </c>
      <c r="C117" s="314"/>
      <c r="D117" s="315" t="s">
        <v>1625</v>
      </c>
      <c r="E117" s="314"/>
      <c r="F117" s="437"/>
      <c r="G117" s="437"/>
      <c r="H117" s="437"/>
      <c r="I117" s="437"/>
      <c r="J117" s="437"/>
      <c r="K117" s="437"/>
      <c r="L117" s="437"/>
      <c r="M117" s="437"/>
    </row>
    <row r="118" spans="2:13" ht="15.6">
      <c r="B118" s="525" t="s">
        <v>199</v>
      </c>
      <c r="C118" s="526" t="s">
        <v>1398</v>
      </c>
      <c r="D118" s="525" t="s">
        <v>199</v>
      </c>
      <c r="E118" s="526" t="s">
        <v>1398</v>
      </c>
      <c r="F118" s="437"/>
      <c r="G118" s="437"/>
      <c r="H118" s="437"/>
      <c r="I118" s="437"/>
      <c r="J118" s="437"/>
      <c r="K118" s="437"/>
      <c r="L118" s="437"/>
      <c r="M118" s="437"/>
    </row>
    <row r="119" spans="2:13">
      <c r="B119" s="339">
        <f>$C$16</f>
        <v>0</v>
      </c>
      <c r="C119" s="339">
        <v>0</v>
      </c>
      <c r="D119" s="339">
        <f>$D$70</f>
        <v>-15.917402778188283</v>
      </c>
      <c r="E119" s="339">
        <v>0</v>
      </c>
      <c r="F119" s="437"/>
      <c r="G119" s="437"/>
      <c r="H119" s="437"/>
      <c r="I119" s="437"/>
      <c r="J119" s="437"/>
      <c r="K119" s="437"/>
      <c r="L119" s="437"/>
      <c r="M119" s="437"/>
    </row>
    <row r="120" spans="2:13">
      <c r="B120" s="522">
        <f>$C$113/$C$15 + $C$16</f>
        <v>12.792529227077411</v>
      </c>
      <c r="C120" s="522">
        <f>0.8*$C$72</f>
        <v>1.008</v>
      </c>
      <c r="D120" s="522">
        <f>E120/$D$15 + $D$70</f>
        <v>2.664663534431714</v>
      </c>
      <c r="E120" s="522">
        <f>0.8*$D$79</f>
        <v>1.4641923040108769</v>
      </c>
      <c r="F120" s="437"/>
      <c r="G120" s="437"/>
      <c r="H120" s="437"/>
      <c r="I120" s="437"/>
      <c r="J120" s="437"/>
      <c r="K120" s="437"/>
      <c r="L120" s="437"/>
      <c r="M120" s="437"/>
    </row>
    <row r="121" spans="2:13">
      <c r="B121" s="522">
        <f>$C$71</f>
        <v>18.090661533846767</v>
      </c>
      <c r="C121" s="522">
        <f>$C$72</f>
        <v>1.26</v>
      </c>
      <c r="D121" s="522">
        <f>$D$80</f>
        <v>15.390661533846767</v>
      </c>
      <c r="E121" s="522">
        <f>$D$79+$D$84</f>
        <v>1.830240380013596</v>
      </c>
      <c r="F121" s="437"/>
      <c r="G121" s="437"/>
      <c r="H121" s="437"/>
      <c r="I121" s="437"/>
      <c r="J121" s="437"/>
      <c r="K121" s="437"/>
      <c r="L121" s="437"/>
      <c r="M121" s="437"/>
    </row>
    <row r="122" spans="2:13">
      <c r="B122" s="522">
        <f>B121 + (B121-B120)</f>
        <v>23.388793840616124</v>
      </c>
      <c r="C122" s="522">
        <f>C120</f>
        <v>1.008</v>
      </c>
      <c r="D122" s="522">
        <f>D121 + (D121-D120)</f>
        <v>28.116659533261821</v>
      </c>
      <c r="E122" s="522">
        <f>E120</f>
        <v>1.4641923040108769</v>
      </c>
      <c r="F122" s="437"/>
      <c r="G122" s="437"/>
      <c r="H122" s="437"/>
      <c r="I122" s="437"/>
      <c r="J122" s="437"/>
      <c r="K122" s="437"/>
      <c r="L122" s="437"/>
      <c r="M122" s="437"/>
    </row>
    <row r="123" spans="2:13">
      <c r="B123" s="437"/>
      <c r="C123" s="437"/>
      <c r="D123" s="437"/>
      <c r="E123" s="437"/>
      <c r="F123" s="437"/>
      <c r="G123" s="437"/>
      <c r="H123" s="437"/>
      <c r="I123" s="437"/>
      <c r="J123" s="437"/>
      <c r="K123" s="437"/>
      <c r="L123" s="437"/>
      <c r="M123" s="437"/>
    </row>
    <row r="124" spans="2:13">
      <c r="B124" s="314" t="s">
        <v>1623</v>
      </c>
      <c r="C124" s="314"/>
      <c r="D124" s="315" t="s">
        <v>1625</v>
      </c>
      <c r="E124" s="314"/>
      <c r="F124" s="437"/>
      <c r="G124" s="437"/>
      <c r="H124" s="437"/>
      <c r="I124" s="437"/>
      <c r="J124" s="437"/>
      <c r="K124" s="437"/>
      <c r="L124" s="437"/>
      <c r="M124" s="437"/>
    </row>
    <row r="125" spans="2:13" ht="15.6">
      <c r="B125" s="525" t="s">
        <v>199</v>
      </c>
      <c r="C125" s="526" t="s">
        <v>1398</v>
      </c>
      <c r="D125" s="525" t="s">
        <v>199</v>
      </c>
      <c r="E125" s="526" t="s">
        <v>1398</v>
      </c>
      <c r="F125" s="437"/>
      <c r="G125" s="437"/>
      <c r="H125" s="437"/>
      <c r="I125" s="437"/>
      <c r="J125" s="437"/>
      <c r="K125" s="437"/>
      <c r="L125" s="437"/>
      <c r="M125" s="437"/>
    </row>
    <row r="126" spans="2:13">
      <c r="B126" s="339">
        <f>$C$16</f>
        <v>0</v>
      </c>
      <c r="C126" s="339">
        <v>0</v>
      </c>
      <c r="D126" s="339">
        <f>$E$70</f>
        <v>-20.294688542190062</v>
      </c>
      <c r="E126" s="339">
        <v>0</v>
      </c>
      <c r="F126" s="437"/>
      <c r="G126" s="437"/>
      <c r="H126" s="437"/>
      <c r="I126" s="437"/>
      <c r="J126" s="437"/>
      <c r="K126" s="437"/>
      <c r="L126" s="437"/>
      <c r="M126" s="437"/>
    </row>
    <row r="127" spans="2:13">
      <c r="B127" s="522">
        <f>$C$113/$C$15 + $C$16</f>
        <v>12.792529227077411</v>
      </c>
      <c r="C127" s="522">
        <f>0.8*$C$72</f>
        <v>1.008</v>
      </c>
      <c r="D127" s="522">
        <f>E127/$E$15 + $E$70</f>
        <v>-1.2663080988734272</v>
      </c>
      <c r="E127" s="522">
        <f>0.8*$E$79</f>
        <v>1.4993600676138679</v>
      </c>
      <c r="F127" s="437"/>
      <c r="G127" s="437"/>
      <c r="H127" s="437"/>
      <c r="I127" s="437"/>
      <c r="J127" s="437"/>
      <c r="K127" s="437"/>
      <c r="L127" s="437"/>
      <c r="M127" s="437"/>
    </row>
    <row r="128" spans="2:13">
      <c r="B128" s="522">
        <f>$C$71</f>
        <v>18.090661533846767</v>
      </c>
      <c r="C128" s="522">
        <f>$C$72</f>
        <v>1.26</v>
      </c>
      <c r="D128" s="522">
        <f>$E$80</f>
        <v>12.340661533846767</v>
      </c>
      <c r="E128" s="522">
        <f>$E$79+$E$84</f>
        <v>1.8742000845173348</v>
      </c>
      <c r="F128" s="437"/>
      <c r="G128" s="437"/>
      <c r="H128" s="437"/>
      <c r="I128" s="437"/>
      <c r="J128" s="437"/>
      <c r="K128" s="437"/>
      <c r="L128" s="437"/>
      <c r="M128" s="437"/>
    </row>
    <row r="129" spans="2:13">
      <c r="B129" s="522">
        <f>B128 + (B128-B127)</f>
        <v>23.388793840616124</v>
      </c>
      <c r="C129" s="522">
        <f>C127</f>
        <v>1.008</v>
      </c>
      <c r="D129" s="522">
        <f>D128 + (D128-D127)</f>
        <v>25.947631166566961</v>
      </c>
      <c r="E129" s="522">
        <f>E127</f>
        <v>1.4993600676138679</v>
      </c>
      <c r="F129" s="437"/>
      <c r="G129" s="437"/>
      <c r="H129" s="437"/>
      <c r="I129" s="437"/>
      <c r="J129" s="437"/>
      <c r="K129" s="437"/>
      <c r="L129" s="437"/>
      <c r="M129" s="437"/>
    </row>
    <row r="130" spans="2:13">
      <c r="B130" s="437"/>
      <c r="C130" s="437"/>
      <c r="D130" s="437"/>
      <c r="E130" s="437"/>
      <c r="F130" s="437"/>
      <c r="G130" s="437"/>
      <c r="H130" s="437"/>
      <c r="I130" s="437"/>
      <c r="J130" s="437"/>
      <c r="K130" s="437"/>
      <c r="L130" s="437"/>
      <c r="M130" s="437"/>
    </row>
    <row r="131" spans="2:13">
      <c r="B131" s="437"/>
      <c r="C131" s="437"/>
      <c r="D131" s="437"/>
      <c r="E131" s="437"/>
      <c r="F131" s="437"/>
      <c r="G131" s="437"/>
      <c r="H131" s="437"/>
      <c r="I131" s="437"/>
      <c r="J131" s="437"/>
      <c r="K131" s="437"/>
      <c r="L131" s="437"/>
      <c r="M131" s="437"/>
    </row>
    <row r="132" spans="2:13">
      <c r="D132" s="303"/>
      <c r="E132" s="303"/>
    </row>
    <row r="133" spans="2:13">
      <c r="B133" s="307" t="s">
        <v>1626</v>
      </c>
      <c r="D133" s="303"/>
      <c r="E133" s="303"/>
    </row>
    <row r="134" spans="2:13">
      <c r="D134" s="303"/>
      <c r="E134" s="303"/>
    </row>
    <row r="135" spans="2:13">
      <c r="B135" s="307" t="s">
        <v>195</v>
      </c>
      <c r="D135" s="303"/>
    </row>
    <row r="136" spans="2:13">
      <c r="B136" s="314" t="s">
        <v>196</v>
      </c>
      <c r="C136" s="314" t="s">
        <v>197</v>
      </c>
      <c r="D136" s="303"/>
    </row>
    <row r="137" spans="2:13">
      <c r="B137" s="317">
        <v>0</v>
      </c>
      <c r="C137" s="317">
        <v>0</v>
      </c>
      <c r="D137" s="303"/>
    </row>
    <row r="138" spans="2:13">
      <c r="B138" s="317">
        <f>(2/(1+C8))*((C19/C12)^0.5)</f>
        <v>4.3859408576370313</v>
      </c>
      <c r="C138" s="317">
        <v>0</v>
      </c>
      <c r="D138" s="303"/>
    </row>
    <row r="139" spans="2:13">
      <c r="B139" s="317">
        <f>B138+(((C12*C19)^0.5)/2)*TAN(PI()*D154/180)</f>
        <v>4.3859408576370313</v>
      </c>
      <c r="C139" s="317">
        <f>((C$12*C$19)^0.5)/2</f>
        <v>12.938525530029244</v>
      </c>
      <c r="D139" s="303"/>
      <c r="E139" s="303"/>
    </row>
    <row r="140" spans="2:13">
      <c r="B140" s="317">
        <f>((($C$12*$C$19)^0.5)/2)*TAN(PI()*$D$150/180)</f>
        <v>0</v>
      </c>
      <c r="C140" s="317">
        <f>((C$12*C$19)^0.5)/2</f>
        <v>12.938525530029244</v>
      </c>
      <c r="D140" s="303"/>
      <c r="E140" s="303"/>
    </row>
    <row r="141" spans="2:13">
      <c r="B141" s="317">
        <v>0</v>
      </c>
      <c r="C141" s="317">
        <v>0</v>
      </c>
      <c r="D141" s="303"/>
      <c r="E141" s="303"/>
    </row>
    <row r="142" spans="2:13">
      <c r="D142" s="303"/>
      <c r="E142" s="303"/>
    </row>
    <row r="143" spans="2:13">
      <c r="B143" s="307" t="s">
        <v>1627</v>
      </c>
    </row>
    <row r="144" spans="2:13">
      <c r="B144" s="314" t="s">
        <v>196</v>
      </c>
      <c r="C144" s="528" t="s">
        <v>197</v>
      </c>
      <c r="E144" s="303"/>
    </row>
    <row r="145" spans="2:10">
      <c r="B145" s="522">
        <f>C145*TAN($D150*(PI()/180))</f>
        <v>0</v>
      </c>
      <c r="C145" s="529">
        <f>((($C$12*$C$19)^0.5)/6)*(1+(2*$C$8))/(1+$C$8)</f>
        <v>6.4692627650146219</v>
      </c>
      <c r="E145" s="303"/>
    </row>
    <row r="146" spans="2:10">
      <c r="B146" s="522">
        <f>$B138+(C146*TAN($D154*(PI()/180)))</f>
        <v>4.3859408576370313</v>
      </c>
      <c r="C146" s="529">
        <f>(((C$12*C$19)^0.5)/6)*(1+(2*C$8))/(1+C$8)</f>
        <v>6.4692627650146219</v>
      </c>
      <c r="E146" s="303"/>
    </row>
    <row r="148" spans="2:10">
      <c r="B148" s="487" t="s">
        <v>1628</v>
      </c>
      <c r="C148" s="251"/>
      <c r="D148" s="251"/>
    </row>
    <row r="149" spans="2:10" ht="15.6">
      <c r="B149" s="322"/>
      <c r="C149" s="322" t="s">
        <v>190</v>
      </c>
      <c r="D149" s="488" t="s">
        <v>1629</v>
      </c>
    </row>
    <row r="150" spans="2:10">
      <c r="B150" s="322" t="s">
        <v>1630</v>
      </c>
      <c r="C150" s="317">
        <v>0</v>
      </c>
      <c r="D150" s="530">
        <f>180*ATAN(TAN($C$7*PI()/180)-C150*(2*$B$138*(1-$C$8)/(($C$12*$C$19)^0.5)))/PI()</f>
        <v>0</v>
      </c>
      <c r="J150" s="307"/>
    </row>
    <row r="151" spans="2:10">
      <c r="B151" s="322" t="s">
        <v>1631</v>
      </c>
      <c r="C151" s="317">
        <v>0.25</v>
      </c>
      <c r="D151" s="530">
        <f>180*ATAN(TAN($C$7*PI()/180)-C151*(2*$B$138*(1-$C$8)/(($C$12*$C$19)^0.5)))/PI()</f>
        <v>0</v>
      </c>
    </row>
    <row r="152" spans="2:10">
      <c r="B152" s="322" t="s">
        <v>1632</v>
      </c>
      <c r="C152" s="317">
        <v>0.25</v>
      </c>
      <c r="D152" s="530">
        <f>180*ATAN(TAN($C$7*PI()/180)-C152*(2*$B$138*(1-$C$8)/(($C$12*$C$19)^0.5)))/PI()</f>
        <v>0</v>
      </c>
    </row>
    <row r="153" spans="2:10">
      <c r="B153" s="322" t="s">
        <v>181</v>
      </c>
      <c r="C153" s="317">
        <v>0.4</v>
      </c>
      <c r="D153" s="530">
        <f>180*ATAN(TAN($C$7*PI()/180)-C153*(2*$B$138*(1-$C$8)/(($C$12*$C$19)^0.5)))/PI()</f>
        <v>0</v>
      </c>
      <c r="F153" s="307"/>
    </row>
    <row r="154" spans="2:10">
      <c r="B154" s="322" t="s">
        <v>1633</v>
      </c>
      <c r="C154" s="317">
        <v>1</v>
      </c>
      <c r="D154" s="530">
        <f>180*ATAN(TAN($C$7*PI()/180)-C154*(2*$B$138*(1-$C$8)/(($C$12*$C$19)^0.5)))/PI()</f>
        <v>0</v>
      </c>
    </row>
    <row r="156" spans="2:10">
      <c r="B156" s="307" t="s">
        <v>1634</v>
      </c>
    </row>
    <row r="157" spans="2:10">
      <c r="B157" s="314" t="s">
        <v>196</v>
      </c>
      <c r="C157" s="314" t="s">
        <v>197</v>
      </c>
    </row>
    <row r="158" spans="2:10">
      <c r="B158" s="522">
        <f>$B$138+(C158*TAN($D$154*(PI()/180)))</f>
        <v>4.3859408576370313</v>
      </c>
      <c r="C158" s="522">
        <f>(C20/2)+C21</f>
        <v>4.125</v>
      </c>
    </row>
    <row r="159" spans="2:10">
      <c r="B159" s="522">
        <f>B138+(C159*TAN($D$154*(PI()/180)))</f>
        <v>4.3859408576370313</v>
      </c>
      <c r="C159" s="522">
        <f>C158+(C94/2)</f>
        <v>8.7828691908105263</v>
      </c>
    </row>
    <row r="160" spans="2:10">
      <c r="B160" s="522">
        <f>B159-C93</f>
        <v>3.508752686109625</v>
      </c>
      <c r="C160" s="522">
        <f>C159</f>
        <v>8.7828691908105263</v>
      </c>
    </row>
    <row r="161" spans="2:3">
      <c r="B161" s="522">
        <f>B158-C93</f>
        <v>3.508752686109625</v>
      </c>
      <c r="C161" s="522">
        <f>C158</f>
        <v>4.125</v>
      </c>
    </row>
    <row r="162" spans="2:3">
      <c r="B162" s="522">
        <f>B158</f>
        <v>4.3859408576370313</v>
      </c>
      <c r="C162" s="522">
        <f>C158</f>
        <v>4.125</v>
      </c>
    </row>
    <row r="164" spans="2:3">
      <c r="B164" s="307" t="s">
        <v>1635</v>
      </c>
    </row>
    <row r="165" spans="2:3">
      <c r="B165" s="315" t="s">
        <v>196</v>
      </c>
      <c r="C165" s="319" t="s">
        <v>197</v>
      </c>
    </row>
    <row r="166" spans="2:3">
      <c r="B166" s="522">
        <f>$B$138+(C166*TAN($D$154*(PI()/180)))</f>
        <v>4.3859408576370313</v>
      </c>
      <c r="C166" s="314">
        <f>0.7*(((C12*C19)^0.5)/2)</f>
        <v>9.0569678710204702</v>
      </c>
    </row>
    <row r="167" spans="2:3">
      <c r="B167" s="339">
        <f>(0.7*(($C$12*$C$19)^0.5)/2)*TAN(PI()*$D$150/180)</f>
        <v>0</v>
      </c>
      <c r="C167" s="314">
        <f>C166</f>
        <v>9.0569678710204702</v>
      </c>
    </row>
    <row r="169" spans="2:3">
      <c r="B169" s="335"/>
    </row>
    <row r="170" spans="2:3">
      <c r="B170" s="307" t="s">
        <v>1636</v>
      </c>
    </row>
    <row r="171" spans="2:3">
      <c r="B171" s="315" t="s">
        <v>196</v>
      </c>
      <c r="C171" s="319" t="s">
        <v>197</v>
      </c>
    </row>
    <row r="172" spans="2:3">
      <c r="B172" s="522">
        <f>$B$138+(C172*TAN($D$154*(PI()/180)))</f>
        <v>4.3859408576370313</v>
      </c>
      <c r="C172" s="314">
        <f>C20/2</f>
        <v>1.625</v>
      </c>
    </row>
    <row r="173" spans="2:3">
      <c r="B173" s="339">
        <f>(C173*TAN(PI()*$D$150/180))</f>
        <v>0</v>
      </c>
      <c r="C173" s="314">
        <f>C172</f>
        <v>1.625</v>
      </c>
    </row>
  </sheetData>
  <printOptions gridLines="1" gridLinesSet="0"/>
  <pageMargins left="0.75" right="0.75" top="1" bottom="1" header="0.5" footer="0.5"/>
  <pageSetup orientation="portrait" horizontalDpi="204" verticalDpi="196" r:id="rId1"/>
  <headerFooter alignWithMargins="0"/>
  <rowBreaks count="1" manualBreakCount="1">
    <brk id="46" max="65535" man="1"/>
  </rowBreaks>
  <colBreaks count="1" manualBreakCount="1">
    <brk id="12" max="1048575" man="1"/>
  </col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1:DF291"/>
  <sheetViews>
    <sheetView zoomScale="81" zoomScaleNormal="81" workbookViewId="0">
      <selection activeCell="BC25" sqref="BC25"/>
    </sheetView>
  </sheetViews>
  <sheetFormatPr defaultColWidth="9.109375" defaultRowHeight="13.2"/>
  <cols>
    <col min="1" max="1" width="3.6640625" style="303" customWidth="1"/>
    <col min="2" max="2" width="48.33203125" style="303" customWidth="1"/>
    <col min="3" max="3" width="12.44140625" style="303" bestFit="1" customWidth="1"/>
    <col min="4" max="4" width="8.6640625" style="303" bestFit="1" customWidth="1"/>
    <col min="5" max="5" width="15.109375" style="303" bestFit="1" customWidth="1"/>
    <col min="6" max="6" width="32" style="543" customWidth="1"/>
    <col min="7" max="7" width="10.44140625" style="303" bestFit="1" customWidth="1"/>
    <col min="8" max="8" width="46" style="303" bestFit="1" customWidth="1"/>
    <col min="9" max="9" width="9.109375" style="303" bestFit="1" customWidth="1"/>
    <col min="10" max="10" width="10.44140625" style="303" bestFit="1" customWidth="1"/>
    <col min="11" max="11" width="9.33203125" style="303" bestFit="1" customWidth="1"/>
    <col min="12" max="12" width="8.109375" style="303" bestFit="1" customWidth="1"/>
    <col min="13" max="13" width="8.44140625" style="303" bestFit="1" customWidth="1"/>
    <col min="14" max="14" width="35" style="303" customWidth="1"/>
    <col min="15" max="15" width="10.109375" style="303" bestFit="1" customWidth="1"/>
    <col min="16" max="16" width="10.33203125" style="303" bestFit="1" customWidth="1"/>
    <col min="17" max="17" width="13" style="303" bestFit="1" customWidth="1"/>
    <col min="18" max="18" width="12.44140625" style="303" bestFit="1" customWidth="1"/>
    <col min="19" max="19" width="6.77734375" style="303" bestFit="1" customWidth="1"/>
    <col min="20" max="20" width="9.6640625" style="303" bestFit="1" customWidth="1"/>
    <col min="21" max="30" width="9.109375" style="303"/>
    <col min="31" max="31" width="38" style="303" customWidth="1"/>
    <col min="32" max="32" width="12.6640625" style="303" bestFit="1" customWidth="1"/>
    <col min="33" max="33" width="14.44140625" style="303" bestFit="1" customWidth="1"/>
    <col min="34" max="34" width="13.33203125" style="303" bestFit="1" customWidth="1"/>
    <col min="35" max="35" width="10.77734375" style="303" customWidth="1"/>
    <col min="36" max="36" width="11.77734375" style="303" customWidth="1"/>
    <col min="37" max="37" width="10.77734375" style="303" bestFit="1" customWidth="1"/>
    <col min="38" max="38" width="15.77734375" style="303" bestFit="1" customWidth="1"/>
    <col min="39" max="39" width="13.33203125" style="303" bestFit="1" customWidth="1"/>
    <col min="40" max="50" width="9.109375" style="303"/>
    <col min="51" max="51" width="45.44140625" style="303" customWidth="1"/>
    <col min="52" max="52" width="16.44140625" style="303" customWidth="1"/>
    <col min="53" max="53" width="9.33203125" style="303" bestFit="1" customWidth="1"/>
    <col min="54" max="54" width="14.44140625" style="303" customWidth="1"/>
    <col min="55" max="55" width="13.77734375" style="303" customWidth="1"/>
    <col min="56" max="56" width="28.109375" style="303" customWidth="1"/>
    <col min="57" max="57" width="9.109375" style="303"/>
    <col min="58" max="58" width="40.44140625" style="303" customWidth="1"/>
    <col min="59" max="61" width="18.109375" style="303" bestFit="1" customWidth="1"/>
    <col min="62" max="62" width="23.44140625" style="303" bestFit="1" customWidth="1"/>
    <col min="63" max="63" width="9.109375" style="303"/>
    <col min="64" max="64" width="33" style="303" bestFit="1" customWidth="1"/>
    <col min="65" max="65" width="9.109375" style="303" bestFit="1" customWidth="1"/>
    <col min="66" max="66" width="9.77734375" style="303" bestFit="1" customWidth="1"/>
    <col min="67" max="67" width="9.109375" style="303"/>
    <col min="68" max="68" width="16.44140625" style="303" bestFit="1" customWidth="1"/>
    <col min="69" max="69" width="12" style="303" bestFit="1" customWidth="1"/>
    <col min="70" max="71" width="10.77734375" style="303" bestFit="1" customWidth="1"/>
    <col min="72" max="73" width="10.33203125" style="303" bestFit="1" customWidth="1"/>
    <col min="74" max="16384" width="9.109375" style="303"/>
  </cols>
  <sheetData>
    <row r="1" spans="2:110" ht="13.8" thickBot="1">
      <c r="BD1" s="564"/>
    </row>
    <row r="2" spans="2:110" ht="21">
      <c r="B2" s="1054" t="s">
        <v>2564</v>
      </c>
      <c r="C2" s="229"/>
      <c r="D2" s="229"/>
      <c r="E2" s="229"/>
      <c r="F2" s="1055"/>
      <c r="G2" s="229"/>
      <c r="H2" s="229"/>
      <c r="I2" s="229"/>
      <c r="J2" s="229"/>
      <c r="K2" s="229"/>
      <c r="L2" s="430"/>
      <c r="M2" s="335"/>
      <c r="N2" s="1054" t="s">
        <v>2565</v>
      </c>
      <c r="O2" s="274"/>
      <c r="P2" s="274"/>
      <c r="Q2" s="274"/>
      <c r="R2" s="274"/>
      <c r="S2" s="274"/>
      <c r="T2" s="274"/>
      <c r="U2" s="1105"/>
      <c r="V2" s="1105"/>
      <c r="W2" s="1105"/>
      <c r="X2" s="1105"/>
      <c r="Y2" s="274"/>
      <c r="Z2" s="1105"/>
      <c r="AA2" s="1105"/>
      <c r="AB2" s="1105"/>
      <c r="AC2" s="1106"/>
      <c r="AD2" s="335"/>
      <c r="AE2" s="1054" t="s">
        <v>2568</v>
      </c>
      <c r="AF2" s="274"/>
      <c r="AG2" s="274"/>
      <c r="AH2" s="274"/>
      <c r="AI2" s="229"/>
      <c r="AJ2" s="229"/>
      <c r="AK2" s="229"/>
      <c r="AL2" s="229"/>
      <c r="AM2" s="229"/>
      <c r="AN2" s="229"/>
      <c r="AO2" s="229"/>
      <c r="AP2" s="229"/>
      <c r="AQ2" s="229"/>
      <c r="AR2" s="229"/>
      <c r="AS2" s="229"/>
      <c r="AT2" s="229"/>
      <c r="AU2" s="229"/>
      <c r="AV2" s="430"/>
      <c r="AW2" s="231"/>
      <c r="AX2" s="565"/>
      <c r="AY2" s="1181" t="s">
        <v>2569</v>
      </c>
      <c r="AZ2" s="274"/>
      <c r="BA2" s="274"/>
      <c r="BB2" s="274"/>
      <c r="BC2" s="229"/>
      <c r="BD2" s="1137"/>
      <c r="BE2" s="229"/>
      <c r="BF2" s="229"/>
      <c r="BG2" s="229"/>
      <c r="BH2" s="229"/>
      <c r="BI2" s="229"/>
      <c r="BJ2" s="229"/>
      <c r="BK2" s="229"/>
      <c r="BL2" s="229"/>
      <c r="BM2" s="229"/>
      <c r="BN2" s="229"/>
      <c r="BO2" s="229"/>
      <c r="BP2" s="229"/>
      <c r="BQ2" s="229"/>
      <c r="BR2" s="229"/>
      <c r="BS2" s="229"/>
      <c r="BT2" s="229"/>
      <c r="BU2" s="229"/>
      <c r="BV2" s="229"/>
      <c r="BW2" s="229"/>
      <c r="BX2" s="229"/>
      <c r="BY2" s="229"/>
      <c r="BZ2" s="229"/>
      <c r="CA2" s="430"/>
      <c r="CB2" s="231"/>
      <c r="CC2" s="231"/>
      <c r="CD2" s="231"/>
      <c r="CE2" s="231"/>
      <c r="CF2" s="231"/>
      <c r="CG2" s="231"/>
      <c r="CH2" s="231"/>
      <c r="CI2" s="231"/>
      <c r="CJ2" s="231"/>
      <c r="CK2" s="231"/>
      <c r="CL2" s="231"/>
      <c r="CM2" s="231"/>
      <c r="CN2" s="231"/>
      <c r="CO2" s="231"/>
      <c r="CP2" s="231"/>
      <c r="CQ2" s="231"/>
      <c r="CR2" s="231"/>
      <c r="CS2" s="231"/>
      <c r="CT2" s="231"/>
      <c r="CU2" s="231"/>
      <c r="CV2" s="231"/>
      <c r="CW2" s="231"/>
      <c r="CX2" s="231"/>
      <c r="CY2" s="231"/>
      <c r="CZ2" s="231"/>
      <c r="DA2" s="231"/>
      <c r="DB2" s="231"/>
      <c r="DC2" s="231"/>
      <c r="DD2" s="231"/>
      <c r="DE2" s="231"/>
      <c r="DF2" s="231"/>
    </row>
    <row r="3" spans="2:110" ht="18" thickBot="1">
      <c r="B3" s="230"/>
      <c r="C3" s="231"/>
      <c r="D3" s="231"/>
      <c r="E3" s="231"/>
      <c r="F3" s="680"/>
      <c r="G3" s="231"/>
      <c r="H3" s="231"/>
      <c r="I3" s="231"/>
      <c r="J3" s="231"/>
      <c r="K3" s="231"/>
      <c r="L3" s="433"/>
      <c r="N3" s="1107"/>
      <c r="O3" s="94"/>
      <c r="P3" s="94"/>
      <c r="Q3" s="94"/>
      <c r="R3" s="94"/>
      <c r="S3" s="94"/>
      <c r="T3" s="94"/>
      <c r="U3" s="223"/>
      <c r="V3" s="223"/>
      <c r="W3" s="223"/>
      <c r="X3" s="223"/>
      <c r="Y3" s="94"/>
      <c r="Z3" s="223"/>
      <c r="AA3" s="223"/>
      <c r="AB3" s="223"/>
      <c r="AC3" s="460"/>
      <c r="AD3" s="335"/>
      <c r="AE3" s="1107" t="s">
        <v>1813</v>
      </c>
      <c r="AF3" s="94"/>
      <c r="AG3" s="94"/>
      <c r="AH3" s="94"/>
      <c r="AI3" s="231"/>
      <c r="AJ3" s="231"/>
      <c r="AK3" s="231"/>
      <c r="AL3" s="231"/>
      <c r="AM3" s="231"/>
      <c r="AN3" s="231"/>
      <c r="AO3" s="231"/>
      <c r="AP3" s="231"/>
      <c r="AQ3" s="231"/>
      <c r="AR3" s="231"/>
      <c r="AS3" s="231"/>
      <c r="AT3" s="231"/>
      <c r="AU3" s="231"/>
      <c r="AV3" s="433"/>
      <c r="AW3" s="231"/>
      <c r="AX3" s="235"/>
      <c r="AY3" s="623"/>
      <c r="AZ3" s="94"/>
      <c r="BA3" s="94"/>
      <c r="BB3" s="94"/>
      <c r="BC3" s="231"/>
      <c r="BD3" s="652"/>
      <c r="BE3" s="231"/>
      <c r="BF3" s="231"/>
      <c r="BG3" s="231"/>
      <c r="BH3" s="231"/>
      <c r="BI3" s="231"/>
      <c r="BJ3" s="231"/>
      <c r="BK3" s="231"/>
      <c r="BL3" s="231"/>
      <c r="BM3" s="231"/>
      <c r="BN3" s="231"/>
      <c r="BO3" s="231"/>
      <c r="BP3" s="231"/>
      <c r="BQ3" s="231"/>
      <c r="BR3" s="231"/>
      <c r="BS3" s="231"/>
      <c r="BT3" s="231"/>
      <c r="BU3" s="231"/>
      <c r="BV3" s="231"/>
      <c r="BW3" s="231"/>
      <c r="BX3" s="231"/>
      <c r="BY3" s="231"/>
      <c r="BZ3" s="231"/>
      <c r="CA3" s="433"/>
      <c r="CB3" s="231"/>
      <c r="CC3" s="231"/>
      <c r="CD3" s="231"/>
      <c r="CE3" s="231"/>
      <c r="CF3" s="231"/>
      <c r="CG3" s="231"/>
      <c r="CH3" s="231"/>
      <c r="CI3" s="231"/>
      <c r="CJ3" s="231"/>
      <c r="CK3" s="231"/>
      <c r="CL3" s="231"/>
      <c r="CM3" s="231"/>
      <c r="CN3" s="231"/>
      <c r="CO3" s="231"/>
      <c r="CP3" s="231"/>
      <c r="CQ3" s="231"/>
      <c r="CR3" s="231"/>
      <c r="CS3" s="231"/>
      <c r="CT3" s="231"/>
      <c r="CU3" s="231"/>
      <c r="CV3" s="231"/>
      <c r="CW3" s="231"/>
      <c r="CX3" s="231"/>
      <c r="CY3" s="231"/>
      <c r="CZ3" s="231"/>
      <c r="DA3" s="231"/>
      <c r="DB3" s="231"/>
      <c r="DC3" s="231"/>
      <c r="DD3" s="231"/>
      <c r="DE3" s="231"/>
      <c r="DF3" s="231"/>
    </row>
    <row r="4" spans="2:110" ht="15.6">
      <c r="B4" s="230"/>
      <c r="C4" s="231"/>
      <c r="D4" s="231"/>
      <c r="E4" s="231"/>
      <c r="F4" s="680"/>
      <c r="G4" s="231"/>
      <c r="H4" s="467" t="s">
        <v>1641</v>
      </c>
      <c r="I4" s="468"/>
      <c r="J4" s="468"/>
      <c r="K4" s="545"/>
      <c r="L4" s="433"/>
      <c r="N4" s="230"/>
      <c r="O4" s="223"/>
      <c r="P4" s="223"/>
      <c r="Q4" s="223"/>
      <c r="R4" s="223"/>
      <c r="S4" s="223"/>
      <c r="T4" s="223"/>
      <c r="U4" s="223"/>
      <c r="V4" s="223"/>
      <c r="W4" s="223"/>
      <c r="X4" s="223"/>
      <c r="Y4" s="94"/>
      <c r="Z4" s="223"/>
      <c r="AA4" s="223"/>
      <c r="AB4" s="223"/>
      <c r="AC4" s="460"/>
      <c r="AD4" s="335"/>
      <c r="AE4" s="230" t="s">
        <v>1640</v>
      </c>
      <c r="AF4" s="231"/>
      <c r="AG4" s="231"/>
      <c r="AH4" s="231"/>
      <c r="AI4" s="231"/>
      <c r="AJ4" s="231"/>
      <c r="AK4" s="231"/>
      <c r="AL4" s="231"/>
      <c r="AM4" s="231"/>
      <c r="AN4" s="231"/>
      <c r="AO4" s="231"/>
      <c r="AP4" s="231"/>
      <c r="AQ4" s="231"/>
      <c r="AR4" s="231"/>
      <c r="AS4" s="231"/>
      <c r="AT4" s="231"/>
      <c r="AU4" s="231"/>
      <c r="AV4" s="433"/>
      <c r="AW4" s="231"/>
      <c r="AX4" s="235"/>
      <c r="AY4" s="304"/>
      <c r="AZ4" s="231"/>
      <c r="BA4" s="231"/>
      <c r="BB4" s="231"/>
      <c r="BC4" s="231"/>
      <c r="BD4" s="652"/>
      <c r="BE4" s="231"/>
      <c r="BF4" s="438" t="s">
        <v>1888</v>
      </c>
      <c r="BG4" s="620" t="s">
        <v>56</v>
      </c>
      <c r="BH4" s="620" t="s">
        <v>56</v>
      </c>
      <c r="BI4" s="620" t="s">
        <v>314</v>
      </c>
      <c r="BJ4" s="621" t="s">
        <v>314</v>
      </c>
      <c r="BK4" s="231"/>
      <c r="BL4" s="231"/>
      <c r="BM4" s="231"/>
      <c r="BN4" s="231"/>
      <c r="BO4" s="231"/>
      <c r="BP4" s="231"/>
      <c r="BQ4" s="231"/>
      <c r="BR4" s="231"/>
      <c r="BS4" s="231"/>
      <c r="BT4" s="231"/>
      <c r="BU4" s="231"/>
      <c r="BV4" s="231"/>
      <c r="BW4" s="231"/>
      <c r="BX4" s="231"/>
      <c r="BY4" s="231"/>
      <c r="BZ4" s="231"/>
      <c r="CA4" s="433"/>
      <c r="CB4" s="231"/>
      <c r="CC4" s="231"/>
      <c r="CD4" s="231"/>
      <c r="CE4" s="231"/>
      <c r="CF4" s="231"/>
      <c r="CG4" s="231"/>
      <c r="CH4" s="231"/>
      <c r="CI4" s="231"/>
      <c r="CJ4" s="231"/>
      <c r="CK4" s="231"/>
      <c r="CL4" s="231"/>
      <c r="CM4" s="231"/>
      <c r="CN4" s="231"/>
      <c r="CO4" s="231"/>
      <c r="CP4" s="231"/>
      <c r="CQ4" s="231"/>
      <c r="CR4" s="231"/>
      <c r="CS4" s="231"/>
      <c r="CT4" s="231"/>
      <c r="CU4" s="231"/>
      <c r="CV4" s="231"/>
      <c r="CW4" s="231"/>
      <c r="CX4" s="231"/>
      <c r="CY4" s="231"/>
      <c r="CZ4" s="231"/>
      <c r="DA4" s="231"/>
      <c r="DB4" s="231"/>
      <c r="DC4" s="231"/>
      <c r="DD4" s="231"/>
      <c r="DE4" s="231"/>
      <c r="DF4" s="231"/>
    </row>
    <row r="5" spans="2:110">
      <c r="B5" s="235"/>
      <c r="C5" s="231"/>
      <c r="D5" s="231"/>
      <c r="E5" s="231"/>
      <c r="F5" s="546"/>
      <c r="G5" s="231"/>
      <c r="H5" s="472"/>
      <c r="I5" s="473" t="s">
        <v>32</v>
      </c>
      <c r="J5" s="473"/>
      <c r="K5" s="547" t="s">
        <v>1642</v>
      </c>
      <c r="L5" s="433"/>
      <c r="M5" s="548"/>
      <c r="N5" s="246"/>
      <c r="O5" s="223"/>
      <c r="P5" s="223"/>
      <c r="Q5" s="223"/>
      <c r="R5" s="223"/>
      <c r="S5" s="223"/>
      <c r="T5" s="223"/>
      <c r="U5" s="223"/>
      <c r="V5" s="223"/>
      <c r="W5" s="223"/>
      <c r="X5" s="223"/>
      <c r="Y5" s="94"/>
      <c r="Z5" s="223"/>
      <c r="AA5" s="223"/>
      <c r="AB5" s="223"/>
      <c r="AC5" s="460"/>
      <c r="AD5" s="335"/>
      <c r="AE5" s="238"/>
      <c r="AF5" s="239"/>
      <c r="AG5" s="239"/>
      <c r="AH5" s="239"/>
      <c r="AI5" s="239"/>
      <c r="AJ5" s="239"/>
      <c r="AK5" s="239"/>
      <c r="AL5" s="239"/>
      <c r="AM5" s="239"/>
      <c r="AN5" s="239"/>
      <c r="AO5" s="239"/>
      <c r="AP5" s="239"/>
      <c r="AQ5" s="239"/>
      <c r="AR5" s="239"/>
      <c r="AS5" s="239"/>
      <c r="AT5" s="239"/>
      <c r="AU5" s="239"/>
      <c r="AV5" s="693"/>
      <c r="AW5" s="239"/>
      <c r="AX5" s="235"/>
      <c r="AY5" s="231"/>
      <c r="AZ5" s="231"/>
      <c r="BA5" s="231"/>
      <c r="BB5" s="569" t="s">
        <v>56</v>
      </c>
      <c r="BC5" s="569" t="s">
        <v>314</v>
      </c>
      <c r="BD5" s="318"/>
      <c r="BE5" s="231"/>
      <c r="BF5" s="216"/>
      <c r="BG5" s="479" t="s">
        <v>241</v>
      </c>
      <c r="BH5" s="479" t="s">
        <v>1890</v>
      </c>
      <c r="BI5" s="479" t="s">
        <v>241</v>
      </c>
      <c r="BJ5" s="624" t="s">
        <v>1891</v>
      </c>
      <c r="BK5" s="231"/>
      <c r="BL5" s="231"/>
      <c r="BM5" s="231"/>
      <c r="BN5" s="231"/>
      <c r="BO5" s="231"/>
      <c r="BP5" s="231"/>
      <c r="BQ5" s="231"/>
      <c r="BR5" s="231"/>
      <c r="BS5" s="231"/>
      <c r="BT5" s="231"/>
      <c r="BU5" s="231"/>
      <c r="BV5" s="231"/>
      <c r="BW5" s="231"/>
      <c r="BX5" s="231"/>
      <c r="BY5" s="231"/>
      <c r="BZ5" s="231"/>
      <c r="CA5" s="433"/>
      <c r="CB5" s="231"/>
      <c r="CC5" s="231"/>
      <c r="CD5" s="231"/>
      <c r="CE5" s="231"/>
      <c r="CF5" s="231"/>
      <c r="CG5" s="231"/>
      <c r="CH5" s="231"/>
      <c r="CI5" s="231"/>
      <c r="CJ5" s="231"/>
      <c r="CK5" s="231"/>
      <c r="CL5" s="231"/>
      <c r="CM5" s="231"/>
      <c r="CN5" s="231"/>
      <c r="CO5" s="231"/>
      <c r="CP5" s="231"/>
      <c r="CQ5" s="231"/>
      <c r="CR5" s="231"/>
      <c r="CS5" s="231"/>
      <c r="CT5" s="231"/>
      <c r="CU5" s="231"/>
      <c r="CV5" s="231"/>
      <c r="CW5" s="231"/>
      <c r="CX5" s="231"/>
      <c r="CY5" s="231"/>
      <c r="CZ5" s="231"/>
      <c r="DA5" s="231"/>
      <c r="DB5" s="231"/>
      <c r="DC5" s="231"/>
      <c r="DD5" s="231"/>
      <c r="DE5" s="231"/>
      <c r="DF5" s="231"/>
    </row>
    <row r="6" spans="2:110">
      <c r="B6" s="1056" t="s">
        <v>641</v>
      </c>
      <c r="C6" s="98" t="s">
        <v>89</v>
      </c>
      <c r="D6" s="98" t="s">
        <v>90</v>
      </c>
      <c r="E6" s="98" t="s">
        <v>91</v>
      </c>
      <c r="F6" s="546" t="s">
        <v>352</v>
      </c>
      <c r="G6" s="231"/>
      <c r="H6" s="549" t="s">
        <v>1643</v>
      </c>
      <c r="I6" s="550" t="s">
        <v>33</v>
      </c>
      <c r="J6" s="550" t="s">
        <v>35</v>
      </c>
      <c r="K6" s="551" t="s">
        <v>1644</v>
      </c>
      <c r="L6" s="433"/>
      <c r="M6" s="548"/>
      <c r="N6" s="1056" t="s">
        <v>641</v>
      </c>
      <c r="O6" s="98" t="s">
        <v>89</v>
      </c>
      <c r="P6" s="98" t="s">
        <v>90</v>
      </c>
      <c r="Q6" s="571" t="s">
        <v>91</v>
      </c>
      <c r="R6" s="98" t="s">
        <v>352</v>
      </c>
      <c r="S6" s="94"/>
      <c r="T6" s="94"/>
      <c r="U6" s="223"/>
      <c r="V6" s="223"/>
      <c r="W6" s="223"/>
      <c r="X6" s="223"/>
      <c r="Y6" s="94"/>
      <c r="Z6" s="223"/>
      <c r="AA6" s="223"/>
      <c r="AB6" s="223"/>
      <c r="AC6" s="460"/>
      <c r="AD6" s="335"/>
      <c r="AE6" s="1056" t="s">
        <v>641</v>
      </c>
      <c r="AF6" s="98" t="s">
        <v>89</v>
      </c>
      <c r="AG6" s="98" t="s">
        <v>90</v>
      </c>
      <c r="AH6" s="571" t="s">
        <v>91</v>
      </c>
      <c r="AI6" s="98" t="s">
        <v>352</v>
      </c>
      <c r="AJ6" s="239"/>
      <c r="AK6" s="239"/>
      <c r="AL6" s="239"/>
      <c r="AM6" s="239"/>
      <c r="AN6" s="239"/>
      <c r="AO6" s="239"/>
      <c r="AP6" s="239"/>
      <c r="AQ6" s="239"/>
      <c r="AR6" s="239"/>
      <c r="AS6" s="239"/>
      <c r="AT6" s="239"/>
      <c r="AU6" s="239"/>
      <c r="AV6" s="693"/>
      <c r="AW6" s="239"/>
      <c r="AX6" s="235"/>
      <c r="AY6" s="98" t="s">
        <v>641</v>
      </c>
      <c r="AZ6" s="98" t="s">
        <v>89</v>
      </c>
      <c r="BA6" s="98" t="s">
        <v>90</v>
      </c>
      <c r="BB6" s="571" t="s">
        <v>1890</v>
      </c>
      <c r="BC6" s="571" t="s">
        <v>1898</v>
      </c>
      <c r="BD6" s="627" t="s">
        <v>352</v>
      </c>
      <c r="BE6" s="231"/>
      <c r="BF6" s="129" t="s">
        <v>1895</v>
      </c>
      <c r="BG6" s="634" t="s">
        <v>97</v>
      </c>
      <c r="BH6" s="625" t="str">
        <f>IF(BB42=1,"Solid Rectangle",(IF(BB42=2,"I Beam",IF(BB42=3,"U-Channel (C orientation)",IF(BB42=4,"Hollow Rectangle",IF(BB42=5,"U-Channel (N orientation)",IF(BB42=6,"Solid Circle","Hollow Circle")))))))</f>
        <v>I Beam</v>
      </c>
      <c r="BI6" s="634" t="s">
        <v>97</v>
      </c>
      <c r="BJ6" s="626" t="str">
        <f>IF(BC42=1,"Solid Rectangle",(IF(BC42=2,"I Beam",IF(BC42=3,"U-Channel (C orientation)",IF(BC42=4,"Hollow Rectangle",IF(BC42=5,"U-Channel (N orientation)",IF(BC42=6,"Solid Circle","Hollow Circle")))))))</f>
        <v>U-Channel (C orientation)</v>
      </c>
      <c r="BK6" s="231"/>
      <c r="BL6" s="231"/>
      <c r="BM6" s="231"/>
      <c r="BN6" s="231"/>
      <c r="BO6" s="231"/>
      <c r="BP6" s="231"/>
      <c r="BQ6" s="231"/>
      <c r="BR6" s="231"/>
      <c r="BS6" s="231"/>
      <c r="BT6" s="231"/>
      <c r="BU6" s="231"/>
      <c r="BV6" s="231"/>
      <c r="BW6" s="231"/>
      <c r="BX6" s="231"/>
      <c r="BY6" s="231"/>
      <c r="BZ6" s="231"/>
      <c r="CA6" s="433"/>
      <c r="CB6" s="231"/>
      <c r="CC6" s="231"/>
      <c r="CD6" s="231"/>
      <c r="CE6" s="231"/>
      <c r="CF6" s="231"/>
      <c r="CG6" s="231"/>
      <c r="CH6" s="231"/>
      <c r="CI6" s="231"/>
      <c r="CJ6" s="231"/>
      <c r="CK6" s="231"/>
      <c r="CL6" s="231"/>
      <c r="CM6" s="231"/>
      <c r="CN6" s="231"/>
      <c r="CO6" s="231"/>
      <c r="CP6" s="231"/>
      <c r="CQ6" s="231"/>
      <c r="CR6" s="231"/>
      <c r="CS6" s="231"/>
      <c r="CT6" s="231"/>
      <c r="CU6" s="231"/>
      <c r="CV6" s="231"/>
      <c r="CW6" s="231"/>
      <c r="CX6" s="231"/>
      <c r="CY6" s="231"/>
      <c r="CZ6" s="231"/>
      <c r="DA6" s="231"/>
      <c r="DB6" s="231"/>
      <c r="DC6" s="231"/>
      <c r="DD6" s="231"/>
      <c r="DE6" s="231"/>
      <c r="DF6" s="231"/>
    </row>
    <row r="7" spans="2:110">
      <c r="B7" s="246" t="s">
        <v>1645</v>
      </c>
      <c r="C7" s="223" t="s">
        <v>87</v>
      </c>
      <c r="D7" s="223" t="s">
        <v>87</v>
      </c>
      <c r="E7" s="1057">
        <v>2</v>
      </c>
      <c r="F7" s="546"/>
      <c r="G7" s="231"/>
      <c r="H7" s="472" t="str">
        <f>B21</f>
        <v>Acceleration (Climb - 1.2*Vstall to climb speed)</v>
      </c>
      <c r="I7" s="552">
        <f>E22</f>
        <v>1500</v>
      </c>
      <c r="J7" s="778">
        <f>E23</f>
        <v>0.11576140446550094</v>
      </c>
      <c r="K7" s="553">
        <f>E28</f>
        <v>1.5852089544238088</v>
      </c>
      <c r="L7" s="693"/>
      <c r="M7" s="400"/>
      <c r="N7" s="246" t="s">
        <v>1734</v>
      </c>
      <c r="O7" s="223" t="s">
        <v>1530</v>
      </c>
      <c r="P7" s="223" t="s">
        <v>221</v>
      </c>
      <c r="Q7" s="1108">
        <f>'3'!E44</f>
        <v>113.49521551947018</v>
      </c>
      <c r="R7" s="101" t="s">
        <v>1683</v>
      </c>
      <c r="S7" s="99"/>
      <c r="T7" s="101"/>
      <c r="U7" s="223"/>
      <c r="V7" s="223"/>
      <c r="W7" s="223"/>
      <c r="X7" s="223"/>
      <c r="Y7" s="94"/>
      <c r="Z7" s="223"/>
      <c r="AA7" s="223"/>
      <c r="AB7" s="223"/>
      <c r="AC7" s="460"/>
      <c r="AD7" s="335"/>
      <c r="AE7" s="246" t="s">
        <v>1734</v>
      </c>
      <c r="AF7" s="223" t="s">
        <v>1530</v>
      </c>
      <c r="AG7" s="223" t="s">
        <v>221</v>
      </c>
      <c r="AH7" s="1108">
        <f>'3'!E44</f>
        <v>113.49521551947018</v>
      </c>
      <c r="AI7" s="94" t="s">
        <v>1683</v>
      </c>
      <c r="AJ7" s="239"/>
      <c r="AK7" s="239"/>
      <c r="AL7" s="239"/>
      <c r="AM7" s="239"/>
      <c r="AN7" s="239"/>
      <c r="AO7" s="239"/>
      <c r="AP7" s="239"/>
      <c r="AQ7" s="239"/>
      <c r="AR7" s="239"/>
      <c r="AS7" s="239"/>
      <c r="AT7" s="239"/>
      <c r="AU7" s="239"/>
      <c r="AV7" s="693"/>
      <c r="AW7" s="239"/>
      <c r="AX7" s="235"/>
      <c r="AY7" s="223" t="s">
        <v>994</v>
      </c>
      <c r="AZ7" s="223" t="s">
        <v>337</v>
      </c>
      <c r="BA7" s="223" t="s">
        <v>188</v>
      </c>
      <c r="BB7" s="1138" t="s">
        <v>569</v>
      </c>
      <c r="BC7" s="1139">
        <f>'5'!T15</f>
        <v>21.125</v>
      </c>
      <c r="BD7" s="646" t="s">
        <v>1814</v>
      </c>
      <c r="BE7" s="231"/>
      <c r="BF7" s="129" t="s">
        <v>1897</v>
      </c>
      <c r="BG7" s="625" t="str">
        <f>VLOOKUP(BB20,$AX$81:$BY$114,2,TRUE)</f>
        <v>Magnesium</v>
      </c>
      <c r="BH7" s="625" t="str">
        <f>VLOOKUP(BB36,$AX$81:$BY$114,2,TRUE)</f>
        <v>Aluminum Alloy</v>
      </c>
      <c r="BI7" s="625" t="str">
        <f>VLOOKUP(BC20,$AX$81:$BY$114,2,TRUE)</f>
        <v>Magnesium</v>
      </c>
      <c r="BJ7" s="626" t="str">
        <f>VLOOKUP(BC36,$AX$81:$BY$114,2,TRUE)</f>
        <v>Magnesium</v>
      </c>
      <c r="BK7" s="231"/>
      <c r="BL7" s="231"/>
      <c r="BM7" s="231"/>
      <c r="BN7" s="231"/>
      <c r="BO7" s="231"/>
      <c r="BP7" s="231"/>
      <c r="BQ7" s="231"/>
      <c r="BR7" s="231"/>
      <c r="BS7" s="231"/>
      <c r="BT7" s="231"/>
      <c r="BU7" s="231"/>
      <c r="BV7" s="231"/>
      <c r="BW7" s="231"/>
      <c r="BX7" s="231"/>
      <c r="BY7" s="231"/>
      <c r="BZ7" s="231"/>
      <c r="CA7" s="433"/>
      <c r="CB7" s="231"/>
      <c r="CC7" s="231"/>
      <c r="CD7" s="231"/>
      <c r="CE7" s="231"/>
      <c r="CF7" s="231"/>
      <c r="CG7" s="231"/>
      <c r="CH7" s="231"/>
      <c r="CI7" s="231"/>
      <c r="CJ7" s="231"/>
      <c r="CK7" s="231"/>
      <c r="CL7" s="231"/>
      <c r="CM7" s="231"/>
      <c r="CN7" s="231"/>
      <c r="CO7" s="231"/>
      <c r="CP7" s="231"/>
      <c r="CQ7" s="231"/>
      <c r="CR7" s="231"/>
      <c r="CS7" s="231"/>
      <c r="CT7" s="231"/>
      <c r="CU7" s="231"/>
      <c r="CV7" s="231"/>
      <c r="CW7" s="231"/>
      <c r="CX7" s="231"/>
      <c r="CY7" s="231"/>
      <c r="CZ7" s="231"/>
      <c r="DA7" s="231"/>
      <c r="DB7" s="231"/>
      <c r="DC7" s="231"/>
      <c r="DD7" s="231"/>
      <c r="DE7" s="231"/>
      <c r="DF7" s="231"/>
    </row>
    <row r="8" spans="2:110" ht="15.6">
      <c r="B8" s="246" t="s">
        <v>1646</v>
      </c>
      <c r="C8" s="223" t="s">
        <v>1647</v>
      </c>
      <c r="D8" s="574" t="s">
        <v>188</v>
      </c>
      <c r="E8" s="1058">
        <f>'4'!L20</f>
        <v>4.3859408576370313</v>
      </c>
      <c r="F8" s="1059" t="s">
        <v>1648</v>
      </c>
      <c r="G8" s="231"/>
      <c r="H8" s="472" t="str">
        <f>B30</f>
        <v>Acceleration (Loiter - MBE to Cruise speed)</v>
      </c>
      <c r="I8" s="552">
        <f>E31</f>
        <v>3500</v>
      </c>
      <c r="J8" s="778">
        <f>E32</f>
        <v>0.15000000000000002</v>
      </c>
      <c r="K8" s="553">
        <f>E37</f>
        <v>2.8381205568400238</v>
      </c>
      <c r="L8" s="693"/>
      <c r="M8" s="400"/>
      <c r="N8" s="246" t="s">
        <v>0</v>
      </c>
      <c r="O8" s="223" t="s">
        <v>93</v>
      </c>
      <c r="P8" s="223" t="s">
        <v>87</v>
      </c>
      <c r="Q8" s="1108">
        <f>'2'!F9</f>
        <v>5.9</v>
      </c>
      <c r="R8" s="94" t="s">
        <v>1653</v>
      </c>
      <c r="S8" s="94"/>
      <c r="T8" s="94"/>
      <c r="U8" s="223"/>
      <c r="V8" s="223"/>
      <c r="W8" s="223"/>
      <c r="X8" s="223"/>
      <c r="Y8" s="94"/>
      <c r="Z8" s="223"/>
      <c r="AA8" s="223"/>
      <c r="AB8" s="223"/>
      <c r="AC8" s="460"/>
      <c r="AD8" s="335"/>
      <c r="AE8" s="246" t="s">
        <v>0</v>
      </c>
      <c r="AF8" s="223" t="s">
        <v>93</v>
      </c>
      <c r="AG8" s="223" t="s">
        <v>87</v>
      </c>
      <c r="AH8" s="1108">
        <f>'2'!F9</f>
        <v>5.9</v>
      </c>
      <c r="AI8" s="94" t="s">
        <v>1653</v>
      </c>
      <c r="AJ8" s="239"/>
      <c r="AK8" s="239"/>
      <c r="AL8" s="239"/>
      <c r="AM8" s="239"/>
      <c r="AN8" s="239"/>
      <c r="AO8" s="239"/>
      <c r="AP8" s="239"/>
      <c r="AQ8" s="239"/>
      <c r="AR8" s="239"/>
      <c r="AS8" s="239"/>
      <c r="AT8" s="239"/>
      <c r="AU8" s="239"/>
      <c r="AV8" s="693"/>
      <c r="AW8" s="239"/>
      <c r="AX8" s="235"/>
      <c r="AY8" s="223" t="s">
        <v>1901</v>
      </c>
      <c r="AZ8" s="223" t="s">
        <v>1902</v>
      </c>
      <c r="BA8" s="223" t="s">
        <v>188</v>
      </c>
      <c r="BB8" s="1140" t="s">
        <v>569</v>
      </c>
      <c r="BC8" s="1141">
        <f>IF('5'!T5=1,MAX('5'!W9:W19),'5'!T6)</f>
        <v>3</v>
      </c>
      <c r="BD8" s="646" t="s">
        <v>1814</v>
      </c>
      <c r="BE8" s="231"/>
      <c r="BF8" s="129" t="s">
        <v>1899</v>
      </c>
      <c r="BG8" s="625" t="str">
        <f>VLOOKUP(BB20,$AX$81:$BY$114,3,TRUE)</f>
        <v>HM 21A</v>
      </c>
      <c r="BH8" s="625" t="str">
        <f>VLOOKUP(BB36,$AX$81:$BY$114,3,TRUE)</f>
        <v>2024-T3 (clad)</v>
      </c>
      <c r="BI8" s="625" t="str">
        <f>VLOOKUP(BC20,$AX$81:$BY$114,3,TRUE)</f>
        <v>HM 21A</v>
      </c>
      <c r="BJ8" s="626" t="str">
        <f>VLOOKUP(BC36,$AX$81:$BY$114,3,TRUE)</f>
        <v>HM 21A</v>
      </c>
      <c r="BK8" s="231"/>
      <c r="BL8" s="231"/>
      <c r="BM8" s="233"/>
      <c r="BN8" s="233"/>
      <c r="BO8" s="233"/>
      <c r="BP8" s="233"/>
      <c r="BQ8" s="233"/>
      <c r="BR8" s="233"/>
      <c r="BS8" s="233"/>
      <c r="BT8" s="233"/>
      <c r="BU8" s="231"/>
      <c r="BV8" s="231"/>
      <c r="BW8" s="231"/>
      <c r="BX8" s="231"/>
      <c r="BY8" s="231"/>
      <c r="BZ8" s="231"/>
      <c r="CA8" s="433"/>
      <c r="CB8" s="231"/>
      <c r="CC8" s="231"/>
      <c r="CD8" s="231"/>
      <c r="CE8" s="231"/>
      <c r="CF8" s="231"/>
      <c r="CG8" s="231"/>
      <c r="CH8" s="231"/>
      <c r="CI8" s="231"/>
      <c r="CJ8" s="231"/>
      <c r="CK8" s="231"/>
      <c r="CL8" s="231"/>
      <c r="CM8" s="231"/>
      <c r="CN8" s="231"/>
      <c r="CO8" s="231"/>
      <c r="CP8" s="231"/>
      <c r="CQ8" s="231"/>
      <c r="CR8" s="231"/>
      <c r="CS8" s="231"/>
      <c r="CT8" s="231"/>
      <c r="CU8" s="231"/>
      <c r="CV8" s="231"/>
      <c r="CW8" s="231"/>
      <c r="CX8" s="231"/>
      <c r="CY8" s="231"/>
      <c r="CZ8" s="231"/>
      <c r="DA8" s="231"/>
      <c r="DB8" s="231"/>
      <c r="DC8" s="231"/>
      <c r="DD8" s="231"/>
      <c r="DE8" s="231"/>
      <c r="DF8" s="231"/>
    </row>
    <row r="9" spans="2:110" ht="15.6">
      <c r="B9" s="246" t="s">
        <v>1649</v>
      </c>
      <c r="C9" s="231" t="s">
        <v>1650</v>
      </c>
      <c r="D9" s="574" t="s">
        <v>1021</v>
      </c>
      <c r="E9" s="539">
        <f>'4'!M68</f>
        <v>7.9249820393483147E-2</v>
      </c>
      <c r="F9" s="680" t="s">
        <v>1648</v>
      </c>
      <c r="G9" s="231"/>
      <c r="H9" s="472" t="str">
        <f>B39</f>
        <v>Acceleration (Combat - Cruise speed to Max Mach)</v>
      </c>
      <c r="I9" s="552">
        <f>E40</f>
        <v>7000</v>
      </c>
      <c r="J9" s="778">
        <f>E41</f>
        <v>0.16</v>
      </c>
      <c r="K9" s="553">
        <f>E46</f>
        <v>2.5646991290482108</v>
      </c>
      <c r="L9" s="693"/>
      <c r="M9" s="323"/>
      <c r="N9" s="246" t="s">
        <v>184</v>
      </c>
      <c r="O9" s="585" t="s">
        <v>182</v>
      </c>
      <c r="P9" s="223" t="s">
        <v>87</v>
      </c>
      <c r="Q9" s="1109">
        <f>'4'!L8</f>
        <v>1</v>
      </c>
      <c r="R9" s="101" t="s">
        <v>1648</v>
      </c>
      <c r="S9" s="101"/>
      <c r="T9" s="101"/>
      <c r="U9" s="223"/>
      <c r="V9" s="223"/>
      <c r="W9" s="223"/>
      <c r="X9" s="223"/>
      <c r="Y9" s="94"/>
      <c r="Z9" s="223"/>
      <c r="AA9" s="223"/>
      <c r="AB9" s="223"/>
      <c r="AC9" s="460"/>
      <c r="AD9" s="335"/>
      <c r="AE9" s="246" t="s">
        <v>184</v>
      </c>
      <c r="AF9" s="585" t="s">
        <v>182</v>
      </c>
      <c r="AG9" s="223" t="s">
        <v>87</v>
      </c>
      <c r="AH9" s="1109">
        <f>'4'!L8</f>
        <v>1</v>
      </c>
      <c r="AI9" s="94" t="s">
        <v>1648</v>
      </c>
      <c r="AJ9" s="239"/>
      <c r="AK9" s="239"/>
      <c r="AL9" s="239"/>
      <c r="AM9" s="239"/>
      <c r="AN9" s="239"/>
      <c r="AO9" s="239"/>
      <c r="AP9" s="239"/>
      <c r="AQ9" s="239"/>
      <c r="AR9" s="239"/>
      <c r="AS9" s="239"/>
      <c r="AT9" s="239"/>
      <c r="AU9" s="239"/>
      <c r="AV9" s="693"/>
      <c r="AW9" s="239"/>
      <c r="AX9" s="238"/>
      <c r="AY9" s="223" t="s">
        <v>1905</v>
      </c>
      <c r="AZ9" s="223" t="s">
        <v>1906</v>
      </c>
      <c r="BA9" s="223" t="s">
        <v>188</v>
      </c>
      <c r="BB9" s="1140" t="s">
        <v>569</v>
      </c>
      <c r="BC9" s="1142">
        <f>IF('5'!T5=1,MAX('5'!X9:X19),'5'!T6)</f>
        <v>3.5</v>
      </c>
      <c r="BD9" s="646" t="s">
        <v>1814</v>
      </c>
      <c r="BE9" s="239"/>
      <c r="BF9" s="607" t="s">
        <v>1900</v>
      </c>
      <c r="BG9" s="628">
        <f>VLOOKUP(BB20,$AX$81:$BY$114,10,TRUE)</f>
        <v>1.2373333333333334</v>
      </c>
      <c r="BH9" s="628">
        <f>VLOOKUP(BB36,$AX$81:$BY$114,10,TRUE)</f>
        <v>1</v>
      </c>
      <c r="BI9" s="628">
        <f>VLOOKUP(BC20,$AX$81:$BY$114,10,TRUE)</f>
        <v>1.2373333333333334</v>
      </c>
      <c r="BJ9" s="629">
        <f>VLOOKUP(BC36,$AX$81:$BY$114,10,TRUE)</f>
        <v>1.2373333333333334</v>
      </c>
      <c r="BK9" s="239"/>
      <c r="BL9" s="239"/>
      <c r="BM9" s="652"/>
      <c r="BN9" s="652"/>
      <c r="BO9" s="652"/>
      <c r="BP9" s="652"/>
      <c r="BQ9" s="652"/>
      <c r="BR9" s="652"/>
      <c r="BS9" s="652"/>
      <c r="BT9" s="239"/>
      <c r="BU9" s="231"/>
      <c r="BV9" s="239"/>
      <c r="BW9" s="239"/>
      <c r="BX9" s="239"/>
      <c r="BY9" s="239"/>
      <c r="BZ9" s="239"/>
      <c r="CA9" s="693"/>
      <c r="CB9" s="231"/>
      <c r="CC9" s="231"/>
      <c r="CD9" s="231"/>
      <c r="CE9" s="231"/>
      <c r="CF9" s="231"/>
      <c r="CG9" s="231"/>
      <c r="CH9" s="231"/>
      <c r="CI9" s="231"/>
      <c r="CJ9" s="231"/>
      <c r="CK9" s="231"/>
      <c r="CL9" s="231"/>
      <c r="CM9" s="231"/>
      <c r="CN9" s="231"/>
      <c r="CO9" s="231"/>
      <c r="CP9" s="231"/>
      <c r="CQ9" s="231"/>
      <c r="CR9" s="231"/>
      <c r="CS9" s="231"/>
      <c r="CT9" s="231"/>
      <c r="CU9" s="231"/>
      <c r="CV9" s="231"/>
      <c r="CW9" s="231"/>
      <c r="CX9" s="231"/>
      <c r="CY9" s="231"/>
      <c r="CZ9" s="231"/>
      <c r="DA9" s="231"/>
      <c r="DB9" s="231"/>
      <c r="DC9" s="231"/>
      <c r="DD9" s="231"/>
      <c r="DE9" s="231"/>
      <c r="DF9" s="231"/>
    </row>
    <row r="10" spans="2:110" ht="15.6">
      <c r="B10" s="249" t="s">
        <v>1309</v>
      </c>
      <c r="C10" s="239" t="s">
        <v>775</v>
      </c>
      <c r="D10" s="239" t="s">
        <v>87</v>
      </c>
      <c r="E10" s="212">
        <v>1.5</v>
      </c>
      <c r="F10" s="1060"/>
      <c r="G10" s="231"/>
      <c r="H10" s="472" t="str">
        <f>B48</f>
        <v>Instantaneous Turn Rate</v>
      </c>
      <c r="I10" s="552">
        <f>E49</f>
        <v>3500</v>
      </c>
      <c r="J10" s="778">
        <f>E50</f>
        <v>0.15</v>
      </c>
      <c r="K10" s="553">
        <f>E55</f>
        <v>4.4244261776832685</v>
      </c>
      <c r="L10" s="693"/>
      <c r="M10" s="400"/>
      <c r="N10" s="246" t="s">
        <v>760</v>
      </c>
      <c r="O10" s="223" t="s">
        <v>946</v>
      </c>
      <c r="P10" s="223" t="s">
        <v>594</v>
      </c>
      <c r="Q10" s="1108">
        <f>IF('2'!F21=1,'7a'!Q20,IF('2'!F21=2,'7b'!Q20,IF('2'!F21=3,'7a'!Q20,IF('2'!F21=4,'7b'!Q20,IF('2'!F21=5,'7a'!Q20,'7b'!Q20)))))</f>
        <v>253.1999021021748</v>
      </c>
      <c r="R10" s="101" t="s">
        <v>477</v>
      </c>
      <c r="S10" s="99"/>
      <c r="T10" s="101"/>
      <c r="U10" s="223"/>
      <c r="V10" s="223"/>
      <c r="W10" s="223"/>
      <c r="X10" s="223"/>
      <c r="Y10" s="94"/>
      <c r="Z10" s="223"/>
      <c r="AA10" s="223"/>
      <c r="AB10" s="223"/>
      <c r="AC10" s="460"/>
      <c r="AD10" s="335"/>
      <c r="AE10" s="246" t="s">
        <v>760</v>
      </c>
      <c r="AF10" s="223" t="s">
        <v>946</v>
      </c>
      <c r="AG10" s="223" t="s">
        <v>594</v>
      </c>
      <c r="AH10" s="1108">
        <f>IF('2'!F21=1,'7a'!Q20,IF('2'!F21=2,'7b'!Q20,IF('2'!F21=3,'7a'!Q20,IF('2'!F21=4,'7b'!Q20,IF('2'!F21=5,'7a'!Q20,'7b'!Q20)))))</f>
        <v>253.1999021021748</v>
      </c>
      <c r="AI10" s="94" t="s">
        <v>477</v>
      </c>
      <c r="AJ10" s="239"/>
      <c r="AK10" s="239"/>
      <c r="AL10" s="239"/>
      <c r="AM10" s="239"/>
      <c r="AN10" s="239"/>
      <c r="AO10" s="239"/>
      <c r="AP10" s="239"/>
      <c r="AQ10" s="239"/>
      <c r="AR10" s="239"/>
      <c r="AS10" s="239"/>
      <c r="AT10" s="239"/>
      <c r="AU10" s="239"/>
      <c r="AV10" s="693"/>
      <c r="AW10" s="239"/>
      <c r="AX10" s="238"/>
      <c r="AY10" s="94" t="s">
        <v>1908</v>
      </c>
      <c r="AZ10" s="94" t="s">
        <v>1909</v>
      </c>
      <c r="BA10" s="94" t="s">
        <v>359</v>
      </c>
      <c r="BB10" s="321" t="s">
        <v>569</v>
      </c>
      <c r="BC10" s="1143">
        <v>4</v>
      </c>
      <c r="BD10" s="646" t="s">
        <v>1814</v>
      </c>
      <c r="BE10" s="239"/>
      <c r="BF10" s="607" t="s">
        <v>1903</v>
      </c>
      <c r="BG10" s="628">
        <f>VLOOKUP(BB20,$AX$81:$BY$114,11,TRUE)</f>
        <v>0.55548435509180316</v>
      </c>
      <c r="BH10" s="628">
        <f>VLOOKUP(BB36,$AX$81:$BY$114,11,TRUE)</f>
        <v>1</v>
      </c>
      <c r="BI10" s="628">
        <f>VLOOKUP(BC20,$AX$81:$BY$114,11,TRUE)</f>
        <v>0.55548435509180316</v>
      </c>
      <c r="BJ10" s="629">
        <f>VLOOKUP(BC36,$AX$81:$BY$114,11,TRUE)</f>
        <v>0.55548435509180316</v>
      </c>
      <c r="BK10" s="239"/>
      <c r="BL10" s="239"/>
      <c r="BM10" s="1163"/>
      <c r="BN10" s="652"/>
      <c r="BO10" s="652"/>
      <c r="BP10" s="652"/>
      <c r="BQ10" s="652"/>
      <c r="BR10" s="652"/>
      <c r="BS10" s="652"/>
      <c r="BT10" s="239"/>
      <c r="BU10" s="231"/>
      <c r="BV10" s="239"/>
      <c r="BW10" s="239"/>
      <c r="BX10" s="239"/>
      <c r="BY10" s="239"/>
      <c r="BZ10" s="239"/>
      <c r="CA10" s="693"/>
      <c r="CB10" s="231"/>
      <c r="CC10" s="231"/>
      <c r="CD10" s="231"/>
      <c r="CE10" s="231"/>
      <c r="CF10" s="231"/>
      <c r="CG10" s="231"/>
      <c r="CH10" s="231"/>
      <c r="CI10" s="231"/>
      <c r="CJ10" s="231"/>
      <c r="CK10" s="231"/>
      <c r="CL10" s="231"/>
      <c r="CM10" s="231"/>
      <c r="CN10" s="231"/>
      <c r="CO10" s="231"/>
      <c r="CP10" s="231"/>
      <c r="CQ10" s="231"/>
      <c r="CR10" s="231"/>
      <c r="CS10" s="231"/>
      <c r="CT10" s="231"/>
      <c r="CU10" s="231"/>
      <c r="CV10" s="231"/>
      <c r="CW10" s="231"/>
      <c r="CX10" s="231"/>
      <c r="CY10" s="231"/>
      <c r="CZ10" s="231"/>
      <c r="DA10" s="231"/>
      <c r="DB10" s="231"/>
      <c r="DC10" s="231"/>
      <c r="DD10" s="231"/>
      <c r="DE10" s="231"/>
      <c r="DF10" s="231"/>
    </row>
    <row r="11" spans="2:110" ht="15.6">
      <c r="B11" s="246" t="s">
        <v>1651</v>
      </c>
      <c r="C11" s="223" t="s">
        <v>86</v>
      </c>
      <c r="D11" s="574" t="s">
        <v>87</v>
      </c>
      <c r="E11" s="534">
        <f>'3'!Q14</f>
        <v>4.836327512640852E-2</v>
      </c>
      <c r="F11" s="1061" t="s">
        <v>1652</v>
      </c>
      <c r="G11" s="231"/>
      <c r="H11" s="472" t="str">
        <f>B57</f>
        <v>Sustained Turn Rate</v>
      </c>
      <c r="I11" s="552">
        <f>E58</f>
        <v>3500</v>
      </c>
      <c r="J11" s="778">
        <f>E59</f>
        <v>0.15</v>
      </c>
      <c r="K11" s="553">
        <f>E64</f>
        <v>3.5555542591346212</v>
      </c>
      <c r="L11" s="693"/>
      <c r="M11" s="400"/>
      <c r="N11" s="246" t="s">
        <v>1735</v>
      </c>
      <c r="O11" s="223" t="s">
        <v>140</v>
      </c>
      <c r="P11" s="223" t="s">
        <v>1467</v>
      </c>
      <c r="Q11" s="849">
        <f>'2'!S21</f>
        <v>1248.4473702610098</v>
      </c>
      <c r="R11" s="101" t="s">
        <v>1653</v>
      </c>
      <c r="S11" s="99"/>
      <c r="T11" s="101"/>
      <c r="U11" s="223"/>
      <c r="V11" s="223"/>
      <c r="W11" s="223"/>
      <c r="X11" s="223"/>
      <c r="Y11" s="94"/>
      <c r="Z11" s="223"/>
      <c r="AA11" s="223"/>
      <c r="AB11" s="223"/>
      <c r="AC11" s="460"/>
      <c r="AD11" s="335"/>
      <c r="AE11" s="246" t="s">
        <v>1735</v>
      </c>
      <c r="AF11" s="223" t="s">
        <v>140</v>
      </c>
      <c r="AG11" s="223" t="s">
        <v>1467</v>
      </c>
      <c r="AH11" s="849">
        <f>'2'!S21</f>
        <v>1248.4473702610098</v>
      </c>
      <c r="AI11" s="94" t="s">
        <v>1653</v>
      </c>
      <c r="AJ11" s="239"/>
      <c r="AK11" s="239"/>
      <c r="AL11" s="239"/>
      <c r="AM11" s="239"/>
      <c r="AN11" s="239"/>
      <c r="AO11" s="239"/>
      <c r="AP11" s="239"/>
      <c r="AQ11" s="239"/>
      <c r="AR11" s="239"/>
      <c r="AS11" s="239"/>
      <c r="AT11" s="239"/>
      <c r="AU11" s="239"/>
      <c r="AV11" s="693"/>
      <c r="AW11" s="239"/>
      <c r="AX11" s="238"/>
      <c r="AY11" s="94" t="s">
        <v>1911</v>
      </c>
      <c r="AZ11" s="94" t="s">
        <v>181</v>
      </c>
      <c r="BA11" s="94" t="s">
        <v>87</v>
      </c>
      <c r="BB11" s="1144">
        <f>'4'!L10</f>
        <v>0.21</v>
      </c>
      <c r="BC11" s="321" t="s">
        <v>569</v>
      </c>
      <c r="BD11" s="318" t="s">
        <v>1648</v>
      </c>
      <c r="BE11" s="239"/>
      <c r="BF11" s="607" t="s">
        <v>1907</v>
      </c>
      <c r="BG11" s="628">
        <f>VLOOKUP(BB20,$AX$81:$BY$114,12,TRUE)</f>
        <v>0.88988388755687298</v>
      </c>
      <c r="BH11" s="628">
        <f>VLOOKUP(BB36,$AX$81:$BY$114,12,TRUE)</f>
        <v>1</v>
      </c>
      <c r="BI11" s="628">
        <f>VLOOKUP(BC20,$AX$81:$BY$114,12,TRUE)</f>
        <v>0.88988388755687298</v>
      </c>
      <c r="BJ11" s="629">
        <f>VLOOKUP(BC36,$AX$81:$BY$114,12,TRUE)</f>
        <v>0.88988388755687298</v>
      </c>
      <c r="BK11" s="239"/>
      <c r="BL11" s="239"/>
      <c r="BM11" s="652"/>
      <c r="BN11" s="652"/>
      <c r="BO11" s="652"/>
      <c r="BP11" s="652"/>
      <c r="BQ11" s="652"/>
      <c r="BR11" s="652"/>
      <c r="BS11" s="652"/>
      <c r="BT11" s="239"/>
      <c r="BU11" s="231"/>
      <c r="BV11" s="239"/>
      <c r="BW11" s="239"/>
      <c r="BX11" s="239"/>
      <c r="BY11" s="239"/>
      <c r="BZ11" s="239"/>
      <c r="CA11" s="693"/>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row>
    <row r="12" spans="2:110">
      <c r="B12" s="246" t="s">
        <v>92</v>
      </c>
      <c r="C12" s="223" t="s">
        <v>93</v>
      </c>
      <c r="D12" s="574" t="s">
        <v>87</v>
      </c>
      <c r="E12" s="534">
        <f>'2'!F9</f>
        <v>5.9</v>
      </c>
      <c r="F12" s="680" t="s">
        <v>1653</v>
      </c>
      <c r="G12" s="231"/>
      <c r="H12" s="472" t="str">
        <f>B66</f>
        <v>Climb - Takeoff</v>
      </c>
      <c r="I12" s="482" t="s">
        <v>87</v>
      </c>
      <c r="J12" s="489" t="s">
        <v>87</v>
      </c>
      <c r="K12" s="553">
        <f>E71</f>
        <v>3.1921380546854894</v>
      </c>
      <c r="L12" s="693"/>
      <c r="M12" s="323"/>
      <c r="N12" s="246" t="s">
        <v>451</v>
      </c>
      <c r="O12" s="515" t="s">
        <v>189</v>
      </c>
      <c r="P12" s="223" t="s">
        <v>188</v>
      </c>
      <c r="Q12" s="587">
        <f>SQRT(Q7*Q8)</f>
        <v>25.877051060058488</v>
      </c>
      <c r="R12" s="101"/>
      <c r="S12" s="99"/>
      <c r="T12" s="101"/>
      <c r="U12" s="515"/>
      <c r="V12" s="515"/>
      <c r="W12" s="515"/>
      <c r="X12" s="515"/>
      <c r="Y12" s="101"/>
      <c r="Z12" s="515"/>
      <c r="AA12" s="515"/>
      <c r="AB12" s="515"/>
      <c r="AC12" s="1110"/>
      <c r="AD12" s="515"/>
      <c r="AE12" s="246" t="s">
        <v>451</v>
      </c>
      <c r="AF12" s="515" t="s">
        <v>189</v>
      </c>
      <c r="AG12" s="223" t="s">
        <v>188</v>
      </c>
      <c r="AH12" s="601">
        <f>SQRT(AH7*AH8)</f>
        <v>25.877051060058488</v>
      </c>
      <c r="AI12" s="94"/>
      <c r="AJ12" s="239"/>
      <c r="AK12" s="239"/>
      <c r="AL12" s="239"/>
      <c r="AM12" s="239"/>
      <c r="AN12" s="239"/>
      <c r="AO12" s="239"/>
      <c r="AP12" s="239"/>
      <c r="AQ12" s="239"/>
      <c r="AR12" s="239"/>
      <c r="AS12" s="239"/>
      <c r="AT12" s="239"/>
      <c r="AU12" s="239"/>
      <c r="AV12" s="693"/>
      <c r="AW12" s="239"/>
      <c r="AX12" s="238"/>
      <c r="AY12" s="94" t="s">
        <v>1913</v>
      </c>
      <c r="AZ12" s="338" t="s">
        <v>182</v>
      </c>
      <c r="BA12" s="94" t="s">
        <v>87</v>
      </c>
      <c r="BB12" s="1146">
        <f>'4'!L8</f>
        <v>1</v>
      </c>
      <c r="BC12" s="321" t="s">
        <v>569</v>
      </c>
      <c r="BD12" s="318" t="s">
        <v>1648</v>
      </c>
      <c r="BE12" s="239"/>
      <c r="BF12" s="129" t="s">
        <v>1910</v>
      </c>
      <c r="BG12" s="630">
        <f>BB33</f>
        <v>23.01138193700362</v>
      </c>
      <c r="BH12" s="631">
        <f>BB64</f>
        <v>452.74488534678335</v>
      </c>
      <c r="BI12" s="632">
        <f>BC33</f>
        <v>29.801690779164215</v>
      </c>
      <c r="BJ12" s="633">
        <f>BC64</f>
        <v>123.87997439999999</v>
      </c>
      <c r="BK12" s="239"/>
      <c r="BL12" s="239"/>
      <c r="BM12" s="652"/>
      <c r="BN12" s="652"/>
      <c r="BO12" s="652"/>
      <c r="BP12" s="652"/>
      <c r="BQ12" s="652"/>
      <c r="BR12" s="652"/>
      <c r="BS12" s="652"/>
      <c r="BT12" s="239"/>
      <c r="BU12" s="231"/>
      <c r="BV12" s="239"/>
      <c r="BW12" s="239"/>
      <c r="BX12" s="239"/>
      <c r="BY12" s="239"/>
      <c r="BZ12" s="239"/>
      <c r="CA12" s="693"/>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row>
    <row r="13" spans="2:110">
      <c r="B13" s="246" t="s">
        <v>1654</v>
      </c>
      <c r="C13" s="223" t="s">
        <v>94</v>
      </c>
      <c r="D13" s="574" t="s">
        <v>87</v>
      </c>
      <c r="E13" s="534">
        <f>'3'!Q13</f>
        <v>0.96454164658384733</v>
      </c>
      <c r="F13" s="556" t="s">
        <v>1655</v>
      </c>
      <c r="G13" s="231"/>
      <c r="H13" s="472" t="str">
        <f>B73</f>
        <v>Highest angle-of-attack (a)</v>
      </c>
      <c r="I13" s="552">
        <f>E74</f>
        <v>7000</v>
      </c>
      <c r="J13" s="778">
        <f>E85</f>
        <v>0.16</v>
      </c>
      <c r="K13" s="553">
        <f>E81</f>
        <v>1.9548354687549909</v>
      </c>
      <c r="L13" s="433"/>
      <c r="N13" s="246" t="s">
        <v>1736</v>
      </c>
      <c r="O13" s="223" t="s">
        <v>1737</v>
      </c>
      <c r="P13" s="223" t="s">
        <v>188</v>
      </c>
      <c r="Q13" s="515">
        <f>Q12/2</f>
        <v>12.938525530029244</v>
      </c>
      <c r="R13" s="101"/>
      <c r="S13" s="443"/>
      <c r="T13" s="101"/>
      <c r="U13" s="515"/>
      <c r="V13" s="515"/>
      <c r="W13" s="515"/>
      <c r="X13" s="515"/>
      <c r="Y13" s="101"/>
      <c r="Z13" s="515"/>
      <c r="AA13" s="515"/>
      <c r="AB13" s="515"/>
      <c r="AC13" s="1110"/>
      <c r="AD13" s="515"/>
      <c r="AE13" s="246" t="s">
        <v>1736</v>
      </c>
      <c r="AF13" s="223" t="s">
        <v>1737</v>
      </c>
      <c r="AG13" s="223" t="s">
        <v>188</v>
      </c>
      <c r="AH13" s="601">
        <f>AH12/2</f>
        <v>12.938525530029244</v>
      </c>
      <c r="AI13" s="94"/>
      <c r="AJ13" s="239"/>
      <c r="AK13" s="239"/>
      <c r="AL13" s="239"/>
      <c r="AM13" s="239"/>
      <c r="AN13" s="239"/>
      <c r="AO13" s="239"/>
      <c r="AP13" s="239"/>
      <c r="AQ13" s="239"/>
      <c r="AR13" s="239"/>
      <c r="AS13" s="239"/>
      <c r="AT13" s="239"/>
      <c r="AU13" s="239"/>
      <c r="AV13" s="693"/>
      <c r="AW13" s="239"/>
      <c r="AX13" s="238"/>
      <c r="AY13" s="94" t="s">
        <v>1916</v>
      </c>
      <c r="AZ13" s="94" t="s">
        <v>219</v>
      </c>
      <c r="BA13" s="94" t="s">
        <v>188</v>
      </c>
      <c r="BB13" s="1144">
        <f>'4'!L18</f>
        <v>4.3859408576370313</v>
      </c>
      <c r="BC13" s="321" t="s">
        <v>569</v>
      </c>
      <c r="BD13" s="318" t="s">
        <v>1648</v>
      </c>
      <c r="BE13" s="239"/>
      <c r="BF13" s="129" t="s">
        <v>1912</v>
      </c>
      <c r="BG13" s="634" t="s">
        <v>569</v>
      </c>
      <c r="BH13" s="1145">
        <f>(BB17/BB59)*(BB14^2)/(4*VLOOKUP(BB36,AX81:BD114,7,TRUE)*1000000*144*BB52)</f>
        <v>0.64658623838727081</v>
      </c>
      <c r="BI13" s="634" t="s">
        <v>569</v>
      </c>
      <c r="BJ13" s="635" t="s">
        <v>569</v>
      </c>
      <c r="BK13" s="239"/>
      <c r="BL13" s="239"/>
      <c r="BM13" s="652"/>
      <c r="BN13" s="652"/>
      <c r="BO13" s="652"/>
      <c r="BP13" s="652"/>
      <c r="BQ13" s="652"/>
      <c r="BR13" s="652"/>
      <c r="BS13" s="652"/>
      <c r="BT13" s="239"/>
      <c r="BU13" s="231"/>
      <c r="BV13" s="239"/>
      <c r="BW13" s="239"/>
      <c r="BX13" s="239"/>
      <c r="BY13" s="239"/>
      <c r="BZ13" s="239"/>
      <c r="CA13" s="693"/>
      <c r="CB13" s="231"/>
      <c r="CC13" s="231"/>
      <c r="CD13" s="231"/>
      <c r="CE13" s="231"/>
      <c r="CF13" s="231"/>
      <c r="CG13" s="231"/>
      <c r="CH13" s="231"/>
      <c r="CI13" s="231"/>
      <c r="CJ13" s="231"/>
      <c r="CK13" s="231"/>
      <c r="CL13" s="231"/>
      <c r="CM13" s="231"/>
      <c r="CN13" s="231"/>
      <c r="CO13" s="231"/>
      <c r="CP13" s="231"/>
      <c r="CQ13" s="231"/>
      <c r="CR13" s="231"/>
      <c r="CS13" s="231"/>
      <c r="CT13" s="231"/>
      <c r="CU13" s="231"/>
      <c r="CV13" s="231"/>
      <c r="CW13" s="231"/>
      <c r="CX13" s="231"/>
      <c r="CY13" s="231"/>
      <c r="CZ13" s="231"/>
      <c r="DA13" s="231"/>
      <c r="DB13" s="231"/>
      <c r="DC13" s="231"/>
      <c r="DD13" s="231"/>
      <c r="DE13" s="231"/>
      <c r="DF13" s="231"/>
    </row>
    <row r="14" spans="2:110">
      <c r="B14" s="235" t="s">
        <v>1656</v>
      </c>
      <c r="C14" s="231" t="s">
        <v>140</v>
      </c>
      <c r="D14" s="231" t="s">
        <v>87</v>
      </c>
      <c r="E14" s="537">
        <f>'2'!S21</f>
        <v>1248.4473702610098</v>
      </c>
      <c r="F14" s="680" t="s">
        <v>1648</v>
      </c>
      <c r="G14" s="231"/>
      <c r="H14" s="472" t="str">
        <f>B83</f>
        <v>Max q (dive)</v>
      </c>
      <c r="I14" s="552">
        <f>E84</f>
        <v>7000</v>
      </c>
      <c r="J14" s="778">
        <f>E85</f>
        <v>0.16</v>
      </c>
      <c r="K14" s="553">
        <f>E91</f>
        <v>2.1633648176690801</v>
      </c>
      <c r="L14" s="433"/>
      <c r="N14" s="246" t="s">
        <v>205</v>
      </c>
      <c r="O14" s="515" t="s">
        <v>219</v>
      </c>
      <c r="P14" s="223" t="s">
        <v>188</v>
      </c>
      <c r="Q14" s="587">
        <f>2*Q12/(Q8*(1+Q9))</f>
        <v>4.3859408576370313</v>
      </c>
      <c r="R14" s="223"/>
      <c r="S14" s="101"/>
      <c r="T14" s="101"/>
      <c r="U14" s="223"/>
      <c r="V14" s="223"/>
      <c r="W14" s="223"/>
      <c r="X14" s="223"/>
      <c r="Y14" s="94"/>
      <c r="Z14" s="223"/>
      <c r="AA14" s="223"/>
      <c r="AB14" s="223"/>
      <c r="AC14" s="460"/>
      <c r="AD14" s="223"/>
      <c r="AE14" s="246" t="s">
        <v>205</v>
      </c>
      <c r="AF14" s="515" t="s">
        <v>219</v>
      </c>
      <c r="AG14" s="223" t="s">
        <v>188</v>
      </c>
      <c r="AH14" s="601">
        <f>2*AH12/(AH8*(1+AH9))</f>
        <v>4.3859408576370313</v>
      </c>
      <c r="AI14" s="94"/>
      <c r="AJ14" s="239"/>
      <c r="AK14" s="239"/>
      <c r="AL14" s="239"/>
      <c r="AM14" s="239"/>
      <c r="AN14" s="239"/>
      <c r="AO14" s="239"/>
      <c r="AP14" s="239"/>
      <c r="AQ14" s="239"/>
      <c r="AR14" s="239"/>
      <c r="AS14" s="239"/>
      <c r="AT14" s="239"/>
      <c r="AU14" s="239"/>
      <c r="AV14" s="693"/>
      <c r="AW14" s="239"/>
      <c r="AX14" s="238"/>
      <c r="AY14" s="94" t="s">
        <v>451</v>
      </c>
      <c r="AZ14" s="94" t="s">
        <v>189</v>
      </c>
      <c r="BA14" s="94" t="s">
        <v>188</v>
      </c>
      <c r="BB14" s="1058">
        <f>'4'!L17</f>
        <v>25.877051060058488</v>
      </c>
      <c r="BC14" s="321" t="s">
        <v>569</v>
      </c>
      <c r="BD14" s="318" t="s">
        <v>1648</v>
      </c>
      <c r="BE14" s="239"/>
      <c r="BF14" s="607" t="s">
        <v>1914</v>
      </c>
      <c r="BG14" s="634" t="s">
        <v>569</v>
      </c>
      <c r="BH14" s="625" t="str">
        <f>IF(BB45&lt;((BB11*BB13*12)-(2*BB27)),"YES","NO")</f>
        <v>YES</v>
      </c>
      <c r="BI14" s="634" t="s">
        <v>569</v>
      </c>
      <c r="BJ14" s="635" t="s">
        <v>569</v>
      </c>
      <c r="BK14" s="239"/>
      <c r="BL14" s="239"/>
      <c r="BM14" s="652"/>
      <c r="BN14" s="652"/>
      <c r="BO14" s="652"/>
      <c r="BP14" s="652"/>
      <c r="BQ14" s="652"/>
      <c r="BR14" s="652"/>
      <c r="BS14" s="652"/>
      <c r="BT14" s="239"/>
      <c r="BU14" s="231"/>
      <c r="BV14" s="239"/>
      <c r="BW14" s="239"/>
      <c r="BX14" s="239"/>
      <c r="BY14" s="239"/>
      <c r="BZ14" s="239"/>
      <c r="CA14" s="693"/>
      <c r="CB14" s="231"/>
      <c r="CC14" s="231"/>
      <c r="CD14" s="231"/>
      <c r="CE14" s="231"/>
      <c r="CF14" s="231"/>
      <c r="CG14" s="231"/>
      <c r="CH14" s="231"/>
      <c r="CI14" s="231"/>
      <c r="CJ14" s="231"/>
      <c r="CK14" s="231"/>
      <c r="CL14" s="231"/>
      <c r="CM14" s="231"/>
      <c r="CN14" s="231"/>
      <c r="CO14" s="231"/>
      <c r="CP14" s="231"/>
      <c r="CQ14" s="231"/>
      <c r="CR14" s="231"/>
      <c r="CS14" s="231"/>
      <c r="CT14" s="231"/>
      <c r="CU14" s="231"/>
      <c r="CV14" s="231"/>
      <c r="CW14" s="231"/>
      <c r="CX14" s="231"/>
      <c r="CY14" s="231"/>
      <c r="CZ14" s="231"/>
      <c r="DA14" s="231"/>
      <c r="DB14" s="231"/>
      <c r="DC14" s="231"/>
      <c r="DD14" s="231"/>
      <c r="DE14" s="231"/>
      <c r="DF14" s="231"/>
    </row>
    <row r="15" spans="2:110">
      <c r="B15" s="235" t="s">
        <v>1657</v>
      </c>
      <c r="C15" s="231" t="s">
        <v>1658</v>
      </c>
      <c r="D15" s="231" t="s">
        <v>87</v>
      </c>
      <c r="E15" s="437">
        <f>IF(E14&lt;4100,3.8,(IF(E14&gt;50000,2.5,(2.1+(24000/(E14+10000))))))</f>
        <v>3.8</v>
      </c>
      <c r="F15" s="680"/>
      <c r="G15" s="231"/>
      <c r="H15" s="472" t="str">
        <f>B93</f>
        <v>Gust Loads (cruise)</v>
      </c>
      <c r="I15" s="552">
        <f>E95</f>
        <v>7000</v>
      </c>
      <c r="J15" s="778">
        <f>E96</f>
        <v>0.12</v>
      </c>
      <c r="K15" s="553">
        <f>MAX(E105:G105)</f>
        <v>2.740982122264509</v>
      </c>
      <c r="L15" s="433"/>
      <c r="N15" s="246" t="s">
        <v>206</v>
      </c>
      <c r="O15" s="515" t="s">
        <v>67</v>
      </c>
      <c r="P15" s="223" t="s">
        <v>188</v>
      </c>
      <c r="Q15" s="587">
        <f>Q14*Q9</f>
        <v>4.3859408576370313</v>
      </c>
      <c r="R15" s="223"/>
      <c r="S15" s="101"/>
      <c r="T15" s="515"/>
      <c r="U15" s="223"/>
      <c r="V15" s="223"/>
      <c r="W15" s="223"/>
      <c r="X15" s="223"/>
      <c r="Y15" s="94"/>
      <c r="Z15" s="223"/>
      <c r="AA15" s="223"/>
      <c r="AB15" s="223"/>
      <c r="AC15" s="460"/>
      <c r="AD15" s="335"/>
      <c r="AE15" s="246" t="s">
        <v>206</v>
      </c>
      <c r="AF15" s="515" t="s">
        <v>67</v>
      </c>
      <c r="AG15" s="223" t="s">
        <v>188</v>
      </c>
      <c r="AH15" s="601">
        <f>AH14*AH9</f>
        <v>4.3859408576370313</v>
      </c>
      <c r="AI15" s="94"/>
      <c r="AJ15" s="94"/>
      <c r="AK15" s="94"/>
      <c r="AL15" s="239"/>
      <c r="AM15" s="239"/>
      <c r="AN15" s="239"/>
      <c r="AO15" s="239"/>
      <c r="AP15" s="239"/>
      <c r="AQ15" s="239"/>
      <c r="AR15" s="239"/>
      <c r="AS15" s="239"/>
      <c r="AT15" s="239"/>
      <c r="AU15" s="239"/>
      <c r="AV15" s="693"/>
      <c r="AW15" s="239"/>
      <c r="AX15" s="238"/>
      <c r="AY15" s="94" t="s">
        <v>223</v>
      </c>
      <c r="AZ15" s="94" t="s">
        <v>1920</v>
      </c>
      <c r="BA15" s="94" t="s">
        <v>188</v>
      </c>
      <c r="BB15" s="309">
        <f>(2/3)*BB13*(1+BB12+(BB12^2))/(1+BB12)</f>
        <v>4.3859408576370313</v>
      </c>
      <c r="BC15" s="321" t="s">
        <v>569</v>
      </c>
      <c r="BD15" s="318" t="s">
        <v>1648</v>
      </c>
      <c r="BE15" s="239"/>
      <c r="BF15" s="607" t="s">
        <v>1917</v>
      </c>
      <c r="BG15" s="634" t="s">
        <v>569</v>
      </c>
      <c r="BH15" s="634" t="s">
        <v>569</v>
      </c>
      <c r="BI15" s="634" t="s">
        <v>569</v>
      </c>
      <c r="BJ15" s="636">
        <f>BC7/(BC55/12)</f>
        <v>8.4499999999999993</v>
      </c>
      <c r="BK15" s="239"/>
      <c r="BL15" s="239"/>
      <c r="BM15" s="239"/>
      <c r="BN15" s="239"/>
      <c r="BO15" s="239"/>
      <c r="BP15" s="239"/>
      <c r="BQ15" s="239"/>
      <c r="BR15" s="239"/>
      <c r="BS15" s="239"/>
      <c r="BT15" s="239"/>
      <c r="BU15" s="239"/>
      <c r="BV15" s="239"/>
      <c r="BW15" s="239"/>
      <c r="BX15" s="239"/>
      <c r="BY15" s="239"/>
      <c r="BZ15" s="239"/>
      <c r="CA15" s="693"/>
      <c r="CB15" s="231"/>
      <c r="CC15" s="231"/>
      <c r="CD15" s="231"/>
      <c r="CE15" s="231"/>
      <c r="CF15" s="231"/>
      <c r="CG15" s="231"/>
      <c r="CH15" s="231"/>
      <c r="CI15" s="231"/>
      <c r="CJ15" s="231"/>
      <c r="CK15" s="231"/>
      <c r="CL15" s="231"/>
      <c r="CM15" s="231"/>
      <c r="CN15" s="231"/>
      <c r="CO15" s="231"/>
      <c r="CP15" s="231"/>
      <c r="CQ15" s="231"/>
      <c r="CR15" s="231"/>
      <c r="CS15" s="231"/>
      <c r="CT15" s="231"/>
      <c r="CU15" s="231"/>
      <c r="CV15" s="231"/>
      <c r="CW15" s="231"/>
      <c r="CX15" s="231"/>
      <c r="CY15" s="231"/>
      <c r="CZ15" s="231"/>
      <c r="DA15" s="231"/>
      <c r="DB15" s="231"/>
      <c r="DC15" s="231"/>
      <c r="DD15" s="231"/>
      <c r="DE15" s="231"/>
      <c r="DF15" s="231"/>
    </row>
    <row r="16" spans="2:110">
      <c r="B16" s="246" t="s">
        <v>1659</v>
      </c>
      <c r="C16" s="223" t="s">
        <v>1658</v>
      </c>
      <c r="D16" s="574" t="s">
        <v>87</v>
      </c>
      <c r="E16" s="210">
        <v>6</v>
      </c>
      <c r="F16" s="680" t="s">
        <v>1660</v>
      </c>
      <c r="G16" s="231"/>
      <c r="H16" s="472"/>
      <c r="I16" s="473"/>
      <c r="J16" s="473"/>
      <c r="K16" s="559"/>
      <c r="L16" s="433"/>
      <c r="M16" s="307"/>
      <c r="N16" s="246" t="s">
        <v>1738</v>
      </c>
      <c r="O16" s="223" t="s">
        <v>1647</v>
      </c>
      <c r="P16" s="574" t="s">
        <v>188</v>
      </c>
      <c r="Q16" s="587">
        <f>(2*Q14/3)*(1+Q9+Q9^2)/(1+Q9)</f>
        <v>4.3859408576370313</v>
      </c>
      <c r="R16" s="101"/>
      <c r="S16" s="94"/>
      <c r="T16" s="223"/>
      <c r="U16" s="223"/>
      <c r="V16" s="223"/>
      <c r="W16" s="223"/>
      <c r="X16" s="223"/>
      <c r="Y16" s="94"/>
      <c r="Z16" s="223"/>
      <c r="AA16" s="223"/>
      <c r="AB16" s="223"/>
      <c r="AC16" s="460"/>
      <c r="AD16" s="335"/>
      <c r="AE16" s="246" t="s">
        <v>1738</v>
      </c>
      <c r="AF16" s="223" t="s">
        <v>1647</v>
      </c>
      <c r="AG16" s="574" t="s">
        <v>188</v>
      </c>
      <c r="AH16" s="601">
        <f>(2*AH14/3)*(1+AH9+AH9^2)/(1+AH9)</f>
        <v>4.3859408576370313</v>
      </c>
      <c r="AI16" s="94"/>
      <c r="AJ16" s="94"/>
      <c r="AK16" s="94"/>
      <c r="AL16" s="239"/>
      <c r="AM16" s="239"/>
      <c r="AN16" s="239"/>
      <c r="AO16" s="239"/>
      <c r="AP16" s="239"/>
      <c r="AQ16" s="239"/>
      <c r="AR16" s="239"/>
      <c r="AS16" s="239"/>
      <c r="AT16" s="239"/>
      <c r="AU16" s="239"/>
      <c r="AV16" s="693"/>
      <c r="AW16" s="239"/>
      <c r="AX16" s="238"/>
      <c r="AY16" s="94" t="s">
        <v>816</v>
      </c>
      <c r="AZ16" s="94" t="s">
        <v>1922</v>
      </c>
      <c r="BA16" s="94" t="s">
        <v>87</v>
      </c>
      <c r="BB16" s="1185">
        <f>'10'!K19</f>
        <v>9</v>
      </c>
      <c r="BC16" s="1185">
        <f>'10'!K19</f>
        <v>9</v>
      </c>
      <c r="BD16" s="645"/>
      <c r="BE16" s="239"/>
      <c r="BF16" s="129" t="s">
        <v>1918</v>
      </c>
      <c r="BG16" s="634" t="s">
        <v>569</v>
      </c>
      <c r="BH16" s="634" t="s">
        <v>569</v>
      </c>
      <c r="BI16" s="634" t="s">
        <v>569</v>
      </c>
      <c r="BJ16" s="637">
        <f>BC55</f>
        <v>30</v>
      </c>
      <c r="BK16" s="239"/>
      <c r="BL16" s="239"/>
      <c r="BM16" s="239"/>
      <c r="BN16" s="239"/>
      <c r="BO16" s="239"/>
      <c r="BP16" s="239"/>
      <c r="BQ16" s="239"/>
      <c r="BR16" s="239"/>
      <c r="BS16" s="239"/>
      <c r="BT16" s="239"/>
      <c r="BU16" s="239"/>
      <c r="BV16" s="239"/>
      <c r="BW16" s="239"/>
      <c r="BX16" s="239"/>
      <c r="BY16" s="239"/>
      <c r="BZ16" s="239"/>
      <c r="CA16" s="693"/>
      <c r="CB16" s="231"/>
      <c r="CC16" s="231"/>
      <c r="CD16" s="231"/>
      <c r="CE16" s="231"/>
      <c r="CF16" s="231"/>
      <c r="CG16" s="231"/>
      <c r="CH16" s="231"/>
      <c r="CI16" s="231"/>
      <c r="CJ16" s="231"/>
      <c r="CK16" s="231"/>
      <c r="CL16" s="231"/>
      <c r="CM16" s="231"/>
      <c r="CN16" s="231"/>
      <c r="CO16" s="231"/>
      <c r="CP16" s="231"/>
      <c r="CQ16" s="231"/>
      <c r="CR16" s="231"/>
      <c r="CS16" s="231"/>
      <c r="CT16" s="231"/>
      <c r="CU16" s="231"/>
      <c r="CV16" s="231"/>
      <c r="CW16" s="231"/>
      <c r="CX16" s="231"/>
      <c r="CY16" s="231"/>
      <c r="CZ16" s="231"/>
      <c r="DA16" s="231"/>
      <c r="DB16" s="231"/>
      <c r="DC16" s="231"/>
      <c r="DD16" s="231"/>
      <c r="DE16" s="231"/>
      <c r="DF16" s="231"/>
    </row>
    <row r="17" spans="2:110">
      <c r="B17" s="246" t="s">
        <v>1661</v>
      </c>
      <c r="C17" s="223" t="s">
        <v>1662</v>
      </c>
      <c r="D17" s="574" t="s">
        <v>87</v>
      </c>
      <c r="E17" s="210">
        <v>-3</v>
      </c>
      <c r="F17" s="680" t="s">
        <v>1660</v>
      </c>
      <c r="G17" s="239"/>
      <c r="H17" s="472" t="s">
        <v>1663</v>
      </c>
      <c r="I17" s="473"/>
      <c r="J17" s="473"/>
      <c r="K17" s="553">
        <f>MAX(K7:K15)</f>
        <v>4.4244261776832685</v>
      </c>
      <c r="L17" s="433"/>
      <c r="M17" s="94"/>
      <c r="N17" s="246"/>
      <c r="O17" s="223"/>
      <c r="P17" s="223"/>
      <c r="Q17" s="223"/>
      <c r="R17" s="101"/>
      <c r="S17" s="94"/>
      <c r="T17" s="223"/>
      <c r="U17" s="223"/>
      <c r="V17" s="223"/>
      <c r="W17" s="223"/>
      <c r="X17" s="223"/>
      <c r="Y17" s="94"/>
      <c r="Z17" s="223"/>
      <c r="AA17" s="223"/>
      <c r="AB17" s="223"/>
      <c r="AC17" s="460"/>
      <c r="AD17" s="335"/>
      <c r="AE17" s="246" t="s">
        <v>994</v>
      </c>
      <c r="AF17" s="223" t="s">
        <v>337</v>
      </c>
      <c r="AG17" s="223" t="s">
        <v>188</v>
      </c>
      <c r="AH17" s="855">
        <f>'5'!T15</f>
        <v>21.125</v>
      </c>
      <c r="AI17" s="223" t="s">
        <v>1814</v>
      </c>
      <c r="AJ17" s="94"/>
      <c r="AK17" s="94"/>
      <c r="AL17" s="239"/>
      <c r="AM17" s="239"/>
      <c r="AN17" s="239"/>
      <c r="AO17" s="239"/>
      <c r="AP17" s="239"/>
      <c r="AQ17" s="239"/>
      <c r="AR17" s="239"/>
      <c r="AS17" s="239"/>
      <c r="AT17" s="239"/>
      <c r="AU17" s="239"/>
      <c r="AV17" s="693"/>
      <c r="AW17" s="239"/>
      <c r="AX17" s="238"/>
      <c r="AY17" s="94" t="s">
        <v>1924</v>
      </c>
      <c r="AZ17" s="94" t="s">
        <v>1760</v>
      </c>
      <c r="BA17" s="94" t="s">
        <v>1761</v>
      </c>
      <c r="BB17" s="1186">
        <f>'10'!Q33</f>
        <v>5387.1201106265526</v>
      </c>
      <c r="BC17" s="1186">
        <f>'10'!AH48</f>
        <v>3911.3990266147021</v>
      </c>
      <c r="BD17" s="1147"/>
      <c r="BE17" s="239"/>
      <c r="BF17" s="129" t="s">
        <v>1921</v>
      </c>
      <c r="BG17" s="634" t="s">
        <v>569</v>
      </c>
      <c r="BH17" s="634" t="s">
        <v>569</v>
      </c>
      <c r="BI17" s="634" t="s">
        <v>569</v>
      </c>
      <c r="BJ17" s="636">
        <f>4*BC59</f>
        <v>12</v>
      </c>
      <c r="BK17" s="239"/>
      <c r="BL17" s="239"/>
      <c r="BM17" s="239"/>
      <c r="BN17" s="239"/>
      <c r="BO17" s="239"/>
      <c r="BP17" s="239"/>
      <c r="BQ17" s="239"/>
      <c r="BR17" s="239"/>
      <c r="BS17" s="239"/>
      <c r="BT17" s="239"/>
      <c r="BU17" s="239"/>
      <c r="BV17" s="239"/>
      <c r="BW17" s="239"/>
      <c r="BX17" s="239"/>
      <c r="BY17" s="239"/>
      <c r="BZ17" s="239"/>
      <c r="CA17" s="693"/>
      <c r="CB17" s="231"/>
      <c r="CC17" s="231"/>
      <c r="CD17" s="231"/>
      <c r="CE17" s="231"/>
      <c r="CF17" s="231"/>
      <c r="CG17" s="231"/>
      <c r="CH17" s="231"/>
      <c r="CI17" s="231"/>
      <c r="CJ17" s="231"/>
      <c r="CK17" s="231"/>
      <c r="CL17" s="231"/>
      <c r="CM17" s="231"/>
      <c r="CN17" s="231"/>
      <c r="CO17" s="231"/>
      <c r="CP17" s="231"/>
      <c r="CQ17" s="231"/>
      <c r="CR17" s="231"/>
      <c r="CS17" s="231"/>
      <c r="CT17" s="231"/>
      <c r="CU17" s="231"/>
      <c r="CV17" s="231"/>
      <c r="CW17" s="231"/>
      <c r="CX17" s="231"/>
      <c r="CY17" s="231"/>
      <c r="CZ17" s="231"/>
      <c r="DA17" s="231"/>
      <c r="DB17" s="231"/>
      <c r="DC17" s="231"/>
      <c r="DD17" s="231"/>
      <c r="DE17" s="231"/>
      <c r="DF17" s="231"/>
    </row>
    <row r="18" spans="2:110" ht="16.2" thickBot="1">
      <c r="B18" s="235"/>
      <c r="C18" s="231"/>
      <c r="D18" s="231"/>
      <c r="E18" s="231"/>
      <c r="F18" s="1062"/>
      <c r="G18" s="239"/>
      <c r="H18" s="472" t="s">
        <v>1664</v>
      </c>
      <c r="I18" s="473"/>
      <c r="J18" s="473"/>
      <c r="K18" s="553">
        <f>E16</f>
        <v>6</v>
      </c>
      <c r="L18" s="433"/>
      <c r="N18" s="246"/>
      <c r="O18" s="223"/>
      <c r="P18" s="223" t="s">
        <v>1739</v>
      </c>
      <c r="Q18" s="223" t="s">
        <v>1739</v>
      </c>
      <c r="R18" s="223" t="s">
        <v>329</v>
      </c>
      <c r="S18" s="223" t="s">
        <v>329</v>
      </c>
      <c r="T18" s="569" t="s">
        <v>1740</v>
      </c>
      <c r="U18" s="223"/>
      <c r="V18" s="223"/>
      <c r="W18" s="223"/>
      <c r="X18" s="223"/>
      <c r="Y18" s="94"/>
      <c r="Z18" s="223"/>
      <c r="AA18" s="223"/>
      <c r="AB18" s="223"/>
      <c r="AC18" s="460"/>
      <c r="AD18" s="335"/>
      <c r="AE18" s="246" t="s">
        <v>1815</v>
      </c>
      <c r="AF18" s="223" t="s">
        <v>1816</v>
      </c>
      <c r="AG18" s="223" t="s">
        <v>87</v>
      </c>
      <c r="AH18" s="855">
        <f>MROUND('11'!AD10,0.05)</f>
        <v>0.45</v>
      </c>
      <c r="AI18" s="94" t="s">
        <v>1817</v>
      </c>
      <c r="AJ18" s="94"/>
      <c r="AK18" s="94"/>
      <c r="AL18" s="239"/>
      <c r="AM18" s="239"/>
      <c r="AN18" s="239"/>
      <c r="AO18" s="239"/>
      <c r="AP18" s="239"/>
      <c r="AQ18" s="239"/>
      <c r="AR18" s="239"/>
      <c r="AS18" s="239"/>
      <c r="AT18" s="239"/>
      <c r="AU18" s="239"/>
      <c r="AV18" s="693"/>
      <c r="AW18" s="239"/>
      <c r="AX18" s="238"/>
      <c r="AY18" s="239"/>
      <c r="AZ18" s="239"/>
      <c r="BA18" s="239"/>
      <c r="BB18" s="239"/>
      <c r="BC18" s="239"/>
      <c r="BD18" s="652"/>
      <c r="BE18" s="239"/>
      <c r="BF18" s="416" t="s">
        <v>1923</v>
      </c>
      <c r="BG18" s="638" t="s">
        <v>569</v>
      </c>
      <c r="BH18" s="638" t="s">
        <v>569</v>
      </c>
      <c r="BI18" s="638" t="s">
        <v>569</v>
      </c>
      <c r="BJ18" s="639" t="str">
        <f>IF(BC45&lt;(BC10-(2*BC46)),"YES","NO")</f>
        <v>YES</v>
      </c>
      <c r="BK18" s="239"/>
      <c r="BL18" s="239"/>
      <c r="BM18" s="239"/>
      <c r="BN18" s="239"/>
      <c r="BO18" s="239"/>
      <c r="BP18" s="239"/>
      <c r="BQ18" s="239"/>
      <c r="BR18" s="239"/>
      <c r="BS18" s="239"/>
      <c r="BT18" s="239"/>
      <c r="BU18" s="239"/>
      <c r="BV18" s="239"/>
      <c r="BW18" s="239"/>
      <c r="BX18" s="239"/>
      <c r="BY18" s="239"/>
      <c r="BZ18" s="239"/>
      <c r="CA18" s="693"/>
      <c r="CB18" s="231"/>
      <c r="CC18" s="231"/>
      <c r="CD18" s="231"/>
      <c r="CE18" s="231"/>
      <c r="CF18" s="231"/>
      <c r="CG18" s="231"/>
      <c r="CH18" s="231"/>
      <c r="CI18" s="231"/>
      <c r="CJ18" s="231"/>
      <c r="CK18" s="231"/>
      <c r="CL18" s="231"/>
      <c r="CM18" s="231"/>
      <c r="CN18" s="231"/>
      <c r="CO18" s="231"/>
      <c r="CP18" s="231"/>
      <c r="CQ18" s="231"/>
      <c r="CR18" s="231"/>
      <c r="CS18" s="231"/>
      <c r="CT18" s="231"/>
      <c r="CU18" s="231"/>
      <c r="CV18" s="231"/>
      <c r="CW18" s="231"/>
      <c r="CX18" s="231"/>
      <c r="CY18" s="231"/>
      <c r="CZ18" s="231"/>
      <c r="DA18" s="231"/>
      <c r="DB18" s="231"/>
      <c r="DC18" s="231"/>
      <c r="DD18" s="231"/>
      <c r="DE18" s="231"/>
      <c r="DF18" s="231"/>
    </row>
    <row r="19" spans="2:110" ht="23.4" thickBot="1">
      <c r="B19" s="249"/>
      <c r="C19" s="239"/>
      <c r="D19" s="239"/>
      <c r="E19" s="250"/>
      <c r="F19" s="556"/>
      <c r="G19" s="239"/>
      <c r="H19" s="560" t="s">
        <v>816</v>
      </c>
      <c r="I19" s="498"/>
      <c r="J19" s="498"/>
      <c r="K19" s="561">
        <f>E10*MAX(K17:K18)</f>
        <v>9</v>
      </c>
      <c r="L19" s="433"/>
      <c r="N19" s="1111" t="s">
        <v>1741</v>
      </c>
      <c r="O19" s="223"/>
      <c r="P19" s="223" t="s">
        <v>1742</v>
      </c>
      <c r="Q19" s="515" t="s">
        <v>1742</v>
      </c>
      <c r="R19" s="515" t="s">
        <v>312</v>
      </c>
      <c r="S19" s="515" t="s">
        <v>312</v>
      </c>
      <c r="T19" s="588" t="s">
        <v>1743</v>
      </c>
      <c r="U19" s="223"/>
      <c r="V19" s="223"/>
      <c r="W19" s="223"/>
      <c r="X19" s="223"/>
      <c r="Y19" s="94"/>
      <c r="Z19" s="223"/>
      <c r="AA19" s="223"/>
      <c r="AB19" s="223"/>
      <c r="AC19" s="460"/>
      <c r="AD19" s="335"/>
      <c r="AE19" s="249" t="s">
        <v>1818</v>
      </c>
      <c r="AF19" s="94" t="s">
        <v>1819</v>
      </c>
      <c r="AG19" s="94" t="s">
        <v>221</v>
      </c>
      <c r="AH19" s="855">
        <f>'5'!T21</f>
        <v>134.88918932039897</v>
      </c>
      <c r="AI19" s="94" t="s">
        <v>1814</v>
      </c>
      <c r="AJ19" s="94"/>
      <c r="AK19" s="94"/>
      <c r="AL19" s="239"/>
      <c r="AM19" s="239"/>
      <c r="AN19" s="239"/>
      <c r="AO19" s="239"/>
      <c r="AP19" s="239"/>
      <c r="AQ19" s="239"/>
      <c r="AR19" s="239"/>
      <c r="AS19" s="239"/>
      <c r="AT19" s="239"/>
      <c r="AU19" s="239"/>
      <c r="AV19" s="693"/>
      <c r="AW19" s="239"/>
      <c r="AX19" s="238"/>
      <c r="AY19" s="1174" t="s">
        <v>1925</v>
      </c>
      <c r="AZ19" s="239"/>
      <c r="BA19" s="239"/>
      <c r="BB19" s="98" t="s">
        <v>56</v>
      </c>
      <c r="BC19" s="1175" t="s">
        <v>314</v>
      </c>
      <c r="BD19" s="640"/>
      <c r="BE19" s="239"/>
      <c r="BF19" s="1351" t="s">
        <v>2761</v>
      </c>
      <c r="BG19" s="239"/>
      <c r="BH19" s="239"/>
      <c r="BI19" s="239"/>
      <c r="BJ19" s="239"/>
      <c r="BK19" s="239"/>
      <c r="BL19" s="239"/>
      <c r="BM19" s="239"/>
      <c r="BN19" s="239"/>
      <c r="BO19" s="239"/>
      <c r="BP19" s="239"/>
      <c r="BQ19" s="239"/>
      <c r="BR19" s="239"/>
      <c r="BS19" s="239"/>
      <c r="BT19" s="239"/>
      <c r="BU19" s="239"/>
      <c r="BV19" s="239"/>
      <c r="BW19" s="239"/>
      <c r="BX19" s="239"/>
      <c r="BY19" s="239"/>
      <c r="BZ19" s="239"/>
      <c r="CA19" s="693"/>
      <c r="CB19" s="231"/>
      <c r="CC19" s="231"/>
      <c r="CD19" s="231"/>
      <c r="CE19" s="231"/>
      <c r="CF19" s="231"/>
      <c r="CG19" s="231"/>
      <c r="CH19" s="231"/>
      <c r="CI19" s="231"/>
      <c r="CJ19" s="231"/>
      <c r="CK19" s="231"/>
      <c r="CL19" s="231"/>
      <c r="CM19" s="231"/>
      <c r="CN19" s="231"/>
      <c r="CO19" s="231"/>
      <c r="CP19" s="231"/>
      <c r="CQ19" s="231"/>
      <c r="CR19" s="231"/>
      <c r="CS19" s="231"/>
      <c r="CT19" s="231"/>
      <c r="CU19" s="231"/>
      <c r="CV19" s="231"/>
      <c r="CW19" s="231"/>
      <c r="CX19" s="231"/>
      <c r="CY19" s="231"/>
      <c r="CZ19" s="231"/>
      <c r="DA19" s="231"/>
      <c r="DB19" s="231"/>
      <c r="DC19" s="231"/>
      <c r="DD19" s="231"/>
      <c r="DE19" s="231"/>
      <c r="DF19" s="231"/>
    </row>
    <row r="20" spans="2:110">
      <c r="B20" s="235"/>
      <c r="C20" s="231"/>
      <c r="D20" s="231"/>
      <c r="E20" s="231"/>
      <c r="F20" s="562"/>
      <c r="G20" s="231"/>
      <c r="H20" s="231"/>
      <c r="I20" s="231"/>
      <c r="J20" s="239"/>
      <c r="K20" s="239"/>
      <c r="L20" s="433"/>
      <c r="N20" s="1023" t="s">
        <v>1744</v>
      </c>
      <c r="O20" s="1019" t="s">
        <v>536</v>
      </c>
      <c r="P20" s="233" t="s">
        <v>1745</v>
      </c>
      <c r="Q20" s="233" t="s">
        <v>1745</v>
      </c>
      <c r="R20" s="233" t="s">
        <v>1746</v>
      </c>
      <c r="S20" s="233" t="s">
        <v>1747</v>
      </c>
      <c r="T20" s="1019" t="s">
        <v>1742</v>
      </c>
      <c r="U20" s="223"/>
      <c r="V20" s="223"/>
      <c r="W20" s="223"/>
      <c r="X20" s="223"/>
      <c r="Y20" s="94"/>
      <c r="Z20" s="223"/>
      <c r="AA20" s="223"/>
      <c r="AB20" s="587"/>
      <c r="AC20" s="460"/>
      <c r="AD20" s="399"/>
      <c r="AE20" s="249"/>
      <c r="AF20" s="94"/>
      <c r="AG20" s="94"/>
      <c r="AH20" s="94"/>
      <c r="AI20" s="94"/>
      <c r="AJ20" s="94"/>
      <c r="AK20" s="94"/>
      <c r="AL20" s="239"/>
      <c r="AM20" s="239"/>
      <c r="AN20" s="239"/>
      <c r="AO20" s="239"/>
      <c r="AP20" s="239"/>
      <c r="AQ20" s="239"/>
      <c r="AR20" s="239"/>
      <c r="AS20" s="239"/>
      <c r="AT20" s="239"/>
      <c r="AU20" s="239"/>
      <c r="AV20" s="693"/>
      <c r="AW20" s="239"/>
      <c r="AX20" s="238"/>
      <c r="AY20" s="318" t="s">
        <v>1926</v>
      </c>
      <c r="AZ20" s="94" t="s">
        <v>87</v>
      </c>
      <c r="BA20" s="94" t="s">
        <v>87</v>
      </c>
      <c r="BB20" s="641">
        <v>23</v>
      </c>
      <c r="BC20" s="1176">
        <v>23</v>
      </c>
      <c r="BD20" s="642" t="s">
        <v>1927</v>
      </c>
      <c r="BE20" s="239"/>
      <c r="BF20" s="239"/>
      <c r="BG20" s="239"/>
      <c r="BH20" s="239"/>
      <c r="BI20" s="239"/>
      <c r="BJ20" s="239"/>
      <c r="BK20" s="239"/>
      <c r="BL20" s="239"/>
      <c r="BM20" s="239"/>
      <c r="BN20" s="239"/>
      <c r="BO20" s="239"/>
      <c r="BP20" s="239"/>
      <c r="BQ20" s="239"/>
      <c r="BR20" s="239"/>
      <c r="BS20" s="239"/>
      <c r="BT20" s="239"/>
      <c r="BU20" s="239"/>
      <c r="BV20" s="239"/>
      <c r="BW20" s="239"/>
      <c r="BX20" s="239"/>
      <c r="BY20" s="239"/>
      <c r="BZ20" s="239"/>
      <c r="CA20" s="693"/>
      <c r="CB20" s="231"/>
      <c r="CC20" s="231"/>
      <c r="CD20" s="231"/>
      <c r="CE20" s="231"/>
      <c r="CF20" s="231"/>
      <c r="CG20" s="231"/>
      <c r="CH20" s="231"/>
      <c r="CI20" s="231"/>
      <c r="CJ20" s="231"/>
      <c r="CK20" s="231"/>
      <c r="CL20" s="231"/>
      <c r="CM20" s="231"/>
      <c r="CN20" s="231"/>
      <c r="CO20" s="231"/>
      <c r="CP20" s="231"/>
      <c r="CQ20" s="231"/>
      <c r="CR20" s="231"/>
      <c r="CS20" s="231"/>
      <c r="CT20" s="231"/>
      <c r="CU20" s="231"/>
      <c r="CV20" s="231"/>
      <c r="CW20" s="231"/>
      <c r="CX20" s="231"/>
      <c r="CY20" s="231"/>
      <c r="CZ20" s="231"/>
      <c r="DA20" s="231"/>
      <c r="DB20" s="231"/>
      <c r="DC20" s="231"/>
      <c r="DD20" s="231"/>
      <c r="DE20" s="231"/>
      <c r="DF20" s="231"/>
    </row>
    <row r="21" spans="2:110">
      <c r="B21" s="232" t="s">
        <v>1665</v>
      </c>
      <c r="C21" s="98" t="s">
        <v>89</v>
      </c>
      <c r="D21" s="98" t="s">
        <v>90</v>
      </c>
      <c r="E21" s="98" t="s">
        <v>91</v>
      </c>
      <c r="F21" s="546" t="s">
        <v>352</v>
      </c>
      <c r="G21" s="231"/>
      <c r="H21" s="231"/>
      <c r="I21" s="231"/>
      <c r="J21" s="239"/>
      <c r="K21" s="239"/>
      <c r="L21" s="433"/>
      <c r="N21" s="246" t="s">
        <v>1748</v>
      </c>
      <c r="O21" s="589">
        <v>1</v>
      </c>
      <c r="P21" s="831">
        <f>'2'!S21</f>
        <v>1248.4473702610098</v>
      </c>
      <c r="Q21" s="100">
        <f>IF(O21=1,P21,P21)</f>
        <v>1248.4473702610098</v>
      </c>
      <c r="R21" s="590">
        <v>0</v>
      </c>
      <c r="S21" s="590">
        <v>1</v>
      </c>
      <c r="T21" s="99">
        <f t="shared" ref="T21:T27" si="0">Q21/(1+(S21-R21)/0.05)</f>
        <v>59.4498747743338</v>
      </c>
      <c r="U21" s="223"/>
      <c r="V21" s="223"/>
      <c r="W21" s="223"/>
      <c r="X21" s="223"/>
      <c r="Y21" s="94"/>
      <c r="Z21" s="223"/>
      <c r="AA21" s="223"/>
      <c r="AB21" s="587"/>
      <c r="AC21" s="460"/>
      <c r="AD21" s="399"/>
      <c r="AE21" s="246"/>
      <c r="AF21" s="223"/>
      <c r="AG21" s="231"/>
      <c r="AH21" s="231"/>
      <c r="AI21" s="223"/>
      <c r="AJ21" s="223"/>
      <c r="AK21" s="223"/>
      <c r="AL21" s="569" t="s">
        <v>1820</v>
      </c>
      <c r="AM21" s="569" t="s">
        <v>1739</v>
      </c>
      <c r="AN21" s="239"/>
      <c r="AO21" s="239"/>
      <c r="AP21" s="239"/>
      <c r="AQ21" s="239"/>
      <c r="AR21" s="239"/>
      <c r="AS21" s="239"/>
      <c r="AT21" s="239"/>
      <c r="AU21" s="239"/>
      <c r="AV21" s="693"/>
      <c r="AW21" s="239"/>
      <c r="AX21" s="238"/>
      <c r="AY21" s="94" t="s">
        <v>1928</v>
      </c>
      <c r="AZ21" s="94" t="s">
        <v>1929</v>
      </c>
      <c r="BA21" s="94" t="s">
        <v>619</v>
      </c>
      <c r="BB21" s="501">
        <f>(VLOOKUP(BB20,$AX$81:$BD$114,7))*1000000*144</f>
        <v>936000000</v>
      </c>
      <c r="BC21" s="501">
        <f>(VLOOKUP(BC20,$AX$81:$BD$114,7))*1000000*144</f>
        <v>936000000</v>
      </c>
      <c r="BD21" s="643"/>
      <c r="BE21" s="239"/>
      <c r="BF21" s="239"/>
      <c r="BG21" s="239"/>
      <c r="BH21" s="239"/>
      <c r="BI21" s="239"/>
      <c r="BJ21" s="239"/>
      <c r="BK21" s="239"/>
      <c r="BL21" s="239"/>
      <c r="BM21" s="239"/>
      <c r="BN21" s="239"/>
      <c r="BO21" s="239"/>
      <c r="BP21" s="239"/>
      <c r="BQ21" s="239"/>
      <c r="BR21" s="239"/>
      <c r="BS21" s="239"/>
      <c r="BT21" s="239"/>
      <c r="BU21" s="239"/>
      <c r="BV21" s="239"/>
      <c r="BW21" s="239"/>
      <c r="BX21" s="239"/>
      <c r="BY21" s="239"/>
      <c r="BZ21" s="239"/>
      <c r="CA21" s="693"/>
      <c r="CB21" s="231"/>
      <c r="CC21" s="231"/>
      <c r="CD21" s="231"/>
      <c r="CE21" s="231"/>
      <c r="CF21" s="231"/>
      <c r="CG21" s="231"/>
      <c r="CH21" s="231"/>
      <c r="CI21" s="231"/>
      <c r="CJ21" s="231"/>
      <c r="CK21" s="231"/>
      <c r="CL21" s="231"/>
      <c r="CM21" s="231"/>
      <c r="CN21" s="231"/>
      <c r="CO21" s="231"/>
      <c r="CP21" s="231"/>
      <c r="CQ21" s="231"/>
      <c r="CR21" s="231"/>
      <c r="CS21" s="231"/>
      <c r="CT21" s="231"/>
      <c r="CU21" s="231"/>
      <c r="CV21" s="231"/>
      <c r="CW21" s="231"/>
      <c r="CX21" s="231"/>
      <c r="CY21" s="231"/>
      <c r="CZ21" s="231"/>
      <c r="DA21" s="231"/>
      <c r="DB21" s="231"/>
      <c r="DC21" s="231"/>
      <c r="DD21" s="231"/>
      <c r="DE21" s="231"/>
      <c r="DF21" s="231"/>
    </row>
    <row r="22" spans="2:110" ht="26.4">
      <c r="B22" s="1063" t="s">
        <v>1666</v>
      </c>
      <c r="C22" s="1064" t="s">
        <v>643</v>
      </c>
      <c r="D22" s="1065" t="s">
        <v>188</v>
      </c>
      <c r="E22" s="1066">
        <v>1500</v>
      </c>
      <c r="F22" s="1067" t="s">
        <v>1667</v>
      </c>
      <c r="G22" s="231"/>
      <c r="H22" s="231"/>
      <c r="I22" s="231"/>
      <c r="J22" s="231"/>
      <c r="K22" s="231"/>
      <c r="L22" s="433"/>
      <c r="N22" s="246" t="s">
        <v>1749</v>
      </c>
      <c r="O22" s="589">
        <v>1</v>
      </c>
      <c r="P22" s="831">
        <f>(('9'!N14-'9'!C72)/2)*'2'!S21</f>
        <v>355.95755142230644</v>
      </c>
      <c r="Q22" s="100">
        <f>IF(O22=1,P22,P22)</f>
        <v>355.95755142230644</v>
      </c>
      <c r="R22" s="590">
        <v>0.33</v>
      </c>
      <c r="S22" s="590">
        <v>0.66</v>
      </c>
      <c r="T22" s="99">
        <f t="shared" si="0"/>
        <v>46.836519923987694</v>
      </c>
      <c r="U22" s="223"/>
      <c r="V22" s="223"/>
      <c r="W22" s="223"/>
      <c r="X22" s="223"/>
      <c r="Y22" s="94"/>
      <c r="Z22" s="223"/>
      <c r="AA22" s="223"/>
      <c r="AB22" s="587"/>
      <c r="AC22" s="1112"/>
      <c r="AD22" s="399"/>
      <c r="AE22" s="246"/>
      <c r="AF22" s="231"/>
      <c r="AG22" s="223" t="s">
        <v>1821</v>
      </c>
      <c r="AH22" s="223" t="s">
        <v>1821</v>
      </c>
      <c r="AI22" s="223"/>
      <c r="AJ22" s="223"/>
      <c r="AK22" s="223"/>
      <c r="AL22" s="569" t="s">
        <v>1770</v>
      </c>
      <c r="AM22" s="569" t="s">
        <v>1740</v>
      </c>
      <c r="AN22" s="231"/>
      <c r="AO22" s="231"/>
      <c r="AP22" s="231"/>
      <c r="AQ22" s="231"/>
      <c r="AR22" s="231"/>
      <c r="AS22" s="231"/>
      <c r="AT22" s="231"/>
      <c r="AU22" s="231"/>
      <c r="AV22" s="433"/>
      <c r="AW22" s="231"/>
      <c r="AX22" s="238"/>
      <c r="AY22" s="223" t="s">
        <v>1930</v>
      </c>
      <c r="AZ22" s="223" t="s">
        <v>1931</v>
      </c>
      <c r="BA22" s="223" t="s">
        <v>619</v>
      </c>
      <c r="BB22" s="501">
        <f>(VLOOKUP(BB20,$AX$81:$BA$114,4))*1000*144</f>
        <v>4320000</v>
      </c>
      <c r="BC22" s="501">
        <f>(VLOOKUP(BC20,$AX$81:$BA$114,4))*1000*144</f>
        <v>4320000</v>
      </c>
      <c r="BD22" s="643"/>
      <c r="BE22" s="239"/>
      <c r="BF22" s="239"/>
      <c r="BG22" s="239"/>
      <c r="BH22" s="239"/>
      <c r="BI22" s="239"/>
      <c r="BJ22" s="239"/>
      <c r="BK22" s="239"/>
      <c r="BL22" s="239"/>
      <c r="BM22" s="239"/>
      <c r="BN22" s="239"/>
      <c r="BO22" s="239"/>
      <c r="BP22" s="239"/>
      <c r="BQ22" s="239"/>
      <c r="BR22" s="239"/>
      <c r="BS22" s="239"/>
      <c r="BT22" s="239"/>
      <c r="BU22" s="239"/>
      <c r="BV22" s="239"/>
      <c r="BW22" s="239"/>
      <c r="BX22" s="239"/>
      <c r="BY22" s="239"/>
      <c r="BZ22" s="239"/>
      <c r="CA22" s="693"/>
      <c r="CB22" s="231"/>
      <c r="CC22" s="231"/>
      <c r="CD22" s="231"/>
      <c r="CE22" s="231"/>
      <c r="CF22" s="231"/>
      <c r="CG22" s="231"/>
      <c r="CH22" s="231"/>
      <c r="CI22" s="231"/>
      <c r="CJ22" s="231"/>
      <c r="CK22" s="231"/>
      <c r="CL22" s="231"/>
      <c r="CM22" s="231"/>
      <c r="CN22" s="231"/>
      <c r="CO22" s="231"/>
      <c r="CP22" s="231"/>
      <c r="CQ22" s="231"/>
      <c r="CR22" s="231"/>
      <c r="CS22" s="231"/>
      <c r="CT22" s="231"/>
      <c r="CU22" s="231"/>
      <c r="CV22" s="231"/>
      <c r="CW22" s="231"/>
      <c r="CX22" s="231"/>
      <c r="CY22" s="231"/>
      <c r="CZ22" s="231"/>
      <c r="DA22" s="231"/>
      <c r="DB22" s="231"/>
      <c r="DC22" s="231"/>
      <c r="DD22" s="231"/>
      <c r="DE22" s="231"/>
      <c r="DF22" s="231"/>
    </row>
    <row r="23" spans="2:110" ht="16.2">
      <c r="B23" s="1063" t="s">
        <v>644</v>
      </c>
      <c r="C23" s="1064" t="s">
        <v>51</v>
      </c>
      <c r="D23" s="1065" t="s">
        <v>87</v>
      </c>
      <c r="E23" s="1068">
        <f>((1.2*'3'!U9)+'2'!E51)/2</f>
        <v>0.11576140446550094</v>
      </c>
      <c r="F23" s="1067" t="s">
        <v>1668</v>
      </c>
      <c r="G23" s="231"/>
      <c r="H23" s="231"/>
      <c r="I23" s="231"/>
      <c r="J23" s="239"/>
      <c r="K23" s="231"/>
      <c r="L23" s="433"/>
      <c r="N23" s="246" t="s">
        <v>1750</v>
      </c>
      <c r="O23" s="589">
        <v>1</v>
      </c>
      <c r="P23" s="831">
        <f>'5'!D84*'5'!D70/2</f>
        <v>12.084359142993224</v>
      </c>
      <c r="Q23" s="100">
        <f>IF(O23=1,P23,P23)</f>
        <v>12.084359142993224</v>
      </c>
      <c r="R23" s="590">
        <v>0</v>
      </c>
      <c r="S23" s="590">
        <v>0.8</v>
      </c>
      <c r="T23" s="99">
        <f t="shared" si="0"/>
        <v>0.7108446554701896</v>
      </c>
      <c r="U23" s="223"/>
      <c r="V23" s="223"/>
      <c r="W23" s="223"/>
      <c r="X23" s="223"/>
      <c r="Y23" s="94"/>
      <c r="Z23" s="223"/>
      <c r="AA23" s="223"/>
      <c r="AB23" s="587"/>
      <c r="AC23" s="1112"/>
      <c r="AD23" s="399"/>
      <c r="AE23" s="1136" t="s">
        <v>1822</v>
      </c>
      <c r="AF23" s="231"/>
      <c r="AG23" s="223" t="s">
        <v>1742</v>
      </c>
      <c r="AH23" s="223" t="s">
        <v>1742</v>
      </c>
      <c r="AI23" s="231"/>
      <c r="AJ23" s="231"/>
      <c r="AK23" s="569" t="s">
        <v>1823</v>
      </c>
      <c r="AL23" s="569" t="s">
        <v>1824</v>
      </c>
      <c r="AM23" s="588" t="s">
        <v>1743</v>
      </c>
      <c r="AN23" s="231"/>
      <c r="AO23" s="231"/>
      <c r="AP23" s="231"/>
      <c r="AQ23" s="231"/>
      <c r="AR23" s="231"/>
      <c r="AS23" s="231"/>
      <c r="AT23" s="231"/>
      <c r="AU23" s="231"/>
      <c r="AV23" s="433"/>
      <c r="AW23" s="231"/>
      <c r="AX23" s="238"/>
      <c r="AY23" s="223" t="s">
        <v>1932</v>
      </c>
      <c r="AZ23" s="223" t="s">
        <v>1933</v>
      </c>
      <c r="BA23" s="223" t="s">
        <v>619</v>
      </c>
      <c r="BB23" s="501">
        <f>BB22/BB16</f>
        <v>480000</v>
      </c>
      <c r="BC23" s="501">
        <f>BC22/BC16</f>
        <v>480000</v>
      </c>
      <c r="BD23" s="643"/>
      <c r="BE23" s="239"/>
      <c r="BF23" s="239"/>
      <c r="BG23" s="239"/>
      <c r="BH23" s="239"/>
      <c r="BI23" s="239"/>
      <c r="BJ23" s="239"/>
      <c r="BK23" s="239"/>
      <c r="BL23" s="239"/>
      <c r="BM23" s="239"/>
      <c r="BN23" s="239"/>
      <c r="BO23" s="239"/>
      <c r="BP23" s="239"/>
      <c r="BQ23" s="239"/>
      <c r="BR23" s="239"/>
      <c r="BS23" s="239"/>
      <c r="BT23" s="239"/>
      <c r="BU23" s="239"/>
      <c r="BV23" s="239"/>
      <c r="BW23" s="239"/>
      <c r="BX23" s="239"/>
      <c r="BY23" s="239"/>
      <c r="BZ23" s="239"/>
      <c r="CA23" s="693"/>
      <c r="CB23" s="231"/>
      <c r="CC23" s="231"/>
      <c r="CD23" s="231"/>
      <c r="CE23" s="231"/>
      <c r="CF23" s="231"/>
      <c r="CG23" s="231"/>
      <c r="CH23" s="231"/>
      <c r="CI23" s="231"/>
      <c r="CJ23" s="231"/>
      <c r="CK23" s="231"/>
      <c r="CL23" s="231"/>
      <c r="CM23" s="231"/>
      <c r="CN23" s="231"/>
      <c r="CO23" s="231"/>
      <c r="CP23" s="231"/>
      <c r="CQ23" s="231"/>
      <c r="CR23" s="231"/>
      <c r="CS23" s="231"/>
      <c r="CT23" s="231"/>
      <c r="CU23" s="231"/>
      <c r="CV23" s="231"/>
      <c r="CW23" s="231"/>
      <c r="CX23" s="231"/>
      <c r="CY23" s="231"/>
      <c r="CZ23" s="231"/>
      <c r="DA23" s="231"/>
      <c r="DB23" s="231"/>
      <c r="DC23" s="231"/>
      <c r="DD23" s="231"/>
      <c r="DE23" s="231"/>
      <c r="DF23" s="231"/>
    </row>
    <row r="24" spans="2:110">
      <c r="B24" s="1063" t="s">
        <v>1027</v>
      </c>
      <c r="C24" s="1064" t="s">
        <v>58</v>
      </c>
      <c r="D24" s="1065" t="s">
        <v>619</v>
      </c>
      <c r="E24" s="1069">
        <f>'3'!E41</f>
        <v>11</v>
      </c>
      <c r="F24" s="1067" t="s">
        <v>1669</v>
      </c>
      <c r="G24" s="231"/>
      <c r="H24" s="231"/>
      <c r="I24" s="231"/>
      <c r="J24" s="231"/>
      <c r="K24" s="231"/>
      <c r="L24" s="433"/>
      <c r="N24" s="246" t="s">
        <v>1751</v>
      </c>
      <c r="O24" s="589">
        <v>1</v>
      </c>
      <c r="P24" s="590">
        <v>0</v>
      </c>
      <c r="Q24" s="100">
        <f>IF(O24=1,P24,(IF(O24=2,(1.3*Q$10),(IF(O24=3,(1.3*Q$10),(1.4*Q$10))))))</f>
        <v>0</v>
      </c>
      <c r="R24" s="590">
        <v>0.3</v>
      </c>
      <c r="S24" s="99">
        <f>R24</f>
        <v>0.3</v>
      </c>
      <c r="T24" s="99">
        <f t="shared" si="0"/>
        <v>0</v>
      </c>
      <c r="U24" s="223"/>
      <c r="V24" s="94"/>
      <c r="W24" s="223"/>
      <c r="X24" s="223"/>
      <c r="Y24" s="94"/>
      <c r="Z24" s="223"/>
      <c r="AA24" s="223"/>
      <c r="AB24" s="587"/>
      <c r="AC24" s="460"/>
      <c r="AD24" s="399"/>
      <c r="AE24" s="1023" t="s">
        <v>1744</v>
      </c>
      <c r="AF24" s="1019" t="s">
        <v>536</v>
      </c>
      <c r="AG24" s="1019" t="s">
        <v>1745</v>
      </c>
      <c r="AH24" s="1019" t="s">
        <v>1745</v>
      </c>
      <c r="AI24" s="233" t="s">
        <v>1825</v>
      </c>
      <c r="AJ24" s="233" t="s">
        <v>1826</v>
      </c>
      <c r="AK24" s="1019" t="s">
        <v>1827</v>
      </c>
      <c r="AL24" s="1019" t="s">
        <v>1828</v>
      </c>
      <c r="AM24" s="1019" t="s">
        <v>1742</v>
      </c>
      <c r="AN24" s="231"/>
      <c r="AO24" s="231"/>
      <c r="AP24" s="231"/>
      <c r="AQ24" s="231"/>
      <c r="AR24" s="231"/>
      <c r="AS24" s="231"/>
      <c r="AT24" s="231"/>
      <c r="AU24" s="231"/>
      <c r="AV24" s="433"/>
      <c r="AW24" s="231"/>
      <c r="AX24" s="238"/>
      <c r="AY24" s="318" t="s">
        <v>41</v>
      </c>
      <c r="AZ24" s="644" t="s">
        <v>50</v>
      </c>
      <c r="BA24" s="318" t="s">
        <v>1934</v>
      </c>
      <c r="BB24" s="502">
        <f>(VLOOKUP(BB20,$AX$81:$BE$114,8))</f>
        <v>6.4000000000000001E-2</v>
      </c>
      <c r="BC24" s="502">
        <f>(VLOOKUP(BC20,$AX$81:$BE$114,8))</f>
        <v>6.4000000000000001E-2</v>
      </c>
      <c r="BD24" s="645"/>
      <c r="BE24" s="239"/>
      <c r="BF24" s="239"/>
      <c r="BG24" s="239"/>
      <c r="BH24" s="239"/>
      <c r="BI24" s="239"/>
      <c r="BJ24" s="239"/>
      <c r="BK24" s="239"/>
      <c r="BL24" s="239"/>
      <c r="BM24" s="239"/>
      <c r="BN24" s="239"/>
      <c r="BO24" s="239"/>
      <c r="BP24" s="239"/>
      <c r="BQ24" s="239"/>
      <c r="BR24" s="239"/>
      <c r="BS24" s="239"/>
      <c r="BT24" s="239"/>
      <c r="BU24" s="239"/>
      <c r="BV24" s="239"/>
      <c r="BW24" s="239"/>
      <c r="BX24" s="239"/>
      <c r="BY24" s="239"/>
      <c r="BZ24" s="239"/>
      <c r="CA24" s="693"/>
      <c r="CB24" s="231"/>
      <c r="CC24" s="231"/>
      <c r="CD24" s="231"/>
      <c r="CE24" s="231"/>
      <c r="CF24" s="231"/>
      <c r="CG24" s="231"/>
      <c r="CH24" s="231"/>
      <c r="CI24" s="231"/>
      <c r="CJ24" s="231"/>
      <c r="CK24" s="231"/>
      <c r="CL24" s="231"/>
      <c r="CM24" s="231"/>
      <c r="CN24" s="231"/>
      <c r="CO24" s="231"/>
      <c r="CP24" s="231"/>
      <c r="CQ24" s="231"/>
      <c r="CR24" s="231"/>
      <c r="CS24" s="231"/>
      <c r="CT24" s="231"/>
      <c r="CU24" s="231"/>
      <c r="CV24" s="231"/>
      <c r="CW24" s="231"/>
      <c r="CX24" s="231"/>
      <c r="CY24" s="231"/>
      <c r="CZ24" s="231"/>
      <c r="DA24" s="231"/>
      <c r="DB24" s="231"/>
      <c r="DC24" s="231"/>
      <c r="DD24" s="231"/>
      <c r="DE24" s="231"/>
      <c r="DF24" s="231"/>
    </row>
    <row r="25" spans="2:110">
      <c r="B25" s="1063" t="s">
        <v>680</v>
      </c>
      <c r="C25" s="1064" t="s">
        <v>49</v>
      </c>
      <c r="D25" s="1065" t="s">
        <v>658</v>
      </c>
      <c r="E25" s="228">
        <f>IF($E$7=1,(E23*(1036-0.0034*(E22-20000))),(E23*((-1.674918E-27*(E22^6)) + (7.808861E-22*(E22^5)) - (1.333876E-16*(E22^4)) + (0.00000000001022912*(E22^3)) - (0.0000003047813*(E22^2)) - (0.0009459332*E22) + 1111.001)))</f>
        <v>128.3713169652795</v>
      </c>
      <c r="F25" s="1070"/>
      <c r="G25" s="231"/>
      <c r="H25" s="231"/>
      <c r="I25" s="228"/>
      <c r="J25" s="228"/>
      <c r="K25" s="231"/>
      <c r="L25" s="433"/>
      <c r="N25" s="246" t="s">
        <v>1752</v>
      </c>
      <c r="O25" s="589">
        <v>1</v>
      </c>
      <c r="P25" s="590">
        <v>0</v>
      </c>
      <c r="Q25" s="100">
        <f>IF(O25=1,P25,(IF(O25=2,(1.3*Q$10),(IF(O25=3,(1.3*Q$10),(1.4*Q$10))))))</f>
        <v>0</v>
      </c>
      <c r="R25" s="590">
        <v>0.1</v>
      </c>
      <c r="S25" s="99">
        <f>R25</f>
        <v>0.1</v>
      </c>
      <c r="T25" s="99">
        <f t="shared" si="0"/>
        <v>0</v>
      </c>
      <c r="U25" s="223"/>
      <c r="V25" s="94"/>
      <c r="W25" s="223"/>
      <c r="X25" s="223"/>
      <c r="Y25" s="94"/>
      <c r="Z25" s="223"/>
      <c r="AA25" s="223"/>
      <c r="AB25" s="223"/>
      <c r="AC25" s="460"/>
      <c r="AD25" s="335"/>
      <c r="AE25" s="246" t="s">
        <v>76</v>
      </c>
      <c r="AF25" s="589">
        <v>1</v>
      </c>
      <c r="AG25" s="831">
        <f>'5'!D86</f>
        <v>217.51846457387802</v>
      </c>
      <c r="AH25" s="99">
        <f>IF(AF25=1,AG25,AG25)</f>
        <v>217.51846457387802</v>
      </c>
      <c r="AI25" s="602">
        <v>0.4</v>
      </c>
      <c r="AJ25" s="602">
        <v>0.6</v>
      </c>
      <c r="AK25" s="515">
        <f t="shared" ref="AK25:AK33" si="1">0.5*(AJ25-AI25) + AI25</f>
        <v>0.5</v>
      </c>
      <c r="AL25" s="603">
        <f t="shared" ref="AL25:AL33" si="2">AH25*(AK25 -AH$18)*AH$17</f>
        <v>229.75387820615859</v>
      </c>
      <c r="AM25" s="603">
        <f t="shared" ref="AM25:AM33" si="3">AH25/(1+(AJ25-AI25)/0.05)</f>
        <v>43.503692914775613</v>
      </c>
      <c r="AN25" s="231"/>
      <c r="AO25" s="231"/>
      <c r="AP25" s="231"/>
      <c r="AQ25" s="231"/>
      <c r="AR25" s="231"/>
      <c r="AS25" s="231"/>
      <c r="AT25" s="231"/>
      <c r="AU25" s="231"/>
      <c r="AV25" s="433"/>
      <c r="AW25" s="231"/>
      <c r="AX25" s="238"/>
      <c r="AY25" s="94" t="s">
        <v>1935</v>
      </c>
      <c r="AZ25" s="94" t="s">
        <v>1936</v>
      </c>
      <c r="BA25" s="94" t="s">
        <v>1937</v>
      </c>
      <c r="BB25" s="590">
        <v>22</v>
      </c>
      <c r="BC25" s="590">
        <v>20</v>
      </c>
      <c r="BD25" s="646"/>
      <c r="BE25" s="239"/>
      <c r="BF25" s="239"/>
      <c r="BG25" s="239"/>
      <c r="BH25" s="239"/>
      <c r="BI25" s="239"/>
      <c r="BJ25" s="239"/>
      <c r="BK25" s="239"/>
      <c r="BL25" s="239"/>
      <c r="BM25" s="239"/>
      <c r="BN25" s="239"/>
      <c r="BO25" s="239"/>
      <c r="BP25" s="239"/>
      <c r="BQ25" s="239"/>
      <c r="BR25" s="239"/>
      <c r="BS25" s="239"/>
      <c r="BT25" s="239"/>
      <c r="BU25" s="239"/>
      <c r="BV25" s="239"/>
      <c r="BW25" s="239"/>
      <c r="BX25" s="239"/>
      <c r="BY25" s="239"/>
      <c r="BZ25" s="239"/>
      <c r="CA25" s="693"/>
      <c r="CB25" s="231"/>
      <c r="CC25" s="231"/>
      <c r="CD25" s="231"/>
      <c r="CE25" s="231"/>
      <c r="CF25" s="231"/>
      <c r="CG25" s="231"/>
      <c r="CH25" s="231"/>
      <c r="CI25" s="231"/>
      <c r="CJ25" s="231"/>
      <c r="CK25" s="231"/>
      <c r="CL25" s="231"/>
      <c r="CM25" s="231"/>
      <c r="CN25" s="231"/>
      <c r="CO25" s="231"/>
      <c r="CP25" s="231"/>
      <c r="CQ25" s="231"/>
      <c r="CR25" s="231"/>
      <c r="CS25" s="231"/>
      <c r="CT25" s="231"/>
      <c r="CU25" s="231"/>
      <c r="CV25" s="231"/>
      <c r="CW25" s="231"/>
      <c r="CX25" s="231"/>
      <c r="CY25" s="231"/>
      <c r="CZ25" s="231"/>
      <c r="DA25" s="231"/>
      <c r="DB25" s="231"/>
      <c r="DC25" s="231"/>
      <c r="DD25" s="231"/>
      <c r="DE25" s="231"/>
      <c r="DF25" s="231"/>
    </row>
    <row r="26" spans="2:110">
      <c r="B26" s="1063" t="s">
        <v>41</v>
      </c>
      <c r="C26" s="1071" t="s">
        <v>50</v>
      </c>
      <c r="D26" s="1065" t="s">
        <v>673</v>
      </c>
      <c r="E26" s="1072">
        <f>IF($E$7=1,(IF($E22&lt;10000,((1-0.00002615*$E22)*0.076474/32.174),IF($E22&gt;40000,(((-0.0000091*$E22+0.6211)*0.076474)/32.174),(((-0.00001681*$E22+0.9066)*0.076474)/32.174)))),((1.188467E-32*($E22^6)) - (3.738363E-27*($E22^5)) + (4.423426E-22*($E22^4)) - (2.646824E-17*($E22^3)) + (0.000000000001273176*($E22^2)) - (0.00000007347109*$E22) + 0.002383333))</f>
        <v>2.2759038917965924E-3</v>
      </c>
      <c r="F26" s="1070"/>
      <c r="G26" s="231"/>
      <c r="H26" s="231"/>
      <c r="I26" s="1072"/>
      <c r="J26" s="777"/>
      <c r="K26" s="231"/>
      <c r="L26" s="433"/>
      <c r="N26" s="249" t="s">
        <v>1022</v>
      </c>
      <c r="O26" s="589">
        <v>1</v>
      </c>
      <c r="P26" s="831">
        <f>IF('11'!M27=1,'11'!N13,IF('11'!M27=2,'11'!O13,'11'!P13))</f>
        <v>62.982495856352926</v>
      </c>
      <c r="Q26" s="100">
        <f>IF(O26=1,P26,(IF(O26=2,(0.033*Q11),(IF(O26=3,(0.043*Q11),(0.057*Q11))))))</f>
        <v>62.982495856352926</v>
      </c>
      <c r="R26" s="590">
        <v>0.4</v>
      </c>
      <c r="S26" s="590">
        <v>0.5</v>
      </c>
      <c r="T26" s="99">
        <f t="shared" si="0"/>
        <v>20.994165285450979</v>
      </c>
      <c r="U26" s="223"/>
      <c r="V26" s="94"/>
      <c r="W26" s="223"/>
      <c r="X26" s="223"/>
      <c r="Y26" s="94"/>
      <c r="Z26" s="223"/>
      <c r="AA26" s="223"/>
      <c r="AB26" s="223"/>
      <c r="AC26" s="460"/>
      <c r="AD26" s="335"/>
      <c r="AE26" s="246" t="s">
        <v>1829</v>
      </c>
      <c r="AF26" s="589">
        <v>1</v>
      </c>
      <c r="AG26" s="590">
        <v>200</v>
      </c>
      <c r="AH26" s="99">
        <f>IF(AF26=1,AG26,AG26)</f>
        <v>200</v>
      </c>
      <c r="AI26" s="602">
        <v>0.4</v>
      </c>
      <c r="AJ26" s="602">
        <v>0.55000000000000004</v>
      </c>
      <c r="AK26" s="515">
        <f t="shared" si="1"/>
        <v>0.47500000000000003</v>
      </c>
      <c r="AL26" s="603">
        <f t="shared" si="2"/>
        <v>105.6250000000001</v>
      </c>
      <c r="AM26" s="603">
        <f t="shared" si="3"/>
        <v>50</v>
      </c>
      <c r="AN26" s="231"/>
      <c r="AO26" s="231"/>
      <c r="AP26" s="231"/>
      <c r="AQ26" s="231"/>
      <c r="AR26" s="231"/>
      <c r="AS26" s="231"/>
      <c r="AT26" s="231"/>
      <c r="AU26" s="231"/>
      <c r="AV26" s="433"/>
      <c r="AW26" s="231"/>
      <c r="AX26" s="238"/>
      <c r="AY26" s="94" t="s">
        <v>1935</v>
      </c>
      <c r="AZ26" s="94" t="s">
        <v>1936</v>
      </c>
      <c r="BA26" s="94" t="s">
        <v>359</v>
      </c>
      <c r="BB26" s="195">
        <f>BB25/1000</f>
        <v>2.1999999999999999E-2</v>
      </c>
      <c r="BC26" s="195">
        <f>BC25/1000</f>
        <v>0.02</v>
      </c>
      <c r="BD26" s="648"/>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693"/>
      <c r="CB26" s="231"/>
      <c r="CC26" s="231"/>
      <c r="CD26" s="231"/>
      <c r="CE26" s="231"/>
      <c r="CF26" s="231"/>
      <c r="CG26" s="231"/>
      <c r="CH26" s="231"/>
      <c r="CI26" s="231"/>
      <c r="CJ26" s="231"/>
      <c r="CK26" s="231"/>
      <c r="CL26" s="231"/>
      <c r="CM26" s="231"/>
      <c r="CN26" s="231"/>
      <c r="CO26" s="231"/>
      <c r="CP26" s="231"/>
      <c r="CQ26" s="231"/>
      <c r="CR26" s="231"/>
      <c r="CS26" s="231"/>
      <c r="CT26" s="231"/>
      <c r="CU26" s="231"/>
      <c r="CV26" s="231"/>
      <c r="CW26" s="231"/>
      <c r="CX26" s="231"/>
      <c r="CY26" s="231"/>
      <c r="CZ26" s="231"/>
      <c r="DA26" s="231"/>
      <c r="DB26" s="231"/>
      <c r="DC26" s="231"/>
      <c r="DD26" s="231"/>
      <c r="DE26" s="231"/>
      <c r="DF26" s="231"/>
    </row>
    <row r="27" spans="2:110">
      <c r="B27" s="1063" t="s">
        <v>1670</v>
      </c>
      <c r="C27" s="1064" t="s">
        <v>47</v>
      </c>
      <c r="D27" s="1065" t="s">
        <v>619</v>
      </c>
      <c r="E27" s="1073">
        <f>0.5*E26*(E25^2)</f>
        <v>18.752532039164034</v>
      </c>
      <c r="F27" s="1070"/>
      <c r="G27" s="231"/>
      <c r="H27" s="231"/>
      <c r="I27" s="617"/>
      <c r="J27" s="617"/>
      <c r="K27" s="231"/>
      <c r="L27" s="433"/>
      <c r="N27" s="246" t="s">
        <v>1753</v>
      </c>
      <c r="O27" s="589">
        <v>1</v>
      </c>
      <c r="P27" s="831">
        <f>IF('11'!M27=1,'11'!N9,IF('11'!M27=2,'11'!O9,'11'!P9))</f>
        <v>127.53072711420064</v>
      </c>
      <c r="Q27" s="100">
        <f>IF(O27=1,P27,(IF(O27=2,(9*Q7),(IF(O27=3,(10*Q7),(2.5*Q7))))))</f>
        <v>127.53072711420064</v>
      </c>
      <c r="R27" s="590">
        <v>0</v>
      </c>
      <c r="S27" s="590">
        <v>1</v>
      </c>
      <c r="T27" s="99">
        <f t="shared" si="0"/>
        <v>6.0728917673428882</v>
      </c>
      <c r="U27" s="223"/>
      <c r="V27" s="94"/>
      <c r="W27" s="223"/>
      <c r="X27" s="223"/>
      <c r="Y27" s="94"/>
      <c r="Z27" s="223"/>
      <c r="AA27" s="223"/>
      <c r="AB27" s="223"/>
      <c r="AC27" s="460"/>
      <c r="AD27" s="335"/>
      <c r="AE27" s="246" t="s">
        <v>1830</v>
      </c>
      <c r="AF27" s="589">
        <v>1</v>
      </c>
      <c r="AG27" s="831">
        <f>IF('11'!M27=1,'11'!N12,IF('11'!M27=2,'11'!O12,'11'!P12))</f>
        <v>99.187856136005479</v>
      </c>
      <c r="AH27" s="99">
        <f>IF(AF27=1,AG27,(IF(AF27=2,(4.8*AH$19),(IF(AF27=3,(5*AH$19),(1.4*AH$19))))))</f>
        <v>99.187856136005479</v>
      </c>
      <c r="AI27" s="602">
        <v>0</v>
      </c>
      <c r="AJ27" s="602">
        <v>1</v>
      </c>
      <c r="AK27" s="515">
        <f t="shared" si="1"/>
        <v>0.5</v>
      </c>
      <c r="AL27" s="603">
        <f t="shared" si="2"/>
        <v>104.76717304365577</v>
      </c>
      <c r="AM27" s="603">
        <f t="shared" si="3"/>
        <v>4.7232312445716893</v>
      </c>
      <c r="AN27" s="231"/>
      <c r="AO27" s="231"/>
      <c r="AP27" s="231"/>
      <c r="AQ27" s="231"/>
      <c r="AR27" s="231"/>
      <c r="AS27" s="231"/>
      <c r="AT27" s="231"/>
      <c r="AU27" s="231"/>
      <c r="AV27" s="433"/>
      <c r="AW27" s="231"/>
      <c r="AX27" s="238"/>
      <c r="AY27" s="94" t="s">
        <v>1935</v>
      </c>
      <c r="AZ27" s="94" t="s">
        <v>1936</v>
      </c>
      <c r="BA27" s="94" t="s">
        <v>188</v>
      </c>
      <c r="BB27" s="191">
        <f>BB26/12</f>
        <v>1.8333333333333333E-3</v>
      </c>
      <c r="BC27" s="191">
        <f>BC26/12</f>
        <v>1.6666666666666668E-3</v>
      </c>
      <c r="BD27" s="649"/>
      <c r="BE27" s="239"/>
      <c r="BF27" s="239"/>
      <c r="BG27" s="239"/>
      <c r="BH27" s="239"/>
      <c r="BI27" s="239"/>
      <c r="BJ27" s="239"/>
      <c r="BK27" s="239"/>
      <c r="BL27" s="231"/>
      <c r="BM27" s="231"/>
      <c r="BN27" s="231"/>
      <c r="BO27" s="231"/>
      <c r="BP27" s="231"/>
      <c r="BQ27" s="239"/>
      <c r="BR27" s="239"/>
      <c r="BS27" s="239"/>
      <c r="BT27" s="239"/>
      <c r="BU27" s="239"/>
      <c r="BV27" s="239"/>
      <c r="BW27" s="239"/>
      <c r="BX27" s="239"/>
      <c r="BY27" s="239"/>
      <c r="BZ27" s="239"/>
      <c r="CA27" s="693"/>
      <c r="CB27" s="231"/>
      <c r="CC27" s="231"/>
      <c r="CD27" s="231"/>
      <c r="CE27" s="231"/>
      <c r="CF27" s="231"/>
      <c r="CG27" s="231"/>
      <c r="CH27" s="231"/>
      <c r="CI27" s="231"/>
      <c r="CJ27" s="231"/>
      <c r="CK27" s="231"/>
      <c r="CL27" s="231"/>
      <c r="CM27" s="231"/>
      <c r="CN27" s="231"/>
      <c r="CO27" s="231"/>
      <c r="CP27" s="231"/>
      <c r="CQ27" s="231"/>
      <c r="CR27" s="231"/>
      <c r="CS27" s="231"/>
      <c r="CT27" s="231"/>
      <c r="CU27" s="231"/>
      <c r="CV27" s="231"/>
      <c r="CW27" s="231"/>
      <c r="CX27" s="231"/>
      <c r="CY27" s="231"/>
      <c r="CZ27" s="231"/>
      <c r="DA27" s="231"/>
      <c r="DB27" s="231"/>
      <c r="DC27" s="231"/>
      <c r="DD27" s="231"/>
      <c r="DE27" s="231"/>
      <c r="DF27" s="231"/>
    </row>
    <row r="28" spans="2:110" ht="16.2" thickBot="1">
      <c r="B28" s="1063" t="s">
        <v>1671</v>
      </c>
      <c r="C28" s="1074" t="s">
        <v>214</v>
      </c>
      <c r="D28" s="1065" t="s">
        <v>87</v>
      </c>
      <c r="E28" s="1075">
        <f>(E27/E24)*SQRT(E$11*(PI()*E$12*E$13))</f>
        <v>1.5852089544238088</v>
      </c>
      <c r="F28" s="1070"/>
      <c r="G28" s="231"/>
      <c r="H28" s="231"/>
      <c r="I28" s="617"/>
      <c r="J28" s="617"/>
      <c r="K28" s="231"/>
      <c r="L28" s="433"/>
      <c r="N28" s="246"/>
      <c r="O28" s="223"/>
      <c r="P28" s="223"/>
      <c r="Q28" s="223"/>
      <c r="R28" s="223"/>
      <c r="S28" s="223"/>
      <c r="T28" s="223"/>
      <c r="U28" s="223"/>
      <c r="V28" s="94"/>
      <c r="W28" s="223"/>
      <c r="X28" s="223"/>
      <c r="Y28" s="94"/>
      <c r="Z28" s="223"/>
      <c r="AA28" s="223"/>
      <c r="AB28" s="223"/>
      <c r="AC28" s="460"/>
      <c r="AD28" s="335"/>
      <c r="AE28" s="246" t="s">
        <v>1831</v>
      </c>
      <c r="AF28" s="589">
        <v>1</v>
      </c>
      <c r="AG28" s="831">
        <f>IF('11'!M27=1,'11'!N15,IF('11'!M27=2,'11'!O15,'11'!P15))</f>
        <v>420.46731532835759</v>
      </c>
      <c r="AH28" s="99">
        <f>IF(AF28=1,AG28,(IF(AF28=2,(1.3*AH$10),(IF(AF28=3,(1.3*AH$10),(1.4*AH$10))))))</f>
        <v>420.46731532835759</v>
      </c>
      <c r="AI28" s="602">
        <v>0.05</v>
      </c>
      <c r="AJ28" s="602">
        <v>0.1</v>
      </c>
      <c r="AK28" s="515">
        <f t="shared" si="1"/>
        <v>7.5000000000000011E-2</v>
      </c>
      <c r="AL28" s="603">
        <f t="shared" si="2"/>
        <v>-3330.889513616833</v>
      </c>
      <c r="AM28" s="603">
        <f t="shared" si="3"/>
        <v>210.23365766417879</v>
      </c>
      <c r="AN28" s="231"/>
      <c r="AO28" s="231"/>
      <c r="AP28" s="231"/>
      <c r="AQ28" s="231"/>
      <c r="AR28" s="231"/>
      <c r="AS28" s="231"/>
      <c r="AT28" s="231"/>
      <c r="AU28" s="231"/>
      <c r="AV28" s="433"/>
      <c r="AW28" s="231"/>
      <c r="AX28" s="238"/>
      <c r="AY28" s="223" t="s">
        <v>1939</v>
      </c>
      <c r="AZ28" s="223" t="s">
        <v>1940</v>
      </c>
      <c r="BA28" s="223" t="s">
        <v>619</v>
      </c>
      <c r="BB28" s="501">
        <f>BB17*BB30/BB32</f>
        <v>478168.43240776961</v>
      </c>
      <c r="BC28" s="501">
        <f>BC17*BC30/BC32</f>
        <v>295593.94873161038</v>
      </c>
      <c r="BD28" s="643"/>
      <c r="BE28" s="239"/>
      <c r="BF28" s="239"/>
      <c r="BG28" s="239"/>
      <c r="BH28" s="239"/>
      <c r="BI28" s="239"/>
      <c r="BJ28" s="239"/>
      <c r="BK28" s="239"/>
      <c r="BL28" s="231"/>
      <c r="BM28" s="231"/>
      <c r="BN28" s="231"/>
      <c r="BO28" s="231"/>
      <c r="BP28" s="231"/>
      <c r="BQ28" s="239"/>
      <c r="BR28" s="239"/>
      <c r="BS28" s="239"/>
      <c r="BT28" s="239"/>
      <c r="BU28" s="239"/>
      <c r="BV28" s="239"/>
      <c r="BW28" s="239"/>
      <c r="BX28" s="239"/>
      <c r="BY28" s="239"/>
      <c r="BZ28" s="239"/>
      <c r="CA28" s="693"/>
      <c r="CB28" s="231"/>
      <c r="CC28" s="231"/>
      <c r="CD28" s="231"/>
      <c r="CE28" s="231"/>
      <c r="CF28" s="231"/>
      <c r="CG28" s="231"/>
      <c r="CH28" s="231"/>
      <c r="CI28" s="231"/>
      <c r="CJ28" s="231"/>
      <c r="CK28" s="231"/>
      <c r="CL28" s="231"/>
      <c r="CM28" s="231"/>
      <c r="CN28" s="231"/>
      <c r="CO28" s="231"/>
      <c r="CP28" s="231"/>
      <c r="CQ28" s="231"/>
      <c r="CR28" s="231"/>
      <c r="CS28" s="231"/>
      <c r="CT28" s="231"/>
      <c r="CU28" s="231"/>
      <c r="CV28" s="231"/>
      <c r="CW28" s="231"/>
      <c r="CX28" s="231"/>
      <c r="CY28" s="231"/>
      <c r="CZ28" s="231"/>
      <c r="DA28" s="231"/>
      <c r="DB28" s="231"/>
      <c r="DC28" s="231"/>
      <c r="DD28" s="231"/>
      <c r="DE28" s="231"/>
      <c r="DF28" s="231"/>
    </row>
    <row r="29" spans="2:110" ht="15.6">
      <c r="B29" s="1063"/>
      <c r="C29" s="1074"/>
      <c r="D29" s="1065"/>
      <c r="E29" s="1075"/>
      <c r="F29" s="1070"/>
      <c r="G29" s="231"/>
      <c r="H29" s="231"/>
      <c r="I29" s="617"/>
      <c r="J29" s="617"/>
      <c r="K29" s="231"/>
      <c r="L29" s="433"/>
      <c r="N29" s="126" t="s">
        <v>1754</v>
      </c>
      <c r="O29" s="469"/>
      <c r="P29" s="469"/>
      <c r="Q29" s="592"/>
      <c r="R29" s="223"/>
      <c r="S29" s="223"/>
      <c r="T29" s="223"/>
      <c r="U29" s="223"/>
      <c r="V29" s="94"/>
      <c r="W29" s="223"/>
      <c r="X29" s="223"/>
      <c r="Y29" s="94"/>
      <c r="Z29" s="223"/>
      <c r="AA29" s="223"/>
      <c r="AB29" s="223"/>
      <c r="AC29" s="460"/>
      <c r="AD29" s="335"/>
      <c r="AE29" s="249" t="s">
        <v>1832</v>
      </c>
      <c r="AF29" s="589">
        <v>1</v>
      </c>
      <c r="AG29" s="590">
        <v>0</v>
      </c>
      <c r="AH29" s="99">
        <f>IF(AF29=1,AG29,(IF(AF29=2,(1.3*AH$10),(IF(AF29=3,(1.3*AH$10),(1.4*AH$10))))))</f>
        <v>0</v>
      </c>
      <c r="AI29" s="602">
        <v>0.6</v>
      </c>
      <c r="AJ29" s="602">
        <v>0.6</v>
      </c>
      <c r="AK29" s="515">
        <f t="shared" si="1"/>
        <v>0.6</v>
      </c>
      <c r="AL29" s="603">
        <f t="shared" si="2"/>
        <v>0</v>
      </c>
      <c r="AM29" s="603">
        <f t="shared" si="3"/>
        <v>0</v>
      </c>
      <c r="AN29" s="231"/>
      <c r="AO29" s="231"/>
      <c r="AP29" s="231"/>
      <c r="AQ29" s="231"/>
      <c r="AR29" s="231"/>
      <c r="AS29" s="231"/>
      <c r="AT29" s="231"/>
      <c r="AU29" s="231"/>
      <c r="AV29" s="433"/>
      <c r="AW29" s="231"/>
      <c r="AX29" s="238"/>
      <c r="AY29" s="223" t="s">
        <v>1941</v>
      </c>
      <c r="AZ29" s="223" t="s">
        <v>1942</v>
      </c>
      <c r="BA29" s="223" t="s">
        <v>87</v>
      </c>
      <c r="BB29" s="1177">
        <f>BB28/BB23</f>
        <v>0.9961842341828534</v>
      </c>
      <c r="BC29" s="1177">
        <f>BC28/BC23</f>
        <v>0.61582072652418829</v>
      </c>
      <c r="BD29" s="650"/>
      <c r="BE29" s="239"/>
      <c r="BF29" s="231"/>
      <c r="BG29" s="239"/>
      <c r="BH29" s="239"/>
      <c r="BI29" s="239"/>
      <c r="BJ29" s="239"/>
      <c r="BK29" s="239"/>
      <c r="BL29" s="231"/>
      <c r="BM29" s="231"/>
      <c r="BN29" s="231"/>
      <c r="BO29" s="231"/>
      <c r="BP29" s="231"/>
      <c r="BQ29" s="239"/>
      <c r="BR29" s="239"/>
      <c r="BS29" s="239"/>
      <c r="BT29" s="239"/>
      <c r="BU29" s="239"/>
      <c r="BV29" s="239"/>
      <c r="BW29" s="239"/>
      <c r="BX29" s="239"/>
      <c r="BY29" s="239"/>
      <c r="BZ29" s="239"/>
      <c r="CA29" s="433"/>
      <c r="CB29" s="231"/>
      <c r="CC29" s="231"/>
      <c r="CD29" s="231"/>
      <c r="CE29" s="231"/>
      <c r="CF29" s="231"/>
      <c r="CG29" s="231"/>
      <c r="CH29" s="231"/>
      <c r="CI29" s="231"/>
      <c r="CJ29" s="231"/>
      <c r="CK29" s="231"/>
      <c r="CL29" s="231"/>
      <c r="CM29" s="231"/>
      <c r="CN29" s="231"/>
      <c r="CO29" s="231"/>
      <c r="CP29" s="231"/>
      <c r="CQ29" s="231"/>
      <c r="CR29" s="231"/>
      <c r="CS29" s="231"/>
      <c r="CT29" s="231"/>
      <c r="CU29" s="231"/>
      <c r="CV29" s="231"/>
      <c r="CW29" s="231"/>
      <c r="CX29" s="231"/>
      <c r="CY29" s="231"/>
      <c r="CZ29" s="231"/>
      <c r="DA29" s="231"/>
      <c r="DB29" s="231"/>
      <c r="DC29" s="231"/>
      <c r="DD29" s="231"/>
      <c r="DE29" s="231"/>
      <c r="DF29" s="231"/>
    </row>
    <row r="30" spans="2:110">
      <c r="B30" s="1076" t="s">
        <v>1672</v>
      </c>
      <c r="C30" s="563" t="s">
        <v>89</v>
      </c>
      <c r="D30" s="563" t="s">
        <v>90</v>
      </c>
      <c r="E30" s="563" t="s">
        <v>91</v>
      </c>
      <c r="F30" s="1077" t="s">
        <v>352</v>
      </c>
      <c r="G30" s="231"/>
      <c r="H30" s="231"/>
      <c r="I30" s="617"/>
      <c r="J30" s="617"/>
      <c r="K30" s="231"/>
      <c r="L30" s="433"/>
      <c r="N30" s="593" t="s">
        <v>641</v>
      </c>
      <c r="O30" s="594" t="s">
        <v>89</v>
      </c>
      <c r="P30" s="594" t="s">
        <v>90</v>
      </c>
      <c r="Q30" s="595" t="s">
        <v>91</v>
      </c>
      <c r="R30" s="223"/>
      <c r="S30" s="223"/>
      <c r="T30" s="223"/>
      <c r="U30" s="223"/>
      <c r="V30" s="94"/>
      <c r="W30" s="94"/>
      <c r="X30" s="223"/>
      <c r="Y30" s="94"/>
      <c r="Z30" s="223"/>
      <c r="AA30" s="223"/>
      <c r="AB30" s="223"/>
      <c r="AC30" s="460"/>
      <c r="AD30" s="335"/>
      <c r="AE30" s="246" t="s">
        <v>1833</v>
      </c>
      <c r="AF30" s="589">
        <v>1</v>
      </c>
      <c r="AG30" s="831">
        <f>IF('11'!M27=1,'11'!N9,IF('11'!M27=2,'11'!O9,'11'!P9))</f>
        <v>127.53072711420064</v>
      </c>
      <c r="AH30" s="99">
        <f>IF(AF30=1,AG30,(IF(AF30=2,(9*AH$7),(IF(AF30=3,(10*AH$7),(2.5*AH$7))))))</f>
        <v>127.53072711420064</v>
      </c>
      <c r="AI30" s="602">
        <v>0.25</v>
      </c>
      <c r="AJ30" s="602">
        <v>0.45</v>
      </c>
      <c r="AK30" s="515">
        <f t="shared" si="1"/>
        <v>0.35</v>
      </c>
      <c r="AL30" s="603">
        <f t="shared" si="2"/>
        <v>-269.40866102874895</v>
      </c>
      <c r="AM30" s="603">
        <f t="shared" si="3"/>
        <v>25.506145422840127</v>
      </c>
      <c r="AN30" s="231"/>
      <c r="AO30" s="231"/>
      <c r="AP30" s="231"/>
      <c r="AQ30" s="231"/>
      <c r="AR30" s="231"/>
      <c r="AS30" s="231"/>
      <c r="AT30" s="231"/>
      <c r="AU30" s="231"/>
      <c r="AV30" s="433"/>
      <c r="AW30" s="231"/>
      <c r="AX30" s="238"/>
      <c r="AY30" s="94" t="s">
        <v>1945</v>
      </c>
      <c r="AZ30" s="239" t="s">
        <v>93</v>
      </c>
      <c r="BA30" s="239" t="s">
        <v>188</v>
      </c>
      <c r="BB30" s="94">
        <f>BB13/2</f>
        <v>2.1929704288185157</v>
      </c>
      <c r="BC30" s="94">
        <f>BC8/2</f>
        <v>1.5</v>
      </c>
      <c r="BD30" s="652"/>
      <c r="BE30" s="239"/>
      <c r="BF30" s="239"/>
      <c r="BG30" s="239"/>
      <c r="BH30" s="239"/>
      <c r="BI30" s="231"/>
      <c r="BJ30" s="239"/>
      <c r="BK30" s="239"/>
      <c r="BL30" s="231"/>
      <c r="BM30" s="231"/>
      <c r="BN30" s="231"/>
      <c r="BO30" s="231"/>
      <c r="BP30" s="231"/>
      <c r="BQ30" s="239"/>
      <c r="BR30" s="239"/>
      <c r="BS30" s="239"/>
      <c r="BT30" s="239"/>
      <c r="BU30" s="239"/>
      <c r="BV30" s="239"/>
      <c r="BW30" s="239"/>
      <c r="BX30" s="239"/>
      <c r="BY30" s="239"/>
      <c r="BZ30" s="239"/>
      <c r="CA30" s="433"/>
      <c r="CB30" s="231"/>
      <c r="CC30" s="231"/>
      <c r="CD30" s="231"/>
      <c r="CE30" s="231"/>
      <c r="CF30" s="231"/>
      <c r="CG30" s="231"/>
      <c r="CH30" s="231"/>
      <c r="CI30" s="231"/>
      <c r="CJ30" s="231"/>
      <c r="CK30" s="231"/>
      <c r="CL30" s="231"/>
      <c r="CM30" s="231"/>
      <c r="CN30" s="231"/>
      <c r="CO30" s="231"/>
      <c r="CP30" s="231"/>
      <c r="CQ30" s="231"/>
      <c r="CR30" s="231"/>
      <c r="CS30" s="231"/>
      <c r="CT30" s="231"/>
      <c r="CU30" s="231"/>
      <c r="CV30" s="231"/>
      <c r="CW30" s="231"/>
      <c r="CX30" s="231"/>
      <c r="CY30" s="231"/>
      <c r="CZ30" s="231"/>
      <c r="DA30" s="231"/>
      <c r="DB30" s="231"/>
      <c r="DC30" s="231"/>
      <c r="DD30" s="231"/>
      <c r="DE30" s="231"/>
      <c r="DF30" s="231"/>
    </row>
    <row r="31" spans="2:110">
      <c r="B31" s="1063" t="s">
        <v>1666</v>
      </c>
      <c r="C31" s="1064" t="s">
        <v>643</v>
      </c>
      <c r="D31" s="1065" t="s">
        <v>188</v>
      </c>
      <c r="E31" s="1078">
        <f>'2'!D51</f>
        <v>3500</v>
      </c>
      <c r="F31" s="1067" t="s">
        <v>1673</v>
      </c>
      <c r="G31" s="231"/>
      <c r="H31" s="231"/>
      <c r="I31" s="617"/>
      <c r="J31" s="617"/>
      <c r="K31" s="231"/>
      <c r="L31" s="433"/>
      <c r="N31" s="129" t="s">
        <v>1755</v>
      </c>
      <c r="O31" s="122" t="s">
        <v>1756</v>
      </c>
      <c r="P31" s="122" t="s">
        <v>1467</v>
      </c>
      <c r="Q31" s="211">
        <f>MAX(AX149:AX169)</f>
        <v>971.84520140882501</v>
      </c>
      <c r="R31" s="223"/>
      <c r="S31" s="223"/>
      <c r="T31" s="223"/>
      <c r="U31" s="223"/>
      <c r="V31" s="223"/>
      <c r="W31" s="94"/>
      <c r="X31" s="223"/>
      <c r="Y31" s="94"/>
      <c r="Z31" s="223"/>
      <c r="AA31" s="223"/>
      <c r="AB31" s="223"/>
      <c r="AC31" s="460"/>
      <c r="AD31" s="335"/>
      <c r="AE31" s="249" t="s">
        <v>1834</v>
      </c>
      <c r="AF31" s="589">
        <v>1</v>
      </c>
      <c r="AG31" s="831">
        <f>IF('11'!M27=1,'11'!N10,IF('11'!M27=2,'11'!O10,'11'!P10))</f>
        <v>16.713960148368926</v>
      </c>
      <c r="AH31" s="99">
        <f>IF(AF31=1,AG31,(IF(AF31=2,(4*AH$7),(IF(AF31=3,(5.5*AH$7),(2*AH$7))))))</f>
        <v>16.713960148368926</v>
      </c>
      <c r="AI31" s="602">
        <v>0.85</v>
      </c>
      <c r="AJ31" s="602">
        <v>1</v>
      </c>
      <c r="AK31" s="515">
        <f t="shared" si="1"/>
        <v>0.92500000000000004</v>
      </c>
      <c r="AL31" s="603">
        <f t="shared" si="2"/>
        <v>167.71414386378945</v>
      </c>
      <c r="AM31" s="603">
        <f t="shared" si="3"/>
        <v>4.1784900370922315</v>
      </c>
      <c r="AN31" s="231"/>
      <c r="AO31" s="231"/>
      <c r="AP31" s="231"/>
      <c r="AQ31" s="231"/>
      <c r="AR31" s="231"/>
      <c r="AS31" s="231"/>
      <c r="AT31" s="231"/>
      <c r="AU31" s="231"/>
      <c r="AV31" s="433"/>
      <c r="AW31" s="231"/>
      <c r="AX31" s="238"/>
      <c r="AY31" s="94" t="s">
        <v>1947</v>
      </c>
      <c r="AZ31" s="239" t="s">
        <v>498</v>
      </c>
      <c r="BA31" s="239" t="s">
        <v>188</v>
      </c>
      <c r="BB31" s="94">
        <f>BB13*BB11/2</f>
        <v>0.46052379005188826</v>
      </c>
      <c r="BC31" s="94">
        <f>BC9/2</f>
        <v>1.75</v>
      </c>
      <c r="BD31" s="652"/>
      <c r="BE31" s="239"/>
      <c r="BF31" s="231"/>
      <c r="BG31" s="239"/>
      <c r="BH31" s="239"/>
      <c r="BI31" s="231"/>
      <c r="BJ31" s="231"/>
      <c r="BK31" s="231"/>
      <c r="BL31" s="231"/>
      <c r="BM31" s="231"/>
      <c r="BN31" s="231"/>
      <c r="BO31" s="231"/>
      <c r="BP31" s="231"/>
      <c r="BQ31" s="239"/>
      <c r="BR31" s="239"/>
      <c r="BS31" s="239"/>
      <c r="BT31" s="239"/>
      <c r="BU31" s="239"/>
      <c r="BV31" s="239"/>
      <c r="BW31" s="239"/>
      <c r="BX31" s="239"/>
      <c r="BY31" s="239"/>
      <c r="BZ31" s="239"/>
      <c r="CA31" s="433"/>
      <c r="CB31" s="231"/>
      <c r="CC31" s="231"/>
      <c r="CD31" s="231"/>
      <c r="CE31" s="231"/>
      <c r="CF31" s="231"/>
      <c r="CG31" s="231"/>
      <c r="CH31" s="231"/>
      <c r="CI31" s="231"/>
      <c r="CJ31" s="231"/>
      <c r="CK31" s="231"/>
      <c r="CL31" s="231"/>
      <c r="CM31" s="231"/>
      <c r="CN31" s="231"/>
      <c r="CO31" s="231"/>
      <c r="CP31" s="231"/>
      <c r="CQ31" s="231"/>
      <c r="CR31" s="231"/>
      <c r="CS31" s="231"/>
      <c r="CT31" s="231"/>
      <c r="CU31" s="231"/>
      <c r="CV31" s="231"/>
      <c r="CW31" s="231"/>
      <c r="CX31" s="231"/>
      <c r="CY31" s="231"/>
      <c r="CZ31" s="231"/>
      <c r="DA31" s="231"/>
      <c r="DB31" s="231"/>
      <c r="DC31" s="231"/>
      <c r="DD31" s="231"/>
      <c r="DE31" s="231"/>
      <c r="DF31" s="231"/>
    </row>
    <row r="32" spans="2:110">
      <c r="B32" s="1063" t="s">
        <v>644</v>
      </c>
      <c r="C32" s="1064" t="s">
        <v>51</v>
      </c>
      <c r="D32" s="1065" t="s">
        <v>87</v>
      </c>
      <c r="E32" s="1068">
        <f>('2'!E59+'2'!E65)/2</f>
        <v>0.15000000000000002</v>
      </c>
      <c r="F32" s="1067" t="s">
        <v>1674</v>
      </c>
      <c r="G32" s="231"/>
      <c r="H32" s="231"/>
      <c r="I32" s="617"/>
      <c r="J32" s="617"/>
      <c r="K32" s="231"/>
      <c r="L32" s="433"/>
      <c r="N32" s="129" t="s">
        <v>1757</v>
      </c>
      <c r="O32" s="122" t="s">
        <v>1758</v>
      </c>
      <c r="P32" s="122" t="s">
        <v>188</v>
      </c>
      <c r="Q32" s="596">
        <f>VLOOKUP(Q$31,AX$149:BD$169,7,FALSE)</f>
        <v>0</v>
      </c>
      <c r="R32" s="223"/>
      <c r="S32" s="223"/>
      <c r="T32" s="223"/>
      <c r="U32" s="223"/>
      <c r="V32" s="223"/>
      <c r="W32" s="94"/>
      <c r="X32" s="223"/>
      <c r="Y32" s="94"/>
      <c r="Z32" s="223"/>
      <c r="AA32" s="223"/>
      <c r="AB32" s="223"/>
      <c r="AC32" s="460"/>
      <c r="AD32" s="335"/>
      <c r="AE32" s="246" t="s">
        <v>1835</v>
      </c>
      <c r="AF32" s="589">
        <v>1</v>
      </c>
      <c r="AG32" s="831">
        <f>IF('11'!M27=1,'11'!N11,IF('11'!M27=2,'11'!O11,'11'!P11))</f>
        <v>10.456106648627296</v>
      </c>
      <c r="AH32" s="99">
        <f>IF(AF32=1,AG32,(IF(AF32=2,(5.3*AH$7),(IF(AF32=3,(5.5*AH$7),(2*AH$7))))))</f>
        <v>10.456106648627296</v>
      </c>
      <c r="AI32" s="602">
        <v>0.85</v>
      </c>
      <c r="AJ32" s="602">
        <v>1</v>
      </c>
      <c r="AK32" s="515">
        <f t="shared" si="1"/>
        <v>0.92500000000000004</v>
      </c>
      <c r="AL32" s="603">
        <f t="shared" si="2"/>
        <v>104.92049515231953</v>
      </c>
      <c r="AM32" s="603">
        <f t="shared" si="3"/>
        <v>2.614026662156824</v>
      </c>
      <c r="AN32" s="231"/>
      <c r="AO32" s="231"/>
      <c r="AP32" s="231"/>
      <c r="AQ32" s="231"/>
      <c r="AR32" s="231"/>
      <c r="AS32" s="231"/>
      <c r="AT32" s="231"/>
      <c r="AU32" s="231"/>
      <c r="AV32" s="433"/>
      <c r="AW32" s="231"/>
      <c r="AX32" s="238"/>
      <c r="AY32" s="94" t="s">
        <v>1949</v>
      </c>
      <c r="AZ32" s="94" t="s">
        <v>1950</v>
      </c>
      <c r="BA32" s="94" t="s">
        <v>1951</v>
      </c>
      <c r="BB32" s="195">
        <f>(PI()/4)*(((BB30^3)*BB31)-(((BB30-BB27)^3)*(BB31-BB27)))</f>
        <v>2.4706346756540095E-2</v>
      </c>
      <c r="BC32" s="195">
        <f>(PI()/4)*(((BC30^3)*BC31)-(((BC30-BC27)^3)*(BC31-BC27)))</f>
        <v>1.9848506930191547E-2</v>
      </c>
      <c r="BD32" s="648"/>
      <c r="BE32" s="239"/>
      <c r="BF32" s="231"/>
      <c r="BG32" s="231"/>
      <c r="BH32" s="231"/>
      <c r="BI32" s="231"/>
      <c r="BJ32" s="231"/>
      <c r="BK32" s="231"/>
      <c r="BL32" s="231"/>
      <c r="BM32" s="231"/>
      <c r="BN32" s="231"/>
      <c r="BO32" s="231"/>
      <c r="BP32" s="231"/>
      <c r="BQ32" s="239"/>
      <c r="BR32" s="239"/>
      <c r="BS32" s="239"/>
      <c r="BT32" s="239"/>
      <c r="BU32" s="239"/>
      <c r="BV32" s="239"/>
      <c r="BW32" s="239"/>
      <c r="BX32" s="239"/>
      <c r="BY32" s="239"/>
      <c r="BZ32" s="239"/>
      <c r="CA32" s="433"/>
      <c r="CB32" s="231"/>
      <c r="CC32" s="231"/>
      <c r="CD32" s="231"/>
      <c r="CE32" s="231"/>
      <c r="CF32" s="231"/>
      <c r="CG32" s="231"/>
      <c r="CH32" s="231"/>
      <c r="CI32" s="231"/>
      <c r="CJ32" s="231"/>
      <c r="CK32" s="231"/>
      <c r="CL32" s="231"/>
      <c r="CM32" s="231"/>
      <c r="CN32" s="231"/>
      <c r="CO32" s="231"/>
      <c r="CP32" s="231"/>
      <c r="CQ32" s="231"/>
      <c r="CR32" s="231"/>
      <c r="CS32" s="231"/>
      <c r="CT32" s="231"/>
      <c r="CU32" s="231"/>
      <c r="CV32" s="231"/>
      <c r="CW32" s="231"/>
      <c r="CX32" s="231"/>
      <c r="CY32" s="231"/>
      <c r="CZ32" s="231"/>
      <c r="DA32" s="231"/>
      <c r="DB32" s="231"/>
      <c r="DC32" s="231"/>
      <c r="DD32" s="231"/>
      <c r="DE32" s="231"/>
      <c r="DF32" s="231"/>
    </row>
    <row r="33" spans="2:110">
      <c r="B33" s="1063" t="s">
        <v>1027</v>
      </c>
      <c r="C33" s="1064" t="s">
        <v>58</v>
      </c>
      <c r="D33" s="1065" t="s">
        <v>619</v>
      </c>
      <c r="E33" s="1079">
        <f>'3'!AT35</f>
        <v>9.6234872384738068</v>
      </c>
      <c r="F33" s="1067" t="s">
        <v>1675</v>
      </c>
      <c r="G33" s="231"/>
      <c r="H33" s="231"/>
      <c r="I33" s="617"/>
      <c r="J33" s="617"/>
      <c r="K33" s="231"/>
      <c r="L33" s="433"/>
      <c r="N33" s="129" t="s">
        <v>1759</v>
      </c>
      <c r="O33" s="122" t="s">
        <v>1760</v>
      </c>
      <c r="P33" s="122" t="s">
        <v>1761</v>
      </c>
      <c r="Q33" s="598">
        <f>MAX(AZ149:AZ169)</f>
        <v>5387.1201106265526</v>
      </c>
      <c r="R33" s="223"/>
      <c r="S33" s="223"/>
      <c r="T33" s="223"/>
      <c r="U33" s="223"/>
      <c r="V33" s="223"/>
      <c r="W33" s="94"/>
      <c r="X33" s="223"/>
      <c r="Y33" s="94"/>
      <c r="Z33" s="223"/>
      <c r="AA33" s="223"/>
      <c r="AB33" s="223"/>
      <c r="AC33" s="460"/>
      <c r="AD33" s="335"/>
      <c r="AE33" s="249" t="s">
        <v>1836</v>
      </c>
      <c r="AF33" s="589">
        <v>1</v>
      </c>
      <c r="AG33" s="590">
        <v>0</v>
      </c>
      <c r="AH33" s="99">
        <f>IF(AF33=1,AG33,AG33)</f>
        <v>0</v>
      </c>
      <c r="AI33" s="602">
        <v>0</v>
      </c>
      <c r="AJ33" s="602">
        <v>1</v>
      </c>
      <c r="AK33" s="101">
        <f t="shared" si="1"/>
        <v>0.5</v>
      </c>
      <c r="AL33" s="603">
        <f t="shared" si="2"/>
        <v>0</v>
      </c>
      <c r="AM33" s="603">
        <f t="shared" si="3"/>
        <v>0</v>
      </c>
      <c r="AN33" s="231"/>
      <c r="AO33" s="231"/>
      <c r="AP33" s="231"/>
      <c r="AQ33" s="231"/>
      <c r="AR33" s="231"/>
      <c r="AS33" s="231"/>
      <c r="AT33" s="231"/>
      <c r="AU33" s="231"/>
      <c r="AV33" s="433"/>
      <c r="AW33" s="231"/>
      <c r="AX33" s="238"/>
      <c r="AY33" s="94" t="s">
        <v>84</v>
      </c>
      <c r="AZ33" s="94" t="s">
        <v>1952</v>
      </c>
      <c r="BA33" s="94" t="s">
        <v>436</v>
      </c>
      <c r="BB33" s="1178">
        <f>BB14*BB15*BB27*BB24*(12^3)</f>
        <v>23.01138193700362</v>
      </c>
      <c r="BC33" s="501">
        <f>0.75*BC7*PI()*((BC30*BC31)-((BC30-BC27)*(BC31-BC27)))*BC24*(12^3)</f>
        <v>29.801690779164215</v>
      </c>
      <c r="BD33" s="643"/>
      <c r="BE33" s="239"/>
      <c r="BF33" s="231"/>
      <c r="BG33" s="231"/>
      <c r="BH33" s="231"/>
      <c r="BI33" s="231"/>
      <c r="BJ33" s="231"/>
      <c r="BK33" s="231"/>
      <c r="BL33" s="231"/>
      <c r="BM33" s="231"/>
      <c r="BN33" s="231"/>
      <c r="BO33" s="231"/>
      <c r="BP33" s="231"/>
      <c r="BQ33" s="239"/>
      <c r="BR33" s="239"/>
      <c r="BS33" s="239"/>
      <c r="BT33" s="239"/>
      <c r="BU33" s="239"/>
      <c r="BV33" s="239"/>
      <c r="BW33" s="239"/>
      <c r="BX33" s="239"/>
      <c r="BY33" s="239"/>
      <c r="BZ33" s="239"/>
      <c r="CA33" s="433"/>
      <c r="CB33" s="231"/>
      <c r="CC33" s="231"/>
      <c r="CD33" s="231"/>
      <c r="CE33" s="231"/>
      <c r="CF33" s="231"/>
      <c r="CG33" s="231"/>
      <c r="CH33" s="231"/>
      <c r="CI33" s="231"/>
      <c r="CJ33" s="231"/>
      <c r="CK33" s="231"/>
      <c r="CL33" s="231"/>
      <c r="CM33" s="231"/>
      <c r="CN33" s="231"/>
      <c r="CO33" s="231"/>
      <c r="CP33" s="231"/>
      <c r="CQ33" s="231"/>
      <c r="CR33" s="231"/>
      <c r="CS33" s="231"/>
      <c r="CT33" s="231"/>
      <c r="CU33" s="231"/>
      <c r="CV33" s="231"/>
      <c r="CW33" s="231"/>
      <c r="CX33" s="231"/>
      <c r="CY33" s="231"/>
      <c r="CZ33" s="231"/>
      <c r="DA33" s="231"/>
      <c r="DB33" s="231"/>
      <c r="DC33" s="231"/>
      <c r="DD33" s="231"/>
      <c r="DE33" s="231"/>
      <c r="DF33" s="231"/>
    </row>
    <row r="34" spans="2:110" ht="13.8" thickBot="1">
      <c r="B34" s="1063" t="s">
        <v>680</v>
      </c>
      <c r="C34" s="1064" t="s">
        <v>49</v>
      </c>
      <c r="D34" s="1065" t="s">
        <v>658</v>
      </c>
      <c r="E34" s="228">
        <f>IF($E$7=1,(E32*(1036-0.0034*(E31-20000))),(E32*((-1.674918E-27*(E31^6)) + (7.808861E-22*(E31^5)) - (1.333876E-16*(E31^4)) + (0.00000000001022912*(E31^3)) - (0.0000003047813*(E31^2)) - (0.0009459332*E31) + 1111.001)))</f>
        <v>165.65634404630285</v>
      </c>
      <c r="F34" s="1070"/>
      <c r="G34" s="231"/>
      <c r="H34" s="231"/>
      <c r="I34" s="617"/>
      <c r="J34" s="617"/>
      <c r="K34" s="231"/>
      <c r="L34" s="433"/>
      <c r="N34" s="416" t="s">
        <v>1762</v>
      </c>
      <c r="O34" s="137" t="s">
        <v>1763</v>
      </c>
      <c r="P34" s="137" t="s">
        <v>188</v>
      </c>
      <c r="Q34" s="599">
        <f>VLOOKUP(Q$33,AZ$149:BD$169,5,FALSE)</f>
        <v>0</v>
      </c>
      <c r="R34" s="223"/>
      <c r="S34" s="223"/>
      <c r="T34" s="223"/>
      <c r="U34" s="223"/>
      <c r="V34" s="223"/>
      <c r="W34" s="94"/>
      <c r="X34" s="223"/>
      <c r="Y34" s="94"/>
      <c r="Z34" s="223"/>
      <c r="AA34" s="223"/>
      <c r="AB34" s="223"/>
      <c r="AC34" s="460"/>
      <c r="AD34" s="335"/>
      <c r="AE34" s="246"/>
      <c r="AF34" s="604" t="s">
        <v>1837</v>
      </c>
      <c r="AG34" s="99">
        <f>SUM(AG25:AG33)</f>
        <v>1091.8744299494379</v>
      </c>
      <c r="AH34" s="99"/>
      <c r="AI34" s="605"/>
      <c r="AJ34" s="94"/>
      <c r="AK34" s="606" t="s">
        <v>1838</v>
      </c>
      <c r="AL34" s="100">
        <f>SUM(AL25:AL33)</f>
        <v>-2887.5174843796585</v>
      </c>
      <c r="AM34" s="603"/>
      <c r="AN34" s="231"/>
      <c r="AO34" s="231"/>
      <c r="AP34" s="231"/>
      <c r="AQ34" s="231"/>
      <c r="AR34" s="231"/>
      <c r="AS34" s="231"/>
      <c r="AT34" s="231"/>
      <c r="AU34" s="231"/>
      <c r="AV34" s="433"/>
      <c r="AW34" s="231"/>
      <c r="AX34" s="238"/>
      <c r="AY34" s="94"/>
      <c r="AZ34" s="94"/>
      <c r="BA34" s="94"/>
      <c r="BB34" s="321"/>
      <c r="BC34" s="321"/>
      <c r="BD34" s="652"/>
      <c r="BE34" s="239"/>
      <c r="BF34" s="239" t="s">
        <v>1948</v>
      </c>
      <c r="BG34" s="231"/>
      <c r="BH34" s="231"/>
      <c r="BI34" s="231"/>
      <c r="BJ34" s="231"/>
      <c r="BK34" s="231"/>
      <c r="BL34" s="231"/>
      <c r="BM34" s="231"/>
      <c r="BN34" s="231"/>
      <c r="BO34" s="231"/>
      <c r="BP34" s="231"/>
      <c r="BQ34" s="239"/>
      <c r="BR34" s="239"/>
      <c r="BS34" s="239"/>
      <c r="BT34" s="239"/>
      <c r="BU34" s="239"/>
      <c r="BV34" s="239"/>
      <c r="BW34" s="239"/>
      <c r="BX34" s="239"/>
      <c r="BY34" s="239"/>
      <c r="BZ34" s="239"/>
      <c r="CA34" s="433"/>
      <c r="CB34" s="231"/>
      <c r="CC34" s="231"/>
      <c r="CD34" s="231"/>
      <c r="CE34" s="231"/>
      <c r="CF34" s="231"/>
      <c r="CG34" s="231"/>
      <c r="CH34" s="231"/>
      <c r="CI34" s="231"/>
      <c r="CJ34" s="231"/>
      <c r="CK34" s="231"/>
      <c r="CL34" s="231"/>
      <c r="CM34" s="231"/>
      <c r="CN34" s="231"/>
      <c r="CO34" s="231"/>
      <c r="CP34" s="231"/>
      <c r="CQ34" s="231"/>
      <c r="CR34" s="231"/>
      <c r="CS34" s="231"/>
      <c r="CT34" s="231"/>
      <c r="CU34" s="231"/>
      <c r="CV34" s="231"/>
      <c r="CW34" s="231"/>
      <c r="CX34" s="231"/>
      <c r="CY34" s="231"/>
      <c r="CZ34" s="231"/>
      <c r="DA34" s="231"/>
      <c r="DB34" s="231"/>
      <c r="DC34" s="231"/>
      <c r="DD34" s="231"/>
      <c r="DE34" s="231"/>
      <c r="DF34" s="231"/>
    </row>
    <row r="35" spans="2:110" ht="15.6">
      <c r="B35" s="1063" t="s">
        <v>41</v>
      </c>
      <c r="C35" s="1071" t="s">
        <v>50</v>
      </c>
      <c r="D35" s="1065" t="s">
        <v>673</v>
      </c>
      <c r="E35" s="1072">
        <f>IF($E$7=1,(IF($E31&lt;10000,((1-0.00002615*$E31)*0.076474/32.174),IF($E31&gt;40000,(((-0.0000091*$E31+0.6211)*0.076474)/32.174),(((-0.00001681*$E31+0.9066)*0.076474)/32.174)))),((1.188467E-32*($E31^6)) - (3.738363E-27*($E31^5)) + (4.423426E-22*($E31^4)) - (2.646824E-17*($E31^3)) + (0.000000000001273176*($E31^2)) - (0.00000007347109*$E31) + 0.002383333))</f>
        <v>2.1407102026352511E-3</v>
      </c>
      <c r="F35" s="1070"/>
      <c r="G35" s="231"/>
      <c r="H35" s="231"/>
      <c r="I35" s="617"/>
      <c r="J35" s="617"/>
      <c r="K35" s="231"/>
      <c r="L35" s="433"/>
      <c r="N35" s="246"/>
      <c r="O35" s="223"/>
      <c r="P35" s="223"/>
      <c r="Q35" s="223"/>
      <c r="R35" s="223"/>
      <c r="S35" s="223"/>
      <c r="T35" s="223"/>
      <c r="U35" s="223"/>
      <c r="V35" s="223"/>
      <c r="W35" s="94"/>
      <c r="X35" s="223"/>
      <c r="Y35" s="94"/>
      <c r="Z35" s="223"/>
      <c r="AA35" s="223"/>
      <c r="AB35" s="223"/>
      <c r="AC35" s="460"/>
      <c r="AD35" s="335"/>
      <c r="AE35" s="246"/>
      <c r="AF35" s="94"/>
      <c r="AG35" s="501"/>
      <c r="AH35" s="94"/>
      <c r="AI35" s="94"/>
      <c r="AJ35" s="94"/>
      <c r="AK35" s="515"/>
      <c r="AL35" s="603"/>
      <c r="AM35" s="603"/>
      <c r="AN35" s="231"/>
      <c r="AO35" s="231"/>
      <c r="AP35" s="231"/>
      <c r="AQ35" s="231"/>
      <c r="AR35" s="231"/>
      <c r="AS35" s="231"/>
      <c r="AT35" s="231"/>
      <c r="AU35" s="231"/>
      <c r="AV35" s="433"/>
      <c r="AW35" s="231"/>
      <c r="AX35" s="238"/>
      <c r="AY35" s="1135" t="s">
        <v>1953</v>
      </c>
      <c r="AZ35" s="239"/>
      <c r="BA35" s="239"/>
      <c r="BB35" s="98" t="s">
        <v>1944</v>
      </c>
      <c r="BC35" s="98" t="s">
        <v>1898</v>
      </c>
      <c r="BD35" s="627"/>
      <c r="BE35" s="239"/>
      <c r="BF35" s="231"/>
      <c r="BG35" s="231"/>
      <c r="BH35" s="231"/>
      <c r="BI35" s="231"/>
      <c r="BJ35" s="231"/>
      <c r="BK35" s="231"/>
      <c r="BL35" s="231"/>
      <c r="BM35" s="231"/>
      <c r="BN35" s="231"/>
      <c r="BO35" s="231"/>
      <c r="BP35" s="231"/>
      <c r="BQ35" s="239"/>
      <c r="BR35" s="239"/>
      <c r="BS35" s="239"/>
      <c r="BT35" s="239"/>
      <c r="BU35" s="239"/>
      <c r="BV35" s="239"/>
      <c r="BW35" s="239"/>
      <c r="BX35" s="239"/>
      <c r="BY35" s="239"/>
      <c r="BZ35" s="239"/>
      <c r="CA35" s="433"/>
      <c r="CB35" s="231"/>
      <c r="CC35" s="231"/>
      <c r="CD35" s="231"/>
      <c r="CE35" s="231"/>
      <c r="CF35" s="231"/>
      <c r="CG35" s="231"/>
      <c r="CH35" s="231"/>
      <c r="CI35" s="231"/>
      <c r="CJ35" s="231"/>
      <c r="CK35" s="231"/>
      <c r="CL35" s="231"/>
      <c r="CM35" s="231"/>
      <c r="CN35" s="231"/>
      <c r="CO35" s="231"/>
      <c r="CP35" s="231"/>
      <c r="CQ35" s="231"/>
      <c r="CR35" s="231"/>
      <c r="CS35" s="231"/>
      <c r="CT35" s="231"/>
      <c r="CU35" s="231"/>
      <c r="CV35" s="231"/>
      <c r="CW35" s="231"/>
      <c r="CX35" s="231"/>
      <c r="CY35" s="231"/>
      <c r="CZ35" s="231"/>
      <c r="DA35" s="231"/>
      <c r="DB35" s="231"/>
      <c r="DC35" s="231"/>
      <c r="DD35" s="231"/>
      <c r="DE35" s="231"/>
      <c r="DF35" s="231"/>
    </row>
    <row r="36" spans="2:110">
      <c r="B36" s="1063" t="s">
        <v>1670</v>
      </c>
      <c r="C36" s="1064" t="s">
        <v>47</v>
      </c>
      <c r="D36" s="1065" t="s">
        <v>619</v>
      </c>
      <c r="E36" s="1073">
        <f>0.5*E35*(E34^2)</f>
        <v>29.372710724377484</v>
      </c>
      <c r="F36" s="1070"/>
      <c r="G36" s="231"/>
      <c r="H36" s="231"/>
      <c r="I36" s="617"/>
      <c r="J36" s="617"/>
      <c r="K36" s="231"/>
      <c r="L36" s="433"/>
      <c r="N36" s="246"/>
      <c r="O36" s="223"/>
      <c r="P36" s="223"/>
      <c r="Q36" s="223"/>
      <c r="R36" s="223"/>
      <c r="S36" s="223"/>
      <c r="T36" s="223"/>
      <c r="U36" s="223"/>
      <c r="V36" s="223"/>
      <c r="W36" s="94"/>
      <c r="X36" s="223"/>
      <c r="Y36" s="94"/>
      <c r="Z36" s="223"/>
      <c r="AA36" s="223"/>
      <c r="AB36" s="223"/>
      <c r="AC36" s="460"/>
      <c r="AD36" s="335"/>
      <c r="AE36" s="246" t="s">
        <v>1839</v>
      </c>
      <c r="AF36" s="94"/>
      <c r="AG36" s="501">
        <f>AL36/(AH$17*(AK36-AH18))</f>
        <v>-273.37443639097364</v>
      </c>
      <c r="AH36" s="94"/>
      <c r="AI36" s="591">
        <v>0.95</v>
      </c>
      <c r="AJ36" s="591">
        <v>0.95</v>
      </c>
      <c r="AK36" s="515">
        <f>0.5*(AJ36-AI36) + AI36</f>
        <v>0.95</v>
      </c>
      <c r="AL36" s="603">
        <f>SUM(AL25:AL33)</f>
        <v>-2887.5174843796585</v>
      </c>
      <c r="AM36" s="603">
        <f>AG36/(1+(AJ36-AI36)/0.05)</f>
        <v>-273.37443639097364</v>
      </c>
      <c r="AN36" s="231"/>
      <c r="AO36" s="231"/>
      <c r="AP36" s="231"/>
      <c r="AQ36" s="231"/>
      <c r="AR36" s="231"/>
      <c r="AS36" s="231"/>
      <c r="AT36" s="231"/>
      <c r="AU36" s="231"/>
      <c r="AV36" s="433"/>
      <c r="AW36" s="231"/>
      <c r="AX36" s="238"/>
      <c r="AY36" s="94" t="s">
        <v>1954</v>
      </c>
      <c r="AZ36" s="94" t="s">
        <v>87</v>
      </c>
      <c r="BA36" s="94" t="s">
        <v>87</v>
      </c>
      <c r="BB36" s="641">
        <v>15</v>
      </c>
      <c r="BC36" s="641">
        <v>23</v>
      </c>
      <c r="BD36" s="642" t="s">
        <v>1927</v>
      </c>
      <c r="BE36" s="239"/>
      <c r="BF36" s="231"/>
      <c r="BG36" s="231"/>
      <c r="BH36" s="231"/>
      <c r="BI36" s="231"/>
      <c r="BJ36" s="231"/>
      <c r="BK36" s="231"/>
      <c r="BL36" s="231"/>
      <c r="BM36" s="231"/>
      <c r="BN36" s="231"/>
      <c r="BO36" s="231"/>
      <c r="BP36" s="231"/>
      <c r="BQ36" s="239"/>
      <c r="BR36" s="239"/>
      <c r="BS36" s="239"/>
      <c r="BT36" s="239"/>
      <c r="BU36" s="239"/>
      <c r="BV36" s="239"/>
      <c r="BW36" s="239"/>
      <c r="BX36" s="239"/>
      <c r="BY36" s="239"/>
      <c r="BZ36" s="239"/>
      <c r="CA36" s="433"/>
      <c r="CB36" s="231"/>
      <c r="CC36" s="231"/>
      <c r="CD36" s="231"/>
      <c r="CE36" s="231"/>
      <c r="CF36" s="231"/>
      <c r="CG36" s="231"/>
      <c r="CH36" s="231"/>
      <c r="CI36" s="231"/>
      <c r="CJ36" s="231"/>
      <c r="CK36" s="231"/>
      <c r="CL36" s="231"/>
      <c r="CM36" s="231"/>
      <c r="CN36" s="231"/>
      <c r="CO36" s="231"/>
      <c r="CP36" s="231"/>
      <c r="CQ36" s="231"/>
      <c r="CR36" s="231"/>
      <c r="CS36" s="231"/>
      <c r="CT36" s="231"/>
      <c r="CU36" s="231"/>
      <c r="CV36" s="231"/>
      <c r="CW36" s="231"/>
      <c r="CX36" s="231"/>
      <c r="CY36" s="231"/>
      <c r="CZ36" s="231"/>
      <c r="DA36" s="231"/>
      <c r="DB36" s="231"/>
      <c r="DC36" s="231"/>
      <c r="DD36" s="231"/>
      <c r="DE36" s="231"/>
      <c r="DF36" s="231"/>
    </row>
    <row r="37" spans="2:110" ht="13.8" thickBot="1">
      <c r="B37" s="1063" t="s">
        <v>1671</v>
      </c>
      <c r="C37" s="1074" t="s">
        <v>214</v>
      </c>
      <c r="D37" s="1065" t="s">
        <v>87</v>
      </c>
      <c r="E37" s="1075">
        <f>(E36/E33)*SQRT(E$11*(PI()*E$12*E$13))</f>
        <v>2.8381205568400238</v>
      </c>
      <c r="F37" s="1070"/>
      <c r="G37" s="231"/>
      <c r="H37" s="231"/>
      <c r="I37" s="617"/>
      <c r="J37" s="617"/>
      <c r="K37" s="231"/>
      <c r="L37" s="433"/>
      <c r="N37" s="463"/>
      <c r="O37" s="579"/>
      <c r="P37" s="579"/>
      <c r="Q37" s="579"/>
      <c r="R37" s="579"/>
      <c r="S37" s="579"/>
      <c r="T37" s="579"/>
      <c r="U37" s="579"/>
      <c r="V37" s="579"/>
      <c r="W37" s="654"/>
      <c r="X37" s="579"/>
      <c r="Y37" s="654"/>
      <c r="Z37" s="579"/>
      <c r="AA37" s="579"/>
      <c r="AB37" s="579"/>
      <c r="AC37" s="464"/>
      <c r="AD37" s="335"/>
      <c r="AE37" s="246"/>
      <c r="AF37" s="231"/>
      <c r="AG37" s="587"/>
      <c r="AH37" s="231"/>
      <c r="AI37" s="94"/>
      <c r="AJ37" s="94"/>
      <c r="AK37" s="515"/>
      <c r="AL37" s="587"/>
      <c r="AM37" s="223"/>
      <c r="AN37" s="231"/>
      <c r="AO37" s="231"/>
      <c r="AP37" s="231"/>
      <c r="AQ37" s="231"/>
      <c r="AR37" s="231"/>
      <c r="AS37" s="231"/>
      <c r="AT37" s="231"/>
      <c r="AU37" s="231"/>
      <c r="AV37" s="433"/>
      <c r="AW37" s="231"/>
      <c r="AX37" s="238"/>
      <c r="AY37" s="94" t="s">
        <v>1928</v>
      </c>
      <c r="AZ37" s="94" t="s">
        <v>1929</v>
      </c>
      <c r="BA37" s="94" t="s">
        <v>619</v>
      </c>
      <c r="BB37" s="501">
        <f>(VLOOKUP(BB36,$AX$81:$BD$114,7))*1000000*144</f>
        <v>1512000000</v>
      </c>
      <c r="BC37" s="501">
        <f>(VLOOKUP(BC36,$AX$81:$BD$114,7))*1000000*144</f>
        <v>936000000</v>
      </c>
      <c r="BD37" s="643"/>
      <c r="BE37" s="239"/>
      <c r="BF37" s="231"/>
      <c r="BG37" s="231"/>
      <c r="BH37" s="231"/>
      <c r="BI37" s="231"/>
      <c r="BJ37" s="231"/>
      <c r="BK37" s="231"/>
      <c r="BL37" s="231"/>
      <c r="BM37" s="231"/>
      <c r="BN37" s="231"/>
      <c r="BO37" s="231"/>
      <c r="BP37" s="231"/>
      <c r="BQ37" s="239"/>
      <c r="BR37" s="239"/>
      <c r="BS37" s="239"/>
      <c r="BT37" s="239"/>
      <c r="BU37" s="239"/>
      <c r="BV37" s="239"/>
      <c r="BW37" s="239"/>
      <c r="BX37" s="239"/>
      <c r="BY37" s="239"/>
      <c r="BZ37" s="239"/>
      <c r="CA37" s="433"/>
      <c r="CB37" s="231"/>
      <c r="CC37" s="231"/>
      <c r="CD37" s="231"/>
      <c r="CE37" s="231"/>
      <c r="CF37" s="231"/>
      <c r="CG37" s="231"/>
      <c r="CH37" s="231"/>
      <c r="CI37" s="231"/>
      <c r="CJ37" s="231"/>
      <c r="CK37" s="231"/>
      <c r="CL37" s="231"/>
      <c r="CM37" s="231"/>
      <c r="CN37" s="231"/>
      <c r="CO37" s="231"/>
      <c r="CP37" s="231"/>
      <c r="CQ37" s="231"/>
      <c r="CR37" s="231"/>
      <c r="CS37" s="231"/>
      <c r="CT37" s="231"/>
      <c r="CU37" s="231"/>
      <c r="CV37" s="231"/>
      <c r="CW37" s="231"/>
      <c r="CX37" s="231"/>
      <c r="CY37" s="231"/>
      <c r="CZ37" s="231"/>
      <c r="DA37" s="231"/>
      <c r="DB37" s="231"/>
      <c r="DC37" s="231"/>
      <c r="DD37" s="231"/>
      <c r="DE37" s="231"/>
      <c r="DF37" s="231"/>
    </row>
    <row r="38" spans="2:110" ht="16.2">
      <c r="B38" s="1063"/>
      <c r="C38" s="1074"/>
      <c r="D38" s="1065"/>
      <c r="E38" s="1075"/>
      <c r="F38" s="1070"/>
      <c r="G38" s="231"/>
      <c r="H38" s="231"/>
      <c r="I38" s="617"/>
      <c r="J38" s="617"/>
      <c r="K38" s="231"/>
      <c r="L38" s="433"/>
      <c r="N38" s="335"/>
      <c r="O38" s="335"/>
      <c r="P38" s="335"/>
      <c r="Q38" s="335"/>
      <c r="R38" s="335"/>
      <c r="S38" s="335"/>
      <c r="T38" s="335"/>
      <c r="U38" s="335"/>
      <c r="V38" s="335"/>
      <c r="W38" s="423"/>
      <c r="X38" s="335"/>
      <c r="Y38" s="423"/>
      <c r="Z38" s="335"/>
      <c r="AA38" s="335"/>
      <c r="AB38" s="335"/>
      <c r="AC38" s="335"/>
      <c r="AD38" s="335"/>
      <c r="AE38" s="438" t="s">
        <v>2491</v>
      </c>
      <c r="AF38" s="469"/>
      <c r="AG38" s="469"/>
      <c r="AH38" s="469"/>
      <c r="AI38" s="592"/>
      <c r="AJ38" s="231"/>
      <c r="AK38" s="231"/>
      <c r="AL38" s="231"/>
      <c r="AM38" s="231"/>
      <c r="AN38" s="231"/>
      <c r="AO38" s="231"/>
      <c r="AP38" s="231"/>
      <c r="AQ38" s="231"/>
      <c r="AR38" s="231"/>
      <c r="AS38" s="231"/>
      <c r="AT38" s="231"/>
      <c r="AU38" s="231"/>
      <c r="AV38" s="433"/>
      <c r="AW38" s="231"/>
      <c r="AX38" s="238"/>
      <c r="AY38" s="223" t="s">
        <v>1930</v>
      </c>
      <c r="AZ38" s="223" t="s">
        <v>1931</v>
      </c>
      <c r="BA38" s="223" t="s">
        <v>619</v>
      </c>
      <c r="BB38" s="501">
        <f>(VLOOKUP(BB36,$AX$81:$BA$114,4))*1000*144</f>
        <v>8352000</v>
      </c>
      <c r="BC38" s="501">
        <f>(VLOOKUP(BC36,$AX$81:$BA$114,4))*1000*144</f>
        <v>4320000</v>
      </c>
      <c r="BD38" s="643"/>
      <c r="BE38" s="239"/>
      <c r="BF38" s="231"/>
      <c r="BG38" s="231"/>
      <c r="BH38" s="231"/>
      <c r="BI38" s="231"/>
      <c r="BJ38" s="231"/>
      <c r="BK38" s="231"/>
      <c r="BL38" s="231"/>
      <c r="BM38" s="231"/>
      <c r="BN38" s="231"/>
      <c r="BO38" s="231"/>
      <c r="BP38" s="231"/>
      <c r="BQ38" s="239"/>
      <c r="BR38" s="239"/>
      <c r="BS38" s="239"/>
      <c r="BT38" s="239"/>
      <c r="BU38" s="239"/>
      <c r="BV38" s="239"/>
      <c r="BW38" s="239"/>
      <c r="BX38" s="239"/>
      <c r="BY38" s="239"/>
      <c r="BZ38" s="239"/>
      <c r="CA38" s="433"/>
      <c r="CB38" s="231"/>
      <c r="CC38" s="231"/>
      <c r="CD38" s="231"/>
      <c r="CE38" s="231"/>
      <c r="CF38" s="231"/>
      <c r="CG38" s="231"/>
      <c r="CH38" s="231"/>
      <c r="CI38" s="231"/>
      <c r="CJ38" s="231"/>
      <c r="CK38" s="231"/>
      <c r="CL38" s="231"/>
      <c r="CM38" s="231"/>
      <c r="CN38" s="231"/>
      <c r="CO38" s="231"/>
      <c r="CP38" s="231"/>
      <c r="CQ38" s="231"/>
      <c r="CR38" s="231"/>
      <c r="CS38" s="231"/>
      <c r="CT38" s="231"/>
      <c r="CU38" s="231"/>
      <c r="CV38" s="231"/>
      <c r="CW38" s="231"/>
      <c r="CX38" s="231"/>
      <c r="CY38" s="231"/>
      <c r="CZ38" s="231"/>
      <c r="DA38" s="231"/>
      <c r="DB38" s="231"/>
      <c r="DC38" s="231"/>
      <c r="DD38" s="231"/>
      <c r="DE38" s="231"/>
      <c r="DF38" s="231"/>
    </row>
    <row r="39" spans="2:110" ht="15.6">
      <c r="B39" s="1076" t="s">
        <v>1676</v>
      </c>
      <c r="C39" s="563" t="s">
        <v>89</v>
      </c>
      <c r="D39" s="563" t="s">
        <v>90</v>
      </c>
      <c r="E39" s="563" t="s">
        <v>91</v>
      </c>
      <c r="F39" s="1077" t="s">
        <v>352</v>
      </c>
      <c r="G39" s="231"/>
      <c r="H39" s="231"/>
      <c r="I39" s="617"/>
      <c r="J39" s="617"/>
      <c r="K39" s="231"/>
      <c r="L39" s="433"/>
      <c r="N39" s="335"/>
      <c r="O39" s="335"/>
      <c r="P39" s="335"/>
      <c r="Q39" s="335"/>
      <c r="R39" s="335"/>
      <c r="S39" s="335"/>
      <c r="T39" s="335"/>
      <c r="U39" s="335"/>
      <c r="V39" s="335"/>
      <c r="W39" s="423"/>
      <c r="X39" s="335"/>
      <c r="Y39" s="423"/>
      <c r="Z39" s="335"/>
      <c r="AA39" s="335"/>
      <c r="AB39" s="335"/>
      <c r="AC39" s="335"/>
      <c r="AD39" s="335"/>
      <c r="AE39" s="593" t="s">
        <v>641</v>
      </c>
      <c r="AF39" s="594" t="s">
        <v>89</v>
      </c>
      <c r="AG39" s="594" t="s">
        <v>90</v>
      </c>
      <c r="AH39" s="1018" t="s">
        <v>91</v>
      </c>
      <c r="AI39" s="215"/>
      <c r="AJ39" s="223"/>
      <c r="AK39" s="223"/>
      <c r="AL39" s="231"/>
      <c r="AM39" s="231"/>
      <c r="AN39" s="231"/>
      <c r="AO39" s="231"/>
      <c r="AP39" s="231"/>
      <c r="AQ39" s="231"/>
      <c r="AR39" s="231"/>
      <c r="AS39" s="231"/>
      <c r="AT39" s="231"/>
      <c r="AU39" s="231"/>
      <c r="AV39" s="433"/>
      <c r="AW39" s="231"/>
      <c r="AX39" s="238"/>
      <c r="AY39" s="223" t="s">
        <v>1932</v>
      </c>
      <c r="AZ39" s="223" t="s">
        <v>1933</v>
      </c>
      <c r="BA39" s="223" t="s">
        <v>619</v>
      </c>
      <c r="BB39" s="501">
        <f>BB38/BB16</f>
        <v>928000</v>
      </c>
      <c r="BC39" s="501">
        <f>BC38/BC16</f>
        <v>480000</v>
      </c>
      <c r="BD39" s="643"/>
      <c r="BE39" s="239"/>
      <c r="BF39" s="231"/>
      <c r="BG39" s="231"/>
      <c r="BH39" s="231"/>
      <c r="BI39" s="231"/>
      <c r="BJ39" s="231"/>
      <c r="BK39" s="231"/>
      <c r="BL39" s="231"/>
      <c r="BM39" s="231"/>
      <c r="BN39" s="231"/>
      <c r="BO39" s="231"/>
      <c r="BP39" s="231"/>
      <c r="BQ39" s="239"/>
      <c r="BR39" s="239"/>
      <c r="BS39" s="239"/>
      <c r="BT39" s="239"/>
      <c r="BU39" s="239"/>
      <c r="BV39" s="239"/>
      <c r="BW39" s="239"/>
      <c r="BX39" s="239"/>
      <c r="BY39" s="239"/>
      <c r="BZ39" s="239"/>
      <c r="CA39" s="433"/>
      <c r="CB39" s="231"/>
      <c r="CC39" s="231"/>
      <c r="CD39" s="231"/>
      <c r="CE39" s="231"/>
      <c r="CF39" s="231"/>
      <c r="CG39" s="231"/>
      <c r="CH39" s="231"/>
      <c r="CI39" s="231"/>
      <c r="CJ39" s="231"/>
      <c r="CK39" s="231"/>
      <c r="CL39" s="231"/>
      <c r="CM39" s="231"/>
      <c r="CN39" s="231"/>
      <c r="CO39" s="231"/>
      <c r="CP39" s="231"/>
      <c r="CQ39" s="231"/>
      <c r="CR39" s="231"/>
      <c r="CS39" s="231"/>
      <c r="CT39" s="231"/>
      <c r="CU39" s="231"/>
      <c r="CV39" s="231"/>
      <c r="CW39" s="231"/>
      <c r="CX39" s="231"/>
      <c r="CY39" s="231"/>
      <c r="CZ39" s="231"/>
      <c r="DA39" s="231"/>
      <c r="DB39" s="231"/>
      <c r="DC39" s="231"/>
      <c r="DD39" s="231"/>
      <c r="DE39" s="231"/>
      <c r="DF39" s="231"/>
    </row>
    <row r="40" spans="2:110" ht="15.6">
      <c r="B40" s="1063" t="s">
        <v>1666</v>
      </c>
      <c r="C40" s="1064" t="s">
        <v>643</v>
      </c>
      <c r="D40" s="1065" t="s">
        <v>188</v>
      </c>
      <c r="E40" s="1078">
        <f>'2'!D46</f>
        <v>7000</v>
      </c>
      <c r="F40" s="1067" t="s">
        <v>1673</v>
      </c>
      <c r="G40" s="231"/>
      <c r="H40" s="231"/>
      <c r="I40" s="617"/>
      <c r="J40" s="617"/>
      <c r="K40" s="231"/>
      <c r="L40" s="433"/>
      <c r="N40" s="335"/>
      <c r="O40" s="335"/>
      <c r="P40" s="335"/>
      <c r="Q40" s="335"/>
      <c r="R40" s="335"/>
      <c r="S40" s="335"/>
      <c r="T40" s="335"/>
      <c r="U40" s="335"/>
      <c r="V40" s="335"/>
      <c r="W40" s="423"/>
      <c r="X40" s="335"/>
      <c r="Y40" s="423"/>
      <c r="Z40" s="335"/>
      <c r="AA40" s="335"/>
      <c r="AB40" s="335"/>
      <c r="AC40" s="335"/>
      <c r="AD40" s="335"/>
      <c r="AE40" s="607" t="s">
        <v>1840</v>
      </c>
      <c r="AF40" s="122" t="s">
        <v>1841</v>
      </c>
      <c r="AG40" s="122" t="s">
        <v>188</v>
      </c>
      <c r="AH40" s="608">
        <f>((AG25*AK25)+(AG26*AK26)+(AG27*AK27)+(AG28*AK28)+(AG29*AK29)+(AG30*AK30)+(AG31*AK31)+(AG32*AK32)+(AG33*AK33))*AH17/SUM(AG25:AG33)</f>
        <v>6.8616991201764179</v>
      </c>
      <c r="AI40" s="609"/>
      <c r="AJ40" s="223"/>
      <c r="AK40" s="223"/>
      <c r="AL40" s="231"/>
      <c r="AM40" s="231"/>
      <c r="AN40" s="231"/>
      <c r="AO40" s="231"/>
      <c r="AP40" s="231"/>
      <c r="AQ40" s="231"/>
      <c r="AR40" s="231"/>
      <c r="AS40" s="231"/>
      <c r="AT40" s="231"/>
      <c r="AU40" s="231"/>
      <c r="AV40" s="433"/>
      <c r="AW40" s="231"/>
      <c r="AX40" s="238"/>
      <c r="AY40" s="318" t="s">
        <v>41</v>
      </c>
      <c r="AZ40" s="644" t="s">
        <v>50</v>
      </c>
      <c r="BA40" s="318" t="s">
        <v>1934</v>
      </c>
      <c r="BB40" s="502">
        <f>(VLOOKUP(BB36,$AX$81:$BE$114,8))</f>
        <v>0.1</v>
      </c>
      <c r="BC40" s="502">
        <f>(VLOOKUP(BC36,$AX$81:$BE$114,8))</f>
        <v>6.4000000000000001E-2</v>
      </c>
      <c r="BD40" s="645"/>
      <c r="BE40" s="239"/>
      <c r="BF40" s="231"/>
      <c r="BG40" s="231"/>
      <c r="BH40" s="231"/>
      <c r="BI40" s="231"/>
      <c r="BJ40" s="231"/>
      <c r="BK40" s="231"/>
      <c r="BL40" s="231"/>
      <c r="BM40" s="231"/>
      <c r="BN40" s="231"/>
      <c r="BO40" s="231"/>
      <c r="BP40" s="231"/>
      <c r="BQ40" s="239"/>
      <c r="BR40" s="239"/>
      <c r="BS40" s="239"/>
      <c r="BT40" s="239"/>
      <c r="BU40" s="239"/>
      <c r="BV40" s="239"/>
      <c r="BW40" s="239"/>
      <c r="BX40" s="239"/>
      <c r="BY40" s="239"/>
      <c r="BZ40" s="239"/>
      <c r="CA40" s="433"/>
      <c r="CB40" s="231"/>
      <c r="CC40" s="231"/>
      <c r="CD40" s="231"/>
      <c r="CE40" s="231"/>
      <c r="CF40" s="231"/>
      <c r="CG40" s="231"/>
      <c r="CH40" s="231"/>
      <c r="CI40" s="231"/>
      <c r="CJ40" s="231"/>
      <c r="CK40" s="231"/>
      <c r="CL40" s="231"/>
      <c r="CM40" s="231"/>
      <c r="CN40" s="231"/>
      <c r="CO40" s="231"/>
      <c r="CP40" s="231"/>
      <c r="CQ40" s="231"/>
      <c r="CR40" s="231"/>
      <c r="CS40" s="231"/>
      <c r="CT40" s="231"/>
      <c r="CU40" s="231"/>
      <c r="CV40" s="231"/>
      <c r="CW40" s="231"/>
      <c r="CX40" s="231"/>
      <c r="CY40" s="231"/>
      <c r="CZ40" s="231"/>
      <c r="DA40" s="231"/>
      <c r="DB40" s="231"/>
      <c r="DC40" s="231"/>
      <c r="DD40" s="231"/>
      <c r="DE40" s="231"/>
      <c r="DF40" s="231"/>
    </row>
    <row r="41" spans="2:110" ht="15.6">
      <c r="B41" s="1063" t="s">
        <v>644</v>
      </c>
      <c r="C41" s="1064" t="s">
        <v>51</v>
      </c>
      <c r="D41" s="1065" t="s">
        <v>87</v>
      </c>
      <c r="E41" s="1068">
        <f>'2'!E46</f>
        <v>0.16</v>
      </c>
      <c r="F41" s="1067" t="s">
        <v>1677</v>
      </c>
      <c r="G41" s="231"/>
      <c r="H41" s="231"/>
      <c r="I41" s="617"/>
      <c r="J41" s="617"/>
      <c r="K41" s="231"/>
      <c r="L41" s="433"/>
      <c r="N41" s="335"/>
      <c r="O41" s="335"/>
      <c r="P41" s="335"/>
      <c r="Q41" s="335"/>
      <c r="R41" s="335"/>
      <c r="S41" s="335"/>
      <c r="T41" s="335"/>
      <c r="U41" s="335"/>
      <c r="V41" s="335"/>
      <c r="W41" s="423"/>
      <c r="X41" s="335"/>
      <c r="Y41" s="423"/>
      <c r="Z41" s="335"/>
      <c r="AA41" s="335"/>
      <c r="AB41" s="335"/>
      <c r="AC41" s="335"/>
      <c r="AD41" s="335"/>
      <c r="AE41" s="607" t="s">
        <v>1840</v>
      </c>
      <c r="AF41" s="122" t="s">
        <v>1842</v>
      </c>
      <c r="AG41" s="122" t="s">
        <v>87</v>
      </c>
      <c r="AH41" s="610">
        <f>AH40/AH17</f>
        <v>0.32481415953497839</v>
      </c>
      <c r="AI41" s="609"/>
      <c r="AJ41" s="223"/>
      <c r="AK41" s="223"/>
      <c r="AL41" s="231"/>
      <c r="AM41" s="231"/>
      <c r="AN41" s="231"/>
      <c r="AO41" s="231"/>
      <c r="AP41" s="231"/>
      <c r="AQ41" s="231"/>
      <c r="AR41" s="231"/>
      <c r="AS41" s="231"/>
      <c r="AT41" s="231"/>
      <c r="AU41" s="231"/>
      <c r="AV41" s="433"/>
      <c r="AW41" s="231"/>
      <c r="AX41" s="238"/>
      <c r="AY41" s="96" t="s">
        <v>1955</v>
      </c>
      <c r="AZ41" s="239"/>
      <c r="BA41" s="239"/>
      <c r="BB41" s="321"/>
      <c r="BC41" s="321"/>
      <c r="BD41" s="652"/>
      <c r="BE41" s="239"/>
      <c r="BF41" s="231"/>
      <c r="BG41" s="231"/>
      <c r="BH41" s="231"/>
      <c r="BI41" s="231"/>
      <c r="BJ41" s="231"/>
      <c r="BK41" s="231"/>
      <c r="BL41" s="231"/>
      <c r="BM41" s="231"/>
      <c r="BN41" s="231"/>
      <c r="BO41" s="231"/>
      <c r="BP41" s="231"/>
      <c r="BQ41" s="239"/>
      <c r="BR41" s="239"/>
      <c r="BS41" s="239"/>
      <c r="BT41" s="239"/>
      <c r="BU41" s="239"/>
      <c r="BV41" s="239"/>
      <c r="BW41" s="239"/>
      <c r="BX41" s="239"/>
      <c r="BY41" s="239"/>
      <c r="BZ41" s="239"/>
      <c r="CA41" s="433"/>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row>
    <row r="42" spans="2:110">
      <c r="B42" s="1063" t="s">
        <v>1027</v>
      </c>
      <c r="C42" s="1064" t="s">
        <v>58</v>
      </c>
      <c r="D42" s="1065" t="s">
        <v>619</v>
      </c>
      <c r="E42" s="1079">
        <f>'3'!AT17</f>
        <v>10.656359999999999</v>
      </c>
      <c r="F42" s="1067" t="s">
        <v>1678</v>
      </c>
      <c r="G42" s="231"/>
      <c r="H42" s="231"/>
      <c r="I42" s="617"/>
      <c r="J42" s="617"/>
      <c r="K42" s="231"/>
      <c r="L42" s="433"/>
      <c r="N42" s="335"/>
      <c r="O42" s="335"/>
      <c r="P42" s="335"/>
      <c r="Q42" s="335"/>
      <c r="R42" s="335"/>
      <c r="S42" s="335"/>
      <c r="T42" s="335"/>
      <c r="U42" s="335"/>
      <c r="V42" s="335"/>
      <c r="W42" s="423"/>
      <c r="X42" s="335"/>
      <c r="Y42" s="423"/>
      <c r="Z42" s="335"/>
      <c r="AA42" s="335"/>
      <c r="AB42" s="335"/>
      <c r="AC42" s="335"/>
      <c r="AD42" s="335"/>
      <c r="AE42" s="607" t="s">
        <v>1843</v>
      </c>
      <c r="AF42" s="122" t="s">
        <v>1844</v>
      </c>
      <c r="AG42" s="122" t="s">
        <v>87</v>
      </c>
      <c r="AH42" s="610">
        <f>(AH18 - AH41)*AH17/AH16</f>
        <v>0.60296090751400588</v>
      </c>
      <c r="AI42" s="611" t="str">
        <f>IF(AH42&gt;0,"Stable","Unstable")</f>
        <v>Stable</v>
      </c>
      <c r="AJ42" s="223"/>
      <c r="AK42" s="223"/>
      <c r="AL42" s="231"/>
      <c r="AM42" s="231"/>
      <c r="AN42" s="231"/>
      <c r="AO42" s="231"/>
      <c r="AP42" s="231"/>
      <c r="AQ42" s="231"/>
      <c r="AR42" s="231"/>
      <c r="AS42" s="231"/>
      <c r="AT42" s="231"/>
      <c r="AU42" s="231"/>
      <c r="AV42" s="433"/>
      <c r="AW42" s="231"/>
      <c r="AX42" s="238"/>
      <c r="AY42" s="94" t="s">
        <v>1956</v>
      </c>
      <c r="AZ42" s="94" t="s">
        <v>87</v>
      </c>
      <c r="BA42" s="94" t="s">
        <v>87</v>
      </c>
      <c r="BB42" s="641">
        <v>2</v>
      </c>
      <c r="BC42" s="641">
        <v>3</v>
      </c>
      <c r="BD42" s="318" t="s">
        <v>1957</v>
      </c>
      <c r="BE42" s="239"/>
      <c r="BF42" s="231"/>
      <c r="BG42" s="231"/>
      <c r="BH42" s="231"/>
      <c r="BI42" s="231"/>
      <c r="BJ42" s="231"/>
      <c r="BK42" s="231"/>
      <c r="BL42" s="231"/>
      <c r="BM42" s="231"/>
      <c r="BN42" s="231"/>
      <c r="BO42" s="231"/>
      <c r="BP42" s="231"/>
      <c r="BQ42" s="239"/>
      <c r="BR42" s="239"/>
      <c r="BS42" s="239"/>
      <c r="BT42" s="239"/>
      <c r="BU42" s="239"/>
      <c r="BV42" s="239"/>
      <c r="BW42" s="239"/>
      <c r="BX42" s="239"/>
      <c r="BY42" s="239"/>
      <c r="BZ42" s="239"/>
      <c r="CA42" s="433"/>
      <c r="CB42" s="231"/>
      <c r="CC42" s="231"/>
      <c r="CD42" s="231"/>
      <c r="CE42" s="231"/>
      <c r="CF42" s="231"/>
      <c r="CG42" s="231"/>
      <c r="CH42" s="231"/>
      <c r="CI42" s="231"/>
      <c r="CJ42" s="231"/>
      <c r="CK42" s="231"/>
      <c r="CL42" s="231"/>
      <c r="CM42" s="231"/>
      <c r="CN42" s="231"/>
      <c r="CO42" s="231"/>
      <c r="CP42" s="231"/>
      <c r="CQ42" s="231"/>
      <c r="CR42" s="231"/>
      <c r="CS42" s="231"/>
      <c r="CT42" s="231"/>
      <c r="CU42" s="231"/>
      <c r="CV42" s="231"/>
      <c r="CW42" s="231"/>
      <c r="CX42" s="231"/>
      <c r="CY42" s="231"/>
      <c r="CZ42" s="231"/>
      <c r="DA42" s="231"/>
      <c r="DB42" s="231"/>
      <c r="DC42" s="231"/>
      <c r="DD42" s="231"/>
      <c r="DE42" s="231"/>
      <c r="DF42" s="231"/>
    </row>
    <row r="43" spans="2:110">
      <c r="B43" s="1063" t="s">
        <v>680</v>
      </c>
      <c r="C43" s="1064" t="s">
        <v>49</v>
      </c>
      <c r="D43" s="1065" t="s">
        <v>658</v>
      </c>
      <c r="E43" s="228">
        <f>IF($E$7=1,(E41*(1036-0.0034*(E40-20000))),(E41*((-1.674918E-27*(E40^6)) + (7.808861E-22*(E40^5)) - (1.333876E-16*(E40^4)) + (0.00000000001022912*(E40^3)) - (0.0000003047813*(E40^2)) - (0.0009459332*E40) + 1111.001)))</f>
        <v>174.8234297172248</v>
      </c>
      <c r="F43" s="1070"/>
      <c r="G43" s="231"/>
      <c r="H43" s="231"/>
      <c r="I43" s="617"/>
      <c r="J43" s="617"/>
      <c r="K43" s="231"/>
      <c r="L43" s="433"/>
      <c r="N43" s="335"/>
      <c r="O43" s="335"/>
      <c r="P43" s="335"/>
      <c r="Q43" s="335"/>
      <c r="R43" s="335"/>
      <c r="S43" s="335"/>
      <c r="T43" s="335"/>
      <c r="U43" s="335"/>
      <c r="V43" s="335"/>
      <c r="W43" s="423"/>
      <c r="X43" s="335"/>
      <c r="Y43" s="423"/>
      <c r="Z43" s="335"/>
      <c r="AA43" s="335"/>
      <c r="AB43" s="335"/>
      <c r="AC43" s="335"/>
      <c r="AD43" s="335"/>
      <c r="AE43" s="129" t="s">
        <v>1845</v>
      </c>
      <c r="AF43" s="122" t="s">
        <v>1846</v>
      </c>
      <c r="AG43" s="122" t="s">
        <v>1467</v>
      </c>
      <c r="AH43" s="612">
        <f>AI177*MAX(AI182:AI202)</f>
        <v>658.504671135639</v>
      </c>
      <c r="AI43" s="611"/>
      <c r="AJ43" s="223"/>
      <c r="AK43" s="223"/>
      <c r="AL43" s="231"/>
      <c r="AM43" s="231"/>
      <c r="AN43" s="231"/>
      <c r="AO43" s="231"/>
      <c r="AP43" s="231"/>
      <c r="AQ43" s="231"/>
      <c r="AR43" s="231"/>
      <c r="AS43" s="231"/>
      <c r="AT43" s="231"/>
      <c r="AU43" s="231"/>
      <c r="AV43" s="433"/>
      <c r="AW43" s="231"/>
      <c r="AX43" s="238"/>
      <c r="AY43" s="94" t="s">
        <v>1958</v>
      </c>
      <c r="AZ43" s="94" t="s">
        <v>1959</v>
      </c>
      <c r="BA43" s="94" t="s">
        <v>221</v>
      </c>
      <c r="BB43" s="195">
        <f>IF(BB42=1,L283,IF(BB42=2,L284,IF(BB42=3,L285,IF(BB42=4,L286,IF(BB42=5,L287,IF(BB42=6,L288,L289))))))</f>
        <v>2.5312500000000002E-2</v>
      </c>
      <c r="BC43" s="195">
        <f>IF(BC42=1,M283,IF(BC42=2,M284,IF(BC42=3,M285,IF(BC42=4,M286,IF(BC42=5,M287,IF(BC42=6,M288,M289))))))</f>
        <v>4.4187499999999991E-3</v>
      </c>
      <c r="BD43" s="648"/>
      <c r="BE43" s="239"/>
      <c r="BF43" s="231"/>
      <c r="BG43" s="231"/>
      <c r="BH43" s="231"/>
      <c r="BI43" s="231"/>
      <c r="BJ43" s="231"/>
      <c r="BK43" s="231"/>
      <c r="BL43" s="231"/>
      <c r="BM43" s="231"/>
      <c r="BN43" s="231"/>
      <c r="BO43" s="231"/>
      <c r="BP43" s="231"/>
      <c r="BQ43" s="239"/>
      <c r="BR43" s="239"/>
      <c r="BS43" s="239"/>
      <c r="BT43" s="239"/>
      <c r="BU43" s="239"/>
      <c r="BV43" s="239"/>
      <c r="BW43" s="239"/>
      <c r="BX43" s="239"/>
      <c r="BY43" s="239"/>
      <c r="BZ43" s="239"/>
      <c r="CA43" s="433"/>
      <c r="CB43" s="231"/>
      <c r="CC43" s="231"/>
      <c r="CD43" s="231"/>
      <c r="CE43" s="231"/>
      <c r="CF43" s="231"/>
      <c r="CG43" s="231"/>
      <c r="CH43" s="231"/>
      <c r="CI43" s="231"/>
      <c r="CJ43" s="231"/>
      <c r="CK43" s="231"/>
      <c r="CL43" s="231"/>
      <c r="CM43" s="231"/>
      <c r="CN43" s="231"/>
      <c r="CO43" s="231"/>
      <c r="CP43" s="231"/>
      <c r="CQ43" s="231"/>
      <c r="CR43" s="231"/>
      <c r="CS43" s="231"/>
      <c r="CT43" s="231"/>
      <c r="CU43" s="231"/>
      <c r="CV43" s="231"/>
      <c r="CW43" s="231"/>
      <c r="CX43" s="231"/>
      <c r="CY43" s="231"/>
      <c r="CZ43" s="231"/>
      <c r="DA43" s="231"/>
      <c r="DB43" s="231"/>
      <c r="DC43" s="231"/>
      <c r="DD43" s="231"/>
      <c r="DE43" s="231"/>
      <c r="DF43" s="231"/>
    </row>
    <row r="44" spans="2:110">
      <c r="B44" s="1063" t="s">
        <v>41</v>
      </c>
      <c r="C44" s="1071" t="s">
        <v>50</v>
      </c>
      <c r="D44" s="1065" t="s">
        <v>673</v>
      </c>
      <c r="E44" s="1072">
        <f>IF($E$7=1,(IF($E40&lt;10000,((1-0.00002615*$E40)*0.076474/32.174),IF($E40&gt;40000,(((-0.0000091*$E40+0.6211)*0.076474)/32.174),(((-0.00001681*$E40+0.9066)*0.076474)/32.174)))),((1.188467E-32*($E40^6)) - (3.738363E-27*($E40^5)) + (4.423426E-22*($E40^4)) - (2.646824E-17*($E40^3)) + (0.000000000001273176*($E40^2)) - (0.00000007347109*$E40) + 0.002383333))</f>
        <v>1.9233430198151999E-3</v>
      </c>
      <c r="F44" s="1070"/>
      <c r="G44" s="231"/>
      <c r="H44" s="231"/>
      <c r="I44" s="617"/>
      <c r="J44" s="617"/>
      <c r="K44" s="231"/>
      <c r="L44" s="433"/>
      <c r="N44" s="335"/>
      <c r="O44" s="335"/>
      <c r="P44" s="335"/>
      <c r="Q44" s="335"/>
      <c r="R44" s="335"/>
      <c r="S44" s="335"/>
      <c r="T44" s="335"/>
      <c r="U44" s="335"/>
      <c r="V44" s="335"/>
      <c r="W44" s="423"/>
      <c r="X44" s="335"/>
      <c r="Y44" s="423"/>
      <c r="Z44" s="335"/>
      <c r="AA44" s="335"/>
      <c r="AB44" s="335"/>
      <c r="AC44" s="335"/>
      <c r="AD44" s="335"/>
      <c r="AE44" s="129" t="s">
        <v>1847</v>
      </c>
      <c r="AF44" s="122" t="s">
        <v>1848</v>
      </c>
      <c r="AG44" s="122" t="s">
        <v>1467</v>
      </c>
      <c r="AH44" s="612">
        <f>AI177*MIN(AI182:AI202)</f>
        <v>-583.01112562258527</v>
      </c>
      <c r="AI44" s="611"/>
      <c r="AJ44" s="223"/>
      <c r="AK44" s="223"/>
      <c r="AL44" s="231"/>
      <c r="AM44" s="231"/>
      <c r="AN44" s="231"/>
      <c r="AO44" s="231"/>
      <c r="AP44" s="231"/>
      <c r="AQ44" s="231"/>
      <c r="AR44" s="231"/>
      <c r="AS44" s="231"/>
      <c r="AT44" s="231"/>
      <c r="AU44" s="231"/>
      <c r="AV44" s="433"/>
      <c r="AW44" s="231"/>
      <c r="AX44" s="238"/>
      <c r="AY44" s="94" t="s">
        <v>1960</v>
      </c>
      <c r="AZ44" s="94" t="s">
        <v>189</v>
      </c>
      <c r="BA44" s="94" t="s">
        <v>359</v>
      </c>
      <c r="BB44" s="655">
        <v>3</v>
      </c>
      <c r="BC44" s="832">
        <v>1.1499999999999999</v>
      </c>
      <c r="BD44" s="646" t="s">
        <v>1938</v>
      </c>
      <c r="BE44" s="239"/>
      <c r="BF44" s="231"/>
      <c r="BG44" s="231"/>
      <c r="BH44" s="231"/>
      <c r="BI44" s="231"/>
      <c r="BJ44" s="231"/>
      <c r="BK44" s="231"/>
      <c r="BL44" s="231"/>
      <c r="BM44" s="231"/>
      <c r="BN44" s="231"/>
      <c r="BO44" s="231"/>
      <c r="BP44" s="231"/>
      <c r="BQ44" s="239"/>
      <c r="BR44" s="239"/>
      <c r="BS44" s="239"/>
      <c r="BT44" s="239"/>
      <c r="BU44" s="239"/>
      <c r="BV44" s="239"/>
      <c r="BW44" s="239"/>
      <c r="BX44" s="239"/>
      <c r="BY44" s="239"/>
      <c r="BZ44" s="239"/>
      <c r="CA44" s="433"/>
      <c r="CB44" s="231"/>
      <c r="CC44" s="231"/>
      <c r="CD44" s="231"/>
      <c r="CE44" s="231"/>
      <c r="CF44" s="231"/>
      <c r="CG44" s="231"/>
      <c r="CH44" s="231"/>
      <c r="CI44" s="231"/>
      <c r="CJ44" s="231"/>
      <c r="CK44" s="231"/>
      <c r="CL44" s="231"/>
      <c r="CM44" s="231"/>
      <c r="CN44" s="231"/>
      <c r="CO44" s="231"/>
      <c r="CP44" s="231"/>
      <c r="CQ44" s="231"/>
      <c r="CR44" s="231"/>
      <c r="CS44" s="231"/>
      <c r="CT44" s="231"/>
      <c r="CU44" s="231"/>
      <c r="CV44" s="231"/>
      <c r="CW44" s="231"/>
      <c r="CX44" s="231"/>
      <c r="CY44" s="231"/>
      <c r="CZ44" s="231"/>
      <c r="DA44" s="231"/>
      <c r="DB44" s="231"/>
      <c r="DC44" s="231"/>
      <c r="DD44" s="231"/>
      <c r="DE44" s="231"/>
      <c r="DF44" s="231"/>
    </row>
    <row r="45" spans="2:110">
      <c r="B45" s="1063" t="s">
        <v>1670</v>
      </c>
      <c r="C45" s="1064" t="s">
        <v>47</v>
      </c>
      <c r="D45" s="1065" t="s">
        <v>619</v>
      </c>
      <c r="E45" s="1073">
        <f>0.5*E44*(E43^2)</f>
        <v>29.391789059360754</v>
      </c>
      <c r="F45" s="1070"/>
      <c r="G45" s="231"/>
      <c r="H45" s="231"/>
      <c r="I45" s="617"/>
      <c r="J45" s="617"/>
      <c r="K45" s="231"/>
      <c r="L45" s="433"/>
      <c r="N45" s="335"/>
      <c r="O45" s="335"/>
      <c r="P45" s="335"/>
      <c r="Q45" s="335"/>
      <c r="R45" s="335"/>
      <c r="S45" s="335"/>
      <c r="T45" s="335"/>
      <c r="U45" s="335"/>
      <c r="V45" s="335"/>
      <c r="W45" s="423"/>
      <c r="X45" s="335"/>
      <c r="Y45" s="423"/>
      <c r="Z45" s="335"/>
      <c r="AA45" s="335"/>
      <c r="AB45" s="335"/>
      <c r="AC45" s="335"/>
      <c r="AD45" s="335"/>
      <c r="AE45" s="607" t="s">
        <v>1755</v>
      </c>
      <c r="AF45" s="122" t="s">
        <v>1756</v>
      </c>
      <c r="AG45" s="122" t="s">
        <v>1467</v>
      </c>
      <c r="AH45" s="612">
        <f>MAX(ABS(AH43),ABS(AH44))</f>
        <v>658.504671135639</v>
      </c>
      <c r="AI45" s="218"/>
      <c r="AJ45" s="223"/>
      <c r="AK45" s="223"/>
      <c r="AL45" s="231"/>
      <c r="AM45" s="231"/>
      <c r="AN45" s="231"/>
      <c r="AO45" s="231"/>
      <c r="AP45" s="231"/>
      <c r="AQ45" s="231"/>
      <c r="AR45" s="231"/>
      <c r="AS45" s="231"/>
      <c r="AT45" s="231"/>
      <c r="AU45" s="231"/>
      <c r="AV45" s="433"/>
      <c r="AW45" s="231"/>
      <c r="AX45" s="238"/>
      <c r="AY45" s="94" t="s">
        <v>1961</v>
      </c>
      <c r="AZ45" s="94" t="s">
        <v>52</v>
      </c>
      <c r="BA45" s="94" t="s">
        <v>359</v>
      </c>
      <c r="BB45" s="655">
        <v>3</v>
      </c>
      <c r="BC45" s="832">
        <v>1.1499999999999999</v>
      </c>
      <c r="BD45" s="646" t="s">
        <v>1938</v>
      </c>
      <c r="BE45" s="239"/>
      <c r="BF45" s="231"/>
      <c r="BG45" s="231"/>
      <c r="BH45" s="231"/>
      <c r="BI45" s="231"/>
      <c r="BJ45" s="231"/>
      <c r="BK45" s="231"/>
      <c r="BL45" s="231"/>
      <c r="BM45" s="231"/>
      <c r="BN45" s="231"/>
      <c r="BO45" s="231"/>
      <c r="BP45" s="231"/>
      <c r="BQ45" s="239"/>
      <c r="BR45" s="239"/>
      <c r="BS45" s="239"/>
      <c r="BT45" s="239"/>
      <c r="BU45" s="239"/>
      <c r="BV45" s="239"/>
      <c r="BW45" s="239"/>
      <c r="BX45" s="239"/>
      <c r="BY45" s="239"/>
      <c r="BZ45" s="239"/>
      <c r="CA45" s="433"/>
      <c r="CB45" s="231"/>
      <c r="CC45" s="231"/>
      <c r="CD45" s="231"/>
      <c r="CE45" s="231"/>
      <c r="CF45" s="231"/>
      <c r="CG45" s="231"/>
      <c r="CH45" s="231"/>
      <c r="CI45" s="231"/>
      <c r="CJ45" s="231"/>
      <c r="CK45" s="231"/>
      <c r="CL45" s="231"/>
      <c r="CM45" s="231"/>
      <c r="CN45" s="231"/>
      <c r="CO45" s="231"/>
      <c r="CP45" s="231"/>
      <c r="CQ45" s="231"/>
      <c r="CR45" s="231"/>
      <c r="CS45" s="231"/>
      <c r="CT45" s="231"/>
      <c r="CU45" s="231"/>
      <c r="CV45" s="231"/>
      <c r="CW45" s="231"/>
      <c r="CX45" s="231"/>
      <c r="CY45" s="231"/>
      <c r="CZ45" s="231"/>
      <c r="DA45" s="231"/>
      <c r="DB45" s="231"/>
      <c r="DC45" s="231"/>
      <c r="DD45" s="231"/>
      <c r="DE45" s="231"/>
      <c r="DF45" s="231"/>
    </row>
    <row r="46" spans="2:110">
      <c r="B46" s="1063" t="s">
        <v>1671</v>
      </c>
      <c r="C46" s="1074" t="s">
        <v>214</v>
      </c>
      <c r="D46" s="1065" t="s">
        <v>87</v>
      </c>
      <c r="E46" s="1075">
        <f>(E45/E42)*SQRT(E$11*(PI()*E$12*E$13))</f>
        <v>2.5646991290482108</v>
      </c>
      <c r="F46" s="1070"/>
      <c r="G46" s="231"/>
      <c r="H46" s="231"/>
      <c r="I46" s="617"/>
      <c r="J46" s="617"/>
      <c r="K46" s="231"/>
      <c r="L46" s="433"/>
      <c r="N46" s="335"/>
      <c r="O46" s="335"/>
      <c r="P46" s="335"/>
      <c r="Q46" s="335"/>
      <c r="R46" s="335"/>
      <c r="S46" s="335"/>
      <c r="T46" s="335"/>
      <c r="U46" s="335"/>
      <c r="V46" s="335"/>
      <c r="W46" s="423"/>
      <c r="X46" s="335"/>
      <c r="Y46" s="423"/>
      <c r="Z46" s="335"/>
      <c r="AA46" s="335"/>
      <c r="AB46" s="335"/>
      <c r="AC46" s="335"/>
      <c r="AD46" s="335"/>
      <c r="AE46" s="129" t="s">
        <v>1849</v>
      </c>
      <c r="AF46" s="122" t="s">
        <v>1850</v>
      </c>
      <c r="AG46" s="122" t="s">
        <v>1761</v>
      </c>
      <c r="AH46" s="612">
        <f>AJ177*MAX(AJ181:AJ201)</f>
        <v>12.163508765660481</v>
      </c>
      <c r="AI46" s="611"/>
      <c r="AJ46" s="223"/>
      <c r="AK46" s="223"/>
      <c r="AL46" s="231"/>
      <c r="AM46" s="231"/>
      <c r="AN46" s="231"/>
      <c r="AO46" s="231"/>
      <c r="AP46" s="231"/>
      <c r="AQ46" s="231"/>
      <c r="AR46" s="231"/>
      <c r="AS46" s="231"/>
      <c r="AT46" s="231"/>
      <c r="AU46" s="231"/>
      <c r="AV46" s="433"/>
      <c r="AW46" s="231"/>
      <c r="AX46" s="238"/>
      <c r="AY46" s="94" t="s">
        <v>1962</v>
      </c>
      <c r="AZ46" s="94" t="s">
        <v>1963</v>
      </c>
      <c r="BA46" s="94" t="s">
        <v>359</v>
      </c>
      <c r="BB46" s="832">
        <v>0.45</v>
      </c>
      <c r="BC46" s="1179">
        <v>0.21</v>
      </c>
      <c r="BD46" s="646" t="s">
        <v>1938</v>
      </c>
      <c r="BE46" s="239"/>
      <c r="BF46" s="231"/>
      <c r="BG46" s="231"/>
      <c r="BH46" s="231"/>
      <c r="BI46" s="231"/>
      <c r="BJ46" s="231"/>
      <c r="BK46" s="231"/>
      <c r="BL46" s="231"/>
      <c r="BM46" s="231"/>
      <c r="BN46" s="231"/>
      <c r="BO46" s="231"/>
      <c r="BP46" s="231"/>
      <c r="BQ46" s="239"/>
      <c r="BR46" s="239"/>
      <c r="BS46" s="239"/>
      <c r="BT46" s="239"/>
      <c r="BU46" s="239"/>
      <c r="BV46" s="239"/>
      <c r="BW46" s="239"/>
      <c r="BX46" s="239"/>
      <c r="BY46" s="239"/>
      <c r="BZ46" s="239"/>
      <c r="CA46" s="433"/>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row>
    <row r="47" spans="2:110">
      <c r="B47" s="1063"/>
      <c r="C47" s="1074"/>
      <c r="D47" s="1065"/>
      <c r="E47" s="1075"/>
      <c r="F47" s="1070"/>
      <c r="G47" s="231"/>
      <c r="H47" s="231"/>
      <c r="I47" s="312"/>
      <c r="J47" s="312"/>
      <c r="K47" s="231"/>
      <c r="L47" s="433"/>
      <c r="N47" s="335"/>
      <c r="O47" s="335"/>
      <c r="P47" s="335"/>
      <c r="Q47" s="335"/>
      <c r="R47" s="335"/>
      <c r="S47" s="335"/>
      <c r="T47" s="335"/>
      <c r="U47" s="335"/>
      <c r="V47" s="335"/>
      <c r="W47" s="423"/>
      <c r="X47" s="335"/>
      <c r="Y47" s="423"/>
      <c r="Z47" s="335"/>
      <c r="AA47" s="335"/>
      <c r="AB47" s="335"/>
      <c r="AC47" s="335"/>
      <c r="AD47" s="335"/>
      <c r="AE47" s="129" t="s">
        <v>1851</v>
      </c>
      <c r="AF47" s="122" t="s">
        <v>1852</v>
      </c>
      <c r="AG47" s="122" t="s">
        <v>1761</v>
      </c>
      <c r="AH47" s="612">
        <f>AJ177*MIN(AJ182:AJ202)</f>
        <v>-3911.3990266147021</v>
      </c>
      <c r="AI47" s="611"/>
      <c r="AJ47" s="223"/>
      <c r="AK47" s="223"/>
      <c r="AL47" s="231"/>
      <c r="AM47" s="231"/>
      <c r="AN47" s="231"/>
      <c r="AO47" s="231"/>
      <c r="AP47" s="231"/>
      <c r="AQ47" s="231"/>
      <c r="AR47" s="231"/>
      <c r="AS47" s="231"/>
      <c r="AT47" s="231"/>
      <c r="AU47" s="231"/>
      <c r="AV47" s="433"/>
      <c r="AW47" s="231"/>
      <c r="AX47" s="238"/>
      <c r="AY47" s="94" t="s">
        <v>1964</v>
      </c>
      <c r="AZ47" s="94" t="s">
        <v>1965</v>
      </c>
      <c r="BA47" s="94" t="s">
        <v>359</v>
      </c>
      <c r="BB47" s="656">
        <f>BB45-(2*BB46)</f>
        <v>2.1</v>
      </c>
      <c r="BC47" s="656">
        <f>BC45-(2*BC46)</f>
        <v>0.73</v>
      </c>
      <c r="BD47" s="657"/>
      <c r="BE47" s="239"/>
      <c r="BF47" s="231"/>
      <c r="BG47" s="231"/>
      <c r="BH47" s="231"/>
      <c r="BI47" s="231"/>
      <c r="BJ47" s="231"/>
      <c r="BK47" s="231"/>
      <c r="BL47" s="231"/>
      <c r="BM47" s="231"/>
      <c r="BN47" s="231"/>
      <c r="BO47" s="231"/>
      <c r="BP47" s="231"/>
      <c r="BQ47" s="239"/>
      <c r="BR47" s="239"/>
      <c r="BS47" s="239"/>
      <c r="BT47" s="239"/>
      <c r="BU47" s="239"/>
      <c r="BV47" s="239"/>
      <c r="BW47" s="239"/>
      <c r="BX47" s="239"/>
      <c r="BY47" s="239"/>
      <c r="BZ47" s="239"/>
      <c r="CA47" s="433"/>
      <c r="CB47" s="231"/>
      <c r="CC47" s="231"/>
      <c r="CD47" s="231"/>
      <c r="CE47" s="231"/>
      <c r="CF47" s="231"/>
      <c r="CG47" s="231"/>
      <c r="CH47" s="231"/>
      <c r="CI47" s="231"/>
      <c r="CJ47" s="231"/>
      <c r="CK47" s="231"/>
      <c r="CL47" s="231"/>
      <c r="CM47" s="231"/>
      <c r="CN47" s="231"/>
      <c r="CO47" s="231"/>
      <c r="CP47" s="231"/>
      <c r="CQ47" s="231"/>
      <c r="CR47" s="231"/>
      <c r="CS47" s="231"/>
      <c r="CT47" s="231"/>
      <c r="CU47" s="231"/>
      <c r="CV47" s="231"/>
      <c r="CW47" s="231"/>
      <c r="CX47" s="231"/>
      <c r="CY47" s="231"/>
      <c r="CZ47" s="231"/>
      <c r="DA47" s="231"/>
      <c r="DB47" s="231"/>
      <c r="DC47" s="231"/>
      <c r="DD47" s="231"/>
      <c r="DE47" s="231"/>
      <c r="DF47" s="231"/>
    </row>
    <row r="48" spans="2:110" ht="13.8" thickBot="1">
      <c r="B48" s="1076" t="s">
        <v>666</v>
      </c>
      <c r="C48" s="563" t="s">
        <v>89</v>
      </c>
      <c r="D48" s="563" t="s">
        <v>90</v>
      </c>
      <c r="E48" s="563" t="s">
        <v>91</v>
      </c>
      <c r="F48" s="1077" t="s">
        <v>352</v>
      </c>
      <c r="G48" s="231"/>
      <c r="H48" s="231"/>
      <c r="I48" s="309"/>
      <c r="J48" s="309"/>
      <c r="K48" s="231"/>
      <c r="L48" s="433"/>
      <c r="N48" s="335"/>
      <c r="O48" s="335"/>
      <c r="P48" s="335"/>
      <c r="Q48" s="335"/>
      <c r="R48" s="335"/>
      <c r="S48" s="335"/>
      <c r="T48" s="335"/>
      <c r="U48" s="335"/>
      <c r="V48" s="335"/>
      <c r="W48" s="423"/>
      <c r="X48" s="335"/>
      <c r="Y48" s="423"/>
      <c r="Z48" s="335"/>
      <c r="AA48" s="335"/>
      <c r="AB48" s="335"/>
      <c r="AC48" s="335"/>
      <c r="AD48" s="335"/>
      <c r="AE48" s="613" t="s">
        <v>1759</v>
      </c>
      <c r="AF48" s="614" t="s">
        <v>1760</v>
      </c>
      <c r="AG48" s="614" t="s">
        <v>1761</v>
      </c>
      <c r="AH48" s="615">
        <f>MAX(ABS(AH46),ABS(AH47))</f>
        <v>3911.3990266147021</v>
      </c>
      <c r="AI48" s="500"/>
      <c r="AJ48" s="231"/>
      <c r="AK48" s="231"/>
      <c r="AL48" s="231"/>
      <c r="AM48" s="231"/>
      <c r="AN48" s="231"/>
      <c r="AO48" s="231"/>
      <c r="AP48" s="231"/>
      <c r="AQ48" s="231"/>
      <c r="AR48" s="231"/>
      <c r="AS48" s="231"/>
      <c r="AT48" s="231"/>
      <c r="AU48" s="231"/>
      <c r="AV48" s="433"/>
      <c r="AW48" s="231"/>
      <c r="AX48" s="238"/>
      <c r="AY48" s="94" t="s">
        <v>1966</v>
      </c>
      <c r="AZ48" s="94" t="s">
        <v>1967</v>
      </c>
      <c r="BA48" s="94" t="s">
        <v>359</v>
      </c>
      <c r="BB48" s="656">
        <f>BB44-BB46</f>
        <v>2.5499999999999998</v>
      </c>
      <c r="BC48" s="656">
        <f>BC44-BC46</f>
        <v>0.94</v>
      </c>
      <c r="BD48" s="657"/>
      <c r="BE48" s="239"/>
      <c r="BF48" s="239"/>
      <c r="BG48" s="239"/>
      <c r="BH48" s="239"/>
      <c r="BI48" s="239"/>
      <c r="BJ48" s="239"/>
      <c r="BK48" s="239"/>
      <c r="BL48" s="231"/>
      <c r="BM48" s="231"/>
      <c r="BN48" s="231"/>
      <c r="BO48" s="231"/>
      <c r="BP48" s="231"/>
      <c r="BQ48" s="239"/>
      <c r="BR48" s="239"/>
      <c r="BS48" s="239"/>
      <c r="BT48" s="239"/>
      <c r="BU48" s="239"/>
      <c r="BV48" s="239"/>
      <c r="BW48" s="239"/>
      <c r="BX48" s="239"/>
      <c r="BY48" s="239"/>
      <c r="BZ48" s="239"/>
      <c r="CA48" s="433"/>
      <c r="CB48" s="231"/>
      <c r="CC48" s="231"/>
      <c r="CD48" s="231"/>
      <c r="CE48" s="231"/>
      <c r="CF48" s="231"/>
      <c r="CG48" s="231"/>
      <c r="CH48" s="231"/>
      <c r="CI48" s="231"/>
      <c r="CJ48" s="231"/>
      <c r="CK48" s="231"/>
      <c r="CL48" s="231"/>
      <c r="CM48" s="231"/>
      <c r="CN48" s="231"/>
      <c r="CO48" s="231"/>
      <c r="CP48" s="231"/>
      <c r="CQ48" s="231"/>
      <c r="CR48" s="231"/>
      <c r="CS48" s="231"/>
      <c r="CT48" s="231"/>
      <c r="CU48" s="231"/>
      <c r="CV48" s="231"/>
      <c r="CW48" s="231"/>
      <c r="CX48" s="231"/>
      <c r="CY48" s="231"/>
      <c r="CZ48" s="231"/>
      <c r="DA48" s="231"/>
      <c r="DB48" s="231"/>
      <c r="DC48" s="231"/>
      <c r="DD48" s="231"/>
      <c r="DE48" s="231"/>
      <c r="DF48" s="231"/>
    </row>
    <row r="49" spans="2:110">
      <c r="B49" s="1063" t="s">
        <v>1666</v>
      </c>
      <c r="C49" s="1064" t="s">
        <v>643</v>
      </c>
      <c r="D49" s="1065" t="s">
        <v>188</v>
      </c>
      <c r="E49" s="1078">
        <f>'2'!D51</f>
        <v>3500</v>
      </c>
      <c r="F49" s="1067" t="s">
        <v>1679</v>
      </c>
      <c r="G49" s="231"/>
      <c r="H49" s="231"/>
      <c r="I49" s="321"/>
      <c r="J49" s="321"/>
      <c r="K49" s="231"/>
      <c r="L49" s="433"/>
      <c r="N49" s="335"/>
      <c r="O49" s="335"/>
      <c r="P49" s="335"/>
      <c r="Q49" s="335"/>
      <c r="R49" s="335"/>
      <c r="S49" s="335"/>
      <c r="T49" s="335"/>
      <c r="U49" s="335"/>
      <c r="V49" s="335"/>
      <c r="W49" s="423"/>
      <c r="X49" s="335"/>
      <c r="Y49" s="423"/>
      <c r="Z49" s="335"/>
      <c r="AA49" s="335"/>
      <c r="AB49" s="335"/>
      <c r="AC49" s="335"/>
      <c r="AD49" s="335"/>
      <c r="AE49" s="235"/>
      <c r="AF49" s="231"/>
      <c r="AG49" s="231"/>
      <c r="AH49" s="231"/>
      <c r="AI49" s="231"/>
      <c r="AJ49" s="223"/>
      <c r="AK49" s="223"/>
      <c r="AL49" s="231"/>
      <c r="AM49" s="231"/>
      <c r="AN49" s="231"/>
      <c r="AO49" s="231"/>
      <c r="AP49" s="231"/>
      <c r="AQ49" s="231"/>
      <c r="AR49" s="231"/>
      <c r="AS49" s="231"/>
      <c r="AT49" s="231"/>
      <c r="AU49" s="231"/>
      <c r="AV49" s="433"/>
      <c r="AW49" s="231"/>
      <c r="AX49" s="238"/>
      <c r="AY49" s="94" t="s">
        <v>1968</v>
      </c>
      <c r="AZ49" s="94" t="s">
        <v>267</v>
      </c>
      <c r="BA49" s="94" t="s">
        <v>359</v>
      </c>
      <c r="BB49" s="656">
        <f>BB$45</f>
        <v>3</v>
      </c>
      <c r="BC49" s="656">
        <f>BC$45</f>
        <v>1.1499999999999999</v>
      </c>
      <c r="BD49" s="657"/>
      <c r="BE49" s="239"/>
      <c r="BF49" s="239"/>
      <c r="BG49" s="239"/>
      <c r="BH49" s="239"/>
      <c r="BI49" s="239"/>
      <c r="BJ49" s="239"/>
      <c r="BK49" s="239"/>
      <c r="BL49" s="231"/>
      <c r="BM49" s="231"/>
      <c r="BN49" s="231"/>
      <c r="BO49" s="231"/>
      <c r="BP49" s="231"/>
      <c r="BQ49" s="239"/>
      <c r="BR49" s="239"/>
      <c r="BS49" s="239"/>
      <c r="BT49" s="239"/>
      <c r="BU49" s="239"/>
      <c r="BV49" s="239"/>
      <c r="BW49" s="239"/>
      <c r="BX49" s="239"/>
      <c r="BY49" s="239"/>
      <c r="BZ49" s="239"/>
      <c r="CA49" s="433"/>
      <c r="CB49" s="231"/>
      <c r="CC49" s="231"/>
      <c r="CD49" s="231"/>
      <c r="CE49" s="231"/>
      <c r="CF49" s="231"/>
      <c r="CG49" s="231"/>
      <c r="CH49" s="231"/>
      <c r="CI49" s="231"/>
      <c r="CJ49" s="231"/>
      <c r="CK49" s="231"/>
      <c r="CL49" s="231"/>
      <c r="CM49" s="231"/>
      <c r="CN49" s="231"/>
      <c r="CO49" s="231"/>
      <c r="CP49" s="231"/>
      <c r="CQ49" s="231"/>
      <c r="CR49" s="231"/>
      <c r="CS49" s="231"/>
      <c r="CT49" s="231"/>
      <c r="CU49" s="231"/>
      <c r="CV49" s="231"/>
      <c r="CW49" s="231"/>
      <c r="CX49" s="231"/>
      <c r="CY49" s="231"/>
      <c r="CZ49" s="231"/>
      <c r="DA49" s="231"/>
      <c r="DB49" s="231"/>
      <c r="DC49" s="231"/>
      <c r="DD49" s="231"/>
      <c r="DE49" s="231"/>
      <c r="DF49" s="231"/>
    </row>
    <row r="50" spans="2:110">
      <c r="B50" s="1063" t="s">
        <v>644</v>
      </c>
      <c r="C50" s="1064" t="s">
        <v>51</v>
      </c>
      <c r="D50" s="1065" t="s">
        <v>87</v>
      </c>
      <c r="E50" s="1068">
        <f>'2'!E51</f>
        <v>0.15</v>
      </c>
      <c r="F50" s="1067" t="s">
        <v>1680</v>
      </c>
      <c r="G50" s="231"/>
      <c r="H50" s="231"/>
      <c r="I50" s="1080"/>
      <c r="J50" s="1080"/>
      <c r="K50" s="231"/>
      <c r="L50" s="433"/>
      <c r="N50" s="335"/>
      <c r="O50" s="335"/>
      <c r="P50" s="335"/>
      <c r="Q50" s="335"/>
      <c r="R50" s="335"/>
      <c r="S50" s="335"/>
      <c r="T50" s="335"/>
      <c r="U50" s="335"/>
      <c r="V50" s="335"/>
      <c r="W50" s="423"/>
      <c r="X50" s="335"/>
      <c r="Y50" s="423"/>
      <c r="Z50" s="335"/>
      <c r="AA50" s="335"/>
      <c r="AB50" s="335"/>
      <c r="AC50" s="335"/>
      <c r="AD50" s="335"/>
      <c r="AE50" s="235"/>
      <c r="AF50" s="231"/>
      <c r="AG50" s="231"/>
      <c r="AH50" s="231"/>
      <c r="AI50" s="231"/>
      <c r="AJ50" s="223"/>
      <c r="AK50" s="223"/>
      <c r="AL50" s="231"/>
      <c r="AM50" s="231"/>
      <c r="AN50" s="231"/>
      <c r="AO50" s="231"/>
      <c r="AP50" s="231"/>
      <c r="AQ50" s="231"/>
      <c r="AR50" s="231"/>
      <c r="AS50" s="231"/>
      <c r="AT50" s="231"/>
      <c r="AU50" s="231"/>
      <c r="AV50" s="433"/>
      <c r="AW50" s="231"/>
      <c r="AX50" s="238"/>
      <c r="AY50" s="94" t="s">
        <v>1969</v>
      </c>
      <c r="AZ50" s="94" t="s">
        <v>1970</v>
      </c>
      <c r="BA50" s="94" t="s">
        <v>359</v>
      </c>
      <c r="BB50" s="656">
        <f>BB$45</f>
        <v>3</v>
      </c>
      <c r="BC50" s="656">
        <f>BC$45</f>
        <v>1.1499999999999999</v>
      </c>
      <c r="BD50" s="657"/>
      <c r="BE50" s="239"/>
      <c r="BF50" s="231"/>
      <c r="BG50" s="239"/>
      <c r="BH50" s="239"/>
      <c r="BI50" s="239"/>
      <c r="BJ50" s="239"/>
      <c r="BK50" s="239"/>
      <c r="BL50" s="231"/>
      <c r="BM50" s="231"/>
      <c r="BN50" s="231"/>
      <c r="BO50" s="231"/>
      <c r="BP50" s="231"/>
      <c r="BQ50" s="239"/>
      <c r="BR50" s="239"/>
      <c r="BS50" s="239"/>
      <c r="BT50" s="239"/>
      <c r="BU50" s="239"/>
      <c r="BV50" s="239"/>
      <c r="BW50" s="239"/>
      <c r="BX50" s="239"/>
      <c r="BY50" s="239"/>
      <c r="BZ50" s="239"/>
      <c r="CA50" s="433"/>
      <c r="CB50" s="231"/>
      <c r="CC50" s="231"/>
      <c r="CD50" s="231"/>
      <c r="CE50" s="231"/>
      <c r="CF50" s="231"/>
      <c r="CG50" s="231"/>
      <c r="CH50" s="231"/>
      <c r="CI50" s="231"/>
      <c r="CJ50" s="231"/>
      <c r="CK50" s="231"/>
      <c r="CL50" s="231"/>
      <c r="CM50" s="231"/>
      <c r="CN50" s="231"/>
      <c r="CO50" s="231"/>
      <c r="CP50" s="231"/>
      <c r="CQ50" s="231"/>
      <c r="CR50" s="231"/>
      <c r="CS50" s="231"/>
      <c r="CT50" s="231"/>
      <c r="CU50" s="231"/>
      <c r="CV50" s="231"/>
      <c r="CW50" s="231"/>
      <c r="CX50" s="231"/>
      <c r="CY50" s="231"/>
      <c r="CZ50" s="231"/>
      <c r="DA50" s="231"/>
      <c r="DB50" s="231"/>
      <c r="DC50" s="231"/>
      <c r="DD50" s="231"/>
      <c r="DE50" s="231"/>
      <c r="DF50" s="231"/>
    </row>
    <row r="51" spans="2:110" ht="13.8" thickBot="1">
      <c r="B51" s="1063" t="s">
        <v>1681</v>
      </c>
      <c r="C51" s="1071" t="s">
        <v>1682</v>
      </c>
      <c r="D51" s="1065" t="s">
        <v>612</v>
      </c>
      <c r="E51" s="1069">
        <f>'3'!E9</f>
        <v>48</v>
      </c>
      <c r="F51" s="1067" t="s">
        <v>1683</v>
      </c>
      <c r="G51" s="231"/>
      <c r="H51" s="231"/>
      <c r="I51" s="1081"/>
      <c r="J51" s="1081"/>
      <c r="K51" s="231"/>
      <c r="L51" s="433"/>
      <c r="N51" s="335"/>
      <c r="O51" s="335"/>
      <c r="P51" s="335"/>
      <c r="Q51" s="335"/>
      <c r="R51" s="335"/>
      <c r="S51" s="335"/>
      <c r="T51" s="335"/>
      <c r="U51" s="335"/>
      <c r="V51" s="335"/>
      <c r="W51" s="423"/>
      <c r="X51" s="335"/>
      <c r="Y51" s="423"/>
      <c r="Z51" s="335"/>
      <c r="AA51" s="335"/>
      <c r="AB51" s="335"/>
      <c r="AC51" s="335"/>
      <c r="AD51" s="335"/>
      <c r="AE51" s="254"/>
      <c r="AF51" s="255"/>
      <c r="AG51" s="255"/>
      <c r="AH51" s="255"/>
      <c r="AI51" s="255"/>
      <c r="AJ51" s="579"/>
      <c r="AK51" s="579"/>
      <c r="AL51" s="255"/>
      <c r="AM51" s="255"/>
      <c r="AN51" s="255"/>
      <c r="AO51" s="255"/>
      <c r="AP51" s="255"/>
      <c r="AQ51" s="255"/>
      <c r="AR51" s="255"/>
      <c r="AS51" s="255"/>
      <c r="AT51" s="255"/>
      <c r="AU51" s="255"/>
      <c r="AV51" s="446"/>
      <c r="AW51" s="231"/>
      <c r="AX51" s="238"/>
      <c r="AY51" s="94" t="s">
        <v>1971</v>
      </c>
      <c r="AZ51" s="94" t="s">
        <v>1972</v>
      </c>
      <c r="BA51" s="94" t="s">
        <v>359</v>
      </c>
      <c r="BB51" s="655">
        <v>5</v>
      </c>
      <c r="BC51" s="832">
        <f>2-(2*0.035)</f>
        <v>1.93</v>
      </c>
      <c r="BD51" s="658"/>
      <c r="BE51" s="239"/>
      <c r="BF51" s="239"/>
      <c r="BG51" s="239"/>
      <c r="BH51" s="239"/>
      <c r="BI51" s="239"/>
      <c r="BJ51" s="239"/>
      <c r="BK51" s="239"/>
      <c r="BL51" s="231"/>
      <c r="BM51" s="231"/>
      <c r="BN51" s="231"/>
      <c r="BO51" s="231"/>
      <c r="BP51" s="231"/>
      <c r="BQ51" s="239"/>
      <c r="BR51" s="239"/>
      <c r="BS51" s="239"/>
      <c r="BT51" s="239"/>
      <c r="BU51" s="239"/>
      <c r="BV51" s="239"/>
      <c r="BW51" s="239"/>
      <c r="BX51" s="239"/>
      <c r="BY51" s="239"/>
      <c r="BZ51" s="239"/>
      <c r="CA51" s="433"/>
      <c r="CB51" s="231"/>
      <c r="CC51" s="231"/>
      <c r="CD51" s="231"/>
      <c r="CE51" s="231"/>
      <c r="CF51" s="231"/>
      <c r="CG51" s="231"/>
      <c r="CH51" s="231"/>
      <c r="CI51" s="231"/>
      <c r="CJ51" s="231"/>
      <c r="CK51" s="231"/>
      <c r="CL51" s="231"/>
      <c r="CM51" s="231"/>
      <c r="CN51" s="231"/>
      <c r="CO51" s="231"/>
      <c r="CP51" s="231"/>
      <c r="CQ51" s="231"/>
      <c r="CR51" s="231"/>
      <c r="CS51" s="231"/>
      <c r="CT51" s="231"/>
      <c r="CU51" s="231"/>
      <c r="CV51" s="231"/>
      <c r="CW51" s="231"/>
      <c r="CX51" s="231"/>
      <c r="CY51" s="231"/>
      <c r="CZ51" s="231"/>
      <c r="DA51" s="231"/>
      <c r="DB51" s="231"/>
      <c r="DC51" s="231"/>
      <c r="DD51" s="231"/>
      <c r="DE51" s="231"/>
      <c r="DF51" s="231"/>
    </row>
    <row r="52" spans="2:110">
      <c r="B52" s="1063" t="s">
        <v>680</v>
      </c>
      <c r="C52" s="1064" t="s">
        <v>49</v>
      </c>
      <c r="D52" s="1065" t="s">
        <v>658</v>
      </c>
      <c r="E52" s="228">
        <f>IF($E$7=1,(E50*(1036-0.0034*(E49-20000))),(E50*((-1.674918E-27*(E49^6)) + (7.808861E-22*(E49^5)) - (1.333876E-16*(E49^4)) + (0.00000000001022912*(E49^3)) - (0.0000003047813*(E49^2)) - (0.0009459332*E49) + 1111.001)))</f>
        <v>165.65634404630282</v>
      </c>
      <c r="F52" s="1070"/>
      <c r="G52" s="231"/>
      <c r="H52" s="231"/>
      <c r="I52" s="1082"/>
      <c r="J52" s="1082"/>
      <c r="K52" s="231"/>
      <c r="L52" s="433"/>
      <c r="N52" s="335"/>
      <c r="O52" s="335"/>
      <c r="P52" s="335"/>
      <c r="Q52" s="335"/>
      <c r="R52" s="335"/>
      <c r="S52" s="335"/>
      <c r="T52" s="335"/>
      <c r="U52" s="335"/>
      <c r="V52" s="335"/>
      <c r="W52" s="423"/>
      <c r="X52" s="335"/>
      <c r="Y52" s="423"/>
      <c r="Z52" s="335"/>
      <c r="AA52" s="335"/>
      <c r="AB52" s="335"/>
      <c r="AC52" s="335"/>
      <c r="AD52" s="335"/>
      <c r="AJ52" s="335"/>
      <c r="AK52" s="335"/>
      <c r="AX52" s="238"/>
      <c r="AY52" s="94" t="s">
        <v>1973</v>
      </c>
      <c r="AZ52" s="94" t="s">
        <v>1950</v>
      </c>
      <c r="BA52" s="94" t="s">
        <v>1951</v>
      </c>
      <c r="BB52" s="659">
        <f>IF(BB42=1,F283,IF(BB42=2,F284,IF(BB42=3,F285,IF(BB42=4,F286,IF(BB42=5,F287,IF(BB42=6,F288,F289))))))</f>
        <v>2.3061523437499997E-4</v>
      </c>
      <c r="BC52" s="659">
        <f>IF(BC42=1,G283,IF(BC42=2,G284,IF(BC42=3,G285,IF(BC42=4,G286,IF(BC42=5,G287,IF(BC42=6,G288,G289))))))</f>
        <v>5.5592941020447507E-6</v>
      </c>
      <c r="BD52" s="660"/>
      <c r="BE52" s="239"/>
      <c r="BF52" s="239"/>
      <c r="BG52" s="239"/>
      <c r="BH52" s="239"/>
      <c r="BI52" s="239"/>
      <c r="BJ52" s="239"/>
      <c r="BK52" s="239"/>
      <c r="BL52" s="239"/>
      <c r="BM52" s="239"/>
      <c r="BN52" s="239"/>
      <c r="BO52" s="239"/>
      <c r="BP52" s="239"/>
      <c r="BQ52" s="239"/>
      <c r="BR52" s="239"/>
      <c r="BS52" s="239"/>
      <c r="BT52" s="239"/>
      <c r="BU52" s="239"/>
      <c r="BV52" s="239"/>
      <c r="BW52" s="239"/>
      <c r="BX52" s="239"/>
      <c r="BY52" s="239"/>
      <c r="BZ52" s="239"/>
      <c r="CA52" s="433"/>
      <c r="CB52" s="231"/>
      <c r="CC52" s="231"/>
      <c r="CD52" s="231"/>
      <c r="CE52" s="231"/>
      <c r="CF52" s="231"/>
      <c r="CG52" s="231"/>
      <c r="CH52" s="231"/>
      <c r="CI52" s="231"/>
      <c r="CJ52" s="231"/>
      <c r="CK52" s="231"/>
      <c r="CL52" s="231"/>
      <c r="CM52" s="231"/>
      <c r="CN52" s="231"/>
      <c r="CO52" s="231"/>
      <c r="CP52" s="231"/>
      <c r="CQ52" s="231"/>
      <c r="CR52" s="231"/>
      <c r="CS52" s="231"/>
      <c r="CT52" s="231"/>
      <c r="CU52" s="231"/>
      <c r="CV52" s="231"/>
      <c r="CW52" s="231"/>
      <c r="CX52" s="231"/>
      <c r="CY52" s="231"/>
      <c r="CZ52" s="231"/>
      <c r="DA52" s="231"/>
      <c r="DB52" s="231"/>
      <c r="DC52" s="231"/>
      <c r="DD52" s="231"/>
      <c r="DE52" s="231"/>
      <c r="DF52" s="231"/>
    </row>
    <row r="53" spans="2:110">
      <c r="B53" s="1063" t="s">
        <v>41</v>
      </c>
      <c r="C53" s="1071" t="s">
        <v>50</v>
      </c>
      <c r="D53" s="1065" t="s">
        <v>673</v>
      </c>
      <c r="E53" s="1072">
        <f>IF($E$7=1,(IF($E49&lt;10000,((1-0.00002615*$E49)*0.076474/32.174),IF($E49&gt;40000,(((-0.0000091*$E49+0.6211)*0.076474)/32.174),(((-0.00001681*$E49+0.9066)*0.076474)/32.174)))),((1.188467E-32*($E49^6)) - (3.738363E-27*($E49^5)) + (4.423426E-22*($E49^4)) - (2.646824E-17*($E49^3)) + (0.000000000001273176*($E49^2)) - (0.00000007347109*$E49) + 0.002383333))</f>
        <v>2.1407102026352511E-3</v>
      </c>
      <c r="F53" s="1070"/>
      <c r="G53" s="231"/>
      <c r="H53" s="231"/>
      <c r="I53" s="1082"/>
      <c r="J53" s="1082"/>
      <c r="K53" s="231"/>
      <c r="L53" s="433"/>
      <c r="AJ53" s="335"/>
      <c r="AK53" s="335"/>
      <c r="AX53" s="238"/>
      <c r="AY53" s="94" t="s">
        <v>1974</v>
      </c>
      <c r="AZ53" s="338" t="s">
        <v>50</v>
      </c>
      <c r="BA53" s="94" t="s">
        <v>188</v>
      </c>
      <c r="BB53" s="195">
        <f>(BB52/BB43)^0.5</f>
        <v>9.545011947945363E-2</v>
      </c>
      <c r="BC53" s="195">
        <f>(BC52/BC43)^0.5</f>
        <v>3.5469911872887172E-2</v>
      </c>
      <c r="BD53" s="648"/>
      <c r="BE53" s="239"/>
      <c r="BF53" s="239"/>
      <c r="BG53" s="239"/>
      <c r="BH53" s="239"/>
      <c r="BI53" s="239"/>
      <c r="BJ53" s="239"/>
      <c r="BK53" s="239"/>
      <c r="BL53" s="239"/>
      <c r="BM53" s="239"/>
      <c r="BN53" s="239"/>
      <c r="BO53" s="239"/>
      <c r="BP53" s="239"/>
      <c r="BQ53" s="239"/>
      <c r="BR53" s="239"/>
      <c r="BS53" s="239"/>
      <c r="BT53" s="239"/>
      <c r="BU53" s="239"/>
      <c r="BV53" s="239"/>
      <c r="BW53" s="239"/>
      <c r="BX53" s="239"/>
      <c r="BY53" s="239"/>
      <c r="BZ53" s="239"/>
      <c r="CA53" s="433"/>
      <c r="CB53" s="231"/>
      <c r="CC53" s="231"/>
      <c r="CD53" s="231"/>
      <c r="CE53" s="231"/>
      <c r="CF53" s="231"/>
      <c r="CG53" s="231"/>
      <c r="CH53" s="231"/>
      <c r="CI53" s="231"/>
      <c r="CJ53" s="231"/>
      <c r="CK53" s="231"/>
      <c r="CL53" s="231"/>
      <c r="CM53" s="231"/>
      <c r="CN53" s="231"/>
      <c r="CO53" s="231"/>
      <c r="CP53" s="231"/>
      <c r="CQ53" s="231"/>
      <c r="CR53" s="231"/>
      <c r="CS53" s="231"/>
      <c r="CT53" s="231"/>
      <c r="CU53" s="231"/>
      <c r="CV53" s="231"/>
      <c r="CW53" s="231"/>
      <c r="CX53" s="231"/>
      <c r="CY53" s="231"/>
      <c r="CZ53" s="231"/>
      <c r="DA53" s="231"/>
      <c r="DB53" s="231"/>
      <c r="DC53" s="231"/>
      <c r="DD53" s="231"/>
      <c r="DE53" s="231"/>
      <c r="DF53" s="231"/>
    </row>
    <row r="54" spans="2:110">
      <c r="B54" s="1063" t="s">
        <v>1670</v>
      </c>
      <c r="C54" s="1064" t="s">
        <v>47</v>
      </c>
      <c r="D54" s="1065" t="s">
        <v>619</v>
      </c>
      <c r="E54" s="1073">
        <f>0.5*E53*(E52^2)</f>
        <v>29.372710724377477</v>
      </c>
      <c r="F54" s="1070"/>
      <c r="G54" s="231"/>
      <c r="H54" s="231"/>
      <c r="I54" s="1082"/>
      <c r="J54" s="1082"/>
      <c r="K54" s="231"/>
      <c r="L54" s="433"/>
      <c r="AJ54" s="335"/>
      <c r="AK54" s="335"/>
      <c r="AX54" s="238"/>
      <c r="AY54" s="94" t="s">
        <v>1975</v>
      </c>
      <c r="AZ54" s="94" t="s">
        <v>1976</v>
      </c>
      <c r="BA54" s="94" t="s">
        <v>87</v>
      </c>
      <c r="BB54" s="661" t="s">
        <v>569</v>
      </c>
      <c r="BC54" s="1180">
        <v>1</v>
      </c>
      <c r="BD54" s="646" t="s">
        <v>1977</v>
      </c>
      <c r="BE54" s="239"/>
      <c r="BF54" s="239"/>
      <c r="BG54" s="239"/>
      <c r="BH54" s="239"/>
      <c r="BI54" s="239"/>
      <c r="BJ54" s="239"/>
      <c r="BK54" s="239"/>
      <c r="BL54" s="239"/>
      <c r="BM54" s="239"/>
      <c r="BN54" s="239"/>
      <c r="BO54" s="239"/>
      <c r="BP54" s="239"/>
      <c r="BQ54" s="239"/>
      <c r="BR54" s="239"/>
      <c r="BS54" s="239"/>
      <c r="BT54" s="239"/>
      <c r="BU54" s="239"/>
      <c r="BV54" s="239"/>
      <c r="BW54" s="239"/>
      <c r="BX54" s="239"/>
      <c r="BY54" s="239"/>
      <c r="BZ54" s="239"/>
      <c r="CA54" s="433"/>
      <c r="CB54" s="239"/>
      <c r="CC54" s="239"/>
      <c r="CD54" s="239"/>
      <c r="CE54" s="334"/>
      <c r="CF54" s="334"/>
      <c r="CG54" s="239"/>
      <c r="CH54" s="239"/>
      <c r="CI54" s="239"/>
      <c r="CJ54" s="239"/>
      <c r="CK54" s="239"/>
      <c r="CL54" s="239"/>
      <c r="CM54" s="239"/>
      <c r="CN54" s="239"/>
      <c r="CO54" s="239"/>
      <c r="CP54" s="239"/>
      <c r="CQ54" s="239"/>
      <c r="CR54" s="239"/>
      <c r="CS54" s="239"/>
      <c r="CT54" s="239"/>
      <c r="CU54" s="239"/>
      <c r="CV54" s="239"/>
      <c r="CW54" s="239"/>
      <c r="CX54" s="239"/>
      <c r="CY54" s="239"/>
      <c r="CZ54" s="239"/>
      <c r="DA54" s="239"/>
      <c r="DB54" s="231"/>
      <c r="DC54" s="231"/>
      <c r="DD54" s="231"/>
      <c r="DE54" s="231"/>
      <c r="DF54" s="231"/>
    </row>
    <row r="55" spans="2:110">
      <c r="B55" s="1063" t="s">
        <v>1671</v>
      </c>
      <c r="C55" s="1074" t="s">
        <v>214</v>
      </c>
      <c r="D55" s="1065" t="s">
        <v>87</v>
      </c>
      <c r="E55" s="1075">
        <f>SQRT(((E51*PI()/180)*E52/32.2)^2 +1)</f>
        <v>4.4244261776832685</v>
      </c>
      <c r="F55" s="1070"/>
      <c r="G55" s="231"/>
      <c r="H55" s="231"/>
      <c r="I55" s="1082"/>
      <c r="J55" s="1082"/>
      <c r="K55" s="231"/>
      <c r="L55" s="433"/>
      <c r="AJ55" s="335"/>
      <c r="AK55" s="335"/>
      <c r="AX55" s="238"/>
      <c r="AY55" s="94" t="s">
        <v>1978</v>
      </c>
      <c r="AZ55" s="94" t="s">
        <v>670</v>
      </c>
      <c r="BA55" s="94" t="s">
        <v>359</v>
      </c>
      <c r="BB55" s="661" t="s">
        <v>569</v>
      </c>
      <c r="BC55" s="602">
        <v>30</v>
      </c>
      <c r="BD55" s="662" t="s">
        <v>1979</v>
      </c>
      <c r="BE55" s="239"/>
      <c r="BF55" s="239"/>
      <c r="BG55" s="239"/>
      <c r="BH55" s="239"/>
      <c r="BI55" s="239"/>
      <c r="BJ55" s="239"/>
      <c r="BK55" s="239"/>
      <c r="BL55" s="239"/>
      <c r="BM55" s="239"/>
      <c r="BN55" s="239"/>
      <c r="BO55" s="239"/>
      <c r="BP55" s="239"/>
      <c r="BQ55" s="239"/>
      <c r="BR55" s="239"/>
      <c r="BS55" s="239"/>
      <c r="BT55" s="239"/>
      <c r="BU55" s="239"/>
      <c r="BV55" s="239"/>
      <c r="BW55" s="239"/>
      <c r="BX55" s="239"/>
      <c r="BY55" s="239"/>
      <c r="BZ55" s="239"/>
      <c r="CA55" s="433"/>
      <c r="CB55" s="239"/>
      <c r="CC55" s="239"/>
      <c r="CD55" s="239"/>
      <c r="CE55" s="334"/>
      <c r="CF55" s="334"/>
      <c r="CG55" s="239"/>
      <c r="CH55" s="239"/>
      <c r="CI55" s="239"/>
      <c r="CJ55" s="239"/>
      <c r="CK55" s="239"/>
      <c r="CL55" s="239"/>
      <c r="CM55" s="239"/>
      <c r="CN55" s="239"/>
      <c r="CO55" s="239"/>
      <c r="CP55" s="239"/>
      <c r="CQ55" s="239"/>
      <c r="CR55" s="239"/>
      <c r="CS55" s="239"/>
      <c r="CT55" s="239"/>
      <c r="CU55" s="239"/>
      <c r="CV55" s="239"/>
      <c r="CW55" s="239"/>
      <c r="CX55" s="239"/>
      <c r="CY55" s="239"/>
      <c r="CZ55" s="239"/>
      <c r="DA55" s="239"/>
      <c r="DB55" s="231"/>
      <c r="DC55" s="231"/>
      <c r="DD55" s="231"/>
      <c r="DE55" s="231"/>
      <c r="DF55" s="231"/>
    </row>
    <row r="56" spans="2:110" ht="15.6">
      <c r="B56" s="1076"/>
      <c r="C56" s="1065"/>
      <c r="D56" s="1065"/>
      <c r="E56" s="1074"/>
      <c r="F56" s="1070"/>
      <c r="G56" s="231"/>
      <c r="H56" s="231"/>
      <c r="I56" s="228"/>
      <c r="J56" s="228"/>
      <c r="K56" s="231"/>
      <c r="L56" s="433"/>
      <c r="AJ56" s="335"/>
      <c r="AK56" s="335"/>
      <c r="AX56" s="238"/>
      <c r="AY56" s="223" t="s">
        <v>1980</v>
      </c>
      <c r="AZ56" s="94" t="s">
        <v>1981</v>
      </c>
      <c r="BA56" s="94" t="s">
        <v>619</v>
      </c>
      <c r="BB56" s="661" t="s">
        <v>569</v>
      </c>
      <c r="BC56" s="501">
        <f>BC54*(PI()^2)*BC37/(((BC55/12)/BC53)^2)</f>
        <v>1859583.9779179387</v>
      </c>
      <c r="BD56" s="643"/>
      <c r="BE56" s="239"/>
      <c r="BF56" s="239"/>
      <c r="BG56" s="239"/>
      <c r="BH56" s="239"/>
      <c r="BI56" s="239"/>
      <c r="BJ56" s="239"/>
      <c r="BK56" s="239"/>
      <c r="BL56" s="239"/>
      <c r="BM56" s="239"/>
      <c r="BN56" s="239"/>
      <c r="BO56" s="239"/>
      <c r="BP56" s="239"/>
      <c r="BQ56" s="239"/>
      <c r="BR56" s="239"/>
      <c r="BS56" s="239"/>
      <c r="BT56" s="239"/>
      <c r="BU56" s="239"/>
      <c r="BV56" s="239"/>
      <c r="BW56" s="239"/>
      <c r="BX56" s="239"/>
      <c r="BY56" s="239"/>
      <c r="BZ56" s="239"/>
      <c r="CA56" s="433"/>
      <c r="CB56" s="239"/>
      <c r="CC56" s="239"/>
      <c r="CD56" s="239"/>
      <c r="CE56" s="334"/>
      <c r="CF56" s="334"/>
      <c r="CG56" s="239"/>
      <c r="CH56" s="239"/>
      <c r="CI56" s="239"/>
      <c r="CJ56" s="239"/>
      <c r="CK56" s="239"/>
      <c r="CL56" s="239"/>
      <c r="CM56" s="239"/>
      <c r="CN56" s="239"/>
      <c r="CO56" s="239"/>
      <c r="CP56" s="239"/>
      <c r="CQ56" s="239"/>
      <c r="CR56" s="239"/>
      <c r="CS56" s="239"/>
      <c r="CT56" s="239"/>
      <c r="CU56" s="239"/>
      <c r="CV56" s="239"/>
      <c r="CW56" s="239"/>
      <c r="CX56" s="239"/>
      <c r="CY56" s="239"/>
      <c r="CZ56" s="239"/>
      <c r="DA56" s="239"/>
      <c r="DB56" s="231"/>
      <c r="DC56" s="231"/>
      <c r="DD56" s="231"/>
      <c r="DE56" s="231"/>
      <c r="DF56" s="231"/>
    </row>
    <row r="57" spans="2:110" ht="15.6">
      <c r="B57" s="1076" t="s">
        <v>668</v>
      </c>
      <c r="C57" s="563" t="s">
        <v>89</v>
      </c>
      <c r="D57" s="563" t="s">
        <v>90</v>
      </c>
      <c r="E57" s="563" t="s">
        <v>91</v>
      </c>
      <c r="F57" s="1077" t="s">
        <v>352</v>
      </c>
      <c r="G57" s="231"/>
      <c r="H57" s="231"/>
      <c r="I57" s="228"/>
      <c r="J57" s="228"/>
      <c r="K57" s="231"/>
      <c r="L57" s="433"/>
      <c r="AJ57" s="335"/>
      <c r="AK57" s="335"/>
      <c r="AX57" s="238"/>
      <c r="AY57" s="223" t="s">
        <v>1982</v>
      </c>
      <c r="AZ57" s="94" t="s">
        <v>1983</v>
      </c>
      <c r="BA57" s="94" t="s">
        <v>619</v>
      </c>
      <c r="BB57" s="661" t="s">
        <v>569</v>
      </c>
      <c r="BC57" s="501">
        <f>BC56/BC16</f>
        <v>206620.44199088207</v>
      </c>
      <c r="BD57" s="643"/>
      <c r="BE57" s="239"/>
      <c r="BF57" s="239"/>
      <c r="BG57" s="239"/>
      <c r="BH57" s="239"/>
      <c r="BI57" s="239"/>
      <c r="BJ57" s="239"/>
      <c r="BK57" s="239"/>
      <c r="BL57" s="239"/>
      <c r="BM57" s="239"/>
      <c r="BN57" s="239"/>
      <c r="BO57" s="239"/>
      <c r="BP57" s="239"/>
      <c r="BQ57" s="239"/>
      <c r="BR57" s="239"/>
      <c r="BS57" s="239"/>
      <c r="BT57" s="239"/>
      <c r="BU57" s="239"/>
      <c r="BV57" s="239"/>
      <c r="BW57" s="239"/>
      <c r="BX57" s="239"/>
      <c r="BY57" s="239"/>
      <c r="BZ57" s="239"/>
      <c r="CA57" s="433"/>
      <c r="CB57" s="239"/>
      <c r="CC57" s="239"/>
      <c r="CD57" s="239"/>
      <c r="CE57" s="334"/>
      <c r="CF57" s="334"/>
      <c r="CG57" s="239"/>
      <c r="CH57" s="239"/>
      <c r="CI57" s="239"/>
      <c r="CJ57" s="239"/>
      <c r="CK57" s="239"/>
      <c r="CL57" s="239"/>
      <c r="CM57" s="239"/>
      <c r="CN57" s="239"/>
      <c r="CO57" s="239"/>
      <c r="CP57" s="239"/>
      <c r="CQ57" s="239"/>
      <c r="CR57" s="239"/>
      <c r="CS57" s="239"/>
      <c r="CT57" s="239"/>
      <c r="CU57" s="239"/>
      <c r="CV57" s="239"/>
      <c r="CW57" s="239"/>
      <c r="CX57" s="239"/>
      <c r="CY57" s="239"/>
      <c r="CZ57" s="239"/>
      <c r="DA57" s="239"/>
      <c r="DB57" s="231"/>
      <c r="DC57" s="231"/>
      <c r="DD57" s="231"/>
      <c r="DE57" s="231"/>
      <c r="DF57" s="231"/>
    </row>
    <row r="58" spans="2:110">
      <c r="B58" s="1063" t="s">
        <v>1666</v>
      </c>
      <c r="C58" s="1064" t="s">
        <v>643</v>
      </c>
      <c r="D58" s="1065" t="s">
        <v>188</v>
      </c>
      <c r="E58" s="1078">
        <f>'2'!D51</f>
        <v>3500</v>
      </c>
      <c r="F58" s="1067" t="s">
        <v>1679</v>
      </c>
      <c r="G58" s="223"/>
      <c r="H58" s="1083"/>
      <c r="I58" s="228"/>
      <c r="J58" s="228"/>
      <c r="K58" s="231"/>
      <c r="L58" s="433"/>
      <c r="AJ58" s="335"/>
      <c r="AK58" s="335"/>
      <c r="AX58" s="238"/>
      <c r="AY58" s="440" t="s">
        <v>998</v>
      </c>
      <c r="AZ58" s="231"/>
      <c r="BA58" s="231"/>
      <c r="BB58" s="94"/>
      <c r="BC58" s="94"/>
      <c r="BD58" s="652"/>
      <c r="BE58" s="239"/>
      <c r="BF58" s="239"/>
      <c r="BG58" s="239"/>
      <c r="BH58" s="239"/>
      <c r="BI58" s="239"/>
      <c r="BJ58" s="239"/>
      <c r="BK58" s="239"/>
      <c r="BL58" s="239"/>
      <c r="BM58" s="239"/>
      <c r="BN58" s="239"/>
      <c r="BO58" s="239"/>
      <c r="BP58" s="239"/>
      <c r="BQ58" s="239"/>
      <c r="BR58" s="239"/>
      <c r="BS58" s="239"/>
      <c r="BT58" s="239"/>
      <c r="BU58" s="239"/>
      <c r="BV58" s="239"/>
      <c r="BW58" s="239"/>
      <c r="BX58" s="239"/>
      <c r="BY58" s="239"/>
      <c r="BZ58" s="239"/>
      <c r="CA58" s="433"/>
      <c r="CB58" s="239"/>
      <c r="CC58" s="239"/>
      <c r="CD58" s="239"/>
      <c r="CE58" s="334"/>
      <c r="CF58" s="334"/>
      <c r="CG58" s="239"/>
      <c r="CH58" s="239"/>
      <c r="CI58" s="239"/>
      <c r="CJ58" s="239"/>
      <c r="CK58" s="239"/>
      <c r="CL58" s="239"/>
      <c r="CM58" s="239"/>
      <c r="CN58" s="239"/>
      <c r="CO58" s="239"/>
      <c r="CP58" s="239"/>
      <c r="CQ58" s="239"/>
      <c r="CR58" s="239"/>
      <c r="CS58" s="239"/>
      <c r="CT58" s="239"/>
      <c r="CU58" s="239"/>
      <c r="CV58" s="239"/>
      <c r="CW58" s="239"/>
      <c r="CX58" s="239"/>
      <c r="CY58" s="239"/>
      <c r="CZ58" s="239"/>
      <c r="DA58" s="239"/>
      <c r="DB58" s="231"/>
      <c r="DC58" s="231"/>
      <c r="DD58" s="231"/>
      <c r="DE58" s="231"/>
      <c r="DF58" s="231"/>
    </row>
    <row r="59" spans="2:110">
      <c r="B59" s="1063" t="s">
        <v>644</v>
      </c>
      <c r="C59" s="1064" t="s">
        <v>51</v>
      </c>
      <c r="D59" s="1065" t="s">
        <v>87</v>
      </c>
      <c r="E59" s="1068">
        <f>'2'!E51</f>
        <v>0.15</v>
      </c>
      <c r="F59" s="1067" t="s">
        <v>1680</v>
      </c>
      <c r="G59" s="223"/>
      <c r="H59" s="1083"/>
      <c r="I59" s="228"/>
      <c r="J59" s="228"/>
      <c r="K59" s="231"/>
      <c r="L59" s="433"/>
      <c r="AJ59" s="335"/>
      <c r="AK59" s="335"/>
      <c r="AX59" s="238"/>
      <c r="AY59" s="94" t="s">
        <v>1984</v>
      </c>
      <c r="AZ59" s="94" t="s">
        <v>1985</v>
      </c>
      <c r="BA59" s="94" t="s">
        <v>87</v>
      </c>
      <c r="BB59" s="210">
        <v>4</v>
      </c>
      <c r="BC59" s="641">
        <v>3</v>
      </c>
      <c r="BD59" s="318" t="s">
        <v>1986</v>
      </c>
      <c r="BE59" s="239"/>
      <c r="BF59" s="239"/>
      <c r="BG59" s="239"/>
      <c r="BH59" s="239"/>
      <c r="BI59" s="239"/>
      <c r="BJ59" s="239"/>
      <c r="BK59" s="239"/>
      <c r="BL59" s="239"/>
      <c r="BM59" s="239"/>
      <c r="BN59" s="239"/>
      <c r="BO59" s="239"/>
      <c r="BP59" s="239"/>
      <c r="BQ59" s="239"/>
      <c r="BR59" s="239"/>
      <c r="BS59" s="239"/>
      <c r="BT59" s="239"/>
      <c r="BU59" s="239"/>
      <c r="BV59" s="239"/>
      <c r="BW59" s="239"/>
      <c r="BX59" s="239"/>
      <c r="BY59" s="239"/>
      <c r="BZ59" s="239"/>
      <c r="CA59" s="433"/>
      <c r="CB59" s="239"/>
      <c r="CC59" s="239"/>
      <c r="CD59" s="239"/>
      <c r="CE59" s="334"/>
      <c r="CF59" s="334"/>
      <c r="CG59" s="239"/>
      <c r="CH59" s="239"/>
      <c r="CI59" s="239"/>
      <c r="CJ59" s="239"/>
      <c r="CK59" s="239"/>
      <c r="CL59" s="239"/>
      <c r="CM59" s="239"/>
      <c r="CN59" s="239"/>
      <c r="CO59" s="239"/>
      <c r="CP59" s="239"/>
      <c r="CQ59" s="239"/>
      <c r="CR59" s="239"/>
      <c r="CS59" s="239"/>
      <c r="CT59" s="239"/>
      <c r="CU59" s="239"/>
      <c r="CV59" s="239"/>
      <c r="CW59" s="239"/>
      <c r="CX59" s="239"/>
      <c r="CY59" s="239"/>
      <c r="CZ59" s="239"/>
      <c r="DA59" s="239"/>
      <c r="DB59" s="231"/>
      <c r="DC59" s="231"/>
      <c r="DD59" s="231"/>
      <c r="DE59" s="231"/>
      <c r="DF59" s="231"/>
    </row>
    <row r="60" spans="2:110" ht="18.600000000000001">
      <c r="B60" s="1063" t="s">
        <v>1681</v>
      </c>
      <c r="C60" s="1071" t="s">
        <v>1682</v>
      </c>
      <c r="D60" s="1065" t="s">
        <v>612</v>
      </c>
      <c r="E60" s="1069">
        <f>'3'!E10</f>
        <v>38</v>
      </c>
      <c r="F60" s="1067" t="s">
        <v>1683</v>
      </c>
      <c r="G60" s="223"/>
      <c r="H60" s="1083"/>
      <c r="I60" s="228"/>
      <c r="J60" s="228"/>
      <c r="K60" s="231"/>
      <c r="L60" s="433"/>
      <c r="AJ60" s="335"/>
      <c r="AK60" s="335"/>
      <c r="AX60" s="238"/>
      <c r="AY60" s="1148" t="s">
        <v>1987</v>
      </c>
      <c r="AZ60" s="239"/>
      <c r="BA60" s="239"/>
      <c r="BB60" s="321" t="s">
        <v>569</v>
      </c>
      <c r="BC60" s="195">
        <f>(BC30^2)*VLOOKUP(BC59,C268:N277,12)</f>
        <v>2.2500000000000004</v>
      </c>
      <c r="BD60" s="648"/>
      <c r="BE60" s="239"/>
      <c r="BF60" s="239"/>
      <c r="BG60" s="239"/>
      <c r="BH60" s="239"/>
      <c r="BI60" s="239"/>
      <c r="BJ60" s="239"/>
      <c r="BK60" s="239"/>
      <c r="BL60" s="239"/>
      <c r="BM60" s="239"/>
      <c r="BN60" s="239"/>
      <c r="BO60" s="239"/>
      <c r="BP60" s="239"/>
      <c r="BQ60" s="239"/>
      <c r="BR60" s="239"/>
      <c r="BS60" s="239"/>
      <c r="BT60" s="239"/>
      <c r="BU60" s="239"/>
      <c r="BV60" s="239"/>
      <c r="BW60" s="239"/>
      <c r="BX60" s="239"/>
      <c r="BY60" s="239"/>
      <c r="BZ60" s="239"/>
      <c r="CA60" s="433"/>
      <c r="CB60" s="239"/>
      <c r="CC60" s="239"/>
      <c r="CD60" s="239"/>
      <c r="CE60" s="334"/>
      <c r="CF60" s="334"/>
      <c r="CG60" s="239"/>
      <c r="CH60" s="239"/>
      <c r="CI60" s="239"/>
      <c r="CJ60" s="239"/>
      <c r="CK60" s="239"/>
      <c r="CL60" s="239"/>
      <c r="CM60" s="239"/>
      <c r="CN60" s="239"/>
      <c r="CO60" s="239"/>
      <c r="CP60" s="239"/>
      <c r="CQ60" s="239"/>
      <c r="CR60" s="239"/>
      <c r="CS60" s="239"/>
      <c r="CT60" s="239"/>
      <c r="CU60" s="239"/>
      <c r="CV60" s="239"/>
      <c r="CW60" s="239"/>
      <c r="CX60" s="239"/>
      <c r="CY60" s="239"/>
      <c r="CZ60" s="239"/>
      <c r="DA60" s="239"/>
      <c r="DB60" s="231"/>
      <c r="DC60" s="231"/>
      <c r="DD60" s="231"/>
      <c r="DE60" s="231"/>
      <c r="DF60" s="231"/>
    </row>
    <row r="61" spans="2:110" ht="15.6">
      <c r="B61" s="1063" t="s">
        <v>680</v>
      </c>
      <c r="C61" s="1064" t="s">
        <v>49</v>
      </c>
      <c r="D61" s="1065" t="s">
        <v>658</v>
      </c>
      <c r="E61" s="228">
        <f>IF($E$7=1,(E59*(1036-0.0034*(E58-20000))),(E59*((-1.674918E-27*(E58^6)) + (7.808861E-22*(E58^5)) - (1.333876E-16*(E58^4)) + (0.00000000001022912*(E58^3)) - (0.0000003047813*(E58^2)) - (0.0009459332*E58) + 1111.001)))</f>
        <v>165.65634404630282</v>
      </c>
      <c r="F61" s="1070"/>
      <c r="G61" s="223"/>
      <c r="H61" s="1083"/>
      <c r="I61" s="228"/>
      <c r="J61" s="228"/>
      <c r="K61" s="231"/>
      <c r="L61" s="433"/>
      <c r="AJ61" s="335"/>
      <c r="AK61" s="335"/>
      <c r="AX61" s="238"/>
      <c r="AY61" s="94" t="s">
        <v>1988</v>
      </c>
      <c r="AZ61" s="94" t="s">
        <v>1989</v>
      </c>
      <c r="BA61" s="94" t="s">
        <v>1951</v>
      </c>
      <c r="BB61" s="321" t="s">
        <v>569</v>
      </c>
      <c r="BC61" s="191">
        <f>4*BC43*BC60</f>
        <v>3.9768749999999999E-2</v>
      </c>
      <c r="BD61" s="649"/>
      <c r="BE61" s="239"/>
      <c r="BF61" s="239"/>
      <c r="BG61" s="239"/>
      <c r="BH61" s="239"/>
      <c r="BI61" s="239"/>
      <c r="BJ61" s="239"/>
      <c r="BK61" s="239"/>
      <c r="BL61" s="239"/>
      <c r="BM61" s="239"/>
      <c r="BN61" s="239"/>
      <c r="BO61" s="239"/>
      <c r="BP61" s="239"/>
      <c r="BQ61" s="239"/>
      <c r="BR61" s="239"/>
      <c r="BS61" s="239"/>
      <c r="BT61" s="239"/>
      <c r="BU61" s="239"/>
      <c r="BV61" s="239"/>
      <c r="BW61" s="239"/>
      <c r="BX61" s="239"/>
      <c r="BY61" s="239"/>
      <c r="BZ61" s="239"/>
      <c r="CA61" s="433"/>
      <c r="CB61" s="239"/>
      <c r="CC61" s="239"/>
      <c r="CD61" s="239"/>
      <c r="CE61" s="334"/>
      <c r="CF61" s="334"/>
      <c r="CG61" s="239"/>
      <c r="CH61" s="239"/>
      <c r="CI61" s="239"/>
      <c r="CJ61" s="239"/>
      <c r="CK61" s="239"/>
      <c r="CL61" s="239"/>
      <c r="CM61" s="239"/>
      <c r="CN61" s="239"/>
      <c r="CO61" s="239"/>
      <c r="CP61" s="239"/>
      <c r="CQ61" s="239"/>
      <c r="CR61" s="239"/>
      <c r="CS61" s="239"/>
      <c r="CT61" s="239"/>
      <c r="CU61" s="239"/>
      <c r="CV61" s="239"/>
      <c r="CW61" s="239"/>
      <c r="CX61" s="239"/>
      <c r="CY61" s="239"/>
      <c r="CZ61" s="239"/>
      <c r="DA61" s="239"/>
      <c r="DB61" s="231"/>
      <c r="DC61" s="231"/>
      <c r="DD61" s="231"/>
      <c r="DE61" s="231"/>
      <c r="DF61" s="231"/>
    </row>
    <row r="62" spans="2:110" ht="15.6">
      <c r="B62" s="1063" t="s">
        <v>41</v>
      </c>
      <c r="C62" s="1071" t="s">
        <v>50</v>
      </c>
      <c r="D62" s="1065" t="s">
        <v>673</v>
      </c>
      <c r="E62" s="1072">
        <f>IF($E$7=1,(IF($E58&lt;10000,((1-0.00002615*$E58)*0.076474/32.174),IF($E58&gt;40000,(((-0.0000091*$E58+0.6211)*0.076474)/32.174),(((-0.00001681*$E58+0.9066)*0.076474)/32.174)))),((1.188467E-32*($E58^6)) - (3.738363E-27*($E58^5)) + (4.423426E-22*($E58^4)) - (2.646824E-17*($E58^3)) + (0.000000000001273176*($E58^2)) - (0.00000007347109*$E58) + 0.002383333))</f>
        <v>2.1407102026352511E-3</v>
      </c>
      <c r="F62" s="1070"/>
      <c r="G62" s="223"/>
      <c r="H62" s="1083"/>
      <c r="I62" s="228"/>
      <c r="J62" s="228"/>
      <c r="K62" s="231"/>
      <c r="L62" s="433"/>
      <c r="AX62" s="238"/>
      <c r="AY62" s="223" t="s">
        <v>1939</v>
      </c>
      <c r="AZ62" s="223" t="s">
        <v>1940</v>
      </c>
      <c r="BA62" s="223" t="s">
        <v>619</v>
      </c>
      <c r="BB62" s="501">
        <f>(BB17/BB59)*((BB45/12)/2)/BB52</f>
        <v>729992.98556023592</v>
      </c>
      <c r="BC62" s="501">
        <f>BC17*BC30*COS((PI()/2)/BC59)/BC61</f>
        <v>127765.05125454252</v>
      </c>
      <c r="BD62" s="643"/>
      <c r="BE62" s="239"/>
      <c r="BF62" s="239"/>
      <c r="BG62" s="239"/>
      <c r="BH62" s="239"/>
      <c r="BI62" s="239"/>
      <c r="BJ62" s="239"/>
      <c r="BK62" s="239"/>
      <c r="BL62" s="239"/>
      <c r="BM62" s="239"/>
      <c r="BN62" s="239"/>
      <c r="BO62" s="239"/>
      <c r="BP62" s="239"/>
      <c r="BQ62" s="239"/>
      <c r="BR62" s="239"/>
      <c r="BS62" s="239"/>
      <c r="BT62" s="239"/>
      <c r="BU62" s="239"/>
      <c r="BV62" s="239"/>
      <c r="BW62" s="239"/>
      <c r="BX62" s="239"/>
      <c r="BY62" s="239"/>
      <c r="BZ62" s="239"/>
      <c r="CA62" s="433"/>
      <c r="CB62" s="239"/>
      <c r="CC62" s="239"/>
      <c r="CD62" s="239"/>
      <c r="CE62" s="334"/>
      <c r="CF62" s="334"/>
      <c r="CG62" s="239"/>
      <c r="CH62" s="239"/>
      <c r="CI62" s="239"/>
      <c r="CJ62" s="239"/>
      <c r="CK62" s="239"/>
      <c r="CL62" s="239"/>
      <c r="CM62" s="239"/>
      <c r="CN62" s="239"/>
      <c r="CO62" s="239"/>
      <c r="CP62" s="239"/>
      <c r="CQ62" s="239"/>
      <c r="CR62" s="239"/>
      <c r="CS62" s="239"/>
      <c r="CT62" s="239"/>
      <c r="CU62" s="239"/>
      <c r="CV62" s="239"/>
      <c r="CW62" s="239"/>
      <c r="CX62" s="239"/>
      <c r="CY62" s="239"/>
      <c r="CZ62" s="239"/>
      <c r="DA62" s="239"/>
      <c r="DB62" s="231"/>
      <c r="DC62" s="231"/>
      <c r="DD62" s="231"/>
      <c r="DE62" s="231"/>
      <c r="DF62" s="231"/>
    </row>
    <row r="63" spans="2:110" ht="15.6">
      <c r="B63" s="1063" t="s">
        <v>1670</v>
      </c>
      <c r="C63" s="1064" t="s">
        <v>47</v>
      </c>
      <c r="D63" s="1065" t="s">
        <v>619</v>
      </c>
      <c r="E63" s="1073">
        <f>0.5*E62*(E61^2)</f>
        <v>29.372710724377477</v>
      </c>
      <c r="F63" s="1070"/>
      <c r="G63" s="223"/>
      <c r="H63" s="1083"/>
      <c r="I63" s="228"/>
      <c r="J63" s="228"/>
      <c r="K63" s="231"/>
      <c r="L63" s="433"/>
      <c r="AX63" s="238"/>
      <c r="AY63" s="223" t="s">
        <v>1990</v>
      </c>
      <c r="AZ63" s="223" t="s">
        <v>1991</v>
      </c>
      <c r="BA63" s="223" t="s">
        <v>87</v>
      </c>
      <c r="BB63" s="1177">
        <f>BB62/BB39</f>
        <v>0.78663037237094391</v>
      </c>
      <c r="BC63" s="1177">
        <f>BC62/BC57</f>
        <v>0.61835629632512668</v>
      </c>
      <c r="BD63" s="650"/>
      <c r="BE63" s="239"/>
      <c r="BF63" s="239"/>
      <c r="BG63" s="239"/>
      <c r="BH63" s="239"/>
      <c r="BI63" s="239"/>
      <c r="BJ63" s="239"/>
      <c r="BK63" s="239"/>
      <c r="BL63" s="239"/>
      <c r="BM63" s="239"/>
      <c r="BN63" s="239"/>
      <c r="BO63" s="239"/>
      <c r="BP63" s="239"/>
      <c r="BQ63" s="239"/>
      <c r="BR63" s="239"/>
      <c r="BS63" s="239"/>
      <c r="BT63" s="239"/>
      <c r="BU63" s="239"/>
      <c r="BV63" s="239"/>
      <c r="BW63" s="239"/>
      <c r="BX63" s="239"/>
      <c r="BY63" s="239"/>
      <c r="BZ63" s="239"/>
      <c r="CA63" s="433"/>
      <c r="CB63" s="239"/>
      <c r="CC63" s="239"/>
      <c r="CD63" s="239"/>
      <c r="CE63" s="334"/>
      <c r="CF63" s="334"/>
      <c r="CG63" s="239"/>
      <c r="CH63" s="239"/>
      <c r="CI63" s="239"/>
      <c r="CJ63" s="239"/>
      <c r="CK63" s="239"/>
      <c r="CL63" s="239"/>
      <c r="CM63" s="239"/>
      <c r="CN63" s="239"/>
      <c r="CO63" s="239"/>
      <c r="CP63" s="239"/>
      <c r="CQ63" s="239"/>
      <c r="CR63" s="239"/>
      <c r="CS63" s="239"/>
      <c r="CT63" s="239"/>
      <c r="CU63" s="239"/>
      <c r="CV63" s="239"/>
      <c r="CW63" s="239"/>
      <c r="CX63" s="239"/>
      <c r="CY63" s="239"/>
      <c r="CZ63" s="239"/>
      <c r="DA63" s="239"/>
      <c r="DB63" s="231"/>
      <c r="DC63" s="231"/>
      <c r="DD63" s="231"/>
      <c r="DE63" s="231"/>
      <c r="DF63" s="231"/>
    </row>
    <row r="64" spans="2:110">
      <c r="B64" s="1063" t="s">
        <v>1671</v>
      </c>
      <c r="C64" s="1074" t="s">
        <v>214</v>
      </c>
      <c r="D64" s="1065" t="s">
        <v>87</v>
      </c>
      <c r="E64" s="1075">
        <f>SQRT(((E60*PI()/180)*E61/32.2)^2 +1)</f>
        <v>3.5555542591346212</v>
      </c>
      <c r="F64" s="1070"/>
      <c r="G64" s="223"/>
      <c r="H64" s="1083"/>
      <c r="I64" s="228"/>
      <c r="J64" s="228"/>
      <c r="K64" s="231"/>
      <c r="L64" s="433"/>
      <c r="AX64" s="238"/>
      <c r="AY64" s="94" t="s">
        <v>1992</v>
      </c>
      <c r="AZ64" s="94" t="s">
        <v>1993</v>
      </c>
      <c r="BA64" s="94" t="s">
        <v>436</v>
      </c>
      <c r="BB64" s="501">
        <f>BB59*BB14*BB43*BB40*(12^3)</f>
        <v>452.74488534678335</v>
      </c>
      <c r="BC64" s="501">
        <f>4*BC59*BC7*BC43*BC40*(12^3)</f>
        <v>123.87997439999999</v>
      </c>
      <c r="BD64" s="643"/>
      <c r="BE64" s="239"/>
      <c r="BF64" s="239"/>
      <c r="BG64" s="239"/>
      <c r="BH64" s="239"/>
      <c r="BI64" s="239"/>
      <c r="BJ64" s="239"/>
      <c r="BK64" s="239"/>
      <c r="BL64" s="239"/>
      <c r="BM64" s="239"/>
      <c r="BN64" s="239"/>
      <c r="BO64" s="239"/>
      <c r="BP64" s="239"/>
      <c r="BQ64" s="239"/>
      <c r="BR64" s="239"/>
      <c r="BS64" s="239"/>
      <c r="BT64" s="239"/>
      <c r="BU64" s="239"/>
      <c r="BV64" s="239"/>
      <c r="BW64" s="239"/>
      <c r="BX64" s="239"/>
      <c r="BY64" s="239"/>
      <c r="BZ64" s="239"/>
      <c r="CA64" s="433"/>
      <c r="CB64" s="239"/>
      <c r="CC64" s="239"/>
      <c r="CD64" s="239"/>
      <c r="CE64" s="334"/>
      <c r="CF64" s="334"/>
      <c r="CG64" s="239"/>
      <c r="CH64" s="239"/>
      <c r="CI64" s="239"/>
      <c r="CJ64" s="239"/>
      <c r="CK64" s="239"/>
      <c r="CL64" s="239"/>
      <c r="CM64" s="239"/>
      <c r="CN64" s="239"/>
      <c r="CO64" s="239"/>
      <c r="CP64" s="239"/>
      <c r="CQ64" s="239"/>
      <c r="CR64" s="239"/>
      <c r="CS64" s="239"/>
      <c r="CT64" s="239"/>
      <c r="CU64" s="239"/>
      <c r="CV64" s="239"/>
      <c r="CW64" s="239"/>
      <c r="CX64" s="239"/>
      <c r="CY64" s="239"/>
      <c r="CZ64" s="239"/>
      <c r="DA64" s="239"/>
      <c r="DB64" s="231"/>
      <c r="DC64" s="231"/>
      <c r="DD64" s="231"/>
      <c r="DE64" s="231"/>
      <c r="DF64" s="231"/>
    </row>
    <row r="65" spans="2:110">
      <c r="B65" s="1076"/>
      <c r="C65" s="1065"/>
      <c r="D65" s="1065"/>
      <c r="E65" s="1074"/>
      <c r="F65" s="1070"/>
      <c r="G65" s="223"/>
      <c r="H65" s="1083"/>
      <c r="I65" s="228"/>
      <c r="J65" s="228"/>
      <c r="K65" s="231"/>
      <c r="L65" s="433"/>
      <c r="AX65" s="238"/>
      <c r="AY65" s="231"/>
      <c r="AZ65" s="231"/>
      <c r="BA65" s="231"/>
      <c r="BB65" s="231"/>
      <c r="BC65" s="231"/>
      <c r="BD65" s="652"/>
      <c r="BE65" s="239"/>
      <c r="BF65" s="239"/>
      <c r="BG65" s="239"/>
      <c r="BH65" s="239"/>
      <c r="BI65" s="239"/>
      <c r="BJ65" s="239"/>
      <c r="BK65" s="239"/>
      <c r="BL65" s="239"/>
      <c r="BM65" s="239"/>
      <c r="BN65" s="239"/>
      <c r="BO65" s="239"/>
      <c r="BP65" s="239"/>
      <c r="BQ65" s="239"/>
      <c r="BR65" s="239"/>
      <c r="BS65" s="239"/>
      <c r="BT65" s="239"/>
      <c r="BU65" s="239"/>
      <c r="BV65" s="239"/>
      <c r="BW65" s="239"/>
      <c r="BX65" s="239"/>
      <c r="BY65" s="239"/>
      <c r="BZ65" s="239"/>
      <c r="CA65" s="433"/>
      <c r="CB65" s="239"/>
      <c r="CC65" s="239"/>
      <c r="CD65" s="239"/>
      <c r="CE65" s="334"/>
      <c r="CF65" s="334"/>
      <c r="CG65" s="239"/>
      <c r="CH65" s="239"/>
      <c r="CI65" s="239"/>
      <c r="CJ65" s="239"/>
      <c r="CK65" s="239"/>
      <c r="CL65" s="239"/>
      <c r="CM65" s="239"/>
      <c r="CN65" s="239"/>
      <c r="CO65" s="239"/>
      <c r="CP65" s="239"/>
      <c r="CQ65" s="239"/>
      <c r="CR65" s="239"/>
      <c r="CS65" s="239"/>
      <c r="CT65" s="239"/>
      <c r="CU65" s="239"/>
      <c r="CV65" s="239"/>
      <c r="CW65" s="239"/>
      <c r="CX65" s="239"/>
      <c r="CY65" s="239"/>
      <c r="CZ65" s="239"/>
      <c r="DA65" s="239"/>
      <c r="DB65" s="231"/>
      <c r="DC65" s="231"/>
      <c r="DD65" s="231"/>
      <c r="DE65" s="231"/>
      <c r="DF65" s="231"/>
    </row>
    <row r="66" spans="2:110">
      <c r="B66" s="1076" t="s">
        <v>1684</v>
      </c>
      <c r="C66" s="563" t="s">
        <v>89</v>
      </c>
      <c r="D66" s="563" t="s">
        <v>90</v>
      </c>
      <c r="E66" s="563" t="s">
        <v>91</v>
      </c>
      <c r="F66" s="1077" t="s">
        <v>352</v>
      </c>
      <c r="G66" s="223"/>
      <c r="H66" s="1083"/>
      <c r="I66" s="228"/>
      <c r="J66" s="228"/>
      <c r="K66" s="231"/>
      <c r="L66" s="433"/>
      <c r="AX66" s="238"/>
      <c r="AY66" s="231"/>
      <c r="AZ66" s="231"/>
      <c r="BA66" s="231"/>
      <c r="BB66" s="231"/>
      <c r="BC66" s="231"/>
      <c r="BD66" s="652"/>
      <c r="BE66" s="239"/>
      <c r="BF66" s="239"/>
      <c r="BG66" s="239"/>
      <c r="BH66" s="239"/>
      <c r="BI66" s="239"/>
      <c r="BJ66" s="239"/>
      <c r="BK66" s="239"/>
      <c r="BL66" s="239"/>
      <c r="BM66" s="239"/>
      <c r="BN66" s="239"/>
      <c r="BO66" s="239"/>
      <c r="BP66" s="239"/>
      <c r="BQ66" s="239"/>
      <c r="BR66" s="239"/>
      <c r="BS66" s="239"/>
      <c r="BT66" s="239"/>
      <c r="BU66" s="239"/>
      <c r="BV66" s="239"/>
      <c r="BW66" s="239"/>
      <c r="BX66" s="239"/>
      <c r="BY66" s="239"/>
      <c r="BZ66" s="239"/>
      <c r="CA66" s="433"/>
      <c r="CB66" s="239"/>
      <c r="CC66" s="239"/>
      <c r="CD66" s="239"/>
      <c r="CE66" s="334"/>
      <c r="CF66" s="334"/>
      <c r="CG66" s="239"/>
      <c r="CH66" s="239"/>
      <c r="CI66" s="239"/>
      <c r="CJ66" s="239"/>
      <c r="CK66" s="239"/>
      <c r="CL66" s="239"/>
      <c r="CM66" s="239"/>
      <c r="CN66" s="239"/>
      <c r="CO66" s="239"/>
      <c r="CP66" s="239"/>
      <c r="CQ66" s="239"/>
      <c r="CR66" s="239"/>
      <c r="CS66" s="239"/>
      <c r="CT66" s="239"/>
      <c r="CU66" s="239"/>
      <c r="CV66" s="239"/>
      <c r="CW66" s="239"/>
      <c r="CX66" s="239"/>
      <c r="CY66" s="239"/>
      <c r="CZ66" s="239"/>
      <c r="DA66" s="239"/>
      <c r="DB66" s="231"/>
      <c r="DC66" s="231"/>
      <c r="DD66" s="231"/>
      <c r="DE66" s="231"/>
      <c r="DF66" s="231"/>
    </row>
    <row r="67" spans="2:110" ht="15.6">
      <c r="B67" s="1063" t="s">
        <v>1685</v>
      </c>
      <c r="C67" s="1065" t="s">
        <v>1398</v>
      </c>
      <c r="D67" s="1065" t="s">
        <v>87</v>
      </c>
      <c r="E67" s="1079">
        <f>'9'!N14</f>
        <v>1.830240380013596</v>
      </c>
      <c r="F67" s="1067" t="s">
        <v>2479</v>
      </c>
      <c r="G67" s="223"/>
      <c r="H67" s="1083"/>
      <c r="I67" s="228"/>
      <c r="J67" s="228"/>
      <c r="K67" s="231"/>
      <c r="L67" s="433"/>
      <c r="AX67" s="238"/>
      <c r="AY67" s="231"/>
      <c r="AZ67" s="231"/>
      <c r="BA67" s="231"/>
      <c r="BB67" s="231"/>
      <c r="BC67" s="231"/>
      <c r="BD67" s="652"/>
      <c r="BE67" s="239"/>
      <c r="BF67" s="239"/>
      <c r="BG67" s="239"/>
      <c r="BH67" s="239"/>
      <c r="BI67" s="239"/>
      <c r="BJ67" s="239"/>
      <c r="BK67" s="239"/>
      <c r="BL67" s="239"/>
      <c r="BM67" s="239"/>
      <c r="BN67" s="239"/>
      <c r="BO67" s="239"/>
      <c r="BP67" s="239"/>
      <c r="BQ67" s="239"/>
      <c r="BR67" s="239"/>
      <c r="BS67" s="239"/>
      <c r="BT67" s="239"/>
      <c r="BU67" s="239"/>
      <c r="BV67" s="239"/>
      <c r="BW67" s="239"/>
      <c r="BX67" s="239"/>
      <c r="BY67" s="239"/>
      <c r="BZ67" s="239"/>
      <c r="CA67" s="433"/>
      <c r="CB67" s="239"/>
      <c r="CC67" s="239"/>
      <c r="CD67" s="239"/>
      <c r="CE67" s="334"/>
      <c r="CF67" s="334"/>
      <c r="CG67" s="239"/>
      <c r="CH67" s="239"/>
      <c r="CI67" s="239"/>
      <c r="CJ67" s="239"/>
      <c r="CK67" s="239"/>
      <c r="CL67" s="239"/>
      <c r="CM67" s="239"/>
      <c r="CN67" s="239"/>
      <c r="CO67" s="239"/>
      <c r="CP67" s="239"/>
      <c r="CQ67" s="239"/>
      <c r="CR67" s="239"/>
      <c r="CS67" s="239"/>
      <c r="CT67" s="239"/>
      <c r="CU67" s="239"/>
      <c r="CV67" s="239"/>
      <c r="CW67" s="239"/>
      <c r="CX67" s="239"/>
      <c r="CY67" s="239"/>
      <c r="CZ67" s="239"/>
      <c r="DA67" s="239"/>
      <c r="DB67" s="231"/>
      <c r="DC67" s="231"/>
      <c r="DD67" s="231"/>
      <c r="DE67" s="231"/>
      <c r="DF67" s="231"/>
    </row>
    <row r="68" spans="2:110" ht="26.4">
      <c r="B68" s="1063" t="s">
        <v>1687</v>
      </c>
      <c r="C68" s="1071" t="s">
        <v>615</v>
      </c>
      <c r="D68" s="1065" t="s">
        <v>165</v>
      </c>
      <c r="E68" s="1084">
        <f>'8'!F11</f>
        <v>6</v>
      </c>
      <c r="F68" s="1067" t="s">
        <v>1688</v>
      </c>
      <c r="G68" s="223"/>
      <c r="H68" s="1083"/>
      <c r="I68" s="228"/>
      <c r="J68" s="228"/>
      <c r="K68" s="231"/>
      <c r="L68" s="433"/>
      <c r="AX68" s="238"/>
      <c r="AY68" s="231"/>
      <c r="AZ68" s="231"/>
      <c r="BA68" s="231"/>
      <c r="BB68" s="231"/>
      <c r="BC68" s="231"/>
      <c r="BD68" s="652"/>
      <c r="BE68" s="239"/>
      <c r="BF68" s="239"/>
      <c r="BG68" s="239"/>
      <c r="BH68" s="239"/>
      <c r="BI68" s="239"/>
      <c r="BJ68" s="239"/>
      <c r="BK68" s="239"/>
      <c r="BL68" s="239"/>
      <c r="BM68" s="239"/>
      <c r="BN68" s="239"/>
      <c r="BO68" s="239"/>
      <c r="BP68" s="239"/>
      <c r="BQ68" s="239"/>
      <c r="BR68" s="239"/>
      <c r="BS68" s="239"/>
      <c r="BT68" s="239"/>
      <c r="BU68" s="239"/>
      <c r="BV68" s="239"/>
      <c r="BW68" s="239"/>
      <c r="BX68" s="239"/>
      <c r="BY68" s="239"/>
      <c r="BZ68" s="231"/>
      <c r="CA68" s="693"/>
      <c r="CB68" s="239"/>
      <c r="CC68" s="239"/>
      <c r="CD68" s="334"/>
      <c r="CE68" s="334"/>
      <c r="CF68" s="239"/>
      <c r="CG68" s="239"/>
      <c r="CH68" s="239"/>
      <c r="CI68" s="239"/>
      <c r="CJ68" s="239"/>
      <c r="CK68" s="239"/>
      <c r="CL68" s="239"/>
      <c r="CM68" s="239"/>
      <c r="CN68" s="239"/>
      <c r="CO68" s="239"/>
      <c r="CP68" s="239"/>
      <c r="CQ68" s="239"/>
      <c r="CR68" s="239"/>
      <c r="CS68" s="239"/>
      <c r="CT68" s="239"/>
      <c r="CU68" s="239"/>
      <c r="CV68" s="239"/>
      <c r="CW68" s="239"/>
      <c r="CX68" s="239"/>
      <c r="CY68" s="239"/>
      <c r="CZ68" s="239"/>
      <c r="DA68" s="231"/>
      <c r="DB68" s="231"/>
      <c r="DC68" s="231"/>
      <c r="DD68" s="231"/>
      <c r="DE68" s="231"/>
      <c r="DF68" s="231"/>
    </row>
    <row r="69" spans="2:110">
      <c r="B69" s="1063" t="s">
        <v>1689</v>
      </c>
      <c r="C69" s="1064" t="s">
        <v>1497</v>
      </c>
      <c r="D69" s="1065" t="s">
        <v>1380</v>
      </c>
      <c r="E69" s="1085">
        <f>SIN(E68*PI()/180)</f>
        <v>0.10452846326765346</v>
      </c>
      <c r="F69" s="1070"/>
      <c r="G69" s="223"/>
      <c r="H69" s="1083"/>
      <c r="I69" s="228"/>
      <c r="J69" s="228"/>
      <c r="K69" s="231"/>
      <c r="L69" s="433"/>
      <c r="AX69" s="238"/>
      <c r="AY69" s="231"/>
      <c r="AZ69" s="231"/>
      <c r="BA69" s="231"/>
      <c r="BB69" s="231"/>
      <c r="BC69" s="231"/>
      <c r="BD69" s="652"/>
      <c r="BE69" s="239"/>
      <c r="BF69" s="239"/>
      <c r="BG69" s="239"/>
      <c r="BH69" s="239"/>
      <c r="BI69" s="239"/>
      <c r="BJ69" s="239"/>
      <c r="BK69" s="239"/>
      <c r="BL69" s="239"/>
      <c r="BM69" s="239"/>
      <c r="BN69" s="239"/>
      <c r="BO69" s="239"/>
      <c r="BP69" s="239"/>
      <c r="BQ69" s="239"/>
      <c r="BR69" s="239"/>
      <c r="BS69" s="239"/>
      <c r="BT69" s="239"/>
      <c r="BU69" s="239"/>
      <c r="BV69" s="239"/>
      <c r="BW69" s="239"/>
      <c r="BX69" s="239"/>
      <c r="BY69" s="239"/>
      <c r="BZ69" s="231"/>
      <c r="CA69" s="693"/>
      <c r="CB69" s="239"/>
      <c r="CC69" s="239"/>
      <c r="CD69" s="334"/>
      <c r="CE69" s="334"/>
      <c r="CF69" s="239"/>
      <c r="CG69" s="239"/>
      <c r="CH69" s="239"/>
      <c r="CI69" s="239"/>
      <c r="CJ69" s="239"/>
      <c r="CK69" s="239"/>
      <c r="CL69" s="239"/>
      <c r="CM69" s="239"/>
      <c r="CN69" s="239"/>
      <c r="CO69" s="239"/>
      <c r="CP69" s="239"/>
      <c r="CQ69" s="239"/>
      <c r="CR69" s="239"/>
      <c r="CS69" s="239"/>
      <c r="CT69" s="239"/>
      <c r="CU69" s="239"/>
      <c r="CV69" s="239"/>
      <c r="CW69" s="239"/>
      <c r="CX69" s="239"/>
      <c r="CY69" s="239"/>
      <c r="CZ69" s="239"/>
      <c r="DA69" s="231"/>
      <c r="DB69" s="231"/>
      <c r="DC69" s="231"/>
      <c r="DD69" s="231"/>
      <c r="DE69" s="231"/>
      <c r="DF69" s="231"/>
    </row>
    <row r="70" spans="2:110" ht="13.8" thickBot="1">
      <c r="B70" s="1063" t="s">
        <v>1690</v>
      </c>
      <c r="C70" s="1065" t="s">
        <v>1691</v>
      </c>
      <c r="D70" s="1065" t="s">
        <v>87</v>
      </c>
      <c r="E70" s="1086">
        <f>'8'!F16</f>
        <v>0.51566789330534968</v>
      </c>
      <c r="F70" s="1067" t="s">
        <v>1692</v>
      </c>
      <c r="G70" s="223"/>
      <c r="H70" s="1083"/>
      <c r="I70" s="228"/>
      <c r="J70" s="228"/>
      <c r="K70" s="231"/>
      <c r="L70" s="433"/>
      <c r="AX70" s="235"/>
      <c r="AY70" s="231"/>
      <c r="AZ70" s="231"/>
      <c r="BA70" s="231"/>
      <c r="BB70" s="231"/>
      <c r="BC70" s="652"/>
      <c r="BD70" s="239"/>
      <c r="BE70" s="239"/>
      <c r="BF70" s="239"/>
      <c r="BG70" s="239"/>
      <c r="BH70" s="239"/>
      <c r="BI70" s="239"/>
      <c r="BJ70" s="239"/>
      <c r="BK70" s="239"/>
      <c r="BL70" s="239"/>
      <c r="BM70" s="239"/>
      <c r="BN70" s="239"/>
      <c r="BO70" s="239"/>
      <c r="BP70" s="239"/>
      <c r="BQ70" s="239"/>
      <c r="BR70" s="239"/>
      <c r="BS70" s="239"/>
      <c r="BT70" s="239"/>
      <c r="BU70" s="239"/>
      <c r="BV70" s="239"/>
      <c r="BW70" s="239"/>
      <c r="BX70" s="239"/>
      <c r="BY70" s="231"/>
      <c r="BZ70" s="231"/>
      <c r="CA70" s="433"/>
      <c r="CB70" s="231"/>
      <c r="CC70" s="231"/>
      <c r="CD70" s="231"/>
      <c r="CE70" s="231"/>
      <c r="CF70" s="231"/>
      <c r="CG70" s="231"/>
      <c r="CH70" s="231"/>
      <c r="CI70" s="231"/>
      <c r="CJ70" s="231"/>
      <c r="CK70" s="231"/>
      <c r="CL70" s="231"/>
      <c r="CM70" s="231"/>
      <c r="CN70" s="239"/>
      <c r="CO70" s="239"/>
      <c r="CP70" s="239"/>
      <c r="CQ70" s="239"/>
      <c r="CR70" s="239"/>
      <c r="CS70" s="239"/>
      <c r="CT70" s="239"/>
      <c r="CU70" s="239"/>
      <c r="CV70" s="239"/>
      <c r="CW70" s="239"/>
      <c r="CX70" s="239"/>
      <c r="CY70" s="239"/>
      <c r="CZ70" s="239"/>
      <c r="DA70" s="231"/>
      <c r="DB70" s="231"/>
      <c r="DC70" s="231"/>
      <c r="DD70" s="231"/>
      <c r="DE70" s="231"/>
      <c r="DF70" s="231"/>
    </row>
    <row r="71" spans="2:110">
      <c r="B71" s="1063" t="s">
        <v>1671</v>
      </c>
      <c r="C71" s="1064" t="s">
        <v>1693</v>
      </c>
      <c r="D71" s="1065" t="s">
        <v>87</v>
      </c>
      <c r="E71" s="1075">
        <f>(E70-E69)/((E11/E67)+((1/(PI()*E12*E13))*E67))</f>
        <v>3.1921380546854894</v>
      </c>
      <c r="F71" s="1067"/>
      <c r="G71" s="223"/>
      <c r="H71" s="1083"/>
      <c r="I71" s="228"/>
      <c r="J71" s="228"/>
      <c r="K71" s="231"/>
      <c r="L71" s="433"/>
      <c r="AX71" s="565"/>
      <c r="AY71" s="229"/>
      <c r="AZ71" s="229"/>
      <c r="BA71" s="229"/>
      <c r="BB71" s="229"/>
      <c r="BC71" s="1137"/>
      <c r="BD71" s="449"/>
      <c r="BE71" s="449"/>
      <c r="BF71" s="449"/>
      <c r="BG71" s="449"/>
      <c r="BH71" s="449"/>
      <c r="BI71" s="449"/>
      <c r="BJ71" s="449"/>
      <c r="BK71" s="449"/>
      <c r="BL71" s="449"/>
      <c r="BM71" s="449"/>
      <c r="BN71" s="449"/>
      <c r="BO71" s="274" t="s">
        <v>788</v>
      </c>
      <c r="BP71" s="449">
        <v>8</v>
      </c>
      <c r="BQ71" s="449">
        <v>12</v>
      </c>
      <c r="BR71" s="449">
        <v>16</v>
      </c>
      <c r="BS71" s="449">
        <v>20</v>
      </c>
      <c r="BT71" s="449">
        <v>24</v>
      </c>
      <c r="BU71" s="449">
        <v>28</v>
      </c>
      <c r="BV71" s="449">
        <v>32</v>
      </c>
      <c r="BW71" s="449">
        <v>36</v>
      </c>
      <c r="BX71" s="449">
        <v>40</v>
      </c>
      <c r="BY71" s="229"/>
      <c r="BZ71" s="430"/>
      <c r="CA71" s="433"/>
      <c r="CB71" s="231"/>
      <c r="CC71" s="231"/>
      <c r="CD71" s="231"/>
      <c r="CE71" s="231"/>
      <c r="CF71" s="231"/>
      <c r="CG71" s="231"/>
      <c r="CH71" s="231"/>
      <c r="CI71" s="231"/>
      <c r="CJ71" s="231"/>
      <c r="CK71" s="231"/>
      <c r="CL71" s="231"/>
      <c r="CM71" s="231"/>
      <c r="CN71" s="239"/>
      <c r="CO71" s="239"/>
      <c r="CP71" s="239"/>
      <c r="CQ71" s="239"/>
      <c r="CR71" s="239"/>
      <c r="CS71" s="239"/>
      <c r="CT71" s="239"/>
      <c r="CU71" s="239"/>
      <c r="CV71" s="239"/>
      <c r="CW71" s="239"/>
      <c r="CX71" s="239"/>
      <c r="CY71" s="239"/>
      <c r="CZ71" s="239"/>
      <c r="DA71" s="231"/>
      <c r="DB71" s="231"/>
      <c r="DC71" s="231"/>
      <c r="DD71" s="231"/>
      <c r="DE71" s="231"/>
      <c r="DF71" s="231"/>
    </row>
    <row r="72" spans="2:110" ht="17.399999999999999">
      <c r="B72" s="1063"/>
      <c r="C72" s="1065"/>
      <c r="D72" s="1065"/>
      <c r="E72" s="1074"/>
      <c r="F72" s="1070"/>
      <c r="G72" s="223"/>
      <c r="H72" s="1083"/>
      <c r="I72" s="228"/>
      <c r="J72" s="228"/>
      <c r="K72" s="231"/>
      <c r="L72" s="433"/>
      <c r="AX72" s="235"/>
      <c r="AY72" s="1053" t="s">
        <v>1997</v>
      </c>
      <c r="AZ72" s="231"/>
      <c r="BA72" s="231"/>
      <c r="BB72" s="231"/>
      <c r="BC72" s="652"/>
      <c r="BD72" s="239"/>
      <c r="BE72" s="239"/>
      <c r="BF72" s="239"/>
      <c r="BG72" s="239"/>
      <c r="BH72" s="239"/>
      <c r="BI72" s="239"/>
      <c r="BJ72" s="239"/>
      <c r="BK72" s="239"/>
      <c r="BL72" s="239"/>
      <c r="BM72" s="239"/>
      <c r="BN72" s="239"/>
      <c r="BO72" s="94" t="s">
        <v>1995</v>
      </c>
      <c r="BP72" s="239">
        <f t="shared" ref="BP72:BX72" si="4">BP71/4</f>
        <v>2</v>
      </c>
      <c r="BQ72" s="239">
        <f t="shared" si="4"/>
        <v>3</v>
      </c>
      <c r="BR72" s="239">
        <f t="shared" si="4"/>
        <v>4</v>
      </c>
      <c r="BS72" s="239">
        <f t="shared" si="4"/>
        <v>5</v>
      </c>
      <c r="BT72" s="239">
        <f t="shared" si="4"/>
        <v>6</v>
      </c>
      <c r="BU72" s="239">
        <f t="shared" si="4"/>
        <v>7</v>
      </c>
      <c r="BV72" s="239">
        <f t="shared" si="4"/>
        <v>8</v>
      </c>
      <c r="BW72" s="239">
        <f t="shared" si="4"/>
        <v>9</v>
      </c>
      <c r="BX72" s="239">
        <f t="shared" si="4"/>
        <v>10</v>
      </c>
      <c r="BY72" s="231"/>
      <c r="BZ72" s="460"/>
      <c r="CA72" s="433"/>
      <c r="CB72" s="231"/>
      <c r="CC72" s="231"/>
      <c r="CD72" s="231"/>
      <c r="CE72" s="231"/>
      <c r="CF72" s="231"/>
      <c r="CG72" s="231"/>
      <c r="CH72" s="231"/>
      <c r="CI72" s="231"/>
      <c r="CJ72" s="231"/>
      <c r="CK72" s="231"/>
      <c r="CL72" s="231"/>
      <c r="CM72" s="231"/>
      <c r="CN72" s="231"/>
      <c r="CO72" s="231"/>
      <c r="CP72" s="231"/>
      <c r="CQ72" s="239"/>
      <c r="CR72" s="239"/>
      <c r="CS72" s="239"/>
      <c r="CT72" s="239"/>
      <c r="CU72" s="239"/>
      <c r="CV72" s="239"/>
      <c r="CW72" s="239"/>
      <c r="CX72" s="239"/>
      <c r="CY72" s="239"/>
      <c r="CZ72" s="239"/>
      <c r="DA72" s="231"/>
      <c r="DB72" s="231"/>
      <c r="DC72" s="231"/>
      <c r="DD72" s="231"/>
      <c r="DE72" s="231"/>
      <c r="DF72" s="231"/>
    </row>
    <row r="73" spans="2:110" ht="18.600000000000001">
      <c r="B73" s="1076" t="s">
        <v>1694</v>
      </c>
      <c r="C73" s="563" t="s">
        <v>89</v>
      </c>
      <c r="D73" s="563" t="s">
        <v>90</v>
      </c>
      <c r="E73" s="563" t="s">
        <v>91</v>
      </c>
      <c r="F73" s="1077" t="s">
        <v>352</v>
      </c>
      <c r="G73" s="223"/>
      <c r="H73" s="1083"/>
      <c r="I73" s="228"/>
      <c r="J73" s="228"/>
      <c r="K73" s="231"/>
      <c r="L73" s="433"/>
      <c r="AX73" s="238"/>
      <c r="AY73" s="239"/>
      <c r="AZ73" s="239"/>
      <c r="BA73" s="239"/>
      <c r="BB73" s="239"/>
      <c r="BC73" s="652"/>
      <c r="BD73" s="239"/>
      <c r="BE73" s="239"/>
      <c r="BF73" s="239"/>
      <c r="BG73" s="239"/>
      <c r="BH73" s="239"/>
      <c r="BI73" s="239"/>
      <c r="BJ73" s="239"/>
      <c r="BK73" s="239"/>
      <c r="BL73" s="239"/>
      <c r="BM73" s="239"/>
      <c r="BN73" s="239"/>
      <c r="BO73" s="1148" t="s">
        <v>1996</v>
      </c>
      <c r="BP73" s="334">
        <f>N269</f>
        <v>0.50000000000000011</v>
      </c>
      <c r="BQ73" s="523">
        <f>N270</f>
        <v>1.0000000000000002</v>
      </c>
      <c r="BR73" s="523">
        <f>N271</f>
        <v>1.5000000000000002</v>
      </c>
      <c r="BS73" s="523">
        <f>N272</f>
        <v>2</v>
      </c>
      <c r="BT73" s="523">
        <f>N273</f>
        <v>2.5000000000000004</v>
      </c>
      <c r="BU73" s="523">
        <f>N274</f>
        <v>3</v>
      </c>
      <c r="BV73" s="523">
        <f>N275</f>
        <v>3.5</v>
      </c>
      <c r="BW73" s="523">
        <f>N276</f>
        <v>4</v>
      </c>
      <c r="BX73" s="523">
        <f>N277</f>
        <v>4.5</v>
      </c>
      <c r="BY73" s="231"/>
      <c r="BZ73" s="433"/>
      <c r="CA73" s="433"/>
      <c r="CB73" s="231"/>
      <c r="CC73" s="231"/>
      <c r="CD73" s="231"/>
      <c r="CE73" s="231"/>
      <c r="CF73" s="231"/>
      <c r="CG73" s="231"/>
      <c r="CH73" s="231"/>
      <c r="CI73" s="231"/>
      <c r="CJ73" s="231"/>
      <c r="CK73" s="231"/>
      <c r="CL73" s="231"/>
      <c r="CM73" s="231"/>
      <c r="CN73" s="231"/>
      <c r="CO73" s="231"/>
      <c r="CP73" s="231"/>
      <c r="CQ73" s="239"/>
      <c r="CR73" s="239"/>
      <c r="CS73" s="239"/>
      <c r="CT73" s="239"/>
      <c r="CU73" s="239"/>
      <c r="CV73" s="239"/>
      <c r="CW73" s="239"/>
      <c r="CX73" s="239"/>
      <c r="CY73" s="239"/>
      <c r="CZ73" s="239"/>
      <c r="DA73" s="231"/>
      <c r="DB73" s="231"/>
      <c r="DC73" s="231"/>
      <c r="DD73" s="231"/>
      <c r="DE73" s="231"/>
      <c r="DF73" s="231"/>
    </row>
    <row r="74" spans="2:110">
      <c r="B74" s="1063" t="s">
        <v>1666</v>
      </c>
      <c r="C74" s="1064" t="s">
        <v>643</v>
      </c>
      <c r="D74" s="1065" t="s">
        <v>188</v>
      </c>
      <c r="E74" s="1087">
        <f>'2'!D46</f>
        <v>7000</v>
      </c>
      <c r="F74" s="1067" t="s">
        <v>1695</v>
      </c>
      <c r="G74" s="223"/>
      <c r="H74" s="1083"/>
      <c r="I74" s="228"/>
      <c r="J74" s="228"/>
      <c r="K74" s="231"/>
      <c r="L74" s="433"/>
      <c r="AX74" s="238"/>
      <c r="AY74" s="231"/>
      <c r="AZ74" s="94"/>
      <c r="BA74" s="94"/>
      <c r="BB74" s="239"/>
      <c r="BC74" s="239"/>
      <c r="BD74" s="652"/>
      <c r="BE74" s="239"/>
      <c r="BF74" s="239"/>
      <c r="BG74" s="239"/>
      <c r="BH74" s="239"/>
      <c r="BI74" s="239"/>
      <c r="BJ74" s="239"/>
      <c r="BK74" s="239"/>
      <c r="BL74" s="239"/>
      <c r="BM74" s="239"/>
      <c r="BN74" s="239"/>
      <c r="BO74" s="239"/>
      <c r="BP74" s="239"/>
      <c r="BQ74" s="239"/>
      <c r="BR74" s="239"/>
      <c r="BS74" s="239"/>
      <c r="BT74" s="239"/>
      <c r="BU74" s="239"/>
      <c r="BV74" s="239"/>
      <c r="BW74" s="239"/>
      <c r="BX74" s="239"/>
      <c r="BY74" s="239"/>
      <c r="BZ74" s="433"/>
      <c r="CA74" s="433"/>
      <c r="CB74" s="231"/>
      <c r="CC74" s="231"/>
      <c r="CD74" s="231"/>
      <c r="CE74" s="231"/>
      <c r="CF74" s="231"/>
      <c r="CG74" s="231"/>
      <c r="CH74" s="231"/>
      <c r="CI74" s="231"/>
      <c r="CJ74" s="231"/>
      <c r="CK74" s="231"/>
      <c r="CL74" s="231"/>
      <c r="CM74" s="231"/>
      <c r="CN74" s="231"/>
      <c r="CO74" s="231"/>
      <c r="CP74" s="231"/>
      <c r="CQ74" s="239"/>
      <c r="CR74" s="239"/>
      <c r="CS74" s="239"/>
      <c r="CT74" s="239"/>
      <c r="CU74" s="239"/>
      <c r="CV74" s="239"/>
      <c r="CW74" s="239"/>
      <c r="CX74" s="239"/>
      <c r="CY74" s="239"/>
      <c r="CZ74" s="239"/>
      <c r="DA74" s="239"/>
      <c r="DB74" s="231"/>
      <c r="DC74" s="231"/>
      <c r="DD74" s="231"/>
      <c r="DE74" s="231"/>
      <c r="DF74" s="231"/>
    </row>
    <row r="75" spans="2:110" ht="26.4">
      <c r="B75" s="1063" t="s">
        <v>644</v>
      </c>
      <c r="C75" s="1064" t="s">
        <v>51</v>
      </c>
      <c r="D75" s="1065" t="s">
        <v>87</v>
      </c>
      <c r="E75" s="1088">
        <f>0.75*'2'!E46</f>
        <v>0.12</v>
      </c>
      <c r="F75" s="1067" t="s">
        <v>1696</v>
      </c>
      <c r="G75" s="223"/>
      <c r="H75" s="1083"/>
      <c r="I75" s="228"/>
      <c r="J75" s="228"/>
      <c r="K75" s="231"/>
      <c r="L75" s="433"/>
      <c r="AX75" s="235"/>
      <c r="AY75" s="223" t="s">
        <v>1998</v>
      </c>
      <c r="AZ75" s="231"/>
      <c r="BA75" s="569" t="s">
        <v>1999</v>
      </c>
      <c r="BB75" s="569" t="s">
        <v>1999</v>
      </c>
      <c r="BC75" s="569" t="s">
        <v>1999</v>
      </c>
      <c r="BD75" s="574" t="s">
        <v>2000</v>
      </c>
      <c r="BE75" s="569" t="s">
        <v>2001</v>
      </c>
      <c r="BF75" s="231"/>
      <c r="BG75" s="231"/>
      <c r="BH75" s="231"/>
      <c r="BI75" s="231"/>
      <c r="BJ75" s="231"/>
      <c r="BK75" s="223" t="s">
        <v>2002</v>
      </c>
      <c r="BL75" s="574" t="s">
        <v>1821</v>
      </c>
      <c r="BM75" s="223" t="s">
        <v>2002</v>
      </c>
      <c r="BN75" s="574" t="s">
        <v>1821</v>
      </c>
      <c r="BO75" s="223"/>
      <c r="BP75" s="231"/>
      <c r="BQ75" s="231"/>
      <c r="BR75" s="231"/>
      <c r="BS75" s="231"/>
      <c r="BT75" s="231"/>
      <c r="BU75" s="231"/>
      <c r="BV75" s="231"/>
      <c r="BW75" s="231"/>
      <c r="BX75" s="239"/>
      <c r="BY75" s="231"/>
      <c r="BZ75" s="433"/>
      <c r="CA75" s="433"/>
      <c r="CB75" s="231"/>
      <c r="CC75" s="231"/>
      <c r="CD75" s="231"/>
      <c r="CE75" s="231"/>
      <c r="CF75" s="231"/>
      <c r="CG75" s="231"/>
      <c r="CH75" s="231"/>
      <c r="CI75" s="231"/>
      <c r="CJ75" s="231"/>
      <c r="CK75" s="231"/>
      <c r="CL75" s="231"/>
      <c r="CM75" s="231"/>
      <c r="CN75" s="231"/>
      <c r="CO75" s="231"/>
      <c r="CP75" s="231"/>
      <c r="CQ75" s="239"/>
      <c r="CR75" s="239"/>
      <c r="CS75" s="239"/>
      <c r="CT75" s="239"/>
      <c r="CU75" s="239"/>
      <c r="CV75" s="239"/>
      <c r="CW75" s="239"/>
      <c r="CX75" s="239"/>
      <c r="CY75" s="239"/>
      <c r="CZ75" s="239"/>
      <c r="DA75" s="239"/>
      <c r="DB75" s="231"/>
      <c r="DC75" s="231"/>
      <c r="DD75" s="231"/>
      <c r="DE75" s="231"/>
      <c r="DF75" s="231"/>
    </row>
    <row r="76" spans="2:110" ht="15.6">
      <c r="B76" s="1063" t="s">
        <v>1685</v>
      </c>
      <c r="C76" s="1065" t="s">
        <v>1398</v>
      </c>
      <c r="D76" s="1065" t="s">
        <v>87</v>
      </c>
      <c r="E76" s="1089">
        <f>'9'!C72</f>
        <v>1.26</v>
      </c>
      <c r="F76" s="1067" t="s">
        <v>1686</v>
      </c>
      <c r="G76" s="223"/>
      <c r="H76" s="1083"/>
      <c r="I76" s="228"/>
      <c r="J76" s="228"/>
      <c r="K76" s="231"/>
      <c r="L76" s="433"/>
      <c r="AX76" s="235"/>
      <c r="AY76" s="223" t="s">
        <v>2013</v>
      </c>
      <c r="AZ76" s="231"/>
      <c r="BA76" s="569" t="s">
        <v>2014</v>
      </c>
      <c r="BB76" s="569" t="s">
        <v>2015</v>
      </c>
      <c r="BC76" s="569" t="s">
        <v>2014</v>
      </c>
      <c r="BD76" s="259"/>
      <c r="BE76" s="231"/>
      <c r="BF76" s="231"/>
      <c r="BG76" s="231"/>
      <c r="BH76" s="231"/>
      <c r="BI76" s="231"/>
      <c r="BJ76" s="231"/>
      <c r="BK76" s="574" t="s">
        <v>2016</v>
      </c>
      <c r="BL76" s="574" t="s">
        <v>2016</v>
      </c>
      <c r="BM76" s="574" t="s">
        <v>2016</v>
      </c>
      <c r="BN76" s="574" t="s">
        <v>2016</v>
      </c>
      <c r="BO76" s="574"/>
      <c r="BP76" s="231"/>
      <c r="BQ76" s="223" t="s">
        <v>2017</v>
      </c>
      <c r="BR76" s="223" t="s">
        <v>2017</v>
      </c>
      <c r="BS76" s="223" t="s">
        <v>2017</v>
      </c>
      <c r="BT76" s="223" t="s">
        <v>2017</v>
      </c>
      <c r="BU76" s="223" t="s">
        <v>2017</v>
      </c>
      <c r="BV76" s="223" t="s">
        <v>2017</v>
      </c>
      <c r="BW76" s="223" t="s">
        <v>2017</v>
      </c>
      <c r="BX76" s="223" t="s">
        <v>2017</v>
      </c>
      <c r="BY76" s="223" t="s">
        <v>2017</v>
      </c>
      <c r="BZ76" s="433"/>
      <c r="CA76" s="433"/>
      <c r="CB76" s="231"/>
      <c r="CC76" s="231"/>
      <c r="CD76" s="231"/>
      <c r="CE76" s="231"/>
      <c r="CF76" s="231"/>
      <c r="CG76" s="231"/>
      <c r="CH76" s="231"/>
      <c r="CI76" s="231"/>
      <c r="CJ76" s="231"/>
      <c r="CK76" s="231"/>
      <c r="CL76" s="231"/>
      <c r="CM76" s="231"/>
      <c r="CN76" s="231"/>
      <c r="CO76" s="231"/>
      <c r="CP76" s="231"/>
      <c r="CQ76" s="239"/>
      <c r="CR76" s="239"/>
      <c r="CS76" s="239"/>
      <c r="CT76" s="239"/>
      <c r="CU76" s="239"/>
      <c r="CV76" s="239"/>
      <c r="CW76" s="239"/>
      <c r="CX76" s="239"/>
      <c r="CY76" s="239"/>
      <c r="CZ76" s="239"/>
      <c r="DA76" s="239"/>
      <c r="DB76" s="231"/>
      <c r="DC76" s="231"/>
      <c r="DD76" s="231"/>
      <c r="DE76" s="231"/>
      <c r="DF76" s="231"/>
    </row>
    <row r="77" spans="2:110">
      <c r="B77" s="1063" t="s">
        <v>1027</v>
      </c>
      <c r="C77" s="1064" t="s">
        <v>58</v>
      </c>
      <c r="D77" s="1065" t="s">
        <v>619</v>
      </c>
      <c r="E77" s="1090">
        <f>'3'!AT17</f>
        <v>10.656359999999999</v>
      </c>
      <c r="F77" s="1067" t="s">
        <v>1697</v>
      </c>
      <c r="G77" s="223"/>
      <c r="H77" s="1083"/>
      <c r="I77" s="228"/>
      <c r="J77" s="228"/>
      <c r="K77" s="231"/>
      <c r="L77" s="433"/>
      <c r="AX77" s="235"/>
      <c r="AY77" s="223" t="s">
        <v>2018</v>
      </c>
      <c r="AZ77" s="231"/>
      <c r="BA77" s="569" t="s">
        <v>2019</v>
      </c>
      <c r="BB77" s="569" t="s">
        <v>2019</v>
      </c>
      <c r="BC77" s="569" t="s">
        <v>2020</v>
      </c>
      <c r="BD77" s="574" t="s">
        <v>2021</v>
      </c>
      <c r="BE77" s="231"/>
      <c r="BF77" s="231"/>
      <c r="BG77" s="231"/>
      <c r="BH77" s="569" t="s">
        <v>2020</v>
      </c>
      <c r="BI77" s="231"/>
      <c r="BJ77" s="231"/>
      <c r="BK77" s="223" t="s">
        <v>314</v>
      </c>
      <c r="BL77" s="223" t="s">
        <v>314</v>
      </c>
      <c r="BM77" s="223" t="s">
        <v>56</v>
      </c>
      <c r="BN77" s="223" t="s">
        <v>56</v>
      </c>
      <c r="BO77" s="223"/>
      <c r="BP77" s="231"/>
      <c r="BQ77" s="569" t="s">
        <v>79</v>
      </c>
      <c r="BR77" s="569" t="s">
        <v>79</v>
      </c>
      <c r="BS77" s="569" t="s">
        <v>79</v>
      </c>
      <c r="BT77" s="569" t="s">
        <v>79</v>
      </c>
      <c r="BU77" s="569" t="s">
        <v>79</v>
      </c>
      <c r="BV77" s="569" t="s">
        <v>79</v>
      </c>
      <c r="BW77" s="569" t="s">
        <v>79</v>
      </c>
      <c r="BX77" s="569" t="s">
        <v>79</v>
      </c>
      <c r="BY77" s="569" t="s">
        <v>79</v>
      </c>
      <c r="BZ77" s="433"/>
      <c r="CA77" s="433"/>
      <c r="CB77" s="231"/>
      <c r="CC77" s="231"/>
      <c r="CD77" s="231"/>
      <c r="CE77" s="231"/>
      <c r="CF77" s="231"/>
      <c r="CG77" s="231"/>
      <c r="CH77" s="231"/>
      <c r="CI77" s="231"/>
      <c r="CJ77" s="231"/>
      <c r="CK77" s="231"/>
      <c r="CL77" s="231"/>
      <c r="CM77" s="231"/>
      <c r="CN77" s="231"/>
      <c r="CO77" s="231"/>
      <c r="CP77" s="231"/>
      <c r="CQ77" s="239"/>
      <c r="CR77" s="239"/>
      <c r="CS77" s="239"/>
      <c r="CT77" s="239"/>
      <c r="CU77" s="239"/>
      <c r="CV77" s="239"/>
      <c r="CW77" s="239"/>
      <c r="CX77" s="239"/>
      <c r="CY77" s="239"/>
      <c r="CZ77" s="239"/>
      <c r="DA77" s="239"/>
      <c r="DB77" s="231"/>
      <c r="DC77" s="231"/>
      <c r="DD77" s="231"/>
      <c r="DE77" s="231"/>
      <c r="DF77" s="231"/>
    </row>
    <row r="78" spans="2:110">
      <c r="B78" s="1063" t="s">
        <v>680</v>
      </c>
      <c r="C78" s="1064" t="s">
        <v>49</v>
      </c>
      <c r="D78" s="1065" t="s">
        <v>658</v>
      </c>
      <c r="E78" s="228">
        <f>IF($E$7=1,(E75*(1036-0.0034*(E74-20000))),(E75*((-1.674918E-27*(E74^6)) + (7.808861E-22*(E74^5)) - (1.333876E-16*(E74^4)) + (0.00000000001022912*(E74^3)) - (0.0000003047813*(E74^2)) - (0.0009459332*E74) + 1111.001)))</f>
        <v>131.11757228791859</v>
      </c>
      <c r="F78" s="1070"/>
      <c r="G78" s="223"/>
      <c r="H78" s="1083"/>
      <c r="I78" s="228"/>
      <c r="J78" s="228"/>
      <c r="K78" s="231"/>
      <c r="L78" s="433"/>
      <c r="AX78" s="235"/>
      <c r="AY78" s="231"/>
      <c r="AZ78" s="231"/>
      <c r="BA78" s="569" t="s">
        <v>1904</v>
      </c>
      <c r="BB78" s="569" t="s">
        <v>1904</v>
      </c>
      <c r="BC78" s="569" t="s">
        <v>1904</v>
      </c>
      <c r="BD78" s="574" t="s">
        <v>2022</v>
      </c>
      <c r="BE78" s="569" t="s">
        <v>41</v>
      </c>
      <c r="BF78" s="231"/>
      <c r="BG78" s="569" t="s">
        <v>2023</v>
      </c>
      <c r="BH78" s="569" t="s">
        <v>2024</v>
      </c>
      <c r="BI78" s="569" t="s">
        <v>2025</v>
      </c>
      <c r="BJ78" s="231"/>
      <c r="BK78" s="574" t="s">
        <v>241</v>
      </c>
      <c r="BL78" s="574" t="s">
        <v>241</v>
      </c>
      <c r="BM78" s="574" t="s">
        <v>241</v>
      </c>
      <c r="BN78" s="574" t="s">
        <v>241</v>
      </c>
      <c r="BO78" s="574"/>
      <c r="BP78" s="569"/>
      <c r="BQ78" s="569" t="s">
        <v>2026</v>
      </c>
      <c r="BR78" s="569" t="s">
        <v>2026</v>
      </c>
      <c r="BS78" s="569" t="s">
        <v>2026</v>
      </c>
      <c r="BT78" s="569" t="s">
        <v>2026</v>
      </c>
      <c r="BU78" s="569" t="s">
        <v>2026</v>
      </c>
      <c r="BV78" s="569" t="s">
        <v>2026</v>
      </c>
      <c r="BW78" s="569" t="s">
        <v>2026</v>
      </c>
      <c r="BX78" s="569" t="s">
        <v>2026</v>
      </c>
      <c r="BY78" s="569" t="s">
        <v>2026</v>
      </c>
      <c r="BZ78" s="433"/>
      <c r="CA78" s="433"/>
      <c r="CB78" s="231"/>
      <c r="CC78" s="231"/>
      <c r="CD78" s="231"/>
      <c r="CE78" s="231"/>
      <c r="CF78" s="231"/>
      <c r="CG78" s="231"/>
      <c r="CH78" s="231"/>
      <c r="CI78" s="231"/>
      <c r="CJ78" s="231"/>
      <c r="CK78" s="231"/>
      <c r="CL78" s="231"/>
      <c r="CM78" s="231"/>
      <c r="CN78" s="231"/>
      <c r="CO78" s="231"/>
      <c r="CP78" s="231"/>
      <c r="CQ78" s="239"/>
      <c r="CR78" s="239"/>
      <c r="CS78" s="239"/>
      <c r="CT78" s="239"/>
      <c r="CU78" s="239"/>
      <c r="CV78" s="239"/>
      <c r="CW78" s="239"/>
      <c r="CX78" s="239"/>
      <c r="CY78" s="231"/>
      <c r="CZ78" s="231"/>
      <c r="DA78" s="231"/>
      <c r="DB78" s="231"/>
      <c r="DC78" s="231"/>
      <c r="DD78" s="231"/>
      <c r="DE78" s="231"/>
      <c r="DF78" s="231"/>
    </row>
    <row r="79" spans="2:110" ht="18.600000000000001">
      <c r="B79" s="1063" t="s">
        <v>41</v>
      </c>
      <c r="C79" s="1071" t="s">
        <v>50</v>
      </c>
      <c r="D79" s="1065" t="s">
        <v>673</v>
      </c>
      <c r="E79" s="1072">
        <f>IF($E$7=1,(IF($E74&lt;10000,((1-0.00002615*$E74)*0.076474/32.174),IF($E74&gt;40000,(((-0.0000091*$E74+0.6211)*0.076474)/32.174),(((-0.00001681*$E74+0.9066)*0.076474)/32.174)))),((1.188467E-32*($E74^6)) - (3.738363E-27*($E74^5)) + (4.423426E-22*($E74^4)) - (2.646824E-17*($E74^3)) + (0.000000000001273176*($E74^2)) - (0.00000007347109*$E74) + 0.002383333))</f>
        <v>1.9233430198151999E-3</v>
      </c>
      <c r="F79" s="1070"/>
      <c r="G79" s="223"/>
      <c r="H79" s="1083"/>
      <c r="I79" s="228"/>
      <c r="J79" s="228"/>
      <c r="K79" s="231"/>
      <c r="L79" s="433"/>
      <c r="AX79" s="235"/>
      <c r="AY79" s="223" t="s">
        <v>2027</v>
      </c>
      <c r="AZ79" s="223" t="s">
        <v>1899</v>
      </c>
      <c r="BA79" s="1151" t="s">
        <v>2028</v>
      </c>
      <c r="BB79" s="1151" t="s">
        <v>2029</v>
      </c>
      <c r="BC79" s="1151" t="s">
        <v>2030</v>
      </c>
      <c r="BD79" s="574" t="s">
        <v>1929</v>
      </c>
      <c r="BE79" s="527" t="s">
        <v>50</v>
      </c>
      <c r="BF79" s="223"/>
      <c r="BG79" s="569" t="s">
        <v>2031</v>
      </c>
      <c r="BH79" s="569" t="s">
        <v>2032</v>
      </c>
      <c r="BI79" s="569" t="s">
        <v>2033</v>
      </c>
      <c r="BJ79" s="231"/>
      <c r="BK79" s="574" t="s">
        <v>1946</v>
      </c>
      <c r="BL79" s="574" t="s">
        <v>84</v>
      </c>
      <c r="BM79" s="574" t="s">
        <v>1946</v>
      </c>
      <c r="BN79" s="574" t="s">
        <v>84</v>
      </c>
      <c r="BO79" s="574"/>
      <c r="BP79" s="569"/>
      <c r="BQ79" s="569" t="s">
        <v>2034</v>
      </c>
      <c r="BR79" s="569" t="s">
        <v>2034</v>
      </c>
      <c r="BS79" s="569" t="s">
        <v>2034</v>
      </c>
      <c r="BT79" s="569" t="s">
        <v>2034</v>
      </c>
      <c r="BU79" s="569" t="s">
        <v>2034</v>
      </c>
      <c r="BV79" s="569" t="s">
        <v>2034</v>
      </c>
      <c r="BW79" s="569" t="s">
        <v>2034</v>
      </c>
      <c r="BX79" s="569" t="s">
        <v>2034</v>
      </c>
      <c r="BY79" s="569" t="s">
        <v>2034</v>
      </c>
      <c r="BZ79" s="433"/>
      <c r="CA79" s="433"/>
      <c r="CB79" s="231"/>
      <c r="CC79" s="231"/>
      <c r="CD79" s="231"/>
      <c r="CE79" s="231"/>
      <c r="CF79" s="231"/>
      <c r="CG79" s="231"/>
      <c r="CH79" s="231"/>
      <c r="CI79" s="231"/>
      <c r="CJ79" s="231"/>
      <c r="CK79" s="231"/>
      <c r="CL79" s="231"/>
      <c r="CM79" s="231"/>
      <c r="CN79" s="231"/>
      <c r="CO79" s="231"/>
      <c r="CP79" s="231"/>
      <c r="CQ79" s="239"/>
      <c r="CR79" s="239"/>
      <c r="CS79" s="239"/>
      <c r="CT79" s="239"/>
      <c r="CU79" s="239"/>
      <c r="CV79" s="239"/>
      <c r="CW79" s="239"/>
      <c r="CX79" s="239"/>
      <c r="CY79" s="231"/>
      <c r="CZ79" s="231"/>
      <c r="DA79" s="231"/>
      <c r="DB79" s="231"/>
      <c r="DC79" s="231"/>
      <c r="DD79" s="231"/>
      <c r="DE79" s="231"/>
      <c r="DF79" s="231"/>
    </row>
    <row r="80" spans="2:110">
      <c r="B80" s="1063" t="s">
        <v>1670</v>
      </c>
      <c r="C80" s="1064" t="s">
        <v>47</v>
      </c>
      <c r="D80" s="1065" t="s">
        <v>619</v>
      </c>
      <c r="E80" s="1073">
        <f>0.5*E79*(E78^2)</f>
        <v>16.532881345890424</v>
      </c>
      <c r="F80" s="1070"/>
      <c r="G80" s="223"/>
      <c r="H80" s="1083"/>
      <c r="I80" s="228"/>
      <c r="J80" s="228"/>
      <c r="K80" s="231"/>
      <c r="L80" s="433"/>
      <c r="AX80" s="235"/>
      <c r="AY80" s="231"/>
      <c r="AZ80" s="231"/>
      <c r="BA80" s="231"/>
      <c r="BB80" s="231"/>
      <c r="BC80" s="231"/>
      <c r="BD80" s="259"/>
      <c r="BE80" s="231"/>
      <c r="BF80" s="231"/>
      <c r="BG80" s="231"/>
      <c r="BH80" s="231"/>
      <c r="BI80" s="231"/>
      <c r="BJ80" s="231"/>
      <c r="BK80" s="231"/>
      <c r="BL80" s="231"/>
      <c r="BM80" s="231"/>
      <c r="BN80" s="231"/>
      <c r="BO80" s="231"/>
      <c r="BP80" s="231"/>
      <c r="BQ80" s="231"/>
      <c r="BR80" s="231"/>
      <c r="BS80" s="231"/>
      <c r="BT80" s="231"/>
      <c r="BU80" s="231"/>
      <c r="BV80" s="231"/>
      <c r="BW80" s="231"/>
      <c r="BX80" s="231"/>
      <c r="BY80" s="231"/>
      <c r="BZ80" s="433"/>
      <c r="CA80" s="433"/>
      <c r="CB80" s="231"/>
      <c r="CC80" s="231"/>
      <c r="CD80" s="231"/>
      <c r="CE80" s="231"/>
      <c r="CF80" s="231"/>
      <c r="CG80" s="231"/>
      <c r="CH80" s="231"/>
      <c r="CI80" s="231"/>
      <c r="CJ80" s="231"/>
      <c r="CK80" s="231"/>
      <c r="CL80" s="231"/>
      <c r="CM80" s="231"/>
      <c r="CN80" s="231"/>
      <c r="CO80" s="231"/>
      <c r="CP80" s="231"/>
      <c r="CQ80" s="239"/>
      <c r="CR80" s="239"/>
      <c r="CS80" s="239"/>
      <c r="CT80" s="239"/>
      <c r="CU80" s="94"/>
      <c r="CV80" s="239"/>
      <c r="CW80" s="239"/>
      <c r="CX80" s="239"/>
      <c r="CY80" s="231"/>
      <c r="CZ80" s="231"/>
      <c r="DA80" s="231"/>
      <c r="DB80" s="231"/>
      <c r="DC80" s="231"/>
      <c r="DD80" s="231"/>
      <c r="DE80" s="231"/>
      <c r="DF80" s="231"/>
    </row>
    <row r="81" spans="2:110">
      <c r="B81" s="1063" t="s">
        <v>1671</v>
      </c>
      <c r="C81" s="1074" t="s">
        <v>214</v>
      </c>
      <c r="D81" s="1065" t="s">
        <v>87</v>
      </c>
      <c r="E81" s="1075">
        <f>E80*E76/E77</f>
        <v>1.9548354687549909</v>
      </c>
      <c r="F81" s="1070"/>
      <c r="G81" s="231"/>
      <c r="H81" s="231"/>
      <c r="I81" s="228"/>
      <c r="J81" s="228"/>
      <c r="K81" s="231"/>
      <c r="L81" s="433"/>
      <c r="AX81" s="235">
        <v>1</v>
      </c>
      <c r="AY81" s="94" t="s">
        <v>2035</v>
      </c>
      <c r="AZ81" s="94" t="s">
        <v>2036</v>
      </c>
      <c r="BA81" s="239">
        <v>95</v>
      </c>
      <c r="BB81" s="239">
        <v>75</v>
      </c>
      <c r="BC81" s="239">
        <v>75</v>
      </c>
      <c r="BD81" s="1152">
        <v>29</v>
      </c>
      <c r="BE81" s="334">
        <v>0.28299999999999997</v>
      </c>
      <c r="BF81" s="231"/>
      <c r="BG81" s="437">
        <f t="shared" ref="BG81:BG94" si="5">($BE81/$BE$95)*($BA$95/$BA81)</f>
        <v>1.7277894736842103</v>
      </c>
      <c r="BH81" s="437">
        <f t="shared" ref="BH81:BH89" si="6">(BE81/BE$95)*((BC81/BC$95)^(1/3))*((BD$95/BD81)^(1/3))</f>
        <v>2.447113954560538</v>
      </c>
      <c r="BI81" s="437">
        <f t="shared" ref="BI81:BI108" si="7">(BE81/BE$95)*((BA$95/BA81)^0.5)</f>
        <v>2.2112539905054587</v>
      </c>
      <c r="BJ81" s="231"/>
      <c r="BK81" s="587">
        <f t="shared" ref="BK81:BK114" si="8">1000*(12)*(4/PI())*BC$17*(BC$16/(1000*144*$BA81))*(1/((3*$G$281*$G$282)+($G$281^2)))</f>
        <v>3.8831562697266757</v>
      </c>
      <c r="BL81" s="462">
        <f t="shared" ref="BL81:BL114" si="9">(PI()*(AVERAGE(BC$8:BC$9))*BC$7*0.75)*((BK81/1000)/12)*BE81*(12^3)</f>
        <v>25.599118486281238</v>
      </c>
      <c r="BM81" s="99">
        <f t="shared" ref="BM81:BM114" si="10">1000*(12)*(4/PI())*(BB$17/BB$59)*(BB$16/(1000*144*$BA81))*(1/((3*$F$281*$F$282)+($F$281^2)))</f>
        <v>1.7269958292037273</v>
      </c>
      <c r="BN81" s="462">
        <f t="shared" ref="BN81:BN114" si="11">(PI()*(AVERAGE(F$281:F$282))*BB$14)*((BM81/1000)/12)*BE81*(12^3)</f>
        <v>7.59089566004414</v>
      </c>
      <c r="BO81" s="462"/>
      <c r="BP81" s="231"/>
      <c r="BQ81" s="251">
        <f t="shared" ref="BQ81:BY81" si="12">12*(4*($BC$54*((PI())^2)*($BD81*1000000*144)*$G$291*(($BC$8+$BC$9)/4)*BP$73)/($BC$16*$BC$17*(COS((90/BP$72)*(PI()/180)))))^0.5</f>
        <v>65.63463157374396</v>
      </c>
      <c r="BR81" s="251">
        <f t="shared" si="12"/>
        <v>83.873590487576749</v>
      </c>
      <c r="BS81" s="251">
        <f t="shared" si="12"/>
        <v>99.455431792053261</v>
      </c>
      <c r="BT81" s="251">
        <f t="shared" si="12"/>
        <v>113.18852115028164</v>
      </c>
      <c r="BU81" s="251">
        <f t="shared" si="12"/>
        <v>125.57080140355151</v>
      </c>
      <c r="BV81" s="251">
        <f t="shared" si="12"/>
        <v>136.91938061138404</v>
      </c>
      <c r="BW81" s="251">
        <f t="shared" si="12"/>
        <v>147.44756443159676</v>
      </c>
      <c r="BX81" s="251">
        <f t="shared" si="12"/>
        <v>157.30582938635553</v>
      </c>
      <c r="BY81" s="251">
        <f t="shared" si="12"/>
        <v>166.60454468433784</v>
      </c>
      <c r="BZ81" s="433"/>
      <c r="CA81" s="433"/>
      <c r="CB81" s="231"/>
      <c r="CC81" s="231"/>
      <c r="CD81" s="231"/>
      <c r="CE81" s="231"/>
      <c r="CF81" s="231"/>
      <c r="CG81" s="231"/>
      <c r="CH81" s="231"/>
      <c r="CI81" s="231"/>
      <c r="CJ81" s="231"/>
      <c r="CK81" s="231"/>
      <c r="CL81" s="231"/>
      <c r="CM81" s="231"/>
      <c r="CN81" s="231"/>
      <c r="CO81" s="231"/>
      <c r="CP81" s="231"/>
      <c r="CQ81" s="239"/>
      <c r="CR81" s="239"/>
      <c r="CS81" s="239"/>
      <c r="CT81" s="239"/>
      <c r="CU81" s="239"/>
      <c r="CV81" s="239"/>
      <c r="CW81" s="239"/>
      <c r="CX81" s="239"/>
      <c r="CY81" s="231"/>
      <c r="CZ81" s="231"/>
      <c r="DA81" s="231"/>
      <c r="DB81" s="231"/>
      <c r="DC81" s="231"/>
      <c r="DD81" s="231"/>
      <c r="DE81" s="231"/>
      <c r="DF81" s="231"/>
    </row>
    <row r="82" spans="2:110">
      <c r="B82" s="1076"/>
      <c r="C82" s="1065"/>
      <c r="D82" s="1065"/>
      <c r="E82" s="1074"/>
      <c r="F82" s="1070"/>
      <c r="G82" s="231"/>
      <c r="H82" s="231"/>
      <c r="I82" s="228"/>
      <c r="J82" s="228"/>
      <c r="K82" s="231"/>
      <c r="L82" s="433"/>
      <c r="AX82" s="235">
        <v>2</v>
      </c>
      <c r="AY82" s="94" t="s">
        <v>2035</v>
      </c>
      <c r="AZ82" s="94" t="s">
        <v>2037</v>
      </c>
      <c r="BA82" s="239">
        <v>180</v>
      </c>
      <c r="BB82" s="239">
        <v>163</v>
      </c>
      <c r="BC82" s="239">
        <v>173</v>
      </c>
      <c r="BD82" s="1152">
        <v>29</v>
      </c>
      <c r="BE82" s="334">
        <v>0.28299999999999997</v>
      </c>
      <c r="BF82" s="231"/>
      <c r="BG82" s="437">
        <f t="shared" si="5"/>
        <v>0.91188888888888886</v>
      </c>
      <c r="BH82" s="437">
        <f t="shared" si="6"/>
        <v>3.2333233615689045</v>
      </c>
      <c r="BI82" s="437">
        <f t="shared" si="7"/>
        <v>1.606438780519057</v>
      </c>
      <c r="BJ82" s="231"/>
      <c r="BK82" s="587">
        <f t="shared" si="8"/>
        <v>2.0494435868001903</v>
      </c>
      <c r="BL82" s="462">
        <f t="shared" si="9"/>
        <v>13.510645867759544</v>
      </c>
      <c r="BM82" s="99">
        <f t="shared" si="10"/>
        <v>0.91147002096863383</v>
      </c>
      <c r="BN82" s="462">
        <f t="shared" si="11"/>
        <v>4.0063060428010742</v>
      </c>
      <c r="BO82" s="462"/>
      <c r="BP82" s="231"/>
      <c r="BQ82" s="251">
        <f t="shared" ref="BQ82:BY82" si="13">12*(4*($BC$54*((PI())^2)*($BD82*1000000*144)*$G$291*(($BC$8+$BC$9)/4)*BP$73)/($BC$16*$BC$17*(COS((90/BP$72)*(PI()/180)))))^0.5</f>
        <v>65.63463157374396</v>
      </c>
      <c r="BR82" s="251">
        <f t="shared" si="13"/>
        <v>83.873590487576749</v>
      </c>
      <c r="BS82" s="251">
        <f t="shared" si="13"/>
        <v>99.455431792053261</v>
      </c>
      <c r="BT82" s="251">
        <f t="shared" si="13"/>
        <v>113.18852115028164</v>
      </c>
      <c r="BU82" s="251">
        <f t="shared" si="13"/>
        <v>125.57080140355151</v>
      </c>
      <c r="BV82" s="251">
        <f t="shared" si="13"/>
        <v>136.91938061138404</v>
      </c>
      <c r="BW82" s="251">
        <f t="shared" si="13"/>
        <v>147.44756443159676</v>
      </c>
      <c r="BX82" s="251">
        <f t="shared" si="13"/>
        <v>157.30582938635553</v>
      </c>
      <c r="BY82" s="251">
        <f t="shared" si="13"/>
        <v>166.60454468433784</v>
      </c>
      <c r="BZ82" s="433"/>
      <c r="CA82" s="433"/>
      <c r="CB82" s="231"/>
      <c r="CC82" s="231"/>
      <c r="CD82" s="231"/>
      <c r="CE82" s="231"/>
      <c r="CF82" s="231"/>
      <c r="CG82" s="231"/>
      <c r="CH82" s="231"/>
      <c r="CI82" s="231"/>
      <c r="CJ82" s="231"/>
      <c r="CK82" s="231"/>
      <c r="CL82" s="231"/>
      <c r="CM82" s="231"/>
      <c r="CN82" s="231"/>
      <c r="CO82" s="231"/>
      <c r="CP82" s="231"/>
      <c r="CQ82" s="239"/>
      <c r="CR82" s="239"/>
      <c r="CS82" s="239"/>
      <c r="CT82" s="239"/>
      <c r="CU82" s="239"/>
      <c r="CV82" s="239"/>
      <c r="CW82" s="239"/>
      <c r="CX82" s="239"/>
      <c r="CY82" s="231"/>
      <c r="CZ82" s="231"/>
      <c r="DA82" s="231"/>
      <c r="DB82" s="231"/>
      <c r="DC82" s="231"/>
      <c r="DD82" s="231"/>
      <c r="DE82" s="231"/>
      <c r="DF82" s="231"/>
    </row>
    <row r="83" spans="2:110">
      <c r="B83" s="1076" t="s">
        <v>1698</v>
      </c>
      <c r="C83" s="563" t="s">
        <v>89</v>
      </c>
      <c r="D83" s="563" t="s">
        <v>90</v>
      </c>
      <c r="E83" s="563" t="s">
        <v>91</v>
      </c>
      <c r="F83" s="1077" t="s">
        <v>352</v>
      </c>
      <c r="G83" s="231"/>
      <c r="H83" s="231"/>
      <c r="I83" s="321"/>
      <c r="J83" s="321"/>
      <c r="K83" s="231"/>
      <c r="L83" s="433"/>
      <c r="AX83" s="235">
        <v>3</v>
      </c>
      <c r="AY83" s="94" t="s">
        <v>2035</v>
      </c>
      <c r="AZ83" s="94" t="s">
        <v>2038</v>
      </c>
      <c r="BA83" s="239">
        <v>220</v>
      </c>
      <c r="BB83" s="239">
        <v>186</v>
      </c>
      <c r="BC83" s="239">
        <v>194</v>
      </c>
      <c r="BD83" s="1152">
        <v>29</v>
      </c>
      <c r="BE83" s="334">
        <v>0.28299999999999997</v>
      </c>
      <c r="BF83" s="231"/>
      <c r="BG83" s="437">
        <f t="shared" si="5"/>
        <v>0.74609090909090892</v>
      </c>
      <c r="BH83" s="437">
        <f t="shared" si="6"/>
        <v>3.3591883007764967</v>
      </c>
      <c r="BI83" s="437">
        <f t="shared" si="7"/>
        <v>1.4530785500884913</v>
      </c>
      <c r="BJ83" s="231"/>
      <c r="BK83" s="587">
        <f t="shared" si="8"/>
        <v>1.6768174801092466</v>
      </c>
      <c r="BL83" s="462">
        <f t="shared" si="9"/>
        <v>11.054164800894172</v>
      </c>
      <c r="BM83" s="99">
        <f t="shared" si="10"/>
        <v>0.74574819897433675</v>
      </c>
      <c r="BN83" s="462">
        <f t="shared" si="11"/>
        <v>3.2778867622917875</v>
      </c>
      <c r="BO83" s="462"/>
      <c r="BP83" s="231"/>
      <c r="BQ83" s="251">
        <f t="shared" ref="BQ83:BY83" si="14">12*(4*($BC$54*((PI())^2)*($BD83*1000000*144)*$G$291*(($BC$8+$BC$9)/4)*BP$73)/($BC$16*$BC$17*(COS((90/BP$72)*(PI()/180)))))^0.5</f>
        <v>65.63463157374396</v>
      </c>
      <c r="BR83" s="251">
        <f t="shared" si="14"/>
        <v>83.873590487576749</v>
      </c>
      <c r="BS83" s="251">
        <f t="shared" si="14"/>
        <v>99.455431792053261</v>
      </c>
      <c r="BT83" s="251">
        <f t="shared" si="14"/>
        <v>113.18852115028164</v>
      </c>
      <c r="BU83" s="251">
        <f t="shared" si="14"/>
        <v>125.57080140355151</v>
      </c>
      <c r="BV83" s="251">
        <f t="shared" si="14"/>
        <v>136.91938061138404</v>
      </c>
      <c r="BW83" s="251">
        <f t="shared" si="14"/>
        <v>147.44756443159676</v>
      </c>
      <c r="BX83" s="251">
        <f t="shared" si="14"/>
        <v>157.30582938635553</v>
      </c>
      <c r="BY83" s="251">
        <f t="shared" si="14"/>
        <v>166.60454468433784</v>
      </c>
      <c r="BZ83" s="433"/>
      <c r="CA83" s="433"/>
      <c r="CB83" s="231"/>
      <c r="CC83" s="231"/>
      <c r="CD83" s="231"/>
      <c r="CE83" s="231"/>
      <c r="CF83" s="231"/>
      <c r="CG83" s="231"/>
      <c r="CH83" s="231"/>
      <c r="CI83" s="231"/>
      <c r="CJ83" s="231"/>
      <c r="CK83" s="231"/>
      <c r="CL83" s="231"/>
      <c r="CM83" s="231"/>
      <c r="CN83" s="231"/>
      <c r="CO83" s="231"/>
      <c r="CP83" s="231"/>
      <c r="CQ83" s="239"/>
      <c r="CR83" s="239"/>
      <c r="CS83" s="239"/>
      <c r="CT83" s="239"/>
      <c r="CU83" s="239"/>
      <c r="CV83" s="239"/>
      <c r="CW83" s="239"/>
      <c r="CX83" s="239"/>
      <c r="CY83" s="231"/>
      <c r="CZ83" s="231"/>
      <c r="DA83" s="231"/>
      <c r="DB83" s="231"/>
      <c r="DC83" s="231"/>
      <c r="DD83" s="231"/>
      <c r="DE83" s="231"/>
      <c r="DF83" s="231"/>
    </row>
    <row r="84" spans="2:110">
      <c r="B84" s="1063" t="s">
        <v>1666</v>
      </c>
      <c r="C84" s="1064" t="s">
        <v>643</v>
      </c>
      <c r="D84" s="1065" t="s">
        <v>188</v>
      </c>
      <c r="E84" s="1087">
        <f>'2'!D46</f>
        <v>7000</v>
      </c>
      <c r="F84" s="1067" t="s">
        <v>1695</v>
      </c>
      <c r="G84" s="231"/>
      <c r="H84" s="231"/>
      <c r="I84" s="523"/>
      <c r="J84" s="523"/>
      <c r="K84" s="231"/>
      <c r="L84" s="433"/>
      <c r="AX84" s="235">
        <v>4</v>
      </c>
      <c r="AY84" s="94" t="s">
        <v>2035</v>
      </c>
      <c r="AZ84" s="94" t="s">
        <v>2039</v>
      </c>
      <c r="BA84" s="239">
        <v>280</v>
      </c>
      <c r="BB84" s="239">
        <v>230</v>
      </c>
      <c r="BC84" s="239">
        <v>247</v>
      </c>
      <c r="BD84" s="1152">
        <v>29</v>
      </c>
      <c r="BE84" s="334">
        <v>0.28299999999999997</v>
      </c>
      <c r="BF84" s="231"/>
      <c r="BG84" s="437">
        <f t="shared" si="5"/>
        <v>0.58621428571428569</v>
      </c>
      <c r="BH84" s="437">
        <f t="shared" si="6"/>
        <v>3.6408218052123313</v>
      </c>
      <c r="BI84" s="437">
        <f t="shared" si="7"/>
        <v>1.2880164706134112</v>
      </c>
      <c r="BJ84" s="231"/>
      <c r="BK84" s="587">
        <f t="shared" si="8"/>
        <v>1.3174994486572651</v>
      </c>
      <c r="BL84" s="462">
        <f t="shared" si="9"/>
        <v>8.6854152007025647</v>
      </c>
      <c r="BM84" s="99">
        <f t="shared" si="10"/>
        <v>0.58594501347983596</v>
      </c>
      <c r="BN84" s="462">
        <f t="shared" si="11"/>
        <v>2.5754824560864042</v>
      </c>
      <c r="BO84" s="462"/>
      <c r="BP84" s="231"/>
      <c r="BQ84" s="251">
        <f t="shared" ref="BQ84:BY84" si="15">12*(4*($BC$54*((PI())^2)*($BD84*1000000*144)*$G$291*(($BC$8+$BC$9)/4)*BP$73)/($BC$16*$BC$17*(COS((90/BP$72)*(PI()/180)))))^0.5</f>
        <v>65.63463157374396</v>
      </c>
      <c r="BR84" s="251">
        <f t="shared" si="15"/>
        <v>83.873590487576749</v>
      </c>
      <c r="BS84" s="251">
        <f t="shared" si="15"/>
        <v>99.455431792053261</v>
      </c>
      <c r="BT84" s="251">
        <f t="shared" si="15"/>
        <v>113.18852115028164</v>
      </c>
      <c r="BU84" s="251">
        <f t="shared" si="15"/>
        <v>125.57080140355151</v>
      </c>
      <c r="BV84" s="251">
        <f t="shared" si="15"/>
        <v>136.91938061138404</v>
      </c>
      <c r="BW84" s="251">
        <f t="shared" si="15"/>
        <v>147.44756443159676</v>
      </c>
      <c r="BX84" s="251">
        <f t="shared" si="15"/>
        <v>157.30582938635553</v>
      </c>
      <c r="BY84" s="251">
        <f t="shared" si="15"/>
        <v>166.60454468433784</v>
      </c>
      <c r="BZ84" s="433"/>
      <c r="CA84" s="433"/>
      <c r="CB84" s="231"/>
      <c r="CC84" s="231"/>
      <c r="CD84" s="231"/>
      <c r="CE84" s="231"/>
      <c r="CF84" s="231"/>
      <c r="CG84" s="231"/>
      <c r="CH84" s="231"/>
      <c r="CI84" s="231"/>
      <c r="CJ84" s="231"/>
      <c r="CK84" s="231"/>
      <c r="CL84" s="231"/>
      <c r="CM84" s="231"/>
      <c r="CN84" s="231"/>
      <c r="CO84" s="231"/>
      <c r="CP84" s="231"/>
      <c r="CQ84" s="239"/>
      <c r="CR84" s="239"/>
      <c r="CS84" s="239"/>
      <c r="CT84" s="239"/>
      <c r="CU84" s="239"/>
      <c r="CV84" s="239"/>
      <c r="CW84" s="239"/>
      <c r="CX84" s="239"/>
      <c r="CY84" s="231"/>
      <c r="CZ84" s="231"/>
      <c r="DA84" s="231"/>
      <c r="DB84" s="231"/>
      <c r="DC84" s="231"/>
      <c r="DD84" s="231"/>
      <c r="DE84" s="231"/>
      <c r="DF84" s="231"/>
    </row>
    <row r="85" spans="2:110">
      <c r="B85" s="1063" t="s">
        <v>644</v>
      </c>
      <c r="C85" s="1064" t="s">
        <v>51</v>
      </c>
      <c r="D85" s="1065" t="s">
        <v>87</v>
      </c>
      <c r="E85" s="1086">
        <f>'2'!E46</f>
        <v>0.16</v>
      </c>
      <c r="F85" s="1067" t="s">
        <v>1699</v>
      </c>
      <c r="G85" s="231"/>
      <c r="H85" s="231"/>
      <c r="I85" s="195"/>
      <c r="J85" s="195"/>
      <c r="K85" s="231"/>
      <c r="L85" s="433"/>
      <c r="AX85" s="235">
        <v>5</v>
      </c>
      <c r="AY85" s="94" t="s">
        <v>2035</v>
      </c>
      <c r="AZ85" s="94" t="s">
        <v>2040</v>
      </c>
      <c r="BA85" s="239">
        <v>260</v>
      </c>
      <c r="BB85" s="239">
        <v>215</v>
      </c>
      <c r="BC85" s="239">
        <v>240</v>
      </c>
      <c r="BD85" s="1152">
        <v>29</v>
      </c>
      <c r="BE85" s="334">
        <v>0.28299999999999997</v>
      </c>
      <c r="BF85" s="231"/>
      <c r="BG85" s="437">
        <f t="shared" si="5"/>
        <v>0.63130769230769224</v>
      </c>
      <c r="BH85" s="437">
        <f t="shared" si="6"/>
        <v>3.6060979557453847</v>
      </c>
      <c r="BI85" s="437">
        <f t="shared" si="7"/>
        <v>1.336637860166608</v>
      </c>
      <c r="BJ85" s="231"/>
      <c r="BK85" s="587">
        <f t="shared" si="8"/>
        <v>1.4188455600924392</v>
      </c>
      <c r="BL85" s="462">
        <f t="shared" si="9"/>
        <v>9.3535240622950688</v>
      </c>
      <c r="BM85" s="99">
        <f t="shared" si="10"/>
        <v>0.6310177068244387</v>
      </c>
      <c r="BN85" s="462">
        <f t="shared" si="11"/>
        <v>2.773596491169974</v>
      </c>
      <c r="BO85" s="462"/>
      <c r="BP85" s="231"/>
      <c r="BQ85" s="251">
        <f t="shared" ref="BQ85:BY85" si="16">12*(4*($BC$54*((PI())^2)*($BD85*1000000*144)*$G$291*(($BC$8+$BC$9)/4)*BP$73)/($BC$16*$BC$17*(COS((90/BP$72)*(PI()/180)))))^0.5</f>
        <v>65.63463157374396</v>
      </c>
      <c r="BR85" s="251">
        <f t="shared" si="16"/>
        <v>83.873590487576749</v>
      </c>
      <c r="BS85" s="251">
        <f t="shared" si="16"/>
        <v>99.455431792053261</v>
      </c>
      <c r="BT85" s="251">
        <f t="shared" si="16"/>
        <v>113.18852115028164</v>
      </c>
      <c r="BU85" s="251">
        <f t="shared" si="16"/>
        <v>125.57080140355151</v>
      </c>
      <c r="BV85" s="251">
        <f t="shared" si="16"/>
        <v>136.91938061138404</v>
      </c>
      <c r="BW85" s="251">
        <f t="shared" si="16"/>
        <v>147.44756443159676</v>
      </c>
      <c r="BX85" s="251">
        <f t="shared" si="16"/>
        <v>157.30582938635553</v>
      </c>
      <c r="BY85" s="251">
        <f t="shared" si="16"/>
        <v>166.60454468433784</v>
      </c>
      <c r="BZ85" s="433"/>
      <c r="CA85" s="433"/>
      <c r="CB85" s="231"/>
      <c r="CC85" s="231"/>
      <c r="CD85" s="231"/>
      <c r="CE85" s="231"/>
      <c r="CF85" s="231"/>
      <c r="CG85" s="231"/>
      <c r="CH85" s="231"/>
      <c r="CI85" s="231"/>
      <c r="CJ85" s="231"/>
      <c r="CK85" s="231"/>
      <c r="CL85" s="231"/>
      <c r="CM85" s="231"/>
      <c r="CN85" s="231"/>
      <c r="CO85" s="231"/>
      <c r="CP85" s="231"/>
      <c r="CQ85" s="239"/>
      <c r="CR85" s="239"/>
      <c r="CS85" s="239"/>
      <c r="CT85" s="239"/>
      <c r="CU85" s="239"/>
      <c r="CV85" s="239"/>
      <c r="CW85" s="239"/>
      <c r="CX85" s="239"/>
      <c r="CY85" s="231"/>
      <c r="CZ85" s="231"/>
      <c r="DA85" s="231"/>
      <c r="DB85" s="231"/>
      <c r="DC85" s="231"/>
      <c r="DD85" s="231"/>
      <c r="DE85" s="231"/>
      <c r="DF85" s="231"/>
    </row>
    <row r="86" spans="2:110" ht="26.4">
      <c r="B86" s="1063" t="s">
        <v>1685</v>
      </c>
      <c r="C86" s="1065" t="s">
        <v>1398</v>
      </c>
      <c r="D86" s="1065" t="s">
        <v>87</v>
      </c>
      <c r="E86" s="1086">
        <f>'4'!L25</f>
        <v>0.30166628836412951</v>
      </c>
      <c r="F86" s="1067" t="s">
        <v>1700</v>
      </c>
      <c r="G86" s="231"/>
      <c r="H86" s="231"/>
      <c r="I86" s="239"/>
      <c r="J86" s="239"/>
      <c r="K86" s="231"/>
      <c r="L86" s="433"/>
      <c r="AX86" s="235">
        <v>6</v>
      </c>
      <c r="AY86" s="94" t="s">
        <v>2041</v>
      </c>
      <c r="AZ86" s="94" t="s">
        <v>2042</v>
      </c>
      <c r="BA86" s="239">
        <v>185</v>
      </c>
      <c r="BB86" s="239">
        <v>140</v>
      </c>
      <c r="BC86" s="239">
        <v>98</v>
      </c>
      <c r="BD86" s="1152">
        <v>26</v>
      </c>
      <c r="BE86" s="334">
        <v>0.28599999999999998</v>
      </c>
      <c r="BF86" s="231"/>
      <c r="BG86" s="437">
        <f t="shared" si="5"/>
        <v>0.89664864864864857</v>
      </c>
      <c r="BH86" s="437">
        <f t="shared" si="6"/>
        <v>2.8039070456764121</v>
      </c>
      <c r="BI86" s="437">
        <f t="shared" si="7"/>
        <v>1.6013791353502562</v>
      </c>
      <c r="BJ86" s="231"/>
      <c r="BK86" s="587">
        <f t="shared" si="8"/>
        <v>1.9940532195893741</v>
      </c>
      <c r="BL86" s="462">
        <f t="shared" si="9"/>
        <v>13.284844795573704</v>
      </c>
      <c r="BM86" s="99">
        <f t="shared" si="10"/>
        <v>0.88683569607758961</v>
      </c>
      <c r="BN86" s="462">
        <f t="shared" si="11"/>
        <v>3.9393493474052006</v>
      </c>
      <c r="BO86" s="462"/>
      <c r="BP86" s="231"/>
      <c r="BQ86" s="251">
        <f t="shared" ref="BQ86:BY86" si="17">12*(4*($BC$54*((PI())^2)*($BD86*1000000*144)*$G$291*(($BC$8+$BC$9)/4)*BP$73)/($BC$16*$BC$17*(COS((90/BP$72)*(PI()/180)))))^0.5</f>
        <v>62.147079829127044</v>
      </c>
      <c r="BR86" s="251">
        <f t="shared" si="17"/>
        <v>79.41689621172668</v>
      </c>
      <c r="BS86" s="251">
        <f t="shared" si="17"/>
        <v>94.170783179859953</v>
      </c>
      <c r="BT86" s="251">
        <f t="shared" si="17"/>
        <v>107.17415320239805</v>
      </c>
      <c r="BU86" s="251">
        <f t="shared" si="17"/>
        <v>118.89849050597516</v>
      </c>
      <c r="BV86" s="251">
        <f t="shared" si="17"/>
        <v>129.64405334476277</v>
      </c>
      <c r="BW86" s="251">
        <f t="shared" si="17"/>
        <v>139.61281319976933</v>
      </c>
      <c r="BX86" s="251">
        <f t="shared" si="17"/>
        <v>148.94725089569394</v>
      </c>
      <c r="BY86" s="251">
        <f t="shared" si="17"/>
        <v>157.75187107982256</v>
      </c>
      <c r="BZ86" s="433"/>
      <c r="CA86" s="433"/>
      <c r="CB86" s="231"/>
      <c r="CC86" s="231"/>
      <c r="CD86" s="231"/>
      <c r="CE86" s="231"/>
      <c r="CF86" s="231"/>
      <c r="CG86" s="231"/>
      <c r="CH86" s="231"/>
      <c r="CI86" s="231"/>
      <c r="CJ86" s="231"/>
      <c r="CK86" s="231"/>
      <c r="CL86" s="231"/>
      <c r="CM86" s="231"/>
      <c r="CN86" s="231"/>
      <c r="CO86" s="231"/>
      <c r="CP86" s="231"/>
      <c r="CQ86" s="239"/>
      <c r="CR86" s="239"/>
      <c r="CS86" s="239"/>
      <c r="CT86" s="239"/>
      <c r="CU86" s="239"/>
      <c r="CV86" s="239"/>
      <c r="CW86" s="239"/>
      <c r="CX86" s="239"/>
      <c r="CY86" s="231"/>
      <c r="CZ86" s="231"/>
      <c r="DA86" s="231"/>
      <c r="DB86" s="231"/>
      <c r="DC86" s="231"/>
      <c r="DD86" s="231"/>
      <c r="DE86" s="231"/>
      <c r="DF86" s="231"/>
    </row>
    <row r="87" spans="2:110">
      <c r="B87" s="1063" t="s">
        <v>1027</v>
      </c>
      <c r="C87" s="1064" t="s">
        <v>58</v>
      </c>
      <c r="D87" s="1065" t="s">
        <v>619</v>
      </c>
      <c r="E87" s="1090">
        <f>'3'!AT46</f>
        <v>9.221584655246474</v>
      </c>
      <c r="F87" s="1067" t="s">
        <v>1701</v>
      </c>
      <c r="G87" s="231"/>
      <c r="H87" s="231"/>
      <c r="I87" s="239"/>
      <c r="J87" s="1080"/>
      <c r="K87" s="231"/>
      <c r="L87" s="433"/>
      <c r="AX87" s="235">
        <v>7</v>
      </c>
      <c r="AY87" s="94" t="s">
        <v>2041</v>
      </c>
      <c r="AZ87" s="94" t="s">
        <v>2043</v>
      </c>
      <c r="BA87" s="239">
        <v>115</v>
      </c>
      <c r="BB87" s="239">
        <v>75</v>
      </c>
      <c r="BC87" s="239">
        <v>99</v>
      </c>
      <c r="BD87" s="1152">
        <v>28.5</v>
      </c>
      <c r="BE87" s="334">
        <v>0.28299999999999997</v>
      </c>
      <c r="BF87" s="231"/>
      <c r="BG87" s="437">
        <f t="shared" si="5"/>
        <v>1.4273043478260867</v>
      </c>
      <c r="BH87" s="437">
        <f t="shared" si="6"/>
        <v>2.6999965959093601</v>
      </c>
      <c r="BI87" s="437">
        <f t="shared" si="7"/>
        <v>2.009793846230957</v>
      </c>
      <c r="BJ87" s="231"/>
      <c r="BK87" s="587">
        <f t="shared" si="8"/>
        <v>3.2078247445568189</v>
      </c>
      <c r="BL87" s="462">
        <f t="shared" si="9"/>
        <v>21.147097879971458</v>
      </c>
      <c r="BM87" s="99">
        <f t="shared" si="10"/>
        <v>1.4266487284726441</v>
      </c>
      <c r="BN87" s="462">
        <f t="shared" si="11"/>
        <v>6.2707398930799414</v>
      </c>
      <c r="BO87" s="462"/>
      <c r="BP87" s="231"/>
      <c r="BQ87" s="251">
        <f t="shared" ref="BQ87:BY87" si="18">12*(4*($BC$54*((PI())^2)*($BD87*1000000*144)*$G$291*(($BC$8+$BC$9)/4)*BP$73)/($BC$16*$BC$17*(COS((90/BP$72)*(PI()/180)))))^0.5</f>
        <v>65.066355669159549</v>
      </c>
      <c r="BR87" s="251">
        <f t="shared" si="18"/>
        <v>83.147398546489697</v>
      </c>
      <c r="BS87" s="251">
        <f t="shared" si="18"/>
        <v>98.594329594748132</v>
      </c>
      <c r="BT87" s="251">
        <f t="shared" si="18"/>
        <v>112.20851550839762</v>
      </c>
      <c r="BU87" s="251">
        <f t="shared" si="18"/>
        <v>124.48358785414935</v>
      </c>
      <c r="BV87" s="251">
        <f t="shared" si="18"/>
        <v>135.73390911552212</v>
      </c>
      <c r="BW87" s="251">
        <f t="shared" si="18"/>
        <v>146.1709381133399</v>
      </c>
      <c r="BX87" s="251">
        <f t="shared" si="18"/>
        <v>155.94384851821439</v>
      </c>
      <c r="BY87" s="251">
        <f t="shared" si="18"/>
        <v>165.16205394327244</v>
      </c>
      <c r="BZ87" s="433"/>
      <c r="CA87" s="433"/>
      <c r="CB87" s="231"/>
      <c r="CC87" s="231"/>
      <c r="CD87" s="231"/>
      <c r="CE87" s="231"/>
      <c r="CF87" s="231"/>
      <c r="CG87" s="231"/>
      <c r="CH87" s="231"/>
      <c r="CI87" s="231"/>
      <c r="CJ87" s="231"/>
      <c r="CK87" s="231"/>
      <c r="CL87" s="231"/>
      <c r="CM87" s="231"/>
      <c r="CN87" s="231"/>
      <c r="CO87" s="231"/>
      <c r="CP87" s="231"/>
      <c r="CQ87" s="231"/>
      <c r="CR87" s="231"/>
      <c r="CS87" s="231"/>
      <c r="CT87" s="231"/>
      <c r="CU87" s="231"/>
      <c r="CV87" s="231"/>
      <c r="CW87" s="231"/>
      <c r="CX87" s="231"/>
      <c r="CY87" s="231"/>
      <c r="CZ87" s="231"/>
      <c r="DA87" s="231"/>
      <c r="DB87" s="231"/>
      <c r="DC87" s="231"/>
      <c r="DD87" s="231"/>
      <c r="DE87" s="231"/>
      <c r="DF87" s="231"/>
    </row>
    <row r="88" spans="2:110">
      <c r="B88" s="1063" t="s">
        <v>680</v>
      </c>
      <c r="C88" s="1064" t="s">
        <v>49</v>
      </c>
      <c r="D88" s="1065" t="s">
        <v>658</v>
      </c>
      <c r="E88" s="228">
        <f>IF($E$7=1,(1.5*E85*(1036-0.0034*(E84-20000))),(1.5*E85*((-1.674918E-27*(E84^6)) + (7.808861E-22*(E84^5)) - (1.333876E-16*(E84^4)) + (0.00000000001022912*(E84^3)) - (0.0000003047813*(E84^2)) - (0.0009459332*E84) + 1111.001)))</f>
        <v>262.23514457583718</v>
      </c>
      <c r="F88" s="1070"/>
      <c r="G88" s="231"/>
      <c r="H88" s="231"/>
      <c r="I88" s="239"/>
      <c r="J88" s="1080"/>
      <c r="K88" s="231"/>
      <c r="L88" s="433"/>
      <c r="AX88" s="235">
        <v>8</v>
      </c>
      <c r="AY88" s="94" t="s">
        <v>2041</v>
      </c>
      <c r="AZ88" s="94" t="s">
        <v>2047</v>
      </c>
      <c r="BA88" s="239">
        <v>190</v>
      </c>
      <c r="BB88" s="239">
        <v>170</v>
      </c>
      <c r="BC88" s="239">
        <v>143</v>
      </c>
      <c r="BD88" s="1152">
        <v>28.5</v>
      </c>
      <c r="BE88" s="334">
        <v>0.28299999999999997</v>
      </c>
      <c r="BF88" s="231"/>
      <c r="BG88" s="437">
        <f t="shared" si="5"/>
        <v>0.86389473684210516</v>
      </c>
      <c r="BH88" s="437">
        <f t="shared" si="6"/>
        <v>3.0520864507157062</v>
      </c>
      <c r="BI88" s="437">
        <f t="shared" si="7"/>
        <v>1.5635926916122234</v>
      </c>
      <c r="BJ88" s="231"/>
      <c r="BK88" s="587">
        <f t="shared" si="8"/>
        <v>1.9415781348633379</v>
      </c>
      <c r="BL88" s="462">
        <f t="shared" si="9"/>
        <v>12.799559243140619</v>
      </c>
      <c r="BM88" s="99">
        <f t="shared" si="10"/>
        <v>0.86349791460186365</v>
      </c>
      <c r="BN88" s="462">
        <f t="shared" si="11"/>
        <v>3.79544783002207</v>
      </c>
      <c r="BO88" s="462"/>
      <c r="BP88" s="231"/>
      <c r="BQ88" s="251">
        <f t="shared" ref="BQ88:BY88" si="19">12*(4*($BC$54*((PI())^2)*($BD88*1000000*144)*$G$291*(($BC$8+$BC$9)/4)*BP$73)/($BC$16*$BC$17*(COS((90/BP$72)*(PI()/180)))))^0.5</f>
        <v>65.066355669159549</v>
      </c>
      <c r="BR88" s="251">
        <f t="shared" si="19"/>
        <v>83.147398546489697</v>
      </c>
      <c r="BS88" s="251">
        <f t="shared" si="19"/>
        <v>98.594329594748132</v>
      </c>
      <c r="BT88" s="251">
        <f t="shared" si="19"/>
        <v>112.20851550839762</v>
      </c>
      <c r="BU88" s="251">
        <f t="shared" si="19"/>
        <v>124.48358785414935</v>
      </c>
      <c r="BV88" s="251">
        <f t="shared" si="19"/>
        <v>135.73390911552212</v>
      </c>
      <c r="BW88" s="251">
        <f t="shared" si="19"/>
        <v>146.1709381133399</v>
      </c>
      <c r="BX88" s="251">
        <f t="shared" si="19"/>
        <v>155.94384851821439</v>
      </c>
      <c r="BY88" s="251">
        <f t="shared" si="19"/>
        <v>165.16205394327244</v>
      </c>
      <c r="BZ88" s="433"/>
      <c r="CA88" s="433"/>
      <c r="CB88" s="231"/>
      <c r="CC88" s="231"/>
      <c r="CD88" s="231"/>
      <c r="CE88" s="231"/>
      <c r="CF88" s="231"/>
      <c r="CG88" s="231"/>
      <c r="CH88" s="231"/>
      <c r="CI88" s="231"/>
      <c r="CJ88" s="231"/>
      <c r="CK88" s="231"/>
      <c r="CL88" s="231"/>
      <c r="CM88" s="231"/>
      <c r="CN88" s="231"/>
      <c r="CO88" s="231"/>
      <c r="CP88" s="231"/>
      <c r="CQ88" s="231"/>
      <c r="CR88" s="231"/>
      <c r="CS88" s="231"/>
      <c r="CT88" s="231"/>
      <c r="CU88" s="231"/>
      <c r="CV88" s="231"/>
      <c r="CW88" s="223"/>
      <c r="CX88" s="231"/>
      <c r="CY88" s="231"/>
      <c r="CZ88" s="231"/>
      <c r="DA88" s="231"/>
      <c r="DB88" s="231"/>
      <c r="DC88" s="231"/>
      <c r="DD88" s="231"/>
      <c r="DE88" s="231"/>
      <c r="DF88" s="231"/>
    </row>
    <row r="89" spans="2:110">
      <c r="B89" s="1063" t="s">
        <v>41</v>
      </c>
      <c r="C89" s="1071" t="s">
        <v>50</v>
      </c>
      <c r="D89" s="1065" t="s">
        <v>673</v>
      </c>
      <c r="E89" s="1072">
        <f>IF($E$7=1,(IF($E84&lt;10000,((1-0.00002615*$E84)*0.076474/32.174),IF($E84&gt;40000,(((-0.0000091*$E84+0.6211)*0.076474)/32.174),(((-0.00001681*$E84+0.9066)*0.076474)/32.174)))),((1.188467E-32*($E84^6)) - (3.738363E-27*($E84^5)) + (4.423426E-22*($E84^4)) - (2.646824E-17*($E84^3)) + (0.000000000001273176*($E84^2)) - (0.00000007347109*$E84) + 0.002383333))</f>
        <v>1.9233430198151999E-3</v>
      </c>
      <c r="F89" s="1070"/>
      <c r="G89" s="231"/>
      <c r="H89" s="231"/>
      <c r="I89" s="239"/>
      <c r="J89" s="334"/>
      <c r="K89" s="231"/>
      <c r="L89" s="433"/>
      <c r="AX89" s="235">
        <v>9</v>
      </c>
      <c r="AY89" s="94" t="s">
        <v>2041</v>
      </c>
      <c r="AZ89" s="94" t="s">
        <v>2053</v>
      </c>
      <c r="BA89" s="239">
        <v>190</v>
      </c>
      <c r="BB89" s="239">
        <v>170</v>
      </c>
      <c r="BC89" s="239">
        <v>179</v>
      </c>
      <c r="BD89" s="1152">
        <v>29</v>
      </c>
      <c r="BE89" s="334">
        <v>0.27700000000000002</v>
      </c>
      <c r="BF89" s="231"/>
      <c r="BG89" s="437">
        <f t="shared" si="5"/>
        <v>0.8455789473684211</v>
      </c>
      <c r="BH89" s="437">
        <f t="shared" si="6"/>
        <v>3.2009442949423801</v>
      </c>
      <c r="BI89" s="437">
        <f t="shared" si="7"/>
        <v>1.5304423165250385</v>
      </c>
      <c r="BJ89" s="231"/>
      <c r="BK89" s="587">
        <f t="shared" si="8"/>
        <v>1.9415781348633379</v>
      </c>
      <c r="BL89" s="462">
        <f t="shared" si="9"/>
        <v>12.528190495936228</v>
      </c>
      <c r="BM89" s="99">
        <f t="shared" si="10"/>
        <v>0.86349791460186365</v>
      </c>
      <c r="BN89" s="462">
        <f t="shared" si="11"/>
        <v>3.7149789714350305</v>
      </c>
      <c r="BO89" s="462"/>
      <c r="BP89" s="231"/>
      <c r="BQ89" s="251">
        <f t="shared" ref="BQ89:BY89" si="20">12*(4*($BC$54*((PI())^2)*($BD89*1000000*144)*$G$291*(($BC$8+$BC$9)/4)*BP$73)/($BC$16*$BC$17*(COS((90/BP$72)*(PI()/180)))))^0.5</f>
        <v>65.63463157374396</v>
      </c>
      <c r="BR89" s="251">
        <f t="shared" si="20"/>
        <v>83.873590487576749</v>
      </c>
      <c r="BS89" s="251">
        <f t="shared" si="20"/>
        <v>99.455431792053261</v>
      </c>
      <c r="BT89" s="251">
        <f t="shared" si="20"/>
        <v>113.18852115028164</v>
      </c>
      <c r="BU89" s="251">
        <f t="shared" si="20"/>
        <v>125.57080140355151</v>
      </c>
      <c r="BV89" s="251">
        <f t="shared" si="20"/>
        <v>136.91938061138404</v>
      </c>
      <c r="BW89" s="251">
        <f t="shared" si="20"/>
        <v>147.44756443159676</v>
      </c>
      <c r="BX89" s="251">
        <f t="shared" si="20"/>
        <v>157.30582938635553</v>
      </c>
      <c r="BY89" s="251">
        <f t="shared" si="20"/>
        <v>166.60454468433784</v>
      </c>
      <c r="BZ89" s="433"/>
      <c r="CA89" s="433"/>
      <c r="CB89" s="231"/>
      <c r="CC89" s="231"/>
      <c r="CD89" s="231"/>
      <c r="CE89" s="231"/>
      <c r="CF89" s="231"/>
      <c r="CG89" s="231"/>
      <c r="CH89" s="231"/>
      <c r="CI89" s="231"/>
      <c r="CJ89" s="231"/>
      <c r="CK89" s="231"/>
      <c r="CL89" s="231"/>
      <c r="CM89" s="231"/>
      <c r="CN89" s="231"/>
      <c r="CO89" s="231"/>
      <c r="CP89" s="231"/>
      <c r="CQ89" s="231"/>
      <c r="CR89" s="231"/>
      <c r="CS89" s="223"/>
      <c r="CT89" s="231"/>
      <c r="CU89" s="231"/>
      <c r="CV89" s="231"/>
      <c r="CW89" s="223"/>
      <c r="CX89" s="231"/>
      <c r="CY89" s="231"/>
      <c r="CZ89" s="231"/>
      <c r="DA89" s="231"/>
      <c r="DB89" s="231"/>
      <c r="DC89" s="231"/>
      <c r="DD89" s="231"/>
      <c r="DE89" s="231"/>
      <c r="DF89" s="231"/>
    </row>
    <row r="90" spans="2:110">
      <c r="B90" s="1063" t="s">
        <v>1670</v>
      </c>
      <c r="C90" s="1064" t="s">
        <v>47</v>
      </c>
      <c r="D90" s="1065" t="s">
        <v>619</v>
      </c>
      <c r="E90" s="1073">
        <f>0.5*E89*(E88^2)</f>
        <v>66.131525383561694</v>
      </c>
      <c r="F90" s="1070"/>
      <c r="G90" s="231"/>
      <c r="H90" s="231"/>
      <c r="I90" s="239"/>
      <c r="J90" s="1081"/>
      <c r="K90" s="231"/>
      <c r="L90" s="433"/>
      <c r="AX90" s="235">
        <v>10</v>
      </c>
      <c r="AY90" s="94" t="s">
        <v>2041</v>
      </c>
      <c r="AZ90" s="94" t="s">
        <v>2055</v>
      </c>
      <c r="BA90" s="239">
        <v>190</v>
      </c>
      <c r="BB90" s="239">
        <v>170</v>
      </c>
      <c r="BC90" s="239"/>
      <c r="BD90" s="1152">
        <v>28.5</v>
      </c>
      <c r="BE90" s="334">
        <v>0.28199999999999997</v>
      </c>
      <c r="BF90" s="231"/>
      <c r="BG90" s="437">
        <f t="shared" si="5"/>
        <v>0.86084210526315774</v>
      </c>
      <c r="BH90" s="437"/>
      <c r="BI90" s="437">
        <f t="shared" si="7"/>
        <v>1.5580676290976925</v>
      </c>
      <c r="BJ90" s="231"/>
      <c r="BK90" s="587">
        <f t="shared" si="8"/>
        <v>1.9415781348633379</v>
      </c>
      <c r="BL90" s="462">
        <f t="shared" si="9"/>
        <v>12.754331118606553</v>
      </c>
      <c r="BM90" s="99">
        <f t="shared" si="10"/>
        <v>0.86349791460186365</v>
      </c>
      <c r="BN90" s="462">
        <f t="shared" si="11"/>
        <v>3.7820363535908967</v>
      </c>
      <c r="BO90" s="462"/>
      <c r="BP90" s="231"/>
      <c r="BQ90" s="251">
        <f t="shared" ref="BQ90:BY90" si="21">12*(4*($BC$54*((PI())^2)*($BD90*1000000*144)*$G$291*(($BC$8+$BC$9)/4)*BP$73)/($BC$16*$BC$17*(COS((90/BP$72)*(PI()/180)))))^0.5</f>
        <v>65.066355669159549</v>
      </c>
      <c r="BR90" s="251">
        <f t="shared" si="21"/>
        <v>83.147398546489697</v>
      </c>
      <c r="BS90" s="251">
        <f t="shared" si="21"/>
        <v>98.594329594748132</v>
      </c>
      <c r="BT90" s="251">
        <f t="shared" si="21"/>
        <v>112.20851550839762</v>
      </c>
      <c r="BU90" s="251">
        <f t="shared" si="21"/>
        <v>124.48358785414935</v>
      </c>
      <c r="BV90" s="251">
        <f t="shared" si="21"/>
        <v>135.73390911552212</v>
      </c>
      <c r="BW90" s="251">
        <f t="shared" si="21"/>
        <v>146.1709381133399</v>
      </c>
      <c r="BX90" s="251">
        <f t="shared" si="21"/>
        <v>155.94384851821439</v>
      </c>
      <c r="BY90" s="251">
        <f t="shared" si="21"/>
        <v>165.16205394327244</v>
      </c>
      <c r="BZ90" s="433"/>
      <c r="CA90" s="433"/>
      <c r="CB90" s="231"/>
      <c r="CC90" s="231"/>
      <c r="CD90" s="231"/>
      <c r="CE90" s="231"/>
      <c r="CF90" s="231"/>
      <c r="CG90" s="231"/>
      <c r="CH90" s="231"/>
      <c r="CI90" s="231"/>
      <c r="CJ90" s="231"/>
      <c r="CK90" s="231"/>
      <c r="CL90" s="231"/>
      <c r="CM90" s="231"/>
      <c r="CN90" s="231"/>
      <c r="CO90" s="231"/>
      <c r="CP90" s="231"/>
      <c r="CQ90" s="231"/>
      <c r="CR90" s="231"/>
      <c r="CS90" s="223"/>
      <c r="CT90" s="231"/>
      <c r="CU90" s="231"/>
      <c r="CV90" s="231"/>
      <c r="CW90" s="223"/>
      <c r="CX90" s="231"/>
      <c r="CY90" s="231"/>
      <c r="CZ90" s="231"/>
      <c r="DA90" s="231"/>
      <c r="DB90" s="231"/>
      <c r="DC90" s="231"/>
      <c r="DD90" s="231"/>
      <c r="DE90" s="231"/>
      <c r="DF90" s="231"/>
    </row>
    <row r="91" spans="2:110">
      <c r="B91" s="1063" t="s">
        <v>1671</v>
      </c>
      <c r="C91" s="1074" t="s">
        <v>214</v>
      </c>
      <c r="D91" s="1065" t="s">
        <v>87</v>
      </c>
      <c r="E91" s="1075">
        <f>E90*E86/E87</f>
        <v>2.1633648176690801</v>
      </c>
      <c r="F91" s="1070"/>
      <c r="G91" s="231"/>
      <c r="H91" s="231"/>
      <c r="I91" s="239"/>
      <c r="J91" s="239"/>
      <c r="K91" s="231"/>
      <c r="L91" s="433"/>
      <c r="AX91" s="235">
        <v>11</v>
      </c>
      <c r="AY91" s="94" t="s">
        <v>2057</v>
      </c>
      <c r="AZ91" s="94" t="s">
        <v>2058</v>
      </c>
      <c r="BA91" s="239">
        <v>140</v>
      </c>
      <c r="BB91" s="239">
        <v>95</v>
      </c>
      <c r="BC91" s="239">
        <v>95</v>
      </c>
      <c r="BD91" s="1152">
        <v>29.1</v>
      </c>
      <c r="BE91" s="334">
        <v>0.28699999999999998</v>
      </c>
      <c r="BF91" s="231"/>
      <c r="BG91" s="437">
        <f t="shared" si="5"/>
        <v>1.1889999999999998</v>
      </c>
      <c r="BH91" s="437">
        <f>(BE91/BE$95)*((BC91/BC$95)^(1/3))*((BD$95/BD91)^(1/3))</f>
        <v>2.6820823306528085</v>
      </c>
      <c r="BI91" s="437">
        <f t="shared" si="7"/>
        <v>1.8472763734752846</v>
      </c>
      <c r="BJ91" s="231"/>
      <c r="BK91" s="587">
        <f t="shared" si="8"/>
        <v>2.6349988973145302</v>
      </c>
      <c r="BL91" s="462">
        <f t="shared" si="9"/>
        <v>17.616354506018627</v>
      </c>
      <c r="BM91" s="99">
        <f t="shared" si="10"/>
        <v>1.1718900269596719</v>
      </c>
      <c r="BN91" s="462">
        <f t="shared" si="11"/>
        <v>5.2237700699420362</v>
      </c>
      <c r="BO91" s="462"/>
      <c r="BP91" s="231"/>
      <c r="BQ91" s="251">
        <f t="shared" ref="BQ91:BY91" si="22">12*(4*($BC$54*((PI())^2)*($BD91*1000000*144)*$G$291*(($BC$8+$BC$9)/4)*BP$73)/($BC$16*$BC$17*(COS((90/BP$72)*(PI()/180)))))^0.5</f>
        <v>65.747697345018977</v>
      </c>
      <c r="BR91" s="251">
        <f t="shared" si="22"/>
        <v>84.018075677341656</v>
      </c>
      <c r="BS91" s="251">
        <f t="shared" si="22"/>
        <v>99.626759105598438</v>
      </c>
      <c r="BT91" s="251">
        <f t="shared" si="22"/>
        <v>113.38350582737174</v>
      </c>
      <c r="BU91" s="251">
        <f t="shared" si="22"/>
        <v>125.78711646725932</v>
      </c>
      <c r="BV91" s="251">
        <f t="shared" si="22"/>
        <v>137.15524535230102</v>
      </c>
      <c r="BW91" s="251">
        <f t="shared" si="22"/>
        <v>147.70156559219367</v>
      </c>
      <c r="BX91" s="251">
        <f t="shared" si="22"/>
        <v>157.57681292811031</v>
      </c>
      <c r="BY91" s="251">
        <f t="shared" si="22"/>
        <v>166.89154669670523</v>
      </c>
      <c r="BZ91" s="433"/>
      <c r="CA91" s="433"/>
      <c r="CB91" s="231"/>
      <c r="CC91" s="231"/>
      <c r="CD91" s="231"/>
      <c r="CE91" s="231"/>
      <c r="CF91" s="231"/>
      <c r="CG91" s="231"/>
      <c r="CH91" s="231"/>
      <c r="CI91" s="231"/>
      <c r="CJ91" s="231"/>
      <c r="CK91" s="231"/>
      <c r="CL91" s="231"/>
      <c r="CM91" s="231"/>
      <c r="CN91" s="231"/>
      <c r="CO91" s="231"/>
      <c r="CP91" s="231"/>
      <c r="CQ91" s="231"/>
      <c r="CR91" s="231"/>
      <c r="CS91" s="223"/>
      <c r="CT91" s="1156"/>
      <c r="CU91" s="231"/>
      <c r="CV91" s="231"/>
      <c r="CW91" s="223"/>
      <c r="CX91" s="231"/>
      <c r="CY91" s="231"/>
      <c r="CZ91" s="231"/>
      <c r="DA91" s="231"/>
      <c r="DB91" s="231"/>
      <c r="DC91" s="231"/>
      <c r="DD91" s="231"/>
      <c r="DE91" s="231"/>
      <c r="DF91" s="231"/>
    </row>
    <row r="92" spans="2:110">
      <c r="B92" s="1063"/>
      <c r="C92" s="1065"/>
      <c r="D92" s="1065"/>
      <c r="E92" s="1065"/>
      <c r="F92" s="1070"/>
      <c r="G92" s="231"/>
      <c r="H92" s="231"/>
      <c r="I92" s="239"/>
      <c r="J92" s="239"/>
      <c r="K92" s="231"/>
      <c r="L92" s="433"/>
      <c r="AX92" s="235">
        <v>12</v>
      </c>
      <c r="AY92" s="94" t="s">
        <v>2057</v>
      </c>
      <c r="AZ92" s="94" t="s">
        <v>2061</v>
      </c>
      <c r="BA92" s="239">
        <v>80</v>
      </c>
      <c r="BB92" s="239">
        <v>30</v>
      </c>
      <c r="BC92" s="239">
        <v>30</v>
      </c>
      <c r="BD92" s="1152">
        <v>30</v>
      </c>
      <c r="BE92" s="334">
        <v>0.30399999999999999</v>
      </c>
      <c r="BF92" s="231"/>
      <c r="BG92" s="437">
        <f t="shared" si="5"/>
        <v>2.2039999999999997</v>
      </c>
      <c r="BH92" s="437">
        <f>(BE92/BE$95)*((BC92/BC$95)^(1/3))*((BD$95/BD92)^(1/3))</f>
        <v>1.9150799958402072</v>
      </c>
      <c r="BI92" s="437">
        <f t="shared" si="7"/>
        <v>2.5884667276208124</v>
      </c>
      <c r="BJ92" s="231"/>
      <c r="BK92" s="587">
        <f t="shared" si="8"/>
        <v>4.6112480703004284</v>
      </c>
      <c r="BL92" s="462">
        <f t="shared" si="9"/>
        <v>32.654705913595521</v>
      </c>
      <c r="BM92" s="99">
        <f t="shared" si="10"/>
        <v>2.050807547179426</v>
      </c>
      <c r="BN92" s="462">
        <f t="shared" si="11"/>
        <v>9.6830859833071887</v>
      </c>
      <c r="BO92" s="462"/>
      <c r="BP92" s="231"/>
      <c r="BQ92" s="251">
        <f t="shared" ref="BQ92:BY92" si="23">12*(4*($BC$54*((PI())^2)*($BD92*1000000*144)*$G$291*(($BC$8+$BC$9)/4)*BP$73)/($BC$16*$BC$17*(COS((90/BP$72)*(PI()/180)))))^0.5</f>
        <v>66.756672365630834</v>
      </c>
      <c r="BR92" s="251">
        <f t="shared" si="23"/>
        <v>85.307430940895046</v>
      </c>
      <c r="BS92" s="251">
        <f t="shared" si="23"/>
        <v>101.15564780256022</v>
      </c>
      <c r="BT92" s="251">
        <f t="shared" si="23"/>
        <v>115.12350783122724</v>
      </c>
      <c r="BU92" s="251">
        <f t="shared" si="23"/>
        <v>127.71746632824765</v>
      </c>
      <c r="BV92" s="251">
        <f t="shared" si="23"/>
        <v>139.26005239641944</v>
      </c>
      <c r="BW92" s="251">
        <f t="shared" si="23"/>
        <v>149.96821820826551</v>
      </c>
      <c r="BX92" s="251">
        <f t="shared" si="23"/>
        <v>159.9950127205345</v>
      </c>
      <c r="BY92" s="251">
        <f t="shared" si="23"/>
        <v>169.45269193171796</v>
      </c>
      <c r="BZ92" s="433"/>
      <c r="CA92" s="433"/>
      <c r="CB92" s="231"/>
      <c r="CC92" s="231"/>
      <c r="CD92" s="231"/>
      <c r="CE92" s="231"/>
      <c r="CF92" s="231"/>
      <c r="CG92" s="231"/>
      <c r="CH92" s="231"/>
      <c r="CI92" s="231"/>
      <c r="CJ92" s="231"/>
      <c r="CK92" s="231"/>
      <c r="CL92" s="231"/>
      <c r="CM92" s="231"/>
      <c r="CN92" s="231"/>
      <c r="CO92" s="231"/>
      <c r="CP92" s="231"/>
      <c r="CQ92" s="231"/>
      <c r="CR92" s="231"/>
      <c r="CS92" s="223"/>
      <c r="CT92" s="231"/>
      <c r="CU92" s="231"/>
      <c r="CV92" s="231"/>
      <c r="CW92" s="223"/>
      <c r="CX92" s="231"/>
      <c r="CY92" s="231"/>
      <c r="CZ92" s="231"/>
      <c r="DA92" s="231"/>
      <c r="DB92" s="231"/>
      <c r="DC92" s="231"/>
      <c r="DD92" s="231"/>
      <c r="DE92" s="231"/>
      <c r="DF92" s="231"/>
    </row>
    <row r="93" spans="2:110">
      <c r="B93" s="1076" t="s">
        <v>1702</v>
      </c>
      <c r="C93" s="563" t="s">
        <v>89</v>
      </c>
      <c r="D93" s="563" t="s">
        <v>90</v>
      </c>
      <c r="E93" s="563" t="s">
        <v>1703</v>
      </c>
      <c r="F93" s="546" t="s">
        <v>1704</v>
      </c>
      <c r="G93" s="563" t="s">
        <v>1705</v>
      </c>
      <c r="H93" s="1077" t="s">
        <v>352</v>
      </c>
      <c r="I93" s="239"/>
      <c r="J93" s="239"/>
      <c r="K93" s="231"/>
      <c r="L93" s="433"/>
      <c r="AX93" s="235">
        <v>13</v>
      </c>
      <c r="AY93" s="94" t="s">
        <v>2057</v>
      </c>
      <c r="AZ93" s="94" t="s">
        <v>2064</v>
      </c>
      <c r="BA93" s="239">
        <v>170</v>
      </c>
      <c r="BB93" s="239">
        <v>145</v>
      </c>
      <c r="BC93" s="239"/>
      <c r="BD93" s="1152">
        <v>29.6</v>
      </c>
      <c r="BE93" s="334">
        <v>0.29699999999999999</v>
      </c>
      <c r="BF93" s="231"/>
      <c r="BG93" s="437">
        <f t="shared" si="5"/>
        <v>1.0132941176470587</v>
      </c>
      <c r="BH93" s="437"/>
      <c r="BI93" s="437">
        <f t="shared" si="7"/>
        <v>1.7347863065552958</v>
      </c>
      <c r="BJ93" s="231"/>
      <c r="BK93" s="587">
        <f t="shared" si="8"/>
        <v>2.1699990919060834</v>
      </c>
      <c r="BL93" s="462">
        <f t="shared" si="9"/>
        <v>15.013076867396075</v>
      </c>
      <c r="BM93" s="99">
        <f t="shared" si="10"/>
        <v>0.96508590455502397</v>
      </c>
      <c r="BN93" s="462">
        <f t="shared" si="11"/>
        <v>4.4518212647712625</v>
      </c>
      <c r="BO93" s="462"/>
      <c r="BP93" s="231"/>
      <c r="BQ93" s="251">
        <f t="shared" ref="BQ93:BY93" si="24">12*(4*($BC$54*((PI())^2)*($BD93*1000000*144)*$G$291*(($BC$8+$BC$9)/4)*BP$73)/($BC$16*$BC$17*(COS((90/BP$72)*(PI()/180)))))^0.5</f>
        <v>66.310134428515155</v>
      </c>
      <c r="BR93" s="251">
        <f t="shared" si="24"/>
        <v>84.736806269486195</v>
      </c>
      <c r="BS93" s="251">
        <f t="shared" si="24"/>
        <v>100.47901380184256</v>
      </c>
      <c r="BT93" s="251">
        <f t="shared" si="24"/>
        <v>114.35344228004281</v>
      </c>
      <c r="BU93" s="251">
        <f t="shared" si="24"/>
        <v>126.86315930653907</v>
      </c>
      <c r="BV93" s="251">
        <f t="shared" si="24"/>
        <v>138.32853657461322</v>
      </c>
      <c r="BW93" s="251">
        <f t="shared" si="24"/>
        <v>148.96507505540052</v>
      </c>
      <c r="BX93" s="251">
        <f t="shared" si="24"/>
        <v>158.92479995531872</v>
      </c>
      <c r="BY93" s="251">
        <f t="shared" si="24"/>
        <v>168.31921638818798</v>
      </c>
      <c r="BZ93" s="693"/>
      <c r="CA93" s="433"/>
      <c r="CB93" s="231"/>
      <c r="CC93" s="231"/>
      <c r="CD93" s="231"/>
      <c r="CE93" s="231"/>
      <c r="CF93" s="231"/>
      <c r="CG93" s="231"/>
      <c r="CH93" s="231"/>
      <c r="CI93" s="231"/>
      <c r="CJ93" s="231"/>
      <c r="CK93" s="231"/>
      <c r="CL93" s="231"/>
      <c r="CM93" s="231"/>
      <c r="CN93" s="231"/>
      <c r="CO93" s="231"/>
      <c r="CP93" s="231"/>
      <c r="CQ93" s="231"/>
      <c r="CR93" s="231"/>
      <c r="CS93" s="223"/>
      <c r="CT93" s="231"/>
      <c r="CU93" s="231"/>
      <c r="CV93" s="231"/>
      <c r="CW93" s="223"/>
      <c r="CX93" s="231"/>
      <c r="CY93" s="231"/>
      <c r="CZ93" s="231"/>
      <c r="DA93" s="231"/>
      <c r="DB93" s="231"/>
      <c r="DC93" s="231"/>
      <c r="DD93" s="231"/>
      <c r="DE93" s="231"/>
      <c r="DF93" s="231"/>
    </row>
    <row r="94" spans="2:110">
      <c r="B94" s="235" t="s">
        <v>1027</v>
      </c>
      <c r="C94" s="1064" t="s">
        <v>58</v>
      </c>
      <c r="D94" s="1065" t="s">
        <v>619</v>
      </c>
      <c r="E94" s="1091">
        <f>E77</f>
        <v>10.656359999999999</v>
      </c>
      <c r="F94" s="1090">
        <f>'3'!AT21</f>
        <v>10.357900854319766</v>
      </c>
      <c r="G94" s="1092">
        <f>E87</f>
        <v>9.221584655246474</v>
      </c>
      <c r="H94" s="1093" t="s">
        <v>1706</v>
      </c>
      <c r="I94" s="239"/>
      <c r="J94" s="239"/>
      <c r="K94" s="231"/>
      <c r="L94" s="433"/>
      <c r="AX94" s="235">
        <v>14</v>
      </c>
      <c r="AY94" s="94" t="s">
        <v>2057</v>
      </c>
      <c r="AZ94" s="94" t="s">
        <v>2067</v>
      </c>
      <c r="BA94" s="239">
        <v>155</v>
      </c>
      <c r="BB94" s="239">
        <v>100</v>
      </c>
      <c r="BC94" s="239">
        <v>100</v>
      </c>
      <c r="BD94" s="1152">
        <v>31</v>
      </c>
      <c r="BE94" s="334">
        <v>0.3</v>
      </c>
      <c r="BF94" s="231"/>
      <c r="BG94" s="437">
        <f t="shared" si="5"/>
        <v>1.1225806451612903</v>
      </c>
      <c r="BH94" s="437">
        <f>(BE94/BE$95)*((BC94/BC$95)^(1/3))*((BD$95/BD94)^(1/3))</f>
        <v>2.7924196986318184</v>
      </c>
      <c r="BI94" s="437">
        <f t="shared" si="7"/>
        <v>1.8351408489497123</v>
      </c>
      <c r="BJ94" s="231"/>
      <c r="BK94" s="587">
        <f t="shared" si="8"/>
        <v>2.3799990040260268</v>
      </c>
      <c r="BL94" s="462">
        <f t="shared" si="9"/>
        <v>16.632278054462905</v>
      </c>
      <c r="BM94" s="99">
        <f t="shared" si="10"/>
        <v>1.0584813146732521</v>
      </c>
      <c r="BN94" s="462">
        <f t="shared" si="11"/>
        <v>4.9319623004960222</v>
      </c>
      <c r="BO94" s="462"/>
      <c r="BP94" s="437"/>
      <c r="BQ94" s="251">
        <f t="shared" ref="BQ94:BY94" si="25">12*(4*($BC$54*((PI())^2)*($BD94*1000000*144)*$G$291*(($BC$8+$BC$9)/4)*BP$73)/($BC$16*$BC$17*(COS((90/BP$72)*(PI()/180)))))^0.5</f>
        <v>67.860163194935311</v>
      </c>
      <c r="BR94" s="251">
        <f t="shared" si="25"/>
        <v>86.717566652861223</v>
      </c>
      <c r="BS94" s="251">
        <f t="shared" si="25"/>
        <v>102.82775525979093</v>
      </c>
      <c r="BT94" s="251">
        <f t="shared" si="25"/>
        <v>117.02650464978234</v>
      </c>
      <c r="BU94" s="251">
        <f t="shared" si="25"/>
        <v>129.82864185334444</v>
      </c>
      <c r="BV94" s="251">
        <f t="shared" si="25"/>
        <v>141.56202739400825</v>
      </c>
      <c r="BW94" s="251">
        <f t="shared" si="25"/>
        <v>152.44719967357224</v>
      </c>
      <c r="BX94" s="251">
        <f t="shared" si="25"/>
        <v>162.63973755499853</v>
      </c>
      <c r="BY94" s="251">
        <f t="shared" si="25"/>
        <v>172.25375263353743</v>
      </c>
      <c r="BZ94" s="693"/>
      <c r="CA94" s="433"/>
      <c r="CB94" s="231"/>
      <c r="CC94" s="231"/>
      <c r="CD94" s="231"/>
      <c r="CE94" s="231"/>
      <c r="CF94" s="231"/>
      <c r="CG94" s="231"/>
      <c r="CH94" s="231"/>
      <c r="CI94" s="231"/>
      <c r="CJ94" s="231"/>
      <c r="CK94" s="231"/>
      <c r="CL94" s="231"/>
      <c r="CM94" s="231"/>
      <c r="CN94" s="231"/>
      <c r="CO94" s="231"/>
      <c r="CP94" s="231"/>
      <c r="CQ94" s="231"/>
      <c r="CR94" s="231"/>
      <c r="CS94" s="223"/>
      <c r="CT94" s="436"/>
      <c r="CU94" s="231"/>
      <c r="CV94" s="231"/>
      <c r="CW94" s="223"/>
      <c r="CX94" s="231"/>
      <c r="CY94" s="231"/>
      <c r="CZ94" s="231"/>
      <c r="DA94" s="231"/>
      <c r="DB94" s="231"/>
      <c r="DC94" s="231"/>
      <c r="DD94" s="231"/>
      <c r="DE94" s="231"/>
      <c r="DF94" s="231"/>
    </row>
    <row r="95" spans="2:110">
      <c r="B95" s="235" t="s">
        <v>1666</v>
      </c>
      <c r="C95" s="1064" t="s">
        <v>643</v>
      </c>
      <c r="D95" s="1065" t="s">
        <v>658</v>
      </c>
      <c r="E95" s="1094">
        <f>E74</f>
        <v>7000</v>
      </c>
      <c r="F95" s="1087">
        <f>'2'!D50</f>
        <v>7000</v>
      </c>
      <c r="G95" s="1094">
        <f>E84</f>
        <v>7000</v>
      </c>
      <c r="H95" s="1067" t="s">
        <v>1695</v>
      </c>
      <c r="I95" s="239"/>
      <c r="J95" s="239"/>
      <c r="K95" s="231"/>
      <c r="L95" s="433"/>
      <c r="AX95" s="1117">
        <v>15</v>
      </c>
      <c r="AY95" s="96" t="s">
        <v>2070</v>
      </c>
      <c r="AZ95" s="96" t="s">
        <v>2071</v>
      </c>
      <c r="BA95" s="96">
        <v>58</v>
      </c>
      <c r="BB95" s="96">
        <v>39</v>
      </c>
      <c r="BC95" s="96">
        <v>42</v>
      </c>
      <c r="BD95" s="1157">
        <v>10.5</v>
      </c>
      <c r="BE95" s="1158">
        <v>0.1</v>
      </c>
      <c r="BF95" s="440"/>
      <c r="BG95" s="1083">
        <f>(BE95/BE$95)*(BA$95/BA95)</f>
        <v>1</v>
      </c>
      <c r="BH95" s="1083">
        <f>(BE95/BE$95)*((BC95/BC$95)^(1/3))*((BD$95/BD95)^(1/3))</f>
        <v>1</v>
      </c>
      <c r="BI95" s="1083">
        <f t="shared" si="7"/>
        <v>1</v>
      </c>
      <c r="BJ95" s="440"/>
      <c r="BK95" s="587">
        <f t="shared" si="8"/>
        <v>6.3603421659316242</v>
      </c>
      <c r="BL95" s="462">
        <f t="shared" si="9"/>
        <v>14.816109761159487</v>
      </c>
      <c r="BM95" s="99">
        <f t="shared" si="10"/>
        <v>2.8287000650750707</v>
      </c>
      <c r="BN95" s="462">
        <f t="shared" si="11"/>
        <v>4.3934146929705946</v>
      </c>
      <c r="BO95" s="462"/>
      <c r="BP95" s="1083"/>
      <c r="BQ95" s="251">
        <f t="shared" ref="BQ95:BY95" si="26">12*(4*($BC$54*((PI())^2)*($BD95*1000000*144)*$G$291*(($BC$8+$BC$9)/4)*BP$73)/($BC$16*$BC$17*(COS((90/BP$72)*(PI()/180)))))^0.5</f>
        <v>39.49377997693135</v>
      </c>
      <c r="BR95" s="251">
        <f t="shared" si="26"/>
        <v>50.468556753759586</v>
      </c>
      <c r="BS95" s="309">
        <f t="shared" si="26"/>
        <v>59.844488291107176</v>
      </c>
      <c r="BT95" s="251">
        <f t="shared" si="26"/>
        <v>68.107985723983376</v>
      </c>
      <c r="BU95" s="251">
        <f t="shared" si="26"/>
        <v>75.558672049325196</v>
      </c>
      <c r="BV95" s="251">
        <f t="shared" si="26"/>
        <v>82.387358057585047</v>
      </c>
      <c r="BW95" s="251">
        <f t="shared" si="26"/>
        <v>88.722394384939136</v>
      </c>
      <c r="BX95" s="251">
        <f t="shared" si="26"/>
        <v>94.654326015272005</v>
      </c>
      <c r="BY95" s="251">
        <f t="shared" si="26"/>
        <v>100.24956449290441</v>
      </c>
      <c r="BZ95" s="693"/>
      <c r="CA95" s="433"/>
      <c r="CB95" s="231"/>
      <c r="CC95" s="231"/>
      <c r="CD95" s="231"/>
      <c r="CE95" s="231"/>
      <c r="CF95" s="231"/>
      <c r="CG95" s="231"/>
      <c r="CH95" s="231"/>
      <c r="CI95" s="231"/>
      <c r="CJ95" s="231"/>
      <c r="CK95" s="231"/>
      <c r="CL95" s="231"/>
      <c r="CM95" s="231"/>
      <c r="CN95" s="231"/>
      <c r="CO95" s="231"/>
      <c r="CP95" s="231"/>
      <c r="CQ95" s="231"/>
      <c r="CR95" s="231"/>
      <c r="CS95" s="231"/>
      <c r="CT95" s="231"/>
      <c r="CU95" s="231"/>
      <c r="CV95" s="231"/>
      <c r="CW95" s="231"/>
      <c r="CX95" s="231"/>
      <c r="CY95" s="231"/>
      <c r="CZ95" s="231"/>
      <c r="DA95" s="231"/>
      <c r="DB95" s="231"/>
      <c r="DC95" s="231"/>
      <c r="DD95" s="231"/>
      <c r="DE95" s="231"/>
      <c r="DF95" s="231"/>
    </row>
    <row r="96" spans="2:110" ht="26.4">
      <c r="B96" s="235" t="s">
        <v>644</v>
      </c>
      <c r="C96" s="1064" t="s">
        <v>51</v>
      </c>
      <c r="D96" s="1065" t="s">
        <v>87</v>
      </c>
      <c r="E96" s="1095">
        <f>E75</f>
        <v>0.12</v>
      </c>
      <c r="F96" s="1086">
        <f>'2'!E50</f>
        <v>0.16</v>
      </c>
      <c r="G96" s="1095">
        <f>E85</f>
        <v>0.16</v>
      </c>
      <c r="H96" s="1067" t="s">
        <v>1707</v>
      </c>
      <c r="I96" s="239"/>
      <c r="J96" s="239"/>
      <c r="K96" s="231"/>
      <c r="L96" s="433"/>
      <c r="AX96" s="246">
        <v>16</v>
      </c>
      <c r="AY96" s="94" t="s">
        <v>2070</v>
      </c>
      <c r="AZ96" s="94" t="s">
        <v>2074</v>
      </c>
      <c r="BA96" s="94">
        <v>66</v>
      </c>
      <c r="BB96" s="94"/>
      <c r="BC96" s="94"/>
      <c r="BD96" s="646">
        <v>10.5</v>
      </c>
      <c r="BE96" s="195">
        <v>0.1</v>
      </c>
      <c r="BF96" s="223"/>
      <c r="BG96" s="437">
        <f t="shared" ref="BG96:BG108" si="27">($BE96/$BE$95)*($BA$95/$BA96)</f>
        <v>0.87878787878787878</v>
      </c>
      <c r="BH96" s="437"/>
      <c r="BI96" s="1043">
        <f t="shared" si="7"/>
        <v>0.93743686656109204</v>
      </c>
      <c r="BJ96" s="223"/>
      <c r="BK96" s="587">
        <f t="shared" si="8"/>
        <v>5.5893916003641548</v>
      </c>
      <c r="BL96" s="462">
        <f t="shared" si="9"/>
        <v>13.020217668897731</v>
      </c>
      <c r="BM96" s="99">
        <f t="shared" si="10"/>
        <v>2.4858273299144558</v>
      </c>
      <c r="BN96" s="462">
        <f t="shared" si="11"/>
        <v>3.8608795786711285</v>
      </c>
      <c r="BO96" s="462"/>
      <c r="BP96" s="231"/>
      <c r="BQ96" s="251">
        <f t="shared" ref="BQ96:BY96" si="28">12*(4*($BC$54*((PI())^2)*($BD96*1000000*144)*$G$291*(($BC$8+$BC$9)/4)*BP$73)/($BC$16*$BC$17*(COS((90/BP$72)*(PI()/180)))))^0.5</f>
        <v>39.49377997693135</v>
      </c>
      <c r="BR96" s="251">
        <f t="shared" si="28"/>
        <v>50.468556753759586</v>
      </c>
      <c r="BS96" s="251">
        <f t="shared" si="28"/>
        <v>59.844488291107176</v>
      </c>
      <c r="BT96" s="251">
        <f t="shared" si="28"/>
        <v>68.107985723983376</v>
      </c>
      <c r="BU96" s="251">
        <f t="shared" si="28"/>
        <v>75.558672049325196</v>
      </c>
      <c r="BV96" s="251">
        <f t="shared" si="28"/>
        <v>82.387358057585047</v>
      </c>
      <c r="BW96" s="251">
        <f t="shared" si="28"/>
        <v>88.722394384939136</v>
      </c>
      <c r="BX96" s="251">
        <f t="shared" si="28"/>
        <v>94.654326015272005</v>
      </c>
      <c r="BY96" s="251">
        <f t="shared" si="28"/>
        <v>100.24956449290441</v>
      </c>
      <c r="BZ96" s="693"/>
      <c r="CA96" s="433"/>
      <c r="CB96" s="231"/>
      <c r="CC96" s="231"/>
      <c r="CD96" s="231"/>
      <c r="CE96" s="231"/>
      <c r="CF96" s="231"/>
      <c r="CG96" s="231"/>
      <c r="CH96" s="231"/>
      <c r="CI96" s="231"/>
      <c r="CJ96" s="231"/>
      <c r="CK96" s="231"/>
      <c r="CL96" s="231"/>
      <c r="CM96" s="231"/>
      <c r="CN96" s="231"/>
      <c r="CO96" s="231"/>
      <c r="CP96" s="231"/>
      <c r="CQ96" s="231"/>
      <c r="CR96" s="231"/>
      <c r="CS96" s="231"/>
      <c r="CT96" s="231"/>
      <c r="CU96" s="231"/>
      <c r="CV96" s="231"/>
      <c r="CW96" s="231"/>
      <c r="CX96" s="231"/>
      <c r="CY96" s="231"/>
      <c r="CZ96" s="231"/>
      <c r="DA96" s="231"/>
      <c r="DB96" s="231"/>
      <c r="DC96" s="231"/>
      <c r="DD96" s="231"/>
      <c r="DE96" s="231"/>
      <c r="DF96" s="231"/>
    </row>
    <row r="97" spans="2:110">
      <c r="B97" s="235" t="s">
        <v>680</v>
      </c>
      <c r="C97" s="1064" t="s">
        <v>49</v>
      </c>
      <c r="D97" s="1065" t="s">
        <v>658</v>
      </c>
      <c r="E97" s="228">
        <f>IF($E$7=1,(E96*(1036-0.0034*(E95-20000))),(E96*((-1.674918E-27*(E95^6)) + (7.808861E-22*(E95^5)) - (1.333876E-16*(E95^4)) + (0.00000000001022912*(E95^3)) - (0.0000003047813*(E95^2)) - (0.0009459332*E95) + 1111.001)))</f>
        <v>131.11757228791859</v>
      </c>
      <c r="F97" s="228">
        <f>IF($E$7=1,(F96*(1036-0.0034*(F95-20000))),(F96*((-1.674918E-27*(F95^6)) + (7.808861E-22*(F95^5)) - (1.333876E-16*(F95^4)) + (0.00000000001022912*(F95^3)) - (0.0000003047813*(F95^2)) - (0.0009459332*F95) + 1111.001)))</f>
        <v>174.8234297172248</v>
      </c>
      <c r="G97" s="228">
        <f>IF($E$7=1,(1.5*G96*(1036-0.0034*(G95-20000))),(G96*((-1.674918E-27*(G95^6)) + (7.808861E-22*(G95^5)) - (1.333876E-16*(G95^4)) + (0.00000000001022912*(G95^3)) - (0.0000003047813*(G95^2)) - (0.0009459332*G95) + 1111.001)))</f>
        <v>174.8234297172248</v>
      </c>
      <c r="H97" s="231"/>
      <c r="I97" s="523"/>
      <c r="J97" s="239"/>
      <c r="K97" s="231"/>
      <c r="L97" s="433"/>
      <c r="AX97" s="246">
        <v>17</v>
      </c>
      <c r="AY97" s="94" t="s">
        <v>2070</v>
      </c>
      <c r="AZ97" s="94" t="s">
        <v>2077</v>
      </c>
      <c r="BA97" s="94">
        <v>62</v>
      </c>
      <c r="BB97" s="94">
        <v>50</v>
      </c>
      <c r="BC97" s="94">
        <v>50</v>
      </c>
      <c r="BD97" s="646">
        <v>10.5</v>
      </c>
      <c r="BE97" s="195">
        <v>0.10199999999999999</v>
      </c>
      <c r="BF97" s="223"/>
      <c r="BG97" s="437">
        <f t="shared" si="27"/>
        <v>0.95419354838709658</v>
      </c>
      <c r="BH97" s="437">
        <f>(BE97/BE$95)*((BC97/BC$95)^(1/3))*((BD$95/BD97)^(1/3))</f>
        <v>1.0810366296072929</v>
      </c>
      <c r="BI97" s="1043">
        <f t="shared" si="7"/>
        <v>0.98654823468233843</v>
      </c>
      <c r="BJ97" s="223"/>
      <c r="BK97" s="587">
        <f t="shared" si="8"/>
        <v>5.9499975100650682</v>
      </c>
      <c r="BL97" s="462">
        <f t="shared" si="9"/>
        <v>14.137436346293471</v>
      </c>
      <c r="BM97" s="99">
        <f t="shared" si="10"/>
        <v>2.6462032866831304</v>
      </c>
      <c r="BN97" s="462">
        <f t="shared" si="11"/>
        <v>4.1921679554216187</v>
      </c>
      <c r="BO97" s="462"/>
      <c r="BP97" s="231"/>
      <c r="BQ97" s="251">
        <f t="shared" ref="BQ97:BY97" si="29">12*(4*($BC$54*((PI())^2)*($BD97*1000000*144)*$G$291*(($BC$8+$BC$9)/4)*BP$73)/($BC$16*$BC$17*(COS((90/BP$72)*(PI()/180)))))^0.5</f>
        <v>39.49377997693135</v>
      </c>
      <c r="BR97" s="251">
        <f t="shared" si="29"/>
        <v>50.468556753759586</v>
      </c>
      <c r="BS97" s="251">
        <f t="shared" si="29"/>
        <v>59.844488291107176</v>
      </c>
      <c r="BT97" s="251">
        <f t="shared" si="29"/>
        <v>68.107985723983376</v>
      </c>
      <c r="BU97" s="251">
        <f t="shared" si="29"/>
        <v>75.558672049325196</v>
      </c>
      <c r="BV97" s="251">
        <f t="shared" si="29"/>
        <v>82.387358057585047</v>
      </c>
      <c r="BW97" s="251">
        <f t="shared" si="29"/>
        <v>88.722394384939136</v>
      </c>
      <c r="BX97" s="251">
        <f t="shared" si="29"/>
        <v>94.654326015272005</v>
      </c>
      <c r="BY97" s="251">
        <f t="shared" si="29"/>
        <v>100.24956449290441</v>
      </c>
      <c r="BZ97" s="433"/>
      <c r="CA97" s="433"/>
      <c r="CB97" s="231"/>
      <c r="CC97" s="231"/>
      <c r="CD97" s="231"/>
      <c r="CE97" s="231"/>
      <c r="CF97" s="231"/>
      <c r="CG97" s="231"/>
      <c r="CH97" s="231"/>
      <c r="CI97" s="231"/>
      <c r="CJ97" s="231"/>
      <c r="CK97" s="231"/>
      <c r="CL97" s="231"/>
      <c r="CM97" s="231"/>
      <c r="CN97" s="231"/>
      <c r="CO97" s="231"/>
      <c r="CP97" s="231"/>
      <c r="CQ97" s="231"/>
      <c r="CR97" s="231"/>
      <c r="CS97" s="231"/>
      <c r="CT97" s="231"/>
      <c r="CU97" s="231"/>
      <c r="CV97" s="231"/>
      <c r="CW97" s="231"/>
      <c r="CX97" s="231"/>
      <c r="CY97" s="231"/>
      <c r="CZ97" s="231"/>
      <c r="DA97" s="231"/>
      <c r="DB97" s="231"/>
      <c r="DC97" s="231"/>
      <c r="DD97" s="231"/>
      <c r="DE97" s="231"/>
      <c r="DF97" s="231"/>
    </row>
    <row r="98" spans="2:110">
      <c r="B98" s="235" t="s">
        <v>41</v>
      </c>
      <c r="C98" s="1071" t="s">
        <v>50</v>
      </c>
      <c r="D98" s="1065" t="s">
        <v>673</v>
      </c>
      <c r="E98" s="1072">
        <f>IF($E$7=1,(IF($E95&lt;10000,((1-0.00002615*$E95)*0.076474/32.174),IF($E95&gt;40000,(((-0.0000091*$E95+0.6211)*0.076474)/32.174),(((-0.00001681*$E95+0.9066)*0.076474)/32.174)))),((1.188467E-32*($E95^6)) - (3.738363E-27*($E95^5)) + (4.423426E-22*($E95^4)) - (2.646824E-17*($E95^3)) + (0.000000000001273176*($E95^2)) - (0.00000007347109*$E95) + 0.002383333))</f>
        <v>1.9233430198151999E-3</v>
      </c>
      <c r="F98" s="1072">
        <f>IF($E$7=1,(IF($E95&lt;10000,((1-0.00002615*$E95)*0.076474/32.174),IF($E95&gt;40000,(((-0.0000091*$E95+0.6211)*0.076474)/32.174),(((-0.00001681*$E95+0.9066)*0.076474)/32.174)))),((1.188467E-32*($E95^6)) - (3.738363E-27*($E95^5)) + (4.423426E-22*($E95^4)) - (2.646824E-17*($E95^3)) + (0.000000000001273176*($E95^2)) - (0.00000007347109*$E95) + 0.002383333))</f>
        <v>1.9233430198151999E-3</v>
      </c>
      <c r="G98" s="1072">
        <f>IF($E$7=1,(IF($E95&lt;10000,((1-0.00002615*$E95)*0.076474/32.174),IF($E95&gt;40000,(((-0.0000091*$E95+0.6211)*0.076474)/32.174),(((-0.00001681*$E95+0.9066)*0.076474)/32.174)))),((1.188467E-32*($E95^6)) - (3.738363E-27*($E95^5)) + (4.423426E-22*($E95^4)) - (2.646824E-17*($E95^3)) + (0.000000000001273176*($E95^2)) - (0.00000007347109*$E95) + 0.002383333))</f>
        <v>1.9233430198151999E-3</v>
      </c>
      <c r="H98" s="231"/>
      <c r="I98" s="523"/>
      <c r="J98" s="523"/>
      <c r="K98" s="231"/>
      <c r="L98" s="433"/>
      <c r="AX98" s="246">
        <v>18</v>
      </c>
      <c r="AY98" s="94" t="s">
        <v>2070</v>
      </c>
      <c r="AZ98" s="94" t="s">
        <v>2080</v>
      </c>
      <c r="BA98" s="239">
        <v>42</v>
      </c>
      <c r="BB98" s="239">
        <v>36</v>
      </c>
      <c r="BC98" s="239">
        <v>35</v>
      </c>
      <c r="BD98" s="1152">
        <v>9.9</v>
      </c>
      <c r="BE98" s="334">
        <v>9.8000000000000004E-2</v>
      </c>
      <c r="BF98" s="231"/>
      <c r="BG98" s="437">
        <f t="shared" si="27"/>
        <v>1.3533333333333333</v>
      </c>
      <c r="BH98" s="437">
        <f>(BE98/BE$95)*((BC98/BC$95)^(1/3))*((BD$95/BD98)^(1/3))</f>
        <v>0.94048172688938492</v>
      </c>
      <c r="BI98" s="437">
        <f t="shared" si="7"/>
        <v>1.151636516730286</v>
      </c>
      <c r="BJ98" s="231"/>
      <c r="BK98" s="587">
        <f t="shared" si="8"/>
        <v>8.7833296577151003</v>
      </c>
      <c r="BL98" s="462">
        <f t="shared" si="9"/>
        <v>20.051135210102508</v>
      </c>
      <c r="BM98" s="99">
        <f t="shared" si="10"/>
        <v>3.9063000898655735</v>
      </c>
      <c r="BN98" s="462">
        <f t="shared" si="11"/>
        <v>5.9457545511535397</v>
      </c>
      <c r="BO98" s="462"/>
      <c r="BP98" s="231"/>
      <c r="BQ98" s="251">
        <f t="shared" ref="BQ98:BY98" si="30">12*(4*($BC$54*((PI())^2)*($BD98*1000000*144)*$G$291*(($BC$8+$BC$9)/4)*BP$73)/($BC$16*$BC$17*(COS((90/BP$72)*(PI()/180)))))^0.5</f>
        <v>38.348788647878038</v>
      </c>
      <c r="BR98" s="251">
        <f t="shared" si="30"/>
        <v>49.00538812551882</v>
      </c>
      <c r="BS98" s="251">
        <f t="shared" si="30"/>
        <v>58.109495585294425</v>
      </c>
      <c r="BT98" s="251">
        <f t="shared" si="30"/>
        <v>66.133420282569631</v>
      </c>
      <c r="BU98" s="251">
        <f t="shared" si="30"/>
        <v>73.368098637972992</v>
      </c>
      <c r="BV98" s="251">
        <f t="shared" si="30"/>
        <v>79.998809515139996</v>
      </c>
      <c r="BW98" s="251">
        <f t="shared" si="30"/>
        <v>86.150182448706644</v>
      </c>
      <c r="BX98" s="251">
        <f t="shared" si="30"/>
        <v>91.910137370675926</v>
      </c>
      <c r="BY98" s="251">
        <f t="shared" si="30"/>
        <v>97.343160442626328</v>
      </c>
      <c r="BZ98" s="433"/>
      <c r="CA98" s="433"/>
      <c r="CB98" s="231"/>
      <c r="CC98" s="231"/>
      <c r="CD98" s="231"/>
      <c r="CE98" s="231"/>
      <c r="CF98" s="231"/>
      <c r="CG98" s="231"/>
      <c r="CH98" s="231"/>
      <c r="CI98" s="231"/>
      <c r="CJ98" s="231"/>
      <c r="CK98" s="231"/>
      <c r="CL98" s="231"/>
      <c r="CM98" s="231"/>
      <c r="CN98" s="231"/>
      <c r="CO98" s="231"/>
      <c r="CP98" s="231"/>
      <c r="CQ98" s="231"/>
      <c r="CR98" s="231"/>
      <c r="CS98" s="231"/>
      <c r="CT98" s="231"/>
      <c r="CU98" s="231"/>
      <c r="CV98" s="231"/>
      <c r="CW98" s="231"/>
      <c r="CX98" s="231"/>
      <c r="CY98" s="231"/>
      <c r="CZ98" s="231"/>
      <c r="DA98" s="231"/>
      <c r="DB98" s="231"/>
      <c r="DC98" s="231"/>
      <c r="DD98" s="231"/>
      <c r="DE98" s="231"/>
      <c r="DF98" s="231"/>
    </row>
    <row r="99" spans="2:110" ht="15.6">
      <c r="B99" s="235" t="s">
        <v>168</v>
      </c>
      <c r="C99" s="1064" t="s">
        <v>1708</v>
      </c>
      <c r="D99" s="1065" t="s">
        <v>1402</v>
      </c>
      <c r="E99" s="1096">
        <f>$E9*180/PI()</f>
        <v>4.5406802357163851</v>
      </c>
      <c r="F99" s="1096">
        <f>$E9*180/PI()</f>
        <v>4.5406802357163851</v>
      </c>
      <c r="G99" s="1096">
        <f>$E9*180/PI()</f>
        <v>4.5406802357163851</v>
      </c>
      <c r="H99" s="231"/>
      <c r="I99" s="1081"/>
      <c r="J99" s="1081"/>
      <c r="K99" s="461"/>
      <c r="L99" s="433"/>
      <c r="AX99" s="246">
        <v>19</v>
      </c>
      <c r="AY99" s="94" t="s">
        <v>2070</v>
      </c>
      <c r="AZ99" s="94" t="s">
        <v>2081</v>
      </c>
      <c r="BA99" s="239">
        <v>76</v>
      </c>
      <c r="BB99" s="239">
        <v>66</v>
      </c>
      <c r="BC99" s="239">
        <v>67</v>
      </c>
      <c r="BD99" s="1152">
        <v>10.3</v>
      </c>
      <c r="BE99" s="334">
        <v>0.10100000000000001</v>
      </c>
      <c r="BF99" s="231"/>
      <c r="BG99" s="437">
        <f t="shared" si="27"/>
        <v>0.77078947368421058</v>
      </c>
      <c r="BH99" s="437">
        <f>(BE99/BE$95)*((BC99/BC$95)^(1/3))*((BD$95/BD99)^(1/3))</f>
        <v>1.187719543447894</v>
      </c>
      <c r="BI99" s="437">
        <f t="shared" si="7"/>
        <v>0.88232497891709538</v>
      </c>
      <c r="BJ99" s="231"/>
      <c r="BK99" s="587">
        <f t="shared" si="8"/>
        <v>4.8539453371583452</v>
      </c>
      <c r="BL99" s="462">
        <f t="shared" si="9"/>
        <v>11.420101444851614</v>
      </c>
      <c r="BM99" s="99">
        <f t="shared" si="10"/>
        <v>2.1587447865046587</v>
      </c>
      <c r="BN99" s="462">
        <f t="shared" si="11"/>
        <v>3.3863977988712812</v>
      </c>
      <c r="BO99" s="462"/>
      <c r="BP99" s="231"/>
      <c r="BQ99" s="251">
        <f t="shared" ref="BQ99:BY99" si="31">12*(4*($BC$54*((PI())^2)*($BD99*1000000*144)*$G$291*(($BC$8+$BC$9)/4)*BP$73)/($BC$16*$BC$17*(COS((90/BP$72)*(PI()/180)))))^0.5</f>
        <v>39.11584037399745</v>
      </c>
      <c r="BR99" s="251">
        <f t="shared" si="31"/>
        <v>49.985592947527202</v>
      </c>
      <c r="BS99" s="251">
        <f t="shared" si="31"/>
        <v>59.271800587986981</v>
      </c>
      <c r="BT99" s="251">
        <f t="shared" si="31"/>
        <v>67.45621967129901</v>
      </c>
      <c r="BU99" s="251">
        <f t="shared" si="31"/>
        <v>74.835605922729698</v>
      </c>
      <c r="BV99" s="251">
        <f t="shared" si="31"/>
        <v>81.59894415014837</v>
      </c>
      <c r="BW99" s="251">
        <f t="shared" si="31"/>
        <v>87.873356725723568</v>
      </c>
      <c r="BX99" s="251">
        <f t="shared" si="31"/>
        <v>93.748522154231523</v>
      </c>
      <c r="BY99" s="251">
        <f t="shared" si="31"/>
        <v>99.290216448202813</v>
      </c>
      <c r="BZ99" s="433"/>
      <c r="CA99" s="433"/>
      <c r="CB99" s="231"/>
      <c r="CC99" s="231"/>
      <c r="CD99" s="231"/>
      <c r="CE99" s="231"/>
      <c r="CF99" s="231"/>
      <c r="CG99" s="231"/>
      <c r="CH99" s="231"/>
      <c r="CI99" s="231"/>
      <c r="CJ99" s="231"/>
      <c r="CK99" s="231"/>
      <c r="CL99" s="231"/>
      <c r="CM99" s="231"/>
      <c r="CN99" s="231"/>
      <c r="CO99" s="231"/>
      <c r="CP99" s="231"/>
      <c r="CQ99" s="231"/>
      <c r="CR99" s="231"/>
      <c r="CS99" s="231"/>
      <c r="CT99" s="231"/>
      <c r="CU99" s="231"/>
      <c r="CV99" s="231"/>
      <c r="CW99" s="231"/>
      <c r="CX99" s="231"/>
      <c r="CY99" s="231"/>
      <c r="CZ99" s="231"/>
      <c r="DA99" s="231"/>
      <c r="DB99" s="231"/>
      <c r="DC99" s="231"/>
      <c r="DD99" s="231"/>
      <c r="DE99" s="231"/>
      <c r="DF99" s="231"/>
    </row>
    <row r="100" spans="2:110">
      <c r="B100" s="1097" t="s">
        <v>1709</v>
      </c>
      <c r="C100" s="1065" t="s">
        <v>1710</v>
      </c>
      <c r="D100" s="1065" t="s">
        <v>658</v>
      </c>
      <c r="E100" s="1098">
        <f>IF(E95&lt;$E$118,$E$116,($E$116+((($E$117-$E$116)/($E$119-$E$118))*(E95-$E$118))))</f>
        <v>66</v>
      </c>
      <c r="F100" s="1098">
        <f>IF(F95&lt;$F$118,$F$116,($F$116+((($F$117-$F$116)/($F$119-$F$118))*(F95-$F$118))))</f>
        <v>50</v>
      </c>
      <c r="G100" s="1098">
        <f>IF(G95&lt;$G$118,$G$116,($G$116+((($G$117-$G$116)/($G$119-$G$118))*(G95-$G$118))))</f>
        <v>25</v>
      </c>
      <c r="H100" s="231"/>
      <c r="I100" s="1081"/>
      <c r="J100" s="1081"/>
      <c r="K100" s="461"/>
      <c r="L100" s="433"/>
      <c r="AX100" s="246">
        <v>20</v>
      </c>
      <c r="AY100" s="94" t="s">
        <v>2070</v>
      </c>
      <c r="AZ100" s="94" t="s">
        <v>2084</v>
      </c>
      <c r="BA100" s="239">
        <v>77</v>
      </c>
      <c r="BB100" s="239"/>
      <c r="BC100" s="239"/>
      <c r="BD100" s="1152">
        <v>10.4</v>
      </c>
      <c r="BE100" s="334">
        <v>0.10100000000000001</v>
      </c>
      <c r="BF100" s="231"/>
      <c r="BG100" s="437">
        <f t="shared" si="27"/>
        <v>0.76077922077922078</v>
      </c>
      <c r="BH100" s="437"/>
      <c r="BI100" s="437">
        <f t="shared" si="7"/>
        <v>0.8765768722633589</v>
      </c>
      <c r="BJ100" s="231"/>
      <c r="BK100" s="587">
        <f t="shared" si="8"/>
        <v>4.7909070860264187</v>
      </c>
      <c r="BL100" s="462">
        <f t="shared" si="9"/>
        <v>11.271788439074321</v>
      </c>
      <c r="BM100" s="99">
        <f t="shared" si="10"/>
        <v>2.1307091399266764</v>
      </c>
      <c r="BN100" s="462">
        <f t="shared" si="11"/>
        <v>3.3424186066781481</v>
      </c>
      <c r="BO100" s="462"/>
      <c r="BP100" s="231"/>
      <c r="BQ100" s="251">
        <f t="shared" ref="BQ100:BY100" si="32">12*(4*($BC$54*((PI())^2)*($BD100*1000000*144)*$G$291*(($BC$8+$BC$9)/4)*BP$73)/($BC$16*$BC$17*(COS((90/BP$72)*(PI()/180)))))^0.5</f>
        <v>39.305264437669877</v>
      </c>
      <c r="BR100" s="251">
        <f t="shared" si="32"/>
        <v>50.227655346050817</v>
      </c>
      <c r="BS100" s="251">
        <f t="shared" si="32"/>
        <v>59.558832778046266</v>
      </c>
      <c r="BT100" s="251">
        <f t="shared" si="32"/>
        <v>67.782886083881351</v>
      </c>
      <c r="BU100" s="251">
        <f t="shared" si="32"/>
        <v>75.198008070957485</v>
      </c>
      <c r="BV100" s="251">
        <f t="shared" si="32"/>
        <v>81.994098733164194</v>
      </c>
      <c r="BW100" s="251">
        <f t="shared" si="32"/>
        <v>88.298896050978314</v>
      </c>
      <c r="BX100" s="251">
        <f t="shared" si="32"/>
        <v>94.202512810189518</v>
      </c>
      <c r="BY100" s="251">
        <f t="shared" si="32"/>
        <v>99.771043553097016</v>
      </c>
      <c r="BZ100" s="433"/>
      <c r="CA100" s="433"/>
      <c r="CB100" s="231"/>
      <c r="CC100" s="231"/>
      <c r="CD100" s="231"/>
      <c r="CE100" s="231"/>
      <c r="CF100" s="231"/>
      <c r="CG100" s="231"/>
      <c r="CH100" s="231"/>
      <c r="CI100" s="231"/>
      <c r="CJ100" s="231"/>
      <c r="CK100" s="231"/>
      <c r="CL100" s="231"/>
      <c r="CM100" s="231"/>
      <c r="CN100" s="231"/>
      <c r="CO100" s="231"/>
      <c r="CP100" s="231"/>
      <c r="CQ100" s="231"/>
      <c r="CR100" s="231"/>
      <c r="CS100" s="231"/>
      <c r="CT100" s="231"/>
      <c r="CU100" s="231"/>
      <c r="CV100" s="231"/>
      <c r="CW100" s="231"/>
      <c r="CX100" s="231"/>
      <c r="CY100" s="231"/>
      <c r="CZ100" s="231"/>
      <c r="DA100" s="231"/>
      <c r="DB100" s="231"/>
      <c r="DC100" s="231"/>
      <c r="DD100" s="231"/>
      <c r="DE100" s="231"/>
      <c r="DF100" s="231"/>
    </row>
    <row r="101" spans="2:110">
      <c r="B101" s="1097" t="s">
        <v>1711</v>
      </c>
      <c r="C101" s="1065" t="s">
        <v>1710</v>
      </c>
      <c r="D101" s="1065" t="s">
        <v>658</v>
      </c>
      <c r="E101" s="1073">
        <f>E100/(((E98)/0.00237717)^0.5)</f>
        <v>73.374589253763858</v>
      </c>
      <c r="F101" s="1073">
        <f>F100/(((F98)/0.00237717)^0.5)</f>
        <v>55.586810040730192</v>
      </c>
      <c r="G101" s="1073">
        <f>G100/(((G98)/0.00237717)^0.5)</f>
        <v>27.793405020365096</v>
      </c>
      <c r="H101" s="231"/>
      <c r="I101" s="1081"/>
      <c r="J101" s="1081"/>
      <c r="K101" s="461"/>
      <c r="L101" s="433"/>
      <c r="AX101" s="246">
        <v>21</v>
      </c>
      <c r="AY101" s="94" t="s">
        <v>2070</v>
      </c>
      <c r="AZ101" s="94" t="s">
        <v>2085</v>
      </c>
      <c r="BA101" s="239">
        <v>83</v>
      </c>
      <c r="BB101" s="239">
        <v>73</v>
      </c>
      <c r="BC101" s="239">
        <v>73</v>
      </c>
      <c r="BD101" s="1152">
        <v>10.3</v>
      </c>
      <c r="BE101" s="334">
        <v>0.10199999999999999</v>
      </c>
      <c r="BF101" s="231"/>
      <c r="BG101" s="437">
        <f t="shared" si="27"/>
        <v>0.71277108433734926</v>
      </c>
      <c r="BH101" s="437">
        <f>(BE101/BE$95)*((BC101/BC$95)^(1/3))*((BD$95/BD101)^(1/3))</f>
        <v>1.2342658693524713</v>
      </c>
      <c r="BI101" s="437">
        <f t="shared" si="7"/>
        <v>0.85265849319882814</v>
      </c>
      <c r="BJ101" s="231"/>
      <c r="BK101" s="587">
        <f t="shared" si="8"/>
        <v>4.4445764533016163</v>
      </c>
      <c r="BL101" s="462">
        <f t="shared" si="9"/>
        <v>10.560494620122832</v>
      </c>
      <c r="BM101" s="99">
        <f t="shared" si="10"/>
        <v>1.9766819731849887</v>
      </c>
      <c r="BN101" s="462">
        <f t="shared" si="11"/>
        <v>3.1314989546522929</v>
      </c>
      <c r="BO101" s="462"/>
      <c r="BP101" s="231"/>
      <c r="BQ101" s="251">
        <f t="shared" ref="BQ101:BY101" si="33">12*(4*($BC$54*((PI())^2)*($BD101*1000000*144)*$G$291*(($BC$8+$BC$9)/4)*BP$73)/($BC$16*$BC$17*(COS((90/BP$72)*(PI()/180)))))^0.5</f>
        <v>39.11584037399745</v>
      </c>
      <c r="BR101" s="251">
        <f t="shared" si="33"/>
        <v>49.985592947527202</v>
      </c>
      <c r="BS101" s="251">
        <f t="shared" si="33"/>
        <v>59.271800587986981</v>
      </c>
      <c r="BT101" s="251">
        <f t="shared" si="33"/>
        <v>67.45621967129901</v>
      </c>
      <c r="BU101" s="251">
        <f t="shared" si="33"/>
        <v>74.835605922729698</v>
      </c>
      <c r="BV101" s="251">
        <f t="shared" si="33"/>
        <v>81.59894415014837</v>
      </c>
      <c r="BW101" s="251">
        <f t="shared" si="33"/>
        <v>87.873356725723568</v>
      </c>
      <c r="BX101" s="251">
        <f t="shared" si="33"/>
        <v>93.748522154231523</v>
      </c>
      <c r="BY101" s="251">
        <f t="shared" si="33"/>
        <v>99.290216448202813</v>
      </c>
      <c r="BZ101" s="433"/>
      <c r="CA101" s="433"/>
      <c r="CB101" s="231"/>
      <c r="CC101" s="94"/>
      <c r="CD101" s="231"/>
      <c r="CE101" s="94"/>
      <c r="CF101" s="248"/>
      <c r="CG101" s="231"/>
      <c r="CH101" s="231"/>
      <c r="CI101" s="231"/>
      <c r="CJ101" s="231"/>
      <c r="CK101" s="231"/>
      <c r="CL101" s="231"/>
      <c r="CM101" s="231"/>
      <c r="CN101" s="231"/>
      <c r="CO101" s="231"/>
      <c r="CP101" s="231"/>
      <c r="CQ101" s="231"/>
      <c r="CR101" s="231"/>
      <c r="CS101" s="231"/>
      <c r="CT101" s="231"/>
      <c r="CU101" s="231"/>
      <c r="CV101" s="231"/>
      <c r="CW101" s="231"/>
      <c r="CX101" s="231"/>
      <c r="CY101" s="231"/>
      <c r="CZ101" s="231"/>
      <c r="DA101" s="231"/>
      <c r="DB101" s="231"/>
      <c r="DC101" s="231"/>
      <c r="DD101" s="231"/>
      <c r="DE101" s="231"/>
      <c r="DF101" s="231"/>
    </row>
    <row r="102" spans="2:110">
      <c r="B102" s="1097" t="s">
        <v>1712</v>
      </c>
      <c r="C102" s="1071" t="s">
        <v>1713</v>
      </c>
      <c r="D102" s="1065" t="s">
        <v>87</v>
      </c>
      <c r="E102" s="1073">
        <f>2*E94/(E98*32.174*$E8*E99)</f>
        <v>17.29391762661729</v>
      </c>
      <c r="F102" s="1073">
        <f>2*F94/(F98*32.174*$E8*F99)</f>
        <v>16.809556373778182</v>
      </c>
      <c r="G102" s="1073">
        <f>2*G94/(G98*32.174*$E8*G99)</f>
        <v>14.965459632999497</v>
      </c>
      <c r="H102" s="231"/>
      <c r="I102" s="1081"/>
      <c r="J102" s="1081"/>
      <c r="K102" s="461"/>
      <c r="L102" s="433"/>
      <c r="AX102" s="246">
        <v>22</v>
      </c>
      <c r="AY102" s="94" t="s">
        <v>1915</v>
      </c>
      <c r="AZ102" s="94" t="s">
        <v>2086</v>
      </c>
      <c r="BA102" s="239">
        <v>34</v>
      </c>
      <c r="BB102" s="239">
        <v>24</v>
      </c>
      <c r="BC102" s="239">
        <v>22</v>
      </c>
      <c r="BD102" s="1152">
        <v>6.5</v>
      </c>
      <c r="BE102" s="523">
        <v>6.7400000000000002E-2</v>
      </c>
      <c r="BF102" s="231"/>
      <c r="BG102" s="437">
        <f t="shared" si="27"/>
        <v>1.1497647058823528</v>
      </c>
      <c r="BH102" s="437">
        <f>(BE102/BE$95)*((BC102/BC$95)^(1/3))*((BD$95/BD102)^(1/3))</f>
        <v>0.63749435113242969</v>
      </c>
      <c r="BI102" s="437">
        <f t="shared" si="7"/>
        <v>0.88030756657244835</v>
      </c>
      <c r="BJ102" s="231"/>
      <c r="BK102" s="587">
        <f t="shared" si="8"/>
        <v>10.849995459530419</v>
      </c>
      <c r="BL102" s="462">
        <f t="shared" si="9"/>
        <v>17.035040081860199</v>
      </c>
      <c r="BM102" s="99">
        <f t="shared" si="10"/>
        <v>4.8254295227751198</v>
      </c>
      <c r="BN102" s="462">
        <f t="shared" si="11"/>
        <v>5.051393152282543</v>
      </c>
      <c r="BO102" s="462"/>
      <c r="BP102" s="231"/>
      <c r="BQ102" s="251">
        <f t="shared" ref="BQ102:BY102" si="34">12*(4*($BC$54*((PI())^2)*($BD102*1000000*144)*$G$291*(($BC$8+$BC$9)/4)*BP$73)/($BC$16*$BC$17*(COS((90/BP$72)*(PI()/180)))))^0.5</f>
        <v>31.073539914563522</v>
      </c>
      <c r="BR102" s="251">
        <f t="shared" si="34"/>
        <v>39.70844810586334</v>
      </c>
      <c r="BS102" s="251">
        <f t="shared" si="34"/>
        <v>47.085391589929976</v>
      </c>
      <c r="BT102" s="251">
        <f t="shared" si="34"/>
        <v>53.587076601199023</v>
      </c>
      <c r="BU102" s="251">
        <f t="shared" si="34"/>
        <v>59.449245252987581</v>
      </c>
      <c r="BV102" s="251">
        <f t="shared" si="34"/>
        <v>64.822026672381384</v>
      </c>
      <c r="BW102" s="251">
        <f t="shared" si="34"/>
        <v>69.806406599884667</v>
      </c>
      <c r="BX102" s="251">
        <f t="shared" si="34"/>
        <v>74.47362544784697</v>
      </c>
      <c r="BY102" s="251">
        <f t="shared" si="34"/>
        <v>78.875935539911282</v>
      </c>
      <c r="BZ102" s="433"/>
      <c r="CA102" s="433"/>
      <c r="CB102" s="231"/>
      <c r="CC102" s="94"/>
      <c r="CD102" s="231"/>
      <c r="CE102" s="94"/>
      <c r="CF102" s="248"/>
      <c r="CG102" s="231"/>
      <c r="CH102" s="231"/>
      <c r="CI102" s="231"/>
      <c r="CJ102" s="231"/>
      <c r="CK102" s="231"/>
      <c r="CL102" s="231"/>
      <c r="CM102" s="231"/>
      <c r="CN102" s="231"/>
      <c r="CO102" s="231"/>
      <c r="CP102" s="231"/>
      <c r="CQ102" s="231"/>
      <c r="CR102" s="231"/>
      <c r="CS102" s="231"/>
      <c r="CT102" s="231"/>
      <c r="CU102" s="231"/>
      <c r="CV102" s="231"/>
      <c r="CW102" s="231"/>
      <c r="CX102" s="231"/>
      <c r="CY102" s="231"/>
      <c r="CZ102" s="231"/>
      <c r="DA102" s="231"/>
      <c r="DB102" s="231"/>
      <c r="DC102" s="231"/>
      <c r="DD102" s="231"/>
      <c r="DE102" s="231"/>
      <c r="DF102" s="231"/>
    </row>
    <row r="103" spans="2:110">
      <c r="B103" s="1097" t="s">
        <v>1714</v>
      </c>
      <c r="C103" s="1065" t="s">
        <v>1405</v>
      </c>
      <c r="D103" s="1065" t="s">
        <v>87</v>
      </c>
      <c r="E103" s="1085">
        <f>IF( E96&gt;1, (E102^1.03)/(6.95+E102^1.03),  0.88*E102/(5.3+E102)  )</f>
        <v>0.6735727624984581</v>
      </c>
      <c r="F103" s="1085">
        <f>IF( F96&gt;1, (F102^1.03)/(6.95+F102^1.03),  0.88*F102/(5.3+F102)  )</f>
        <v>0.66905049377058157</v>
      </c>
      <c r="G103" s="1085">
        <f>IF( G96&gt;1, (G102^1.03)/(6.95+G102^1.03),  0.88*G102/(5.3+G102)  )</f>
        <v>0.64985471415583773</v>
      </c>
      <c r="H103" s="231"/>
      <c r="I103" s="1081"/>
      <c r="J103" s="1081"/>
      <c r="K103" s="461"/>
      <c r="L103" s="433"/>
      <c r="AX103" s="246">
        <v>23</v>
      </c>
      <c r="AY103" s="94" t="s">
        <v>1915</v>
      </c>
      <c r="AZ103" s="94" t="s">
        <v>2087</v>
      </c>
      <c r="BA103" s="239">
        <v>30</v>
      </c>
      <c r="BB103" s="239">
        <v>21</v>
      </c>
      <c r="BC103" s="239">
        <v>17</v>
      </c>
      <c r="BD103" s="1152">
        <v>6.5</v>
      </c>
      <c r="BE103" s="523">
        <v>6.4000000000000001E-2</v>
      </c>
      <c r="BF103" s="231"/>
      <c r="BG103" s="437">
        <f t="shared" si="27"/>
        <v>1.2373333333333334</v>
      </c>
      <c r="BH103" s="437">
        <f>(BE103/BE$95)*((BC103/BC$95)^(1/3))*((BD$95/BD103)^(1/3))</f>
        <v>0.55548435509180316</v>
      </c>
      <c r="BI103" s="437">
        <f t="shared" si="7"/>
        <v>0.88988388755687298</v>
      </c>
      <c r="BJ103" s="231"/>
      <c r="BK103" s="587">
        <f t="shared" si="8"/>
        <v>12.296661520801141</v>
      </c>
      <c r="BL103" s="462">
        <f t="shared" si="9"/>
        <v>18.332466477808008</v>
      </c>
      <c r="BM103" s="99">
        <f t="shared" si="10"/>
        <v>5.4688201258118028</v>
      </c>
      <c r="BN103" s="462">
        <f t="shared" si="11"/>
        <v>5.4361184467689494</v>
      </c>
      <c r="BO103" s="462"/>
      <c r="BP103" s="231"/>
      <c r="BQ103" s="251">
        <f t="shared" ref="BQ103:BY103" si="35">12*(4*($BC$54*((PI())^2)*($BD103*1000000*144)*$G$291*(($BC$8+$BC$9)/4)*BP$73)/($BC$16*$BC$17*(COS((90/BP$72)*(PI()/180)))))^0.5</f>
        <v>31.073539914563522</v>
      </c>
      <c r="BR103" s="251">
        <f t="shared" si="35"/>
        <v>39.70844810586334</v>
      </c>
      <c r="BS103" s="251">
        <f t="shared" si="35"/>
        <v>47.085391589929976</v>
      </c>
      <c r="BT103" s="251">
        <f t="shared" si="35"/>
        <v>53.587076601199023</v>
      </c>
      <c r="BU103" s="251">
        <f t="shared" si="35"/>
        <v>59.449245252987581</v>
      </c>
      <c r="BV103" s="251">
        <f t="shared" si="35"/>
        <v>64.822026672381384</v>
      </c>
      <c r="BW103" s="251">
        <f t="shared" si="35"/>
        <v>69.806406599884667</v>
      </c>
      <c r="BX103" s="251">
        <f t="shared" si="35"/>
        <v>74.47362544784697</v>
      </c>
      <c r="BY103" s="251">
        <f t="shared" si="35"/>
        <v>78.875935539911282</v>
      </c>
      <c r="BZ103" s="433"/>
      <c r="CA103" s="433"/>
      <c r="CB103" s="231"/>
      <c r="CC103" s="231"/>
      <c r="CD103" s="231"/>
      <c r="CE103" s="231"/>
      <c r="CF103" s="231"/>
      <c r="CG103" s="231"/>
      <c r="CH103" s="231"/>
      <c r="CI103" s="231"/>
      <c r="CJ103" s="231"/>
      <c r="CK103" s="231"/>
      <c r="CL103" s="231"/>
      <c r="CM103" s="231"/>
      <c r="CN103" s="231"/>
      <c r="CO103" s="231"/>
      <c r="CP103" s="231"/>
      <c r="CQ103" s="231"/>
      <c r="CR103" s="231"/>
      <c r="CS103" s="231"/>
      <c r="CT103" s="231"/>
      <c r="CU103" s="231"/>
      <c r="CV103" s="231"/>
      <c r="CW103" s="231"/>
      <c r="CX103" s="231"/>
      <c r="CY103" s="231"/>
      <c r="CZ103" s="231"/>
      <c r="DA103" s="231"/>
      <c r="DB103" s="231"/>
      <c r="DC103" s="231"/>
      <c r="DD103" s="231"/>
      <c r="DE103" s="231"/>
      <c r="DF103" s="231"/>
    </row>
    <row r="104" spans="2:110">
      <c r="B104" s="1097" t="s">
        <v>1715</v>
      </c>
      <c r="C104" s="1065" t="s">
        <v>1716</v>
      </c>
      <c r="D104" s="1065" t="s">
        <v>658</v>
      </c>
      <c r="E104" s="1073">
        <f>E103*E101</f>
        <v>49.423124780847402</v>
      </c>
      <c r="F104" s="1073">
        <f>F103*F101</f>
        <v>37.190382704882055</v>
      </c>
      <c r="G104" s="1073">
        <f>G103*G101</f>
        <v>18.061675274926785</v>
      </c>
      <c r="H104" s="231"/>
      <c r="I104" s="575"/>
      <c r="J104" s="575"/>
      <c r="K104" s="575"/>
      <c r="L104" s="433"/>
      <c r="AX104" s="246">
        <v>24</v>
      </c>
      <c r="AY104" s="94" t="s">
        <v>1915</v>
      </c>
      <c r="AZ104" s="94" t="s">
        <v>2088</v>
      </c>
      <c r="BA104" s="239">
        <v>40</v>
      </c>
      <c r="BB104" s="239"/>
      <c r="BC104" s="239"/>
      <c r="BD104" s="1152">
        <v>0.5</v>
      </c>
      <c r="BE104" s="523">
        <v>6.5000000000000002E-2</v>
      </c>
      <c r="BF104" s="231"/>
      <c r="BG104" s="437">
        <f t="shared" si="27"/>
        <v>0.9425</v>
      </c>
      <c r="BH104" s="437"/>
      <c r="BI104" s="437">
        <f t="shared" si="7"/>
        <v>0.78270364762149924</v>
      </c>
      <c r="BJ104" s="231"/>
      <c r="BK104" s="587">
        <f t="shared" si="8"/>
        <v>9.2224961406008568</v>
      </c>
      <c r="BL104" s="462">
        <f t="shared" si="9"/>
        <v>13.96418344989282</v>
      </c>
      <c r="BM104" s="99">
        <f t="shared" si="10"/>
        <v>4.1016150943588521</v>
      </c>
      <c r="BN104" s="462">
        <f t="shared" si="11"/>
        <v>4.1407933481247854</v>
      </c>
      <c r="BO104" s="462"/>
      <c r="BP104" s="231"/>
      <c r="BQ104" s="251">
        <f t="shared" ref="BQ104:BY104" si="36">12*(4*($BC$54*((PI())^2)*($BD104*1000000*144)*$G$291*(($BC$8+$BC$9)/4)*BP$73)/($BC$16*$BC$17*(COS((90/BP$72)*(PI()/180)))))^0.5</f>
        <v>8.6182493440104384</v>
      </c>
      <c r="BR104" s="251">
        <f t="shared" si="36"/>
        <v>11.013141978060862</v>
      </c>
      <c r="BS104" s="251">
        <f t="shared" si="36"/>
        <v>13.059137977137958</v>
      </c>
      <c r="BT104" s="251">
        <f t="shared" si="36"/>
        <v>14.86238095291074</v>
      </c>
      <c r="BU104" s="251">
        <f t="shared" si="36"/>
        <v>16.488254003636992</v>
      </c>
      <c r="BV104" s="251">
        <f t="shared" si="36"/>
        <v>17.978395457443497</v>
      </c>
      <c r="BW104" s="251">
        <f t="shared" si="36"/>
        <v>19.360813719367073</v>
      </c>
      <c r="BX104" s="251">
        <f t="shared" si="36"/>
        <v>20.655267324762463</v>
      </c>
      <c r="BY104" s="251">
        <f t="shared" si="36"/>
        <v>21.876248460718656</v>
      </c>
      <c r="BZ104" s="433"/>
      <c r="CA104" s="433"/>
      <c r="CB104" s="231"/>
      <c r="CC104" s="231"/>
      <c r="CD104" s="231"/>
      <c r="CE104" s="231"/>
      <c r="CF104" s="231"/>
      <c r="CG104" s="231"/>
      <c r="CH104" s="231"/>
      <c r="CI104" s="231"/>
      <c r="CJ104" s="231"/>
      <c r="CK104" s="231"/>
      <c r="CL104" s="231"/>
      <c r="CM104" s="231"/>
      <c r="CN104" s="231"/>
      <c r="CO104" s="231"/>
      <c r="CP104" s="231"/>
      <c r="CQ104" s="231"/>
      <c r="CR104" s="231"/>
      <c r="CS104" s="231"/>
      <c r="CT104" s="231"/>
      <c r="CU104" s="231"/>
      <c r="CV104" s="231"/>
      <c r="CW104" s="231"/>
      <c r="CX104" s="231"/>
      <c r="CY104" s="231"/>
      <c r="CZ104" s="231"/>
      <c r="DA104" s="231"/>
      <c r="DB104" s="231"/>
      <c r="DC104" s="231"/>
      <c r="DD104" s="231"/>
      <c r="DE104" s="231"/>
      <c r="DF104" s="231"/>
    </row>
    <row r="105" spans="2:110">
      <c r="B105" s="235" t="s">
        <v>1717</v>
      </c>
      <c r="C105" s="1071" t="s">
        <v>1718</v>
      </c>
      <c r="D105" s="1065" t="s">
        <v>87</v>
      </c>
      <c r="E105" s="1075">
        <f>E98*E104*E97*E99/(2*E94)</f>
        <v>2.6553995971698394</v>
      </c>
      <c r="F105" s="1075">
        <f>F98*F104*F97*F99/(2*F94)</f>
        <v>2.740982122264509</v>
      </c>
      <c r="G105" s="1075">
        <f>G98*G104*G97*G99/(2*G94)</f>
        <v>1.4952016842747431</v>
      </c>
      <c r="H105" s="231"/>
      <c r="I105" s="575"/>
      <c r="J105" s="575"/>
      <c r="K105" s="575"/>
      <c r="L105" s="433"/>
      <c r="AX105" s="246">
        <v>25</v>
      </c>
      <c r="AY105" s="94" t="s">
        <v>2089</v>
      </c>
      <c r="AZ105" s="94" t="s">
        <v>2090</v>
      </c>
      <c r="BA105" s="239">
        <v>160</v>
      </c>
      <c r="BB105" s="239">
        <v>145</v>
      </c>
      <c r="BC105" s="239">
        <v>150</v>
      </c>
      <c r="BD105" s="1152">
        <v>16</v>
      </c>
      <c r="BE105" s="334">
        <v>0.16</v>
      </c>
      <c r="BF105" s="231"/>
      <c r="BG105" s="437">
        <f t="shared" si="27"/>
        <v>0.57999999999999996</v>
      </c>
      <c r="BH105" s="437">
        <f>(BE105/BE$95)*((BC105/BC$95)^(1/3))*((BD$95/BD105)^(1/3))</f>
        <v>2.1253171383652223</v>
      </c>
      <c r="BI105" s="437">
        <f t="shared" si="7"/>
        <v>0.96332756630338356</v>
      </c>
      <c r="BJ105" s="231"/>
      <c r="BK105" s="587">
        <f t="shared" si="8"/>
        <v>2.3056240351502142</v>
      </c>
      <c r="BL105" s="462">
        <f t="shared" si="9"/>
        <v>8.5933436614725043</v>
      </c>
      <c r="BM105" s="99">
        <f t="shared" si="10"/>
        <v>1.025403773589713</v>
      </c>
      <c r="BN105" s="462">
        <f t="shared" si="11"/>
        <v>2.5481805219229443</v>
      </c>
      <c r="BO105" s="462"/>
      <c r="BP105" s="231"/>
      <c r="BQ105" s="251">
        <f t="shared" ref="BQ105:BY105" si="37">12*(4*($BC$54*((PI())^2)*($BD105*1000000*144)*$G$291*(($BC$8+$BC$9)/4)*BP$73)/($BC$16*$BC$17*(COS((90/BP$72)*(PI()/180)))))^0.5</f>
        <v>48.752180424850366</v>
      </c>
      <c r="BR105" s="251">
        <f t="shared" si="37"/>
        <v>62.299738998856505</v>
      </c>
      <c r="BS105" s="251">
        <f t="shared" si="37"/>
        <v>73.873640160680182</v>
      </c>
      <c r="BT105" s="251">
        <f t="shared" si="37"/>
        <v>84.074322851047754</v>
      </c>
      <c r="BU105" s="251">
        <f t="shared" si="37"/>
        <v>93.271649727183657</v>
      </c>
      <c r="BV105" s="251">
        <f t="shared" si="37"/>
        <v>101.70116274249375</v>
      </c>
      <c r="BW105" s="251">
        <f t="shared" si="37"/>
        <v>109.52130136203201</v>
      </c>
      <c r="BX105" s="251">
        <f t="shared" si="37"/>
        <v>116.84383674048365</v>
      </c>
      <c r="BY105" s="251">
        <f t="shared" si="37"/>
        <v>123.75074906796749</v>
      </c>
      <c r="BZ105" s="433"/>
      <c r="CA105" s="433"/>
      <c r="CB105" s="231"/>
      <c r="CC105" s="231"/>
      <c r="CD105" s="231"/>
      <c r="CE105" s="231"/>
      <c r="CF105" s="231"/>
      <c r="CG105" s="231"/>
      <c r="CH105" s="231"/>
      <c r="CI105" s="231"/>
      <c r="CJ105" s="231"/>
      <c r="CK105" s="231"/>
      <c r="CL105" s="231"/>
      <c r="CM105" s="231"/>
      <c r="CN105" s="231"/>
      <c r="CO105" s="231"/>
      <c r="CP105" s="231"/>
      <c r="CQ105" s="231"/>
      <c r="CR105" s="231"/>
      <c r="CS105" s="231"/>
      <c r="CT105" s="231"/>
      <c r="CU105" s="231"/>
      <c r="CV105" s="231"/>
      <c r="CW105" s="231"/>
      <c r="CX105" s="231"/>
      <c r="CY105" s="231"/>
      <c r="CZ105" s="231"/>
      <c r="DA105" s="231"/>
      <c r="DB105" s="231"/>
      <c r="DC105" s="231"/>
      <c r="DD105" s="231"/>
      <c r="DE105" s="231"/>
      <c r="DF105" s="231"/>
    </row>
    <row r="106" spans="2:110">
      <c r="B106" s="235" t="s">
        <v>1719</v>
      </c>
      <c r="C106" s="1064" t="s">
        <v>1720</v>
      </c>
      <c r="D106" s="1065" t="s">
        <v>87</v>
      </c>
      <c r="E106" s="1075">
        <f>1+E105</f>
        <v>3.6553995971698394</v>
      </c>
      <c r="F106" s="1075">
        <f>1+F105</f>
        <v>3.740982122264509</v>
      </c>
      <c r="G106" s="1075">
        <f>1+G105</f>
        <v>2.4952016842747433</v>
      </c>
      <c r="H106" s="231"/>
      <c r="I106" s="575"/>
      <c r="J106" s="575"/>
      <c r="K106" s="575"/>
      <c r="L106" s="433"/>
      <c r="AX106" s="246">
        <v>26</v>
      </c>
      <c r="AY106" s="94" t="s">
        <v>2089</v>
      </c>
      <c r="AZ106" s="94" t="s">
        <v>2091</v>
      </c>
      <c r="BA106" s="239">
        <v>170</v>
      </c>
      <c r="BB106" s="239">
        <v>160</v>
      </c>
      <c r="BC106" s="239">
        <v>162</v>
      </c>
      <c r="BD106" s="652">
        <v>15.5</v>
      </c>
      <c r="BE106" s="239">
        <v>0.17399999999999999</v>
      </c>
      <c r="BF106" s="231"/>
      <c r="BG106" s="437">
        <f t="shared" si="27"/>
        <v>0.59364705882352931</v>
      </c>
      <c r="BH106" s="437">
        <f>(BE106/BE$95)*((BC106/BC$95)^(1/3))*((BD$95/BD106)^(1/3))</f>
        <v>2.3965713137226867</v>
      </c>
      <c r="BI106" s="437">
        <f t="shared" si="7"/>
        <v>1.0163394523253246</v>
      </c>
      <c r="BJ106" s="231"/>
      <c r="BK106" s="587">
        <f t="shared" si="8"/>
        <v>2.1699990919060834</v>
      </c>
      <c r="BL106" s="462">
        <f t="shared" si="9"/>
        <v>8.7955399829189123</v>
      </c>
      <c r="BM106" s="99">
        <f t="shared" si="10"/>
        <v>0.96508590455502397</v>
      </c>
      <c r="BN106" s="462">
        <f t="shared" si="11"/>
        <v>2.6081377106740726</v>
      </c>
      <c r="BO106" s="462"/>
      <c r="BP106" s="231"/>
      <c r="BQ106" s="251">
        <f t="shared" ref="BQ106:BY106" si="38">12*(4*($BC$54*((PI())^2)*($BD106*1000000*144)*$G$291*(($BC$8+$BC$9)/4)*BP$73)/($BC$16*$BC$17*(COS((90/BP$72)*(PI()/180)))))^0.5</f>
        <v>47.984381567564526</v>
      </c>
      <c r="BR106" s="251">
        <f t="shared" si="38"/>
        <v>61.3185794282346</v>
      </c>
      <c r="BS106" s="251">
        <f t="shared" si="38"/>
        <v>72.71020303838884</v>
      </c>
      <c r="BT106" s="251">
        <f t="shared" si="38"/>
        <v>82.750235016420135</v>
      </c>
      <c r="BU106" s="251">
        <f t="shared" si="38"/>
        <v>91.802713046739456</v>
      </c>
      <c r="BV106" s="251">
        <f t="shared" si="38"/>
        <v>100.09946952881904</v>
      </c>
      <c r="BW106" s="251">
        <f t="shared" si="38"/>
        <v>107.79644866208258</v>
      </c>
      <c r="BX106" s="251">
        <f t="shared" si="38"/>
        <v>115.00366131553984</v>
      </c>
      <c r="BY106" s="251">
        <f t="shared" si="38"/>
        <v>121.80179657200445</v>
      </c>
      <c r="BZ106" s="433"/>
      <c r="CA106" s="433"/>
      <c r="CB106" s="231"/>
      <c r="CC106" s="231"/>
      <c r="CD106" s="231"/>
      <c r="CE106" s="231"/>
      <c r="CF106" s="231"/>
      <c r="CG106" s="231"/>
      <c r="CH106" s="231"/>
      <c r="CI106" s="231"/>
      <c r="CJ106" s="231"/>
      <c r="CK106" s="231"/>
      <c r="CL106" s="231"/>
      <c r="CM106" s="231"/>
      <c r="CN106" s="231"/>
      <c r="CO106" s="231"/>
      <c r="CP106" s="231"/>
      <c r="CQ106" s="231"/>
      <c r="CR106" s="231"/>
      <c r="CS106" s="231"/>
      <c r="CT106" s="231"/>
      <c r="CU106" s="231"/>
      <c r="CV106" s="231"/>
      <c r="CW106" s="231"/>
      <c r="CX106" s="231"/>
      <c r="CY106" s="231"/>
      <c r="CZ106" s="231"/>
      <c r="DA106" s="231"/>
      <c r="DB106" s="231"/>
      <c r="DC106" s="231"/>
      <c r="DD106" s="231"/>
      <c r="DE106" s="231"/>
      <c r="DF106" s="231"/>
    </row>
    <row r="107" spans="2:110">
      <c r="B107" s="235"/>
      <c r="C107" s="231"/>
      <c r="D107" s="231"/>
      <c r="E107" s="231"/>
      <c r="F107" s="714"/>
      <c r="G107" s="231"/>
      <c r="H107" s="231"/>
      <c r="I107" s="575"/>
      <c r="J107" s="575"/>
      <c r="K107" s="575"/>
      <c r="L107" s="433"/>
      <c r="AX107" s="246">
        <v>27</v>
      </c>
      <c r="AY107" s="94" t="s">
        <v>1919</v>
      </c>
      <c r="AZ107" s="94" t="s">
        <v>2092</v>
      </c>
      <c r="BA107" s="239">
        <v>180</v>
      </c>
      <c r="BB107" s="239"/>
      <c r="BC107" s="239">
        <v>180</v>
      </c>
      <c r="BD107" s="1152">
        <v>21</v>
      </c>
      <c r="BE107" s="239">
        <v>5.6000000000000001E-2</v>
      </c>
      <c r="BF107" s="231"/>
      <c r="BG107" s="437">
        <f t="shared" si="27"/>
        <v>0.18044444444444444</v>
      </c>
      <c r="BH107" s="437">
        <f>(BE107/BE$95)*((BC107/BC$95)^(1/3))*((BD$95/BD107)^(1/3))</f>
        <v>0.72196991405800692</v>
      </c>
      <c r="BI107" s="437">
        <f t="shared" si="7"/>
        <v>0.31788187883062613</v>
      </c>
      <c r="BJ107" s="231"/>
      <c r="BK107" s="587">
        <f t="shared" si="8"/>
        <v>2.0494435868001903</v>
      </c>
      <c r="BL107" s="462">
        <f t="shared" si="9"/>
        <v>2.6734846946803339</v>
      </c>
      <c r="BM107" s="99">
        <f t="shared" si="10"/>
        <v>0.91147002096863383</v>
      </c>
      <c r="BN107" s="462">
        <f t="shared" si="11"/>
        <v>0.79276727348713838</v>
      </c>
      <c r="BO107" s="462"/>
      <c r="BP107" s="231"/>
      <c r="BQ107" s="251">
        <f t="shared" ref="BQ107:BY107" si="39">12*(4*($BC$54*((PI())^2)*($BD107*1000000*144)*$G$291*(($BC$8+$BC$9)/4)*BP$73)/($BC$16*$BC$17*(COS((90/BP$72)*(PI()/180)))))^0.5</f>
        <v>55.85263927275529</v>
      </c>
      <c r="BR107" s="251">
        <f t="shared" si="39"/>
        <v>71.373317434563063</v>
      </c>
      <c r="BS107" s="251">
        <f t="shared" si="39"/>
        <v>84.632886974561657</v>
      </c>
      <c r="BT107" s="251">
        <f t="shared" si="39"/>
        <v>96.319237116770438</v>
      </c>
      <c r="BU107" s="251">
        <f t="shared" si="39"/>
        <v>106.85609876705658</v>
      </c>
      <c r="BV107" s="251">
        <f t="shared" si="39"/>
        <v>116.51331913312507</v>
      </c>
      <c r="BW107" s="251">
        <f t="shared" si="39"/>
        <v>125.47241342539546</v>
      </c>
      <c r="BX107" s="251">
        <f t="shared" si="39"/>
        <v>133.86143158808216</v>
      </c>
      <c r="BY107" s="251">
        <f t="shared" si="39"/>
        <v>141.77429372786168</v>
      </c>
      <c r="BZ107" s="433"/>
      <c r="CA107" s="433"/>
      <c r="CB107" s="231"/>
      <c r="CC107" s="231"/>
      <c r="CD107" s="231"/>
      <c r="CE107" s="231"/>
      <c r="CF107" s="231"/>
      <c r="CG107" s="231"/>
      <c r="CH107" s="231"/>
      <c r="CI107" s="231"/>
      <c r="CJ107" s="231"/>
      <c r="CK107" s="231"/>
      <c r="CL107" s="231"/>
      <c r="CM107" s="231"/>
      <c r="CN107" s="231"/>
      <c r="CO107" s="231"/>
      <c r="CP107" s="231"/>
      <c r="CQ107" s="231"/>
      <c r="CR107" s="231"/>
      <c r="CS107" s="231"/>
      <c r="CT107" s="231"/>
      <c r="CU107" s="231"/>
      <c r="CV107" s="231"/>
      <c r="CW107" s="231"/>
      <c r="CX107" s="231"/>
      <c r="CY107" s="231"/>
      <c r="CZ107" s="231"/>
      <c r="DA107" s="231"/>
      <c r="DB107" s="231"/>
      <c r="DC107" s="231"/>
      <c r="DD107" s="231"/>
      <c r="DE107" s="231"/>
      <c r="DF107" s="231"/>
    </row>
    <row r="108" spans="2:110">
      <c r="B108" s="235"/>
      <c r="C108" s="231"/>
      <c r="D108" s="231"/>
      <c r="E108" s="231"/>
      <c r="F108" s="714"/>
      <c r="G108" s="231"/>
      <c r="H108" s="231"/>
      <c r="I108" s="240"/>
      <c r="J108" s="240"/>
      <c r="K108" s="240"/>
      <c r="L108" s="433"/>
      <c r="AX108" s="246">
        <v>28</v>
      </c>
      <c r="AY108" s="94" t="s">
        <v>1919</v>
      </c>
      <c r="AZ108" s="94" t="s">
        <v>2093</v>
      </c>
      <c r="BA108" s="239">
        <v>195</v>
      </c>
      <c r="BB108" s="239"/>
      <c r="BC108" s="239">
        <v>353</v>
      </c>
      <c r="BD108" s="1152">
        <v>30</v>
      </c>
      <c r="BE108" s="239">
        <v>7.2999999999999995E-2</v>
      </c>
      <c r="BF108" s="231"/>
      <c r="BG108" s="437">
        <f t="shared" si="27"/>
        <v>0.21712820512820508</v>
      </c>
      <c r="BH108" s="437">
        <f>(BE108/BE$95)*((BC108/BC$95)^(1/3))*((BD$95/BD108)^(1/3))</f>
        <v>1.0459734956385789</v>
      </c>
      <c r="BI108" s="437">
        <f t="shared" si="7"/>
        <v>0.39812509308456018</v>
      </c>
      <c r="BJ108" s="231"/>
      <c r="BK108" s="587">
        <f t="shared" si="8"/>
        <v>1.8917940801232525</v>
      </c>
      <c r="BL108" s="462">
        <f t="shared" si="9"/>
        <v>3.2169953194230394</v>
      </c>
      <c r="BM108" s="99">
        <f t="shared" si="10"/>
        <v>0.84135694243258496</v>
      </c>
      <c r="BN108" s="462">
        <f t="shared" si="11"/>
        <v>0.9539342466685895</v>
      </c>
      <c r="BO108" s="462"/>
      <c r="BP108" s="231"/>
      <c r="BQ108" s="251">
        <f t="shared" ref="BQ108:BY108" si="40">12*(4*($BC$54*((PI())^2)*($BD108*1000000*144)*$G$291*(($BC$8+$BC$9)/4)*BP$73)/($BC$16*$BC$17*(COS((90/BP$72)*(PI()/180)))))^0.5</f>
        <v>66.756672365630834</v>
      </c>
      <c r="BR108" s="251">
        <f t="shared" si="40"/>
        <v>85.307430940895046</v>
      </c>
      <c r="BS108" s="251">
        <f t="shared" si="40"/>
        <v>101.15564780256022</v>
      </c>
      <c r="BT108" s="251">
        <f t="shared" si="40"/>
        <v>115.12350783122724</v>
      </c>
      <c r="BU108" s="251">
        <f t="shared" si="40"/>
        <v>127.71746632824765</v>
      </c>
      <c r="BV108" s="251">
        <f t="shared" si="40"/>
        <v>139.26005239641944</v>
      </c>
      <c r="BW108" s="251">
        <f t="shared" si="40"/>
        <v>149.96821820826551</v>
      </c>
      <c r="BX108" s="251">
        <f t="shared" si="40"/>
        <v>159.9950127205345</v>
      </c>
      <c r="BY108" s="251">
        <f t="shared" si="40"/>
        <v>169.45269193171796</v>
      </c>
      <c r="BZ108" s="433"/>
      <c r="CA108" s="433"/>
      <c r="CB108" s="231"/>
      <c r="CC108" s="231"/>
      <c r="CD108" s="231"/>
      <c r="CE108" s="231"/>
      <c r="CF108" s="231"/>
      <c r="CG108" s="231"/>
      <c r="CH108" s="231"/>
      <c r="CI108" s="231"/>
      <c r="CJ108" s="231"/>
      <c r="CK108" s="231"/>
      <c r="CL108" s="231"/>
      <c r="CM108" s="231"/>
      <c r="CN108" s="231"/>
      <c r="CO108" s="231"/>
      <c r="CP108" s="231"/>
      <c r="CQ108" s="231"/>
      <c r="CR108" s="231"/>
      <c r="CS108" s="231"/>
      <c r="CT108" s="231"/>
      <c r="CU108" s="231"/>
      <c r="CV108" s="231"/>
      <c r="CW108" s="231"/>
      <c r="CX108" s="231"/>
      <c r="CY108" s="231"/>
      <c r="CZ108" s="231"/>
      <c r="DA108" s="231"/>
      <c r="DB108" s="231"/>
      <c r="DC108" s="231"/>
      <c r="DD108" s="231"/>
      <c r="DE108" s="231"/>
      <c r="DF108" s="231"/>
    </row>
    <row r="109" spans="2:110">
      <c r="B109" s="238"/>
      <c r="C109" s="239"/>
      <c r="D109" s="239"/>
      <c r="E109" s="239"/>
      <c r="F109" s="680"/>
      <c r="G109" s="239"/>
      <c r="H109" s="239"/>
      <c r="I109" s="1081"/>
      <c r="J109" s="1081"/>
      <c r="K109" s="1081"/>
      <c r="L109" s="433"/>
      <c r="AX109" s="246">
        <v>29</v>
      </c>
      <c r="AY109" s="94" t="s">
        <v>1919</v>
      </c>
      <c r="AZ109" s="94" t="s">
        <v>2094</v>
      </c>
      <c r="BA109" s="239">
        <v>204</v>
      </c>
      <c r="BB109" s="239"/>
      <c r="BC109" s="239">
        <v>111</v>
      </c>
      <c r="BD109" s="1152">
        <v>20</v>
      </c>
      <c r="BE109" s="239"/>
      <c r="BF109" s="231"/>
      <c r="BG109" s="437"/>
      <c r="BH109" s="437"/>
      <c r="BI109" s="437"/>
      <c r="BJ109" s="231"/>
      <c r="BK109" s="587">
        <f t="shared" si="8"/>
        <v>1.8083325765884031</v>
      </c>
      <c r="BL109" s="462">
        <f t="shared" si="9"/>
        <v>0</v>
      </c>
      <c r="BM109" s="99">
        <f t="shared" si="10"/>
        <v>0.80423825379585334</v>
      </c>
      <c r="BN109" s="462">
        <f t="shared" si="11"/>
        <v>0</v>
      </c>
      <c r="BO109" s="462"/>
      <c r="BP109" s="231"/>
      <c r="BQ109" s="251">
        <f t="shared" ref="BQ109:BY109" si="41">12*(4*($BC$54*((PI())^2)*($BD109*1000000*144)*$G$291*(($BC$8+$BC$9)/4)*BP$73)/($BC$16*$BC$17*(COS((90/BP$72)*(PI()/180)))))^0.5</f>
        <v>54.506594740650002</v>
      </c>
      <c r="BR109" s="251">
        <f t="shared" si="41"/>
        <v>69.65322569096891</v>
      </c>
      <c r="BS109" s="251">
        <f t="shared" si="41"/>
        <v>82.593240572319672</v>
      </c>
      <c r="BT109" s="251">
        <f t="shared" si="41"/>
        <v>93.99795052860334</v>
      </c>
      <c r="BU109" s="251">
        <f t="shared" si="41"/>
        <v>104.2808745817662</v>
      </c>
      <c r="BV109" s="251">
        <f t="shared" si="41"/>
        <v>113.70535664149247</v>
      </c>
      <c r="BW109" s="251">
        <f t="shared" si="41"/>
        <v>122.44853741487195</v>
      </c>
      <c r="BX109" s="251">
        <f t="shared" si="41"/>
        <v>130.63538085180446</v>
      </c>
      <c r="BY109" s="251">
        <f t="shared" si="41"/>
        <v>138.35754359124701</v>
      </c>
      <c r="BZ109" s="433"/>
      <c r="CA109" s="433"/>
      <c r="CB109" s="231"/>
      <c r="CC109" s="231"/>
      <c r="CD109" s="231"/>
      <c r="CE109" s="231"/>
      <c r="CF109" s="231"/>
      <c r="CG109" s="231"/>
      <c r="CH109" s="231"/>
      <c r="CI109" s="231"/>
      <c r="CJ109" s="231"/>
      <c r="CK109" s="231"/>
      <c r="CL109" s="231"/>
      <c r="CM109" s="231"/>
      <c r="CN109" s="231"/>
      <c r="CO109" s="231"/>
      <c r="CP109" s="231"/>
      <c r="CQ109" s="231"/>
      <c r="CR109" s="231"/>
      <c r="CS109" s="231"/>
      <c r="CT109" s="231"/>
      <c r="CU109" s="231"/>
      <c r="CV109" s="231"/>
      <c r="CW109" s="231"/>
      <c r="CX109" s="231"/>
      <c r="CY109" s="231"/>
      <c r="CZ109" s="231"/>
      <c r="DA109" s="231"/>
      <c r="DB109" s="231"/>
      <c r="DC109" s="231"/>
      <c r="DD109" s="231"/>
      <c r="DE109" s="231"/>
      <c r="DF109" s="231"/>
    </row>
    <row r="110" spans="2:110" ht="13.8" thickBot="1">
      <c r="B110" s="238"/>
      <c r="C110" s="308"/>
      <c r="D110" s="239"/>
      <c r="E110" s="239"/>
      <c r="F110" s="680"/>
      <c r="G110" s="652"/>
      <c r="H110" s="239"/>
      <c r="I110" s="256"/>
      <c r="J110" s="256"/>
      <c r="K110" s="256"/>
      <c r="L110" s="433"/>
      <c r="AX110" s="246">
        <v>30</v>
      </c>
      <c r="AY110" s="94" t="s">
        <v>1919</v>
      </c>
      <c r="AZ110" s="94" t="s">
        <v>2095</v>
      </c>
      <c r="BA110" s="239">
        <v>219</v>
      </c>
      <c r="BB110" s="94" t="s">
        <v>1545</v>
      </c>
      <c r="BC110" s="239">
        <v>73.900000000000006</v>
      </c>
      <c r="BD110" s="1152">
        <v>7.7</v>
      </c>
      <c r="BE110" s="239">
        <v>7.3999999999999996E-2</v>
      </c>
      <c r="BF110" s="231"/>
      <c r="BG110" s="437">
        <f>($BE110/$BE$95)*($BA$95/$BA110)</f>
        <v>0.19598173515981732</v>
      </c>
      <c r="BH110" s="437">
        <f>(BE110/BE$95)*((BC110/BC$95)^(1/3))*((BD$95/BD110)^(1/3))</f>
        <v>0.99067140373579909</v>
      </c>
      <c r="BI110" s="437">
        <f>(BE110/BE$95)*((BA$95/BA110)^0.5)</f>
        <v>0.38082342892509224</v>
      </c>
      <c r="BJ110" s="231"/>
      <c r="BK110" s="587">
        <f t="shared" si="8"/>
        <v>1.6844741809316632</v>
      </c>
      <c r="BL110" s="462">
        <f t="shared" si="9"/>
        <v>2.9036868993103431</v>
      </c>
      <c r="BM110" s="99">
        <f t="shared" si="10"/>
        <v>0.74915344189202782</v>
      </c>
      <c r="BN110" s="462">
        <f t="shared" si="11"/>
        <v>0.86102903480501325</v>
      </c>
      <c r="BO110" s="462"/>
      <c r="BP110" s="231"/>
      <c r="BQ110" s="251">
        <f t="shared" ref="BQ110:BY110" si="42">12*(4*($BC$54*((PI())^2)*($BD110*1000000*144)*$G$291*(($BC$8+$BC$9)/4)*BP$73)/($BC$16*$BC$17*(COS((90/BP$72)*(PI()/180)))))^0.5</f>
        <v>33.820452614287404</v>
      </c>
      <c r="BR110" s="251">
        <f t="shared" si="42"/>
        <v>43.21868996077351</v>
      </c>
      <c r="BS110" s="251">
        <f t="shared" si="42"/>
        <v>51.247758043364911</v>
      </c>
      <c r="BT110" s="251">
        <f t="shared" si="42"/>
        <v>58.324194472598052</v>
      </c>
      <c r="BU110" s="251">
        <f t="shared" si="42"/>
        <v>64.704581053911085</v>
      </c>
      <c r="BV110" s="251">
        <f t="shared" si="42"/>
        <v>70.552318386096033</v>
      </c>
      <c r="BW110" s="251">
        <f t="shared" si="42"/>
        <v>75.977319387373086</v>
      </c>
      <c r="BX110" s="251">
        <f t="shared" si="42"/>
        <v>81.057122149530812</v>
      </c>
      <c r="BY110" s="251">
        <f t="shared" si="42"/>
        <v>85.848598121416444</v>
      </c>
      <c r="BZ110" s="433"/>
      <c r="CA110" s="433"/>
      <c r="CB110" s="231"/>
      <c r="CC110" s="231"/>
      <c r="CD110" s="231"/>
      <c r="CE110" s="231"/>
      <c r="CF110" s="231"/>
      <c r="CG110" s="231"/>
      <c r="CH110" s="231"/>
      <c r="CI110" s="231"/>
      <c r="CJ110" s="231"/>
      <c r="CK110" s="231"/>
      <c r="CL110" s="231"/>
      <c r="CM110" s="231"/>
      <c r="CN110" s="231"/>
      <c r="CO110" s="231"/>
      <c r="CP110" s="231"/>
      <c r="CQ110" s="231"/>
      <c r="CR110" s="231"/>
      <c r="CS110" s="231"/>
      <c r="CT110" s="231"/>
      <c r="CU110" s="231"/>
      <c r="CV110" s="231"/>
      <c r="CW110" s="231"/>
      <c r="CX110" s="231"/>
      <c r="CY110" s="231"/>
      <c r="CZ110" s="231"/>
      <c r="DA110" s="231"/>
      <c r="DB110" s="231"/>
      <c r="DC110" s="231"/>
      <c r="DD110" s="231"/>
      <c r="DE110" s="231"/>
      <c r="DF110" s="231"/>
    </row>
    <row r="111" spans="2:110">
      <c r="B111" s="565"/>
      <c r="C111" s="229"/>
      <c r="D111" s="229"/>
      <c r="E111" s="566" t="s">
        <v>1721</v>
      </c>
      <c r="F111" s="567" t="s">
        <v>626</v>
      </c>
      <c r="G111" s="430"/>
      <c r="H111" s="652"/>
      <c r="I111" s="1081"/>
      <c r="J111" s="1081"/>
      <c r="K111" s="461"/>
      <c r="L111" s="433"/>
      <c r="AX111" s="246">
        <v>31</v>
      </c>
      <c r="AY111" s="94" t="s">
        <v>1919</v>
      </c>
      <c r="AZ111" s="94" t="s">
        <v>2096</v>
      </c>
      <c r="BA111" s="239">
        <v>105</v>
      </c>
      <c r="BB111" s="239"/>
      <c r="BC111" s="239">
        <v>69</v>
      </c>
      <c r="BD111" s="1159">
        <v>4.2300000000000004</v>
      </c>
      <c r="BE111" s="239">
        <v>7.0999999999999994E-2</v>
      </c>
      <c r="BF111" s="231"/>
      <c r="BG111" s="437">
        <f>($BE111/$BE$95)*($BA$95/$BA111)</f>
        <v>0.39219047619047614</v>
      </c>
      <c r="BH111" s="437">
        <f>(BE111/BE$95)*((BC111/BC$95)^(1/3))*((BD$95/BD111)^(1/3))</f>
        <v>1.1343348091121221</v>
      </c>
      <c r="BI111" s="437">
        <f>(BE111/BE$95)*((BA$95/BA111)^0.5)</f>
        <v>0.52768858059961654</v>
      </c>
      <c r="BJ111" s="231"/>
      <c r="BK111" s="587">
        <f t="shared" si="8"/>
        <v>3.5133318630860395</v>
      </c>
      <c r="BL111" s="462">
        <f t="shared" si="9"/>
        <v>5.8107371425194998</v>
      </c>
      <c r="BM111" s="99">
        <f t="shared" si="10"/>
        <v>1.562520035946229</v>
      </c>
      <c r="BN111" s="462">
        <f t="shared" si="11"/>
        <v>1.7230554005383711</v>
      </c>
      <c r="BO111" s="462"/>
      <c r="BP111" s="231"/>
      <c r="BQ111" s="251">
        <f t="shared" ref="BQ111:BY111" si="43">12*(4*($BC$54*((PI())^2)*($BD111*1000000*144)*$G$291*(($BC$8+$BC$9)/4)*BP$73)/($BC$16*$BC$17*(COS((90/BP$72)*(PI()/180)))))^0.5</f>
        <v>25.067108250690538</v>
      </c>
      <c r="BR111" s="251">
        <f t="shared" si="43"/>
        <v>32.032911920347118</v>
      </c>
      <c r="BS111" s="251">
        <f t="shared" si="43"/>
        <v>37.983912076195381</v>
      </c>
      <c r="BT111" s="251">
        <f t="shared" si="43"/>
        <v>43.228838867204111</v>
      </c>
      <c r="BU111" s="251">
        <f t="shared" si="43"/>
        <v>47.957866090437115</v>
      </c>
      <c r="BV111" s="251">
        <f t="shared" si="43"/>
        <v>52.292103316628442</v>
      </c>
      <c r="BW111" s="251">
        <f t="shared" si="43"/>
        <v>56.313016014339297</v>
      </c>
      <c r="BX111" s="251">
        <f t="shared" si="43"/>
        <v>60.078074015880404</v>
      </c>
      <c r="BY111" s="251">
        <f t="shared" si="43"/>
        <v>63.62942941131648</v>
      </c>
      <c r="BZ111" s="433"/>
      <c r="CA111" s="433"/>
      <c r="CB111" s="231"/>
      <c r="CC111" s="94"/>
      <c r="CD111" s="94"/>
      <c r="CE111" s="94"/>
      <c r="CF111" s="1160"/>
      <c r="CG111" s="231"/>
      <c r="CH111" s="231"/>
      <c r="CI111" s="231"/>
      <c r="CJ111" s="231"/>
      <c r="CK111" s="231"/>
      <c r="CL111" s="231"/>
      <c r="CM111" s="231"/>
      <c r="CN111" s="231"/>
      <c r="CO111" s="231"/>
      <c r="CP111" s="231"/>
      <c r="CQ111" s="231"/>
      <c r="CR111" s="231"/>
      <c r="CS111" s="231"/>
      <c r="CT111" s="231"/>
      <c r="CU111" s="231"/>
      <c r="CV111" s="231"/>
      <c r="CW111" s="231"/>
      <c r="CX111" s="231"/>
      <c r="CY111" s="231"/>
      <c r="CZ111" s="231"/>
      <c r="DA111" s="231"/>
      <c r="DB111" s="231"/>
      <c r="DC111" s="231"/>
      <c r="DD111" s="231"/>
      <c r="DE111" s="231"/>
      <c r="DF111" s="231"/>
    </row>
    <row r="112" spans="2:110">
      <c r="B112" s="235"/>
      <c r="C112" s="231"/>
      <c r="D112" s="231"/>
      <c r="E112" s="527" t="s">
        <v>199</v>
      </c>
      <c r="F112" s="568" t="s">
        <v>632</v>
      </c>
      <c r="G112" s="433"/>
      <c r="H112" s="239"/>
      <c r="I112" s="1081"/>
      <c r="J112" s="1081"/>
      <c r="K112" s="461"/>
      <c r="L112" s="433"/>
      <c r="AX112" s="246">
        <v>32</v>
      </c>
      <c r="AY112" s="94" t="s">
        <v>1919</v>
      </c>
      <c r="AZ112" s="94" t="s">
        <v>2097</v>
      </c>
      <c r="BA112" s="239">
        <v>200</v>
      </c>
      <c r="BB112" s="239"/>
      <c r="BC112" s="239">
        <v>40</v>
      </c>
      <c r="BD112" s="1152">
        <v>11</v>
      </c>
      <c r="BE112" s="94">
        <v>5.1999999999999998E-2</v>
      </c>
      <c r="BF112" s="231"/>
      <c r="BG112" s="437">
        <f>($BE112/$BE$95)*($BA$95/$BA112)</f>
        <v>0.15079999999999996</v>
      </c>
      <c r="BH112" s="437">
        <f>(BE112/BE$95)*((BC112/BC$95)^(1/3))*((BD$95/BD112)^(1/3))</f>
        <v>0.50373923919876129</v>
      </c>
      <c r="BI112" s="437">
        <f>(BE112/BE$95)*((BA$95/BA112)^0.5)</f>
        <v>0.28002856997099412</v>
      </c>
      <c r="BJ112" s="231"/>
      <c r="BK112" s="587">
        <f t="shared" si="8"/>
        <v>1.8444992281201711</v>
      </c>
      <c r="BL112" s="462">
        <f t="shared" si="9"/>
        <v>2.2342693519828507</v>
      </c>
      <c r="BM112" s="99">
        <f t="shared" si="10"/>
        <v>0.8203230188717705</v>
      </c>
      <c r="BN112" s="462">
        <f t="shared" si="11"/>
        <v>0.66252693569996568</v>
      </c>
      <c r="BO112" s="462"/>
      <c r="BP112" s="231"/>
      <c r="BQ112" s="251">
        <f t="shared" ref="BQ112:BY112" si="44">12*(4*($BC$54*((PI())^2)*($BD112*1000000*144)*$G$291*(($BC$8+$BC$9)/4)*BP$73)/($BC$16*$BC$17*(COS((90/BP$72)*(PI()/180)))))^0.5</f>
        <v>40.423172545234493</v>
      </c>
      <c r="BR112" s="251">
        <f t="shared" si="44"/>
        <v>51.656214699069636</v>
      </c>
      <c r="BS112" s="251">
        <f t="shared" si="44"/>
        <v>61.252786577676531</v>
      </c>
      <c r="BT112" s="251">
        <f t="shared" si="44"/>
        <v>69.710745850032097</v>
      </c>
      <c r="BU112" s="251">
        <f t="shared" si="44"/>
        <v>77.336766430630703</v>
      </c>
      <c r="BV112" s="251">
        <f t="shared" si="44"/>
        <v>84.326149389930919</v>
      </c>
      <c r="BW112" s="251">
        <f t="shared" si="44"/>
        <v>90.810265792324998</v>
      </c>
      <c r="BX112" s="251">
        <f t="shared" si="44"/>
        <v>96.881791383431789</v>
      </c>
      <c r="BY112" s="251">
        <f t="shared" si="44"/>
        <v>102.60870054596782</v>
      </c>
      <c r="BZ112" s="433"/>
      <c r="CA112" s="433"/>
      <c r="CB112" s="231"/>
      <c r="CC112" s="94"/>
      <c r="CD112" s="94"/>
      <c r="CE112" s="94"/>
      <c r="CF112" s="1161"/>
      <c r="CG112" s="231"/>
      <c r="CH112" s="231"/>
      <c r="CI112" s="231"/>
      <c r="CJ112" s="231"/>
      <c r="CK112" s="231"/>
      <c r="CL112" s="231"/>
      <c r="CM112" s="231"/>
      <c r="CN112" s="231"/>
      <c r="CO112" s="231"/>
      <c r="CP112" s="231"/>
      <c r="CQ112" s="231"/>
      <c r="CR112" s="231"/>
      <c r="CS112" s="231"/>
      <c r="CT112" s="231"/>
      <c r="CU112" s="231"/>
      <c r="CV112" s="231"/>
      <c r="CW112" s="231"/>
      <c r="CX112" s="231"/>
      <c r="CY112" s="231"/>
      <c r="CZ112" s="231"/>
      <c r="DA112" s="231"/>
      <c r="DB112" s="231"/>
      <c r="DC112" s="231"/>
      <c r="DD112" s="231"/>
      <c r="DE112" s="231"/>
      <c r="DF112" s="231"/>
    </row>
    <row r="113" spans="2:110">
      <c r="B113" s="235"/>
      <c r="C113" s="231"/>
      <c r="D113" s="231"/>
      <c r="E113" s="569" t="s">
        <v>1722</v>
      </c>
      <c r="F113" s="568" t="s">
        <v>1723</v>
      </c>
      <c r="G113" s="570" t="s">
        <v>1705</v>
      </c>
      <c r="H113" s="239"/>
      <c r="I113" s="102"/>
      <c r="J113" s="102"/>
      <c r="K113" s="1099"/>
      <c r="L113" s="433"/>
      <c r="AX113" s="246">
        <v>33</v>
      </c>
      <c r="AY113" s="94" t="s">
        <v>1836</v>
      </c>
      <c r="AZ113" s="94" t="s">
        <v>2098</v>
      </c>
      <c r="BA113" s="239">
        <v>30</v>
      </c>
      <c r="BB113" s="239"/>
      <c r="BC113" s="239"/>
      <c r="BD113" s="1152">
        <v>2.5</v>
      </c>
      <c r="BE113" s="334">
        <v>0.05</v>
      </c>
      <c r="BF113" s="231"/>
      <c r="BG113" s="437">
        <f>($BE113/$BE$95)*($BA$95/$BA113)</f>
        <v>0.96666666666666667</v>
      </c>
      <c r="BH113" s="437"/>
      <c r="BI113" s="437">
        <f>(BE113/BE$95)*((BA$95/BA113)^0.5)</f>
        <v>0.695221787153807</v>
      </c>
      <c r="BJ113" s="231"/>
      <c r="BK113" s="587">
        <f t="shared" si="8"/>
        <v>12.296661520801141</v>
      </c>
      <c r="BL113" s="462">
        <f t="shared" si="9"/>
        <v>14.322239435787507</v>
      </c>
      <c r="BM113" s="99">
        <f t="shared" si="10"/>
        <v>5.4688201258118028</v>
      </c>
      <c r="BN113" s="462">
        <f t="shared" si="11"/>
        <v>4.246967536538242</v>
      </c>
      <c r="BO113" s="462"/>
      <c r="BP113" s="231"/>
      <c r="BQ113" s="251">
        <f t="shared" ref="BQ113:BY113" si="45">12*(4*($BC$54*((PI())^2)*($BD113*1000000*144)*$G$291*(($BC$8+$BC$9)/4)*BP$73)/($BC$16*$BC$17*(COS((90/BP$72)*(PI()/180)))))^0.5</f>
        <v>19.270991380250308</v>
      </c>
      <c r="BR113" s="251">
        <f t="shared" si="45"/>
        <v>24.626134108800578</v>
      </c>
      <c r="BS113" s="251">
        <f t="shared" si="45"/>
        <v>29.201120244429564</v>
      </c>
      <c r="BT113" s="251">
        <f t="shared" si="45"/>
        <v>33.233294118206523</v>
      </c>
      <c r="BU113" s="251">
        <f t="shared" si="45"/>
        <v>36.868856782415378</v>
      </c>
      <c r="BV113" s="251">
        <f t="shared" si="45"/>
        <v>40.200914369217081</v>
      </c>
      <c r="BW113" s="251">
        <f t="shared" si="45"/>
        <v>43.292095576215317</v>
      </c>
      <c r="BX113" s="251">
        <f t="shared" si="45"/>
        <v>46.186581831599092</v>
      </c>
      <c r="BY113" s="251">
        <f t="shared" si="45"/>
        <v>48.916778650842048</v>
      </c>
      <c r="BZ113" s="433"/>
      <c r="CA113" s="433"/>
      <c r="CB113" s="231"/>
      <c r="CC113" s="94"/>
      <c r="CD113" s="94"/>
      <c r="CE113" s="94"/>
      <c r="CF113" s="1160"/>
      <c r="CG113" s="231"/>
      <c r="CH113" s="231"/>
      <c r="CI113" s="231"/>
      <c r="CJ113" s="231"/>
      <c r="CK113" s="231"/>
      <c r="CL113" s="231"/>
      <c r="CM113" s="231"/>
      <c r="CN113" s="231"/>
      <c r="CO113" s="231"/>
      <c r="CP113" s="231"/>
      <c r="CQ113" s="231"/>
      <c r="CR113" s="231"/>
      <c r="CS113" s="231"/>
      <c r="CT113" s="231"/>
      <c r="CU113" s="231"/>
      <c r="CV113" s="231"/>
      <c r="CW113" s="231"/>
      <c r="CX113" s="231"/>
      <c r="CY113" s="231"/>
      <c r="CZ113" s="231"/>
      <c r="DA113" s="231"/>
      <c r="DB113" s="231"/>
      <c r="DC113" s="231"/>
      <c r="DD113" s="231"/>
      <c r="DE113" s="231"/>
      <c r="DF113" s="231"/>
    </row>
    <row r="114" spans="2:110">
      <c r="B114" s="232" t="s">
        <v>1724</v>
      </c>
      <c r="C114" s="231"/>
      <c r="D114" s="231"/>
      <c r="E114" s="569" t="s">
        <v>248</v>
      </c>
      <c r="F114" s="568" t="s">
        <v>235</v>
      </c>
      <c r="G114" s="570" t="s">
        <v>1725</v>
      </c>
      <c r="H114" s="1100"/>
      <c r="I114" s="102"/>
      <c r="J114" s="102"/>
      <c r="K114" s="1099"/>
      <c r="L114" s="433"/>
      <c r="AX114" s="246">
        <v>34</v>
      </c>
      <c r="AY114" s="239" t="s">
        <v>1836</v>
      </c>
      <c r="AZ114" s="94" t="s">
        <v>2099</v>
      </c>
      <c r="BA114" s="239">
        <v>9.4</v>
      </c>
      <c r="BB114" s="239"/>
      <c r="BC114" s="239"/>
      <c r="BD114" s="1152">
        <v>1.3</v>
      </c>
      <c r="BE114" s="334">
        <v>1.6E-2</v>
      </c>
      <c r="BF114" s="231"/>
      <c r="BG114" s="437">
        <f>($BE114/$BE$95)*($BA$95/$BA114)</f>
        <v>0.98723404255319136</v>
      </c>
      <c r="BH114" s="437"/>
      <c r="BI114" s="437">
        <f>(BE114/BE$95)*((BA$95/BA114)^0.5)</f>
        <v>0.39743860759683453</v>
      </c>
      <c r="BJ114" s="231"/>
      <c r="BK114" s="587">
        <f t="shared" si="8"/>
        <v>39.244664428088747</v>
      </c>
      <c r="BL114" s="462">
        <f t="shared" si="9"/>
        <v>14.626967934421277</v>
      </c>
      <c r="BM114" s="99">
        <f t="shared" si="10"/>
        <v>17.453681252590862</v>
      </c>
      <c r="BN114" s="462">
        <f t="shared" si="11"/>
        <v>4.3373285479539492</v>
      </c>
      <c r="BO114" s="462"/>
      <c r="BP114" s="231"/>
      <c r="BQ114" s="251">
        <f t="shared" ref="BQ114:BY114" si="46">12*(4*($BC$54*((PI())^2)*($BD114*1000000*144)*$G$291*(($BC$8+$BC$9)/4)*BP$73)/($BC$16*$BC$17*(COS((90/BP$72)*(PI()/180)))))^0.5</f>
        <v>13.896509510103408</v>
      </c>
      <c r="BR114" s="251">
        <f t="shared" si="46"/>
        <v>17.758157849146638</v>
      </c>
      <c r="BS114" s="251">
        <f t="shared" si="46"/>
        <v>21.057227268456067</v>
      </c>
      <c r="BT114" s="251">
        <f t="shared" si="46"/>
        <v>23.964869199153881</v>
      </c>
      <c r="BU114" s="251">
        <f t="shared" si="46"/>
        <v>26.58651071934738</v>
      </c>
      <c r="BV114" s="251">
        <f t="shared" si="46"/>
        <v>28.989291615749853</v>
      </c>
      <c r="BW114" s="251">
        <f t="shared" si="46"/>
        <v>31.218374084466411</v>
      </c>
      <c r="BX114" s="251">
        <f t="shared" si="46"/>
        <v>33.305617806448808</v>
      </c>
      <c r="BY114" s="251">
        <f t="shared" si="46"/>
        <v>35.274390731226639</v>
      </c>
      <c r="BZ114" s="433"/>
      <c r="CA114" s="433"/>
      <c r="CB114" s="231"/>
      <c r="CC114" s="94"/>
      <c r="CD114" s="94"/>
      <c r="CE114" s="94"/>
      <c r="CF114" s="1160"/>
      <c r="CG114" s="231"/>
      <c r="CH114" s="231"/>
      <c r="CI114" s="231"/>
      <c r="CJ114" s="231"/>
      <c r="CK114" s="231"/>
      <c r="CL114" s="231"/>
      <c r="CM114" s="231"/>
      <c r="CN114" s="231"/>
      <c r="CO114" s="231"/>
      <c r="CP114" s="231"/>
      <c r="CQ114" s="231"/>
      <c r="CR114" s="231"/>
      <c r="CS114" s="231"/>
      <c r="CT114" s="231"/>
      <c r="CU114" s="231"/>
      <c r="CV114" s="231"/>
      <c r="CW114" s="231"/>
      <c r="CX114" s="231"/>
      <c r="CY114" s="231"/>
      <c r="CZ114" s="231"/>
      <c r="DA114" s="231"/>
      <c r="DB114" s="231"/>
      <c r="DC114" s="231"/>
      <c r="DD114" s="231"/>
      <c r="DE114" s="231"/>
      <c r="DF114" s="231"/>
    </row>
    <row r="115" spans="2:110">
      <c r="B115" s="235"/>
      <c r="C115" s="231"/>
      <c r="D115" s="231"/>
      <c r="E115" s="571" t="s">
        <v>91</v>
      </c>
      <c r="F115" s="572" t="s">
        <v>91</v>
      </c>
      <c r="G115" s="573" t="s">
        <v>91</v>
      </c>
      <c r="H115" s="1100"/>
      <c r="I115" s="239"/>
      <c r="J115" s="239"/>
      <c r="K115" s="231"/>
      <c r="L115" s="433"/>
      <c r="AX115" s="235"/>
      <c r="AY115" s="231"/>
      <c r="AZ115" s="231"/>
      <c r="BA115" s="231"/>
      <c r="BB115" s="231"/>
      <c r="BC115" s="231"/>
      <c r="BD115" s="259"/>
      <c r="BE115" s="231"/>
      <c r="BF115" s="231"/>
      <c r="BG115" s="231"/>
      <c r="BH115" s="231"/>
      <c r="BI115" s="231"/>
      <c r="BJ115" s="231"/>
      <c r="BK115" s="231"/>
      <c r="BL115" s="231"/>
      <c r="BM115" s="231"/>
      <c r="BN115" s="231"/>
      <c r="BO115" s="231"/>
      <c r="BP115" s="231"/>
      <c r="BQ115" s="231"/>
      <c r="BR115" s="231"/>
      <c r="BS115" s="231"/>
      <c r="BT115" s="231"/>
      <c r="BU115" s="231"/>
      <c r="BV115" s="231"/>
      <c r="BW115" s="231"/>
      <c r="BX115" s="231"/>
      <c r="BY115" s="231"/>
      <c r="BZ115" s="433"/>
      <c r="CA115" s="433"/>
      <c r="CB115" s="231"/>
      <c r="CC115" s="94"/>
      <c r="CD115" s="94"/>
      <c r="CE115" s="94"/>
      <c r="CF115" s="1160"/>
      <c r="CG115" s="231"/>
      <c r="CH115" s="231"/>
      <c r="CI115" s="231"/>
      <c r="CJ115" s="231"/>
      <c r="CK115" s="231"/>
      <c r="CL115" s="231"/>
      <c r="CM115" s="231"/>
      <c r="CN115" s="231"/>
      <c r="CO115" s="231"/>
      <c r="CP115" s="231"/>
      <c r="CQ115" s="231"/>
      <c r="CR115" s="231"/>
      <c r="CS115" s="231"/>
      <c r="CT115" s="231"/>
      <c r="CU115" s="231"/>
      <c r="CV115" s="231"/>
      <c r="CW115" s="231"/>
      <c r="CX115" s="231"/>
      <c r="CY115" s="231"/>
      <c r="CZ115" s="231"/>
      <c r="DA115" s="231"/>
      <c r="DB115" s="231"/>
      <c r="DC115" s="231"/>
      <c r="DD115" s="231"/>
      <c r="DE115" s="231"/>
      <c r="DF115" s="231"/>
    </row>
    <row r="116" spans="2:110">
      <c r="B116" s="246" t="s">
        <v>1726</v>
      </c>
      <c r="C116" s="223" t="s">
        <v>1727</v>
      </c>
      <c r="D116" s="574" t="s">
        <v>658</v>
      </c>
      <c r="E116" s="575">
        <v>66</v>
      </c>
      <c r="F116" s="576">
        <v>50</v>
      </c>
      <c r="G116" s="577">
        <v>25</v>
      </c>
      <c r="H116" s="239"/>
      <c r="I116" s="239"/>
      <c r="J116" s="239"/>
      <c r="K116" s="231"/>
      <c r="L116" s="433"/>
      <c r="AX116" s="235">
        <f>1</f>
        <v>1</v>
      </c>
      <c r="AY116" s="231">
        <f t="shared" ref="AY116:BY116" si="47">AX116+1</f>
        <v>2</v>
      </c>
      <c r="AZ116" s="231">
        <f t="shared" si="47"/>
        <v>3</v>
      </c>
      <c r="BA116" s="231">
        <f t="shared" si="47"/>
        <v>4</v>
      </c>
      <c r="BB116" s="231">
        <f t="shared" si="47"/>
        <v>5</v>
      </c>
      <c r="BC116" s="231">
        <f t="shared" si="47"/>
        <v>6</v>
      </c>
      <c r="BD116" s="259">
        <f t="shared" si="47"/>
        <v>7</v>
      </c>
      <c r="BE116" s="231">
        <f t="shared" si="47"/>
        <v>8</v>
      </c>
      <c r="BF116" s="231">
        <f t="shared" si="47"/>
        <v>9</v>
      </c>
      <c r="BG116" s="231">
        <f t="shared" si="47"/>
        <v>10</v>
      </c>
      <c r="BH116" s="231">
        <f t="shared" si="47"/>
        <v>11</v>
      </c>
      <c r="BI116" s="231">
        <f t="shared" si="47"/>
        <v>12</v>
      </c>
      <c r="BJ116" s="231">
        <f t="shared" si="47"/>
        <v>13</v>
      </c>
      <c r="BK116" s="231">
        <f t="shared" si="47"/>
        <v>14</v>
      </c>
      <c r="BL116" s="231">
        <f t="shared" si="47"/>
        <v>15</v>
      </c>
      <c r="BM116" s="231">
        <f t="shared" si="47"/>
        <v>16</v>
      </c>
      <c r="BN116" s="231">
        <f t="shared" si="47"/>
        <v>17</v>
      </c>
      <c r="BO116" s="231">
        <f t="shared" si="47"/>
        <v>18</v>
      </c>
      <c r="BP116" s="231">
        <f t="shared" si="47"/>
        <v>19</v>
      </c>
      <c r="BQ116" s="231">
        <f t="shared" si="47"/>
        <v>20</v>
      </c>
      <c r="BR116" s="231">
        <f t="shared" si="47"/>
        <v>21</v>
      </c>
      <c r="BS116" s="231">
        <f t="shared" si="47"/>
        <v>22</v>
      </c>
      <c r="BT116" s="231">
        <f t="shared" si="47"/>
        <v>23</v>
      </c>
      <c r="BU116" s="231">
        <f t="shared" si="47"/>
        <v>24</v>
      </c>
      <c r="BV116" s="231">
        <f t="shared" si="47"/>
        <v>25</v>
      </c>
      <c r="BW116" s="231">
        <f t="shared" si="47"/>
        <v>26</v>
      </c>
      <c r="BX116" s="231">
        <f t="shared" si="47"/>
        <v>27</v>
      </c>
      <c r="BY116" s="231">
        <f t="shared" si="47"/>
        <v>28</v>
      </c>
      <c r="BZ116" s="433"/>
      <c r="CA116" s="433"/>
      <c r="CB116" s="231"/>
      <c r="CC116" s="94"/>
      <c r="CD116" s="94"/>
      <c r="CE116" s="94"/>
      <c r="CF116" s="1160"/>
      <c r="CG116" s="231"/>
      <c r="CH116" s="231"/>
      <c r="CI116" s="231"/>
      <c r="CJ116" s="231"/>
      <c r="CK116" s="231"/>
      <c r="CL116" s="231"/>
      <c r="CM116" s="231"/>
      <c r="CN116" s="231"/>
      <c r="CO116" s="231"/>
      <c r="CP116" s="231"/>
      <c r="CQ116" s="231"/>
      <c r="CR116" s="231"/>
      <c r="CS116" s="231"/>
      <c r="CT116" s="231"/>
      <c r="CU116" s="231"/>
      <c r="CV116" s="231"/>
      <c r="CW116" s="231"/>
      <c r="CX116" s="231"/>
      <c r="CY116" s="231"/>
      <c r="CZ116" s="231"/>
      <c r="DA116" s="231"/>
      <c r="DB116" s="231"/>
      <c r="DC116" s="231"/>
      <c r="DD116" s="231"/>
      <c r="DE116" s="231"/>
      <c r="DF116" s="231"/>
    </row>
    <row r="117" spans="2:110" ht="13.8" thickBot="1">
      <c r="B117" s="246" t="s">
        <v>1728</v>
      </c>
      <c r="C117" s="223" t="s">
        <v>1729</v>
      </c>
      <c r="D117" s="574" t="s">
        <v>658</v>
      </c>
      <c r="E117" s="575">
        <v>38</v>
      </c>
      <c r="F117" s="576">
        <v>25</v>
      </c>
      <c r="G117" s="578">
        <v>12.5</v>
      </c>
      <c r="H117" s="239"/>
      <c r="I117" s="239"/>
      <c r="J117" s="239"/>
      <c r="K117" s="1099"/>
      <c r="L117" s="433"/>
      <c r="AX117" s="254"/>
      <c r="AY117" s="255"/>
      <c r="AZ117" s="255"/>
      <c r="BA117" s="255"/>
      <c r="BB117" s="255"/>
      <c r="BC117" s="255"/>
      <c r="BD117" s="1162"/>
      <c r="BE117" s="255"/>
      <c r="BF117" s="255"/>
      <c r="BG117" s="255"/>
      <c r="BH117" s="255"/>
      <c r="BI117" s="255"/>
      <c r="BJ117" s="255"/>
      <c r="BK117" s="255"/>
      <c r="BL117" s="255"/>
      <c r="BM117" s="255"/>
      <c r="BN117" s="255"/>
      <c r="BO117" s="255"/>
      <c r="BP117" s="255"/>
      <c r="BQ117" s="255"/>
      <c r="BR117" s="255"/>
      <c r="BS117" s="255"/>
      <c r="BT117" s="255"/>
      <c r="BU117" s="255"/>
      <c r="BV117" s="255"/>
      <c r="BW117" s="255"/>
      <c r="BX117" s="255"/>
      <c r="BY117" s="255"/>
      <c r="BZ117" s="446"/>
      <c r="CA117" s="433"/>
      <c r="CB117" s="94"/>
      <c r="CC117" s="94"/>
      <c r="CD117" s="94"/>
      <c r="CE117" s="1160"/>
      <c r="CF117" s="231"/>
      <c r="CG117" s="231"/>
      <c r="CH117" s="231"/>
      <c r="CI117" s="231"/>
      <c r="CJ117" s="231"/>
      <c r="CK117" s="231"/>
      <c r="CL117" s="231"/>
      <c r="CM117" s="231"/>
      <c r="CN117" s="231"/>
      <c r="CO117" s="231"/>
      <c r="CP117" s="231"/>
      <c r="CQ117" s="231"/>
      <c r="CR117" s="231"/>
      <c r="CS117" s="231"/>
      <c r="CT117" s="231"/>
      <c r="CU117" s="231"/>
      <c r="CV117" s="231"/>
      <c r="CW117" s="231"/>
      <c r="CX117" s="231"/>
      <c r="CY117" s="231"/>
      <c r="CZ117" s="231"/>
      <c r="DA117" s="231"/>
      <c r="DB117" s="231"/>
      <c r="DC117" s="231"/>
      <c r="DD117" s="231"/>
      <c r="DE117" s="231"/>
      <c r="DF117" s="231"/>
    </row>
    <row r="118" spans="2:110">
      <c r="B118" s="246" t="s">
        <v>1730</v>
      </c>
      <c r="C118" s="223" t="s">
        <v>1731</v>
      </c>
      <c r="D118" s="574" t="s">
        <v>188</v>
      </c>
      <c r="E118" s="575">
        <v>20000</v>
      </c>
      <c r="F118" s="576">
        <v>20000</v>
      </c>
      <c r="G118" s="577">
        <v>20000</v>
      </c>
      <c r="H118" s="239"/>
      <c r="I118" s="239"/>
      <c r="J118" s="239"/>
      <c r="K118" s="1099"/>
      <c r="L118" s="433"/>
      <c r="AX118" s="235"/>
      <c r="AY118" s="231"/>
      <c r="AZ118" s="231"/>
      <c r="BA118" s="231"/>
      <c r="BB118" s="231"/>
      <c r="BC118" s="231"/>
      <c r="BD118" s="1182"/>
      <c r="BE118" s="437"/>
      <c r="BF118" s="231"/>
      <c r="BG118" s="437"/>
      <c r="BH118" s="437"/>
      <c r="BI118" s="437"/>
      <c r="BJ118" s="231"/>
      <c r="BK118" s="231"/>
      <c r="BL118" s="231"/>
      <c r="BM118" s="231"/>
      <c r="BN118" s="231"/>
      <c r="BO118" s="231"/>
      <c r="BP118" s="231"/>
      <c r="BQ118" s="231"/>
      <c r="BR118" s="231"/>
      <c r="BS118" s="231"/>
      <c r="BT118" s="231"/>
      <c r="BU118" s="231"/>
      <c r="BV118" s="231"/>
      <c r="BW118" s="231"/>
      <c r="BX118" s="231"/>
      <c r="BY118" s="231"/>
      <c r="BZ118" s="231"/>
      <c r="CA118" s="433"/>
    </row>
    <row r="119" spans="2:110" ht="13.8" thickBot="1">
      <c r="B119" s="463" t="s">
        <v>1732</v>
      </c>
      <c r="C119" s="579" t="s">
        <v>1733</v>
      </c>
      <c r="D119" s="580" t="s">
        <v>188</v>
      </c>
      <c r="E119" s="581">
        <v>50000</v>
      </c>
      <c r="F119" s="582">
        <v>50000</v>
      </c>
      <c r="G119" s="583">
        <v>50000</v>
      </c>
      <c r="H119" s="239"/>
      <c r="I119" s="239"/>
      <c r="J119" s="239"/>
      <c r="K119" s="1099"/>
      <c r="L119" s="433"/>
      <c r="AX119" s="235"/>
      <c r="AY119" s="231"/>
      <c r="AZ119" s="231"/>
      <c r="BA119" s="231"/>
      <c r="BB119" s="231"/>
      <c r="BC119" s="231"/>
      <c r="BD119" s="1182"/>
      <c r="BE119" s="437"/>
      <c r="BF119" s="231"/>
      <c r="BG119" s="437"/>
      <c r="BH119" s="437"/>
      <c r="BI119" s="437"/>
      <c r="BJ119" s="231"/>
      <c r="BK119" s="231"/>
      <c r="BL119" s="231"/>
      <c r="BM119" s="231"/>
      <c r="BN119" s="231"/>
      <c r="BO119" s="231"/>
      <c r="BP119" s="231"/>
      <c r="BQ119" s="231"/>
      <c r="BR119" s="231"/>
      <c r="BS119" s="231"/>
      <c r="BT119" s="231"/>
      <c r="BU119" s="231"/>
      <c r="BV119" s="231"/>
      <c r="BW119" s="231"/>
      <c r="BX119" s="231"/>
      <c r="BY119" s="231"/>
      <c r="BZ119" s="231"/>
      <c r="CA119" s="433"/>
    </row>
    <row r="120" spans="2:110" ht="13.8" thickBot="1">
      <c r="B120" s="238"/>
      <c r="C120" s="239"/>
      <c r="D120" s="239"/>
      <c r="E120" s="239"/>
      <c r="F120" s="680"/>
      <c r="G120" s="239"/>
      <c r="H120" s="239"/>
      <c r="I120" s="239"/>
      <c r="J120" s="239"/>
      <c r="K120" s="1099"/>
      <c r="L120" s="433"/>
      <c r="AX120" s="254"/>
      <c r="AY120" s="255"/>
      <c r="AZ120" s="255"/>
      <c r="BA120" s="255"/>
      <c r="BB120" s="255"/>
      <c r="BC120" s="255"/>
      <c r="BD120" s="1183"/>
      <c r="BE120" s="1184"/>
      <c r="BF120" s="255"/>
      <c r="BG120" s="1184"/>
      <c r="BH120" s="1184"/>
      <c r="BI120" s="1184"/>
      <c r="BJ120" s="255"/>
      <c r="BK120" s="255"/>
      <c r="BL120" s="255"/>
      <c r="BM120" s="255"/>
      <c r="BN120" s="255"/>
      <c r="BO120" s="255"/>
      <c r="BP120" s="255"/>
      <c r="BQ120" s="255"/>
      <c r="BR120" s="255"/>
      <c r="BS120" s="255"/>
      <c r="BT120" s="255"/>
      <c r="BU120" s="255"/>
      <c r="BV120" s="255"/>
      <c r="BW120" s="255"/>
      <c r="BX120" s="255"/>
      <c r="BY120" s="255"/>
      <c r="BZ120" s="255"/>
      <c r="CA120" s="446"/>
    </row>
    <row r="121" spans="2:110" ht="13.8" thickBot="1">
      <c r="B121" s="444"/>
      <c r="C121" s="445"/>
      <c r="D121" s="1101"/>
      <c r="E121" s="1102"/>
      <c r="F121" s="1103"/>
      <c r="G121" s="445"/>
      <c r="H121" s="445"/>
      <c r="I121" s="445"/>
      <c r="J121" s="445"/>
      <c r="K121" s="1104"/>
      <c r="L121" s="446"/>
      <c r="BD121" s="326"/>
      <c r="BE121" s="332"/>
      <c r="BG121" s="332"/>
      <c r="BH121" s="332"/>
      <c r="BI121" s="332"/>
    </row>
    <row r="122" spans="2:110">
      <c r="B122" s="323"/>
      <c r="C122" s="323"/>
      <c r="D122" s="564"/>
      <c r="E122" s="555"/>
      <c r="F122" s="554"/>
      <c r="G122" s="323"/>
      <c r="H122" s="323"/>
      <c r="I122" s="323"/>
      <c r="J122" s="323"/>
      <c r="K122" s="548"/>
      <c r="BD122" s="326"/>
      <c r="BE122" s="332"/>
      <c r="BG122" s="332"/>
      <c r="BH122" s="332"/>
      <c r="BI122" s="332"/>
    </row>
    <row r="123" spans="2:110">
      <c r="B123" s="323"/>
      <c r="C123" s="323"/>
      <c r="D123" s="564"/>
      <c r="E123" s="555"/>
      <c r="F123" s="554"/>
      <c r="G123" s="323"/>
      <c r="H123" s="323"/>
      <c r="I123" s="323"/>
      <c r="J123" s="323"/>
      <c r="K123" s="548"/>
      <c r="BD123" s="326"/>
      <c r="BE123" s="332"/>
      <c r="BG123" s="332"/>
      <c r="BH123" s="332"/>
      <c r="BI123" s="332"/>
    </row>
    <row r="124" spans="2:110">
      <c r="B124" s="323"/>
      <c r="C124" s="323"/>
      <c r="D124" s="564"/>
      <c r="E124" s="555"/>
      <c r="F124" s="554"/>
      <c r="G124" s="323"/>
      <c r="H124" s="323"/>
      <c r="I124" s="323"/>
      <c r="J124" s="323"/>
      <c r="K124" s="548"/>
      <c r="BD124" s="320"/>
    </row>
    <row r="125" spans="2:110">
      <c r="B125" s="323"/>
      <c r="C125" s="323"/>
      <c r="D125" s="564"/>
      <c r="E125" s="555"/>
      <c r="F125" s="554"/>
      <c r="G125" s="323"/>
      <c r="H125" s="323"/>
      <c r="I125" s="323"/>
      <c r="J125" s="323"/>
      <c r="K125" s="548"/>
      <c r="BD125" s="320"/>
    </row>
    <row r="126" spans="2:110">
      <c r="B126" s="323"/>
      <c r="C126" s="323"/>
      <c r="D126" s="323"/>
      <c r="E126" s="555"/>
      <c r="F126" s="554"/>
      <c r="G126" s="323"/>
      <c r="H126" s="323"/>
      <c r="I126" s="323"/>
      <c r="J126" s="323"/>
      <c r="K126" s="584"/>
      <c r="BD126" s="320"/>
    </row>
    <row r="127" spans="2:110">
      <c r="B127" s="323"/>
      <c r="C127" s="323"/>
      <c r="D127" s="323"/>
      <c r="E127" s="555"/>
      <c r="F127" s="554"/>
      <c r="G127" s="323"/>
      <c r="H127" s="323"/>
      <c r="I127" s="323"/>
      <c r="J127" s="323"/>
      <c r="K127" s="584"/>
      <c r="BD127" s="320"/>
    </row>
    <row r="128" spans="2:110">
      <c r="B128" s="323"/>
      <c r="C128" s="323"/>
      <c r="D128" s="323"/>
      <c r="E128" s="555"/>
      <c r="F128" s="554"/>
      <c r="G128" s="323"/>
      <c r="H128" s="323"/>
      <c r="I128" s="323"/>
      <c r="J128" s="323"/>
      <c r="K128" s="584"/>
    </row>
    <row r="129" spans="2:61">
      <c r="E129" s="324"/>
      <c r="F129" s="554"/>
      <c r="H129" s="323"/>
      <c r="K129" s="584"/>
    </row>
    <row r="130" spans="2:61">
      <c r="E130" s="324"/>
      <c r="F130" s="554"/>
      <c r="K130" s="584"/>
    </row>
    <row r="131" spans="2:61">
      <c r="E131" s="324"/>
      <c r="F131" s="554"/>
      <c r="K131" s="584"/>
    </row>
    <row r="132" spans="2:61">
      <c r="B132" s="335"/>
      <c r="C132" s="335"/>
      <c r="D132" s="335"/>
      <c r="E132" s="335"/>
      <c r="F132" s="335"/>
      <c r="G132" s="335"/>
      <c r="H132" s="335"/>
      <c r="I132" s="335"/>
      <c r="J132" s="335"/>
      <c r="K132" s="423"/>
      <c r="L132" s="335"/>
      <c r="M132" s="423"/>
      <c r="N132" s="335"/>
      <c r="O132" s="335"/>
      <c r="P132" s="335"/>
      <c r="Q132" s="335"/>
      <c r="R132" s="335"/>
      <c r="S132" s="335"/>
      <c r="T132" s="335"/>
      <c r="U132" s="335"/>
      <c r="V132" s="335"/>
      <c r="W132" s="335"/>
      <c r="X132" s="335"/>
      <c r="Y132" s="335"/>
      <c r="Z132" s="335"/>
      <c r="AA132" s="335"/>
      <c r="AB132" s="335"/>
      <c r="AC132" s="335"/>
      <c r="AD132" s="335"/>
      <c r="AE132" s="335"/>
      <c r="AF132" s="335"/>
      <c r="AG132" s="335"/>
      <c r="AH132" s="335"/>
      <c r="AI132" s="335"/>
      <c r="AJ132" s="335"/>
      <c r="AK132" s="335"/>
      <c r="AL132" s="335"/>
      <c r="AM132" s="335"/>
      <c r="AN132" s="335"/>
      <c r="AO132" s="335"/>
      <c r="AP132" s="335"/>
      <c r="AQ132" s="335"/>
      <c r="AR132" s="335"/>
      <c r="AS132" s="335"/>
      <c r="AT132" s="335"/>
      <c r="AU132" s="335"/>
      <c r="AV132" s="335"/>
      <c r="AW132" s="335"/>
      <c r="AX132" s="335"/>
      <c r="AY132" s="597"/>
      <c r="AZ132" s="597"/>
      <c r="BA132" s="335"/>
      <c r="BB132" s="335"/>
      <c r="BC132" s="335"/>
      <c r="BD132" s="335"/>
      <c r="BE132" s="335"/>
      <c r="BF132" s="335"/>
      <c r="BG132" s="335"/>
      <c r="BH132" s="335"/>
      <c r="BI132" s="335"/>
    </row>
    <row r="133" spans="2:61">
      <c r="B133" s="335"/>
      <c r="C133" s="335"/>
      <c r="D133" s="335"/>
      <c r="E133" s="335"/>
      <c r="F133" s="335"/>
      <c r="G133" s="335"/>
      <c r="H133" s="335"/>
      <c r="I133" s="335"/>
      <c r="J133" s="335"/>
      <c r="K133" s="423"/>
      <c r="L133" s="335"/>
      <c r="M133" s="423"/>
      <c r="N133" s="335"/>
      <c r="O133" s="335"/>
      <c r="P133" s="335"/>
      <c r="Q133" s="335"/>
      <c r="R133" s="335"/>
      <c r="S133" s="335"/>
      <c r="T133" s="335"/>
      <c r="U133" s="335"/>
      <c r="V133" s="335"/>
      <c r="W133" s="335"/>
      <c r="X133" s="335"/>
      <c r="Y133" s="335"/>
      <c r="Z133" s="335"/>
      <c r="AA133" s="335"/>
      <c r="AB133" s="335"/>
      <c r="AC133" s="335"/>
      <c r="AD133" s="335"/>
      <c r="AE133" s="335"/>
      <c r="AF133" s="335"/>
      <c r="AG133" s="335"/>
      <c r="AH133" s="335"/>
      <c r="AI133" s="335"/>
      <c r="AJ133" s="335"/>
      <c r="AK133" s="335"/>
      <c r="AL133" s="335"/>
      <c r="AM133" s="335"/>
      <c r="AN133" s="335"/>
      <c r="AO133" s="335"/>
      <c r="AP133" s="335"/>
      <c r="AQ133" s="335"/>
      <c r="AR133" s="335"/>
      <c r="AS133" s="335"/>
      <c r="AT133" s="335"/>
      <c r="AU133" s="335"/>
      <c r="AV133" s="335"/>
      <c r="AW133" s="335"/>
      <c r="AX133" s="335"/>
      <c r="AY133" s="597"/>
      <c r="AZ133" s="597"/>
      <c r="BA133" s="335"/>
      <c r="BB133" s="335"/>
      <c r="BC133" s="335"/>
      <c r="BD133" s="335"/>
      <c r="BE133" s="335"/>
      <c r="BF133" s="335"/>
      <c r="BG133" s="335"/>
      <c r="BH133" s="335"/>
      <c r="BI133" s="335"/>
    </row>
    <row r="134" spans="2:61">
      <c r="B134" s="335"/>
      <c r="C134" s="335"/>
      <c r="D134" s="335"/>
      <c r="E134" s="335"/>
      <c r="F134" s="335"/>
      <c r="G134" s="335"/>
      <c r="H134" s="335"/>
      <c r="I134" s="335"/>
      <c r="J134" s="335"/>
      <c r="K134" s="423"/>
      <c r="L134" s="335"/>
      <c r="M134" s="423"/>
      <c r="N134" s="335"/>
      <c r="O134" s="335"/>
      <c r="P134" s="335"/>
      <c r="Q134" s="335"/>
      <c r="R134" s="335"/>
      <c r="S134" s="335"/>
      <c r="T134" s="335"/>
      <c r="U134" s="335"/>
      <c r="V134" s="335"/>
      <c r="W134" s="335"/>
      <c r="X134" s="335"/>
      <c r="Y134" s="335"/>
      <c r="Z134" s="335"/>
      <c r="AA134" s="335"/>
      <c r="AB134" s="335"/>
      <c r="AC134" s="335"/>
      <c r="AD134" s="335"/>
      <c r="AE134" s="335"/>
      <c r="AF134" s="335"/>
      <c r="AG134" s="335"/>
      <c r="AH134" s="335"/>
      <c r="AI134" s="335"/>
      <c r="AJ134" s="335"/>
      <c r="AK134" s="335"/>
      <c r="AL134" s="335"/>
      <c r="AM134" s="335"/>
      <c r="AN134" s="335"/>
      <c r="AO134" s="335"/>
      <c r="AP134" s="335"/>
      <c r="AQ134" s="335"/>
      <c r="AR134" s="335"/>
      <c r="AS134" s="335"/>
      <c r="AT134" s="335"/>
      <c r="AU134" s="335"/>
      <c r="AV134" s="335"/>
      <c r="AW134" s="335"/>
      <c r="AX134" s="335"/>
      <c r="AY134" s="597"/>
      <c r="AZ134" s="597"/>
      <c r="BA134" s="335"/>
      <c r="BB134" s="335"/>
      <c r="BC134" s="335"/>
      <c r="BD134" s="335"/>
      <c r="BE134" s="335"/>
      <c r="BF134" s="335"/>
      <c r="BG134" s="335"/>
      <c r="BH134" s="335"/>
      <c r="BI134" s="335"/>
    </row>
    <row r="135" spans="2:61">
      <c r="B135" s="335"/>
      <c r="C135" s="335"/>
      <c r="D135" s="335"/>
      <c r="E135" s="335"/>
      <c r="F135" s="335"/>
      <c r="G135" s="335"/>
      <c r="H135" s="335"/>
      <c r="I135" s="335"/>
      <c r="J135" s="335"/>
      <c r="K135" s="423"/>
      <c r="L135" s="335"/>
      <c r="M135" s="423"/>
      <c r="N135" s="335"/>
      <c r="O135" s="335"/>
      <c r="P135" s="335"/>
      <c r="Q135" s="335"/>
      <c r="R135" s="335"/>
      <c r="S135" s="335"/>
      <c r="T135" s="335"/>
      <c r="U135" s="335"/>
      <c r="V135" s="335"/>
      <c r="W135" s="335"/>
      <c r="X135" s="335"/>
      <c r="Y135" s="335"/>
      <c r="Z135" s="335"/>
      <c r="AA135" s="335"/>
      <c r="AB135" s="335"/>
      <c r="AC135" s="335"/>
      <c r="AD135" s="335"/>
      <c r="AE135" s="335"/>
      <c r="AF135" s="335"/>
      <c r="AG135" s="335"/>
      <c r="AH135" s="335"/>
      <c r="AI135" s="335"/>
      <c r="AJ135" s="335"/>
      <c r="AK135" s="335"/>
      <c r="AL135" s="335"/>
      <c r="AM135" s="335"/>
      <c r="AN135" s="335"/>
      <c r="AO135" s="335"/>
      <c r="AP135" s="335"/>
      <c r="AQ135" s="335"/>
      <c r="AR135" s="335"/>
      <c r="AS135" s="335"/>
      <c r="AT135" s="335"/>
      <c r="AU135" s="335"/>
      <c r="AV135" s="335"/>
      <c r="AW135" s="335"/>
      <c r="AX135" s="335"/>
      <c r="AY135" s="597"/>
      <c r="AZ135" s="597"/>
      <c r="BA135" s="335"/>
      <c r="BB135" s="335"/>
      <c r="BC135" s="335"/>
      <c r="BD135" s="335"/>
      <c r="BE135" s="335"/>
      <c r="BF135" s="335"/>
      <c r="BG135" s="335"/>
      <c r="BH135" s="335"/>
      <c r="BI135" s="335"/>
    </row>
    <row r="136" spans="2:61" ht="13.8" thickBot="1">
      <c r="B136" s="335"/>
      <c r="C136" s="335"/>
      <c r="D136" s="335"/>
      <c r="E136" s="335"/>
      <c r="F136" s="335"/>
      <c r="G136" s="335"/>
      <c r="H136" s="335"/>
      <c r="I136" s="335"/>
      <c r="J136" s="335"/>
      <c r="K136" s="423"/>
      <c r="L136" s="335"/>
      <c r="M136" s="423"/>
      <c r="N136" s="335"/>
      <c r="O136" s="335"/>
      <c r="P136" s="335"/>
      <c r="Q136" s="335"/>
      <c r="R136" s="335"/>
      <c r="S136" s="335"/>
      <c r="T136" s="335"/>
      <c r="U136" s="335"/>
      <c r="V136" s="335"/>
      <c r="W136" s="335"/>
      <c r="X136" s="335"/>
      <c r="Y136" s="335"/>
      <c r="Z136" s="335"/>
      <c r="AA136" s="335"/>
      <c r="AB136" s="335"/>
      <c r="AC136" s="335"/>
      <c r="AD136" s="335"/>
      <c r="AE136" s="335"/>
      <c r="AF136" s="335"/>
      <c r="AG136" s="335"/>
      <c r="AH136" s="335"/>
      <c r="AI136" s="335"/>
      <c r="AJ136" s="335"/>
      <c r="AK136" s="335"/>
      <c r="AL136" s="335"/>
      <c r="AM136" s="335"/>
      <c r="AN136" s="335"/>
      <c r="AO136" s="335"/>
      <c r="AP136" s="335"/>
      <c r="AQ136" s="335"/>
      <c r="AR136" s="335"/>
      <c r="AS136" s="335"/>
      <c r="AT136" s="335"/>
      <c r="AU136" s="335"/>
      <c r="AV136" s="335"/>
      <c r="AW136" s="335"/>
      <c r="AX136" s="335"/>
      <c r="AY136" s="597"/>
      <c r="AZ136" s="597"/>
      <c r="BA136" s="335"/>
      <c r="BB136" s="335"/>
      <c r="BC136" s="335"/>
      <c r="BD136" s="335"/>
      <c r="BE136" s="335"/>
      <c r="BF136" s="335"/>
      <c r="BG136" s="335"/>
      <c r="BH136" s="335"/>
      <c r="BI136" s="335"/>
    </row>
    <row r="137" spans="2:61">
      <c r="B137" s="761"/>
      <c r="C137" s="1105"/>
      <c r="D137" s="1105"/>
      <c r="E137" s="1105"/>
      <c r="F137" s="1105"/>
      <c r="G137" s="1105"/>
      <c r="H137" s="1105"/>
      <c r="I137" s="1105"/>
      <c r="J137" s="1105"/>
      <c r="K137" s="274"/>
      <c r="L137" s="1105"/>
      <c r="M137" s="274"/>
      <c r="N137" s="1105"/>
      <c r="O137" s="1105"/>
      <c r="P137" s="1105"/>
      <c r="Q137" s="1105"/>
      <c r="R137" s="1105"/>
      <c r="S137" s="1105"/>
      <c r="T137" s="1105"/>
      <c r="U137" s="1105"/>
      <c r="V137" s="1105"/>
      <c r="W137" s="1105"/>
      <c r="X137" s="1105"/>
      <c r="Y137" s="1105"/>
      <c r="Z137" s="1105"/>
      <c r="AA137" s="1105"/>
      <c r="AB137" s="1105"/>
      <c r="AC137" s="1105"/>
      <c r="AD137" s="1105"/>
      <c r="AE137" s="1105"/>
      <c r="AF137" s="1105"/>
      <c r="AG137" s="1105"/>
      <c r="AH137" s="1105"/>
      <c r="AI137" s="1105"/>
      <c r="AJ137" s="1105"/>
      <c r="AK137" s="1105"/>
      <c r="AL137" s="1105"/>
      <c r="AM137" s="1105"/>
      <c r="AN137" s="1105"/>
      <c r="AO137" s="1105"/>
      <c r="AP137" s="1105"/>
      <c r="AQ137" s="1105"/>
      <c r="AR137" s="1105"/>
      <c r="AS137" s="1105"/>
      <c r="AT137" s="1105"/>
      <c r="AU137" s="1105"/>
      <c r="AV137" s="1105"/>
      <c r="AW137" s="1105"/>
      <c r="AX137" s="1105"/>
      <c r="AY137" s="1113"/>
      <c r="AZ137" s="1113"/>
      <c r="BA137" s="1105"/>
      <c r="BB137" s="1105"/>
      <c r="BC137" s="1105"/>
      <c r="BD137" s="1105"/>
      <c r="BE137" s="1105"/>
      <c r="BF137" s="1105"/>
      <c r="BG137" s="1106"/>
      <c r="BH137" s="335"/>
      <c r="BI137" s="335"/>
    </row>
    <row r="138" spans="2:61">
      <c r="B138" s="246"/>
      <c r="C138" s="223"/>
      <c r="D138" s="223"/>
      <c r="E138" s="223"/>
      <c r="F138" s="223"/>
      <c r="G138" s="223"/>
      <c r="H138" s="223"/>
      <c r="I138" s="223"/>
      <c r="J138" s="223"/>
      <c r="K138" s="94"/>
      <c r="L138" s="223"/>
      <c r="M138" s="94"/>
      <c r="N138" s="223"/>
      <c r="O138" s="223"/>
      <c r="P138" s="223"/>
      <c r="Q138" s="223"/>
      <c r="R138" s="223"/>
      <c r="S138" s="223"/>
      <c r="T138" s="223"/>
      <c r="U138" s="223"/>
      <c r="V138" s="223"/>
      <c r="W138" s="223"/>
      <c r="X138" s="223"/>
      <c r="Y138" s="223"/>
      <c r="Z138" s="223"/>
      <c r="AA138" s="223"/>
      <c r="AB138" s="223"/>
      <c r="AC138" s="223"/>
      <c r="AD138" s="223"/>
      <c r="AE138" s="223"/>
      <c r="AF138" s="223"/>
      <c r="AG138" s="223"/>
      <c r="AH138" s="223"/>
      <c r="AI138" s="223"/>
      <c r="AJ138" s="223"/>
      <c r="AK138" s="223"/>
      <c r="AL138" s="223"/>
      <c r="AM138" s="223"/>
      <c r="AN138" s="223"/>
      <c r="AO138" s="223"/>
      <c r="AP138" s="223"/>
      <c r="AQ138" s="223"/>
      <c r="AR138" s="223"/>
      <c r="AS138" s="223"/>
      <c r="AT138" s="223"/>
      <c r="AU138" s="223"/>
      <c r="AV138" s="223"/>
      <c r="AW138" s="223"/>
      <c r="AX138" s="223"/>
      <c r="AY138" s="1114"/>
      <c r="AZ138" s="1114"/>
      <c r="BA138" s="223"/>
      <c r="BB138" s="223"/>
      <c r="BC138" s="223"/>
      <c r="BD138" s="223"/>
      <c r="BE138" s="223"/>
      <c r="BF138" s="223"/>
      <c r="BG138" s="460"/>
      <c r="BH138" s="335"/>
      <c r="BI138" s="335"/>
    </row>
    <row r="139" spans="2:61">
      <c r="B139" s="246"/>
      <c r="C139" s="223"/>
      <c r="D139" s="223"/>
      <c r="E139" s="223"/>
      <c r="F139" s="223"/>
      <c r="G139" s="223"/>
      <c r="H139" s="223"/>
      <c r="I139" s="223"/>
      <c r="J139" s="223"/>
      <c r="K139" s="94"/>
      <c r="L139" s="223"/>
      <c r="M139" s="94"/>
      <c r="N139" s="223"/>
      <c r="O139" s="223"/>
      <c r="P139" s="223"/>
      <c r="Q139" s="223"/>
      <c r="R139" s="223"/>
      <c r="S139" s="223"/>
      <c r="T139" s="223"/>
      <c r="U139" s="223"/>
      <c r="V139" s="223"/>
      <c r="W139" s="223"/>
      <c r="X139" s="223"/>
      <c r="Y139" s="223"/>
      <c r="Z139" s="223"/>
      <c r="AA139" s="223"/>
      <c r="AB139" s="223"/>
      <c r="AC139" s="223"/>
      <c r="AD139" s="223"/>
      <c r="AE139" s="223"/>
      <c r="AF139" s="223"/>
      <c r="AG139" s="223"/>
      <c r="AH139" s="223"/>
      <c r="AI139" s="223"/>
      <c r="AJ139" s="223"/>
      <c r="AK139" s="223"/>
      <c r="AL139" s="223"/>
      <c r="AM139" s="223"/>
      <c r="AN139" s="223"/>
      <c r="AO139" s="223"/>
      <c r="AP139" s="223"/>
      <c r="AQ139" s="223"/>
      <c r="AR139" s="223"/>
      <c r="AS139" s="223"/>
      <c r="AT139" s="223"/>
      <c r="AU139" s="223"/>
      <c r="AV139" s="223"/>
      <c r="AW139" s="223"/>
      <c r="AX139" s="223"/>
      <c r="AY139" s="1114" t="s">
        <v>1764</v>
      </c>
      <c r="AZ139" s="1114" t="s">
        <v>1764</v>
      </c>
      <c r="BA139" s="223"/>
      <c r="BB139" s="223"/>
      <c r="BC139" s="223"/>
      <c r="BD139" s="223"/>
      <c r="BE139" s="223"/>
      <c r="BF139" s="223"/>
      <c r="BG139" s="460"/>
      <c r="BH139" s="335"/>
      <c r="BI139" s="335"/>
    </row>
    <row r="140" spans="2:61">
      <c r="B140" s="246"/>
      <c r="C140" s="223"/>
      <c r="D140" s="223"/>
      <c r="E140" s="223"/>
      <c r="F140" s="223"/>
      <c r="G140" s="223"/>
      <c r="H140" s="223"/>
      <c r="I140" s="223"/>
      <c r="J140" s="223"/>
      <c r="K140" s="94"/>
      <c r="L140" s="223"/>
      <c r="M140" s="94"/>
      <c r="N140" s="223"/>
      <c r="O140" s="223"/>
      <c r="P140" s="223"/>
      <c r="Q140" s="223"/>
      <c r="R140" s="223"/>
      <c r="S140" s="223"/>
      <c r="T140" s="223"/>
      <c r="U140" s="223"/>
      <c r="V140" s="223"/>
      <c r="W140" s="223"/>
      <c r="X140" s="223"/>
      <c r="Y140" s="223"/>
      <c r="Z140" s="223"/>
      <c r="AA140" s="223"/>
      <c r="AB140" s="223"/>
      <c r="AC140" s="223"/>
      <c r="AD140" s="223"/>
      <c r="AE140" s="223"/>
      <c r="AF140" s="223"/>
      <c r="AG140" s="223"/>
      <c r="AH140" s="223"/>
      <c r="AI140" s="223"/>
      <c r="AJ140" s="223"/>
      <c r="AK140" s="223"/>
      <c r="AL140" s="223"/>
      <c r="AM140" s="223"/>
      <c r="AN140" s="223"/>
      <c r="AO140" s="223"/>
      <c r="AP140" s="1114" t="s">
        <v>1765</v>
      </c>
      <c r="AQ140" s="1114" t="s">
        <v>1765</v>
      </c>
      <c r="AR140" s="223"/>
      <c r="AS140" s="223"/>
      <c r="AT140" s="223"/>
      <c r="AU140" s="223"/>
      <c r="AV140" s="1114" t="s">
        <v>1766</v>
      </c>
      <c r="AW140" s="1114"/>
      <c r="AX140" s="1114" t="s">
        <v>1766</v>
      </c>
      <c r="AY140" s="1114" t="s">
        <v>1743</v>
      </c>
      <c r="AZ140" s="1114" t="s">
        <v>1767</v>
      </c>
      <c r="BA140" s="223"/>
      <c r="BB140" s="223"/>
      <c r="BC140" s="223"/>
      <c r="BD140" s="223"/>
      <c r="BE140" s="223"/>
      <c r="BF140" s="223"/>
      <c r="BG140" s="460"/>
      <c r="BH140" s="335"/>
      <c r="BI140" s="335"/>
    </row>
    <row r="141" spans="2:61" ht="15.6">
      <c r="B141" s="1115" t="s">
        <v>2566</v>
      </c>
      <c r="C141" s="223"/>
      <c r="D141" s="223"/>
      <c r="E141" s="94"/>
      <c r="F141" s="223"/>
      <c r="G141" s="223"/>
      <c r="H141" s="223"/>
      <c r="I141" s="223"/>
      <c r="J141" s="223"/>
      <c r="K141" s="94"/>
      <c r="L141" s="223"/>
      <c r="M141" s="94"/>
      <c r="N141" s="223"/>
      <c r="O141" s="223"/>
      <c r="P141" s="223"/>
      <c r="Q141" s="223"/>
      <c r="R141" s="223"/>
      <c r="S141" s="223"/>
      <c r="T141" s="223"/>
      <c r="U141" s="223"/>
      <c r="V141" s="223"/>
      <c r="W141" s="223"/>
      <c r="X141" s="223"/>
      <c r="Y141" s="223"/>
      <c r="Z141" s="223"/>
      <c r="AA141" s="223"/>
      <c r="AB141" s="223"/>
      <c r="AC141" s="223"/>
      <c r="AD141" s="223"/>
      <c r="AE141" s="223"/>
      <c r="AF141" s="223"/>
      <c r="AG141" s="1114" t="s">
        <v>1765</v>
      </c>
      <c r="AH141" s="1114" t="s">
        <v>1765</v>
      </c>
      <c r="AI141" s="223"/>
      <c r="AJ141" s="223"/>
      <c r="AK141" s="223"/>
      <c r="AL141" s="223"/>
      <c r="AM141" s="223"/>
      <c r="AN141" s="1114" t="s">
        <v>1739</v>
      </c>
      <c r="AO141" s="1114" t="s">
        <v>1739</v>
      </c>
      <c r="AP141" s="1114" t="s">
        <v>1743</v>
      </c>
      <c r="AQ141" s="1114" t="s">
        <v>1767</v>
      </c>
      <c r="AR141" s="223"/>
      <c r="AS141" s="223"/>
      <c r="AT141" s="223"/>
      <c r="AU141" s="223"/>
      <c r="AV141" s="1114" t="s">
        <v>1768</v>
      </c>
      <c r="AW141" s="1114"/>
      <c r="AX141" s="1114" t="s">
        <v>1769</v>
      </c>
      <c r="AY141" s="1114" t="s">
        <v>1770</v>
      </c>
      <c r="AZ141" s="1114" t="s">
        <v>1770</v>
      </c>
      <c r="BA141" s="223"/>
      <c r="BB141" s="223"/>
      <c r="BC141" s="223"/>
      <c r="BD141" s="223"/>
      <c r="BE141" s="223"/>
      <c r="BF141" s="223"/>
      <c r="BG141" s="460"/>
      <c r="BH141" s="335"/>
      <c r="BI141" s="335"/>
    </row>
    <row r="142" spans="2:61">
      <c r="B142" s="232" t="s">
        <v>1771</v>
      </c>
      <c r="C142" s="223"/>
      <c r="D142" s="223"/>
      <c r="E142" s="94"/>
      <c r="F142" s="223"/>
      <c r="G142" s="223"/>
      <c r="H142" s="223"/>
      <c r="I142" s="223"/>
      <c r="J142" s="223"/>
      <c r="K142" s="1114" t="s">
        <v>1765</v>
      </c>
      <c r="L142" s="1114" t="s">
        <v>1765</v>
      </c>
      <c r="M142" s="1116"/>
      <c r="N142" s="1114" t="s">
        <v>1739</v>
      </c>
      <c r="O142" s="223"/>
      <c r="P142" s="223"/>
      <c r="Q142" s="1114" t="s">
        <v>1765</v>
      </c>
      <c r="R142" s="1114" t="s">
        <v>1765</v>
      </c>
      <c r="S142" s="223"/>
      <c r="T142" s="223"/>
      <c r="U142" s="223"/>
      <c r="V142" s="1114" t="s">
        <v>1739</v>
      </c>
      <c r="W142" s="223"/>
      <c r="X142" s="223"/>
      <c r="Y142" s="1114" t="s">
        <v>1765</v>
      </c>
      <c r="Z142" s="1114" t="s">
        <v>1765</v>
      </c>
      <c r="AA142" s="223"/>
      <c r="AB142" s="223"/>
      <c r="AC142" s="223"/>
      <c r="AD142" s="1114" t="s">
        <v>1739</v>
      </c>
      <c r="AE142" s="1114" t="s">
        <v>1739</v>
      </c>
      <c r="AF142" s="1114" t="s">
        <v>1739</v>
      </c>
      <c r="AG142" s="1114" t="s">
        <v>1743</v>
      </c>
      <c r="AH142" s="1114" t="s">
        <v>1767</v>
      </c>
      <c r="AI142" s="223"/>
      <c r="AJ142" s="223"/>
      <c r="AK142" s="223"/>
      <c r="AL142" s="223"/>
      <c r="AM142" s="1114" t="s">
        <v>1739</v>
      </c>
      <c r="AN142" s="1114" t="s">
        <v>1768</v>
      </c>
      <c r="AO142" s="1114" t="s">
        <v>1769</v>
      </c>
      <c r="AP142" s="1114" t="s">
        <v>1770</v>
      </c>
      <c r="AQ142" s="1114" t="s">
        <v>1770</v>
      </c>
      <c r="AR142" s="223"/>
      <c r="AS142" s="223"/>
      <c r="AT142" s="223"/>
      <c r="AU142" s="1114" t="s">
        <v>1739</v>
      </c>
      <c r="AV142" s="1114" t="s">
        <v>1772</v>
      </c>
      <c r="AW142" s="1114"/>
      <c r="AX142" s="1114" t="s">
        <v>1773</v>
      </c>
      <c r="AY142" s="1114" t="s">
        <v>1773</v>
      </c>
      <c r="AZ142" s="1114" t="s">
        <v>1773</v>
      </c>
      <c r="BA142" s="223"/>
      <c r="BB142" s="223"/>
      <c r="BC142" s="223"/>
      <c r="BD142" s="223"/>
      <c r="BE142" s="223"/>
      <c r="BF142" s="223"/>
      <c r="BG142" s="460"/>
      <c r="BH142" s="335"/>
      <c r="BI142" s="335"/>
    </row>
    <row r="143" spans="2:61">
      <c r="B143" s="246"/>
      <c r="C143" s="223"/>
      <c r="D143" s="223"/>
      <c r="E143" s="1114" t="s">
        <v>1739</v>
      </c>
      <c r="F143" s="223"/>
      <c r="G143" s="1114" t="s">
        <v>1739</v>
      </c>
      <c r="H143" s="223"/>
      <c r="I143" s="1114" t="s">
        <v>1739</v>
      </c>
      <c r="J143" s="1114" t="s">
        <v>1739</v>
      </c>
      <c r="K143" s="1114" t="s">
        <v>1743</v>
      </c>
      <c r="L143" s="1114" t="s">
        <v>1767</v>
      </c>
      <c r="M143" s="1116"/>
      <c r="N143" s="1114" t="s">
        <v>1767</v>
      </c>
      <c r="O143" s="1114" t="s">
        <v>1739</v>
      </c>
      <c r="P143" s="1114" t="s">
        <v>1739</v>
      </c>
      <c r="Q143" s="1114" t="s">
        <v>1743</v>
      </c>
      <c r="R143" s="1114" t="s">
        <v>1767</v>
      </c>
      <c r="S143" s="223"/>
      <c r="T143" s="223"/>
      <c r="U143" s="223"/>
      <c r="V143" s="1114" t="s">
        <v>1767</v>
      </c>
      <c r="W143" s="1114" t="s">
        <v>1739</v>
      </c>
      <c r="X143" s="1114" t="s">
        <v>1739</v>
      </c>
      <c r="Y143" s="1114" t="s">
        <v>1743</v>
      </c>
      <c r="Z143" s="1114" t="s">
        <v>1767</v>
      </c>
      <c r="AA143" s="223"/>
      <c r="AB143" s="223"/>
      <c r="AC143" s="223"/>
      <c r="AD143" s="1114" t="s">
        <v>1767</v>
      </c>
      <c r="AE143" s="1114" t="s">
        <v>1768</v>
      </c>
      <c r="AF143" s="1114" t="s">
        <v>1769</v>
      </c>
      <c r="AG143" s="1114" t="s">
        <v>1770</v>
      </c>
      <c r="AH143" s="1114" t="s">
        <v>1770</v>
      </c>
      <c r="AI143" s="223"/>
      <c r="AJ143" s="223"/>
      <c r="AK143" s="223"/>
      <c r="AL143" s="1114" t="s">
        <v>1774</v>
      </c>
      <c r="AM143" s="1114" t="s">
        <v>1767</v>
      </c>
      <c r="AN143" s="1114" t="s">
        <v>1772</v>
      </c>
      <c r="AO143" s="1114" t="s">
        <v>1773</v>
      </c>
      <c r="AP143" s="1114" t="s">
        <v>1773</v>
      </c>
      <c r="AQ143" s="1114" t="s">
        <v>1773</v>
      </c>
      <c r="AR143" s="223"/>
      <c r="AS143" s="223"/>
      <c r="AT143" s="223"/>
      <c r="AU143" s="1114" t="s">
        <v>1767</v>
      </c>
      <c r="AV143" s="1114" t="s">
        <v>1775</v>
      </c>
      <c r="AW143" s="1114"/>
      <c r="AX143" s="1114" t="s">
        <v>1768</v>
      </c>
      <c r="AY143" s="1114" t="s">
        <v>1768</v>
      </c>
      <c r="AZ143" s="1114" t="s">
        <v>1768</v>
      </c>
      <c r="BA143" s="223"/>
      <c r="BB143" s="223"/>
      <c r="BC143" s="223"/>
      <c r="BD143" s="223"/>
      <c r="BE143" s="223"/>
      <c r="BF143" s="223"/>
      <c r="BG143" s="460"/>
      <c r="BH143" s="335"/>
      <c r="BI143" s="335"/>
    </row>
    <row r="144" spans="2:61">
      <c r="B144" s="1117" t="s">
        <v>34</v>
      </c>
      <c r="C144" s="1114" t="s">
        <v>37</v>
      </c>
      <c r="D144" s="1114" t="s">
        <v>1774</v>
      </c>
      <c r="E144" s="1114" t="s">
        <v>1776</v>
      </c>
      <c r="F144" s="1114" t="s">
        <v>1774</v>
      </c>
      <c r="G144" s="1114" t="s">
        <v>1777</v>
      </c>
      <c r="H144" s="1114" t="s">
        <v>1774</v>
      </c>
      <c r="I144" s="1114" t="s">
        <v>317</v>
      </c>
      <c r="J144" s="1114" t="s">
        <v>1769</v>
      </c>
      <c r="K144" s="1114" t="s">
        <v>1770</v>
      </c>
      <c r="L144" s="1114" t="s">
        <v>1770</v>
      </c>
      <c r="M144" s="1116"/>
      <c r="N144" s="1114" t="s">
        <v>55</v>
      </c>
      <c r="O144" s="1114" t="s">
        <v>146</v>
      </c>
      <c r="P144" s="1114" t="s">
        <v>1769</v>
      </c>
      <c r="Q144" s="1114" t="s">
        <v>1770</v>
      </c>
      <c r="R144" s="1114" t="s">
        <v>1770</v>
      </c>
      <c r="S144" s="223"/>
      <c r="T144" s="223"/>
      <c r="U144" s="223"/>
      <c r="V144" s="1114" t="s">
        <v>1742</v>
      </c>
      <c r="W144" s="1114" t="s">
        <v>1778</v>
      </c>
      <c r="X144" s="1114" t="s">
        <v>1769</v>
      </c>
      <c r="Y144" s="1114" t="s">
        <v>1770</v>
      </c>
      <c r="Z144" s="1114" t="s">
        <v>1770</v>
      </c>
      <c r="AA144" s="223"/>
      <c r="AB144" s="223"/>
      <c r="AC144" s="223"/>
      <c r="AD144" s="1114" t="s">
        <v>1742</v>
      </c>
      <c r="AE144" s="1114" t="s">
        <v>1779</v>
      </c>
      <c r="AF144" s="1114" t="s">
        <v>1773</v>
      </c>
      <c r="AG144" s="1114" t="s">
        <v>1773</v>
      </c>
      <c r="AH144" s="1114" t="s">
        <v>1773</v>
      </c>
      <c r="AI144" s="223"/>
      <c r="AJ144" s="223"/>
      <c r="AK144" s="223"/>
      <c r="AL144" s="1114" t="s">
        <v>1777</v>
      </c>
      <c r="AM144" s="1114" t="s">
        <v>1742</v>
      </c>
      <c r="AN144" s="1114" t="s">
        <v>1780</v>
      </c>
      <c r="AO144" s="1114" t="s">
        <v>1768</v>
      </c>
      <c r="AP144" s="1114" t="s">
        <v>1768</v>
      </c>
      <c r="AQ144" s="1114" t="s">
        <v>1768</v>
      </c>
      <c r="AR144" s="223"/>
      <c r="AS144" s="223"/>
      <c r="AT144" s="223"/>
      <c r="AU144" s="1114" t="s">
        <v>1742</v>
      </c>
      <c r="AV144" s="1114" t="s">
        <v>1781</v>
      </c>
      <c r="AW144" s="1114"/>
      <c r="AX144" s="1114" t="s">
        <v>1772</v>
      </c>
      <c r="AY144" s="1114" t="s">
        <v>1772</v>
      </c>
      <c r="AZ144" s="1114" t="s">
        <v>1772</v>
      </c>
      <c r="BA144" s="223"/>
      <c r="BB144" s="223"/>
      <c r="BC144" s="223"/>
      <c r="BD144" s="223"/>
      <c r="BE144" s="223"/>
      <c r="BF144" s="223"/>
      <c r="BG144" s="460"/>
      <c r="BH144" s="335"/>
      <c r="BI144" s="335"/>
    </row>
    <row r="145" spans="2:61">
      <c r="B145" s="1117" t="s">
        <v>1782</v>
      </c>
      <c r="C145" s="1114" t="s">
        <v>1782</v>
      </c>
      <c r="D145" s="1114" t="s">
        <v>1776</v>
      </c>
      <c r="E145" s="1114" t="s">
        <v>1767</v>
      </c>
      <c r="F145" s="1114" t="s">
        <v>1777</v>
      </c>
      <c r="G145" s="1114" t="s">
        <v>1767</v>
      </c>
      <c r="H145" s="1114" t="s">
        <v>317</v>
      </c>
      <c r="I145" s="1114" t="s">
        <v>1767</v>
      </c>
      <c r="J145" s="1114" t="s">
        <v>1773</v>
      </c>
      <c r="K145" s="1114" t="s">
        <v>1773</v>
      </c>
      <c r="L145" s="1114" t="s">
        <v>1773</v>
      </c>
      <c r="M145" s="1116"/>
      <c r="N145" s="1114" t="s">
        <v>1773</v>
      </c>
      <c r="O145" s="1114" t="s">
        <v>1767</v>
      </c>
      <c r="P145" s="1114" t="s">
        <v>1773</v>
      </c>
      <c r="Q145" s="1114" t="s">
        <v>1773</v>
      </c>
      <c r="R145" s="1114" t="s">
        <v>1773</v>
      </c>
      <c r="S145" s="223"/>
      <c r="T145" s="223"/>
      <c r="U145" s="223"/>
      <c r="V145" s="1114" t="s">
        <v>1773</v>
      </c>
      <c r="W145" s="1114" t="s">
        <v>1767</v>
      </c>
      <c r="X145" s="1114" t="s">
        <v>1773</v>
      </c>
      <c r="Y145" s="1114" t="s">
        <v>1773</v>
      </c>
      <c r="Z145" s="1114" t="s">
        <v>1773</v>
      </c>
      <c r="AA145" s="223"/>
      <c r="AB145" s="223"/>
      <c r="AC145" s="223"/>
      <c r="AD145" s="1114" t="s">
        <v>1773</v>
      </c>
      <c r="AE145" s="1114" t="s">
        <v>1767</v>
      </c>
      <c r="AF145" s="1114" t="s">
        <v>1768</v>
      </c>
      <c r="AG145" s="1114" t="s">
        <v>1768</v>
      </c>
      <c r="AH145" s="1114" t="s">
        <v>1768</v>
      </c>
      <c r="AI145" s="223"/>
      <c r="AJ145" s="223"/>
      <c r="AK145" s="223"/>
      <c r="AL145" s="1114" t="s">
        <v>1780</v>
      </c>
      <c r="AM145" s="1114" t="s">
        <v>1773</v>
      </c>
      <c r="AN145" s="1114" t="s">
        <v>1767</v>
      </c>
      <c r="AO145" s="1114" t="s">
        <v>1772</v>
      </c>
      <c r="AP145" s="1114" t="s">
        <v>1772</v>
      </c>
      <c r="AQ145" s="1114" t="s">
        <v>1772</v>
      </c>
      <c r="AR145" s="223"/>
      <c r="AS145" s="223"/>
      <c r="AT145" s="223"/>
      <c r="AU145" s="1114" t="s">
        <v>1773</v>
      </c>
      <c r="AV145" s="1114" t="s">
        <v>1767</v>
      </c>
      <c r="AW145" s="1114"/>
      <c r="AX145" s="1114" t="s">
        <v>1775</v>
      </c>
      <c r="AY145" s="1114" t="s">
        <v>1775</v>
      </c>
      <c r="AZ145" s="1114" t="s">
        <v>1775</v>
      </c>
      <c r="BA145" s="223"/>
      <c r="BB145" s="223"/>
      <c r="BC145" s="223"/>
      <c r="BD145" s="223"/>
      <c r="BE145" s="223"/>
      <c r="BF145" s="223"/>
      <c r="BG145" s="460"/>
      <c r="BH145" s="335"/>
      <c r="BI145" s="335"/>
    </row>
    <row r="146" spans="2:61">
      <c r="B146" s="1117" t="s">
        <v>204</v>
      </c>
      <c r="C146" s="1114" t="s">
        <v>204</v>
      </c>
      <c r="D146" s="1118" t="s">
        <v>1783</v>
      </c>
      <c r="E146" s="1118" t="s">
        <v>55</v>
      </c>
      <c r="F146" s="1118" t="s">
        <v>1783</v>
      </c>
      <c r="G146" s="1118" t="s">
        <v>55</v>
      </c>
      <c r="H146" s="1118" t="s">
        <v>1783</v>
      </c>
      <c r="I146" s="1118" t="s">
        <v>55</v>
      </c>
      <c r="J146" s="1118" t="s">
        <v>55</v>
      </c>
      <c r="K146" s="1118" t="s">
        <v>55</v>
      </c>
      <c r="L146" s="1118" t="s">
        <v>55</v>
      </c>
      <c r="M146" s="1119"/>
      <c r="N146" s="1118" t="s">
        <v>1784</v>
      </c>
      <c r="O146" s="1114" t="s">
        <v>55</v>
      </c>
      <c r="P146" s="1118" t="s">
        <v>1785</v>
      </c>
      <c r="Q146" s="1118" t="s">
        <v>1785</v>
      </c>
      <c r="R146" s="1118" t="s">
        <v>1785</v>
      </c>
      <c r="S146" s="587"/>
      <c r="T146" s="587"/>
      <c r="U146" s="587"/>
      <c r="V146" s="1118" t="s">
        <v>76</v>
      </c>
      <c r="W146" s="1114" t="s">
        <v>1742</v>
      </c>
      <c r="X146" s="1118" t="s">
        <v>1778</v>
      </c>
      <c r="Y146" s="1118" t="s">
        <v>1778</v>
      </c>
      <c r="Z146" s="1118" t="s">
        <v>1778</v>
      </c>
      <c r="AA146" s="587"/>
      <c r="AB146" s="587"/>
      <c r="AC146" s="587"/>
      <c r="AD146" s="1118" t="s">
        <v>1779</v>
      </c>
      <c r="AE146" s="1114" t="s">
        <v>1742</v>
      </c>
      <c r="AF146" s="1114" t="s">
        <v>1779</v>
      </c>
      <c r="AG146" s="1114" t="s">
        <v>1779</v>
      </c>
      <c r="AH146" s="1114" t="s">
        <v>1779</v>
      </c>
      <c r="AI146" s="587"/>
      <c r="AJ146" s="587"/>
      <c r="AK146" s="587"/>
      <c r="AL146" s="1118" t="s">
        <v>1786</v>
      </c>
      <c r="AM146" s="1118" t="s">
        <v>1780</v>
      </c>
      <c r="AN146" s="1114" t="s">
        <v>1742</v>
      </c>
      <c r="AO146" s="1114" t="s">
        <v>1780</v>
      </c>
      <c r="AP146" s="1114" t="s">
        <v>1780</v>
      </c>
      <c r="AQ146" s="1114" t="s">
        <v>1780</v>
      </c>
      <c r="AR146" s="587"/>
      <c r="AS146" s="587"/>
      <c r="AT146" s="587"/>
      <c r="AU146" s="1118" t="s">
        <v>1781</v>
      </c>
      <c r="AV146" s="1114" t="s">
        <v>1742</v>
      </c>
      <c r="AW146" s="1114"/>
      <c r="AX146" s="1114" t="s">
        <v>1781</v>
      </c>
      <c r="AY146" s="1114" t="s">
        <v>1781</v>
      </c>
      <c r="AZ146" s="1114" t="s">
        <v>1781</v>
      </c>
      <c r="BA146" s="587"/>
      <c r="BB146" s="587"/>
      <c r="BC146" s="223"/>
      <c r="BD146" s="223"/>
      <c r="BE146" s="1114" t="s">
        <v>1766</v>
      </c>
      <c r="BF146" s="1114" t="s">
        <v>1766</v>
      </c>
      <c r="BG146" s="1120" t="s">
        <v>1764</v>
      </c>
      <c r="BH146" s="335"/>
      <c r="BI146" s="335"/>
    </row>
    <row r="147" spans="2:61">
      <c r="B147" s="1117" t="s">
        <v>197</v>
      </c>
      <c r="C147" s="1114" t="s">
        <v>1787</v>
      </c>
      <c r="D147" s="1114" t="s">
        <v>1788</v>
      </c>
      <c r="E147" s="1114" t="s">
        <v>1789</v>
      </c>
      <c r="F147" s="1114" t="s">
        <v>1788</v>
      </c>
      <c r="G147" s="1114" t="s">
        <v>1789</v>
      </c>
      <c r="H147" s="1114" t="s">
        <v>1788</v>
      </c>
      <c r="I147" s="1114" t="s">
        <v>1789</v>
      </c>
      <c r="J147" s="1114" t="s">
        <v>1790</v>
      </c>
      <c r="K147" s="1114" t="s">
        <v>1791</v>
      </c>
      <c r="L147" s="1114" t="s">
        <v>1791</v>
      </c>
      <c r="M147" s="1116"/>
      <c r="N147" s="1121" t="s">
        <v>1792</v>
      </c>
      <c r="O147" s="1116" t="s">
        <v>1793</v>
      </c>
      <c r="P147" s="1114" t="s">
        <v>1790</v>
      </c>
      <c r="Q147" s="1114" t="s">
        <v>1791</v>
      </c>
      <c r="R147" s="1114" t="s">
        <v>1791</v>
      </c>
      <c r="S147" s="1122" t="s">
        <v>1794</v>
      </c>
      <c r="T147" s="1122" t="s">
        <v>1795</v>
      </c>
      <c r="U147" s="1122"/>
      <c r="V147" s="1121" t="s">
        <v>1796</v>
      </c>
      <c r="W147" s="1116" t="s">
        <v>1797</v>
      </c>
      <c r="X147" s="1114" t="s">
        <v>1790</v>
      </c>
      <c r="Y147" s="1114" t="s">
        <v>1791</v>
      </c>
      <c r="Z147" s="1114" t="s">
        <v>1791</v>
      </c>
      <c r="AA147" s="1122" t="s">
        <v>1798</v>
      </c>
      <c r="AB147" s="1122" t="s">
        <v>1799</v>
      </c>
      <c r="AC147" s="1122"/>
      <c r="AD147" s="1121" t="s">
        <v>1800</v>
      </c>
      <c r="AE147" s="1116" t="s">
        <v>1797</v>
      </c>
      <c r="AF147" s="1114" t="s">
        <v>1790</v>
      </c>
      <c r="AG147" s="1114" t="s">
        <v>1791</v>
      </c>
      <c r="AH147" s="1114" t="s">
        <v>1791</v>
      </c>
      <c r="AI147" s="1122" t="s">
        <v>1801</v>
      </c>
      <c r="AJ147" s="1122" t="s">
        <v>1802</v>
      </c>
      <c r="AK147" s="1122"/>
      <c r="AL147" s="1114" t="s">
        <v>1803</v>
      </c>
      <c r="AM147" s="1114" t="s">
        <v>1804</v>
      </c>
      <c r="AN147" s="1116" t="s">
        <v>1805</v>
      </c>
      <c r="AO147" s="1114" t="s">
        <v>1790</v>
      </c>
      <c r="AP147" s="1114" t="s">
        <v>1791</v>
      </c>
      <c r="AQ147" s="1114" t="s">
        <v>1791</v>
      </c>
      <c r="AR147" s="1122" t="s">
        <v>1806</v>
      </c>
      <c r="AS147" s="1122" t="s">
        <v>1807</v>
      </c>
      <c r="AT147" s="1122"/>
      <c r="AU147" s="1121" t="s">
        <v>1808</v>
      </c>
      <c r="AV147" s="1116" t="s">
        <v>1805</v>
      </c>
      <c r="AW147" s="1116"/>
      <c r="AX147" s="1114" t="s">
        <v>1790</v>
      </c>
      <c r="AY147" s="1114" t="s">
        <v>1791</v>
      </c>
      <c r="AZ147" s="1114" t="s">
        <v>1791</v>
      </c>
      <c r="BA147" s="1122" t="s">
        <v>1809</v>
      </c>
      <c r="BB147" s="1122" t="s">
        <v>1810</v>
      </c>
      <c r="BC147" s="440"/>
      <c r="BD147" s="440" t="s">
        <v>1811</v>
      </c>
      <c r="BE147" s="440" t="s">
        <v>1742</v>
      </c>
      <c r="BF147" s="440" t="s">
        <v>1769</v>
      </c>
      <c r="BG147" s="1123" t="s">
        <v>1770</v>
      </c>
      <c r="BH147" s="307"/>
      <c r="BI147" s="335"/>
    </row>
    <row r="148" spans="2:61">
      <c r="B148" s="1117"/>
      <c r="C148" s="440"/>
      <c r="D148" s="440"/>
      <c r="E148" s="96"/>
      <c r="F148" s="440"/>
      <c r="G148" s="440"/>
      <c r="H148" s="440"/>
      <c r="I148" s="440"/>
      <c r="J148" s="440"/>
      <c r="K148" s="96"/>
      <c r="L148" s="440"/>
      <c r="M148" s="96"/>
      <c r="N148" s="1122"/>
      <c r="O148" s="96"/>
      <c r="P148" s="440"/>
      <c r="Q148" s="96"/>
      <c r="R148" s="440"/>
      <c r="S148" s="1122"/>
      <c r="T148" s="1122"/>
      <c r="U148" s="1122"/>
      <c r="V148" s="1122"/>
      <c r="W148" s="96"/>
      <c r="X148" s="440"/>
      <c r="Y148" s="96"/>
      <c r="Z148" s="440"/>
      <c r="AA148" s="1122"/>
      <c r="AB148" s="1122"/>
      <c r="AC148" s="1122"/>
      <c r="AD148" s="1122"/>
      <c r="AE148" s="96"/>
      <c r="AF148" s="440"/>
      <c r="AG148" s="96"/>
      <c r="AH148" s="440"/>
      <c r="AI148" s="1122"/>
      <c r="AJ148" s="1122"/>
      <c r="AK148" s="1122"/>
      <c r="AL148" s="1122"/>
      <c r="AM148" s="1122"/>
      <c r="AN148" s="96"/>
      <c r="AO148" s="440"/>
      <c r="AP148" s="96"/>
      <c r="AQ148" s="440"/>
      <c r="AR148" s="1122"/>
      <c r="AS148" s="1122"/>
      <c r="AT148" s="1122"/>
      <c r="AU148" s="1122"/>
      <c r="AV148" s="96"/>
      <c r="AW148" s="96"/>
      <c r="AX148" s="440"/>
      <c r="AY148" s="96"/>
      <c r="AZ148" s="440"/>
      <c r="BA148" s="1122"/>
      <c r="BB148" s="1122"/>
      <c r="BC148" s="440"/>
      <c r="BD148" s="440"/>
      <c r="BE148" s="440"/>
      <c r="BF148" s="440"/>
      <c r="BG148" s="1123"/>
      <c r="BH148" s="307"/>
      <c r="BI148" s="335"/>
    </row>
    <row r="149" spans="2:61">
      <c r="B149" s="1124">
        <f t="shared" ref="B149:B169" si="48">C149*Q$13</f>
        <v>0</v>
      </c>
      <c r="C149" s="101">
        <v>0</v>
      </c>
      <c r="D149" s="587">
        <f t="shared" ref="D149:D168" si="49">(4*Q$21/(PI()*Q$12))*SQRT(1-(C149)^2)</f>
        <v>61.42788672664723</v>
      </c>
      <c r="E149" s="587">
        <f t="shared" ref="E149:E168" si="50">(D150*($B150-$B149))+(0.5*(D149-D150)*($B150-$B149))</f>
        <v>39.714461419548726</v>
      </c>
      <c r="F149" s="587">
        <f t="shared" ref="F149:F169" si="51">2*$Q$21/($Q$12*(1+$Q$9))*(1-$C149*(1-$Q$9))</f>
        <v>48.245349416495223</v>
      </c>
      <c r="G149" s="587">
        <f t="shared" ref="G149:G168" si="52">(F150*($B150-$B149))+(0.5*(F149-F150)*($B150-$B149))</f>
        <v>31.21118425652525</v>
      </c>
      <c r="H149" s="587">
        <f t="shared" ref="H149:H169" si="53">(D149+F149)/2</f>
        <v>54.836618071571223</v>
      </c>
      <c r="I149" s="587">
        <f t="shared" ref="I149:I168" si="54">(H150*($B150-$B149))+(0.5*(H149-H150)*($B150-$B149))</f>
        <v>35.462822838036985</v>
      </c>
      <c r="J149" s="587">
        <f t="shared" ref="J149:J168" si="55">J150+I149</f>
        <v>622.91946331305166</v>
      </c>
      <c r="K149" s="587">
        <f t="shared" ref="K149:K168" si="56">(J150*($B150-$B149))+(0.5*(J149-J150)*($B150-$B149))</f>
        <v>391.51205299498059</v>
      </c>
      <c r="L149" s="587">
        <f t="shared" ref="L149:L168" si="57">L150+K149</f>
        <v>3718.3988394073313</v>
      </c>
      <c r="M149" s="99"/>
      <c r="N149" s="587">
        <f t="shared" ref="N149:N169" si="58">IF($C149&lt;=$S$22,$T$22,0)</f>
        <v>46.836519923987694</v>
      </c>
      <c r="O149" s="99">
        <f t="shared" ref="O149:O169" si="59">I149+N149</f>
        <v>82.299342762024679</v>
      </c>
      <c r="P149" s="587">
        <f t="shared" ref="P149:P168" si="60">P150+O149</f>
        <v>1278.6307422488796</v>
      </c>
      <c r="Q149" s="587">
        <f t="shared" ref="Q149:Q168" si="61">(P150*($B150-$B149))+(0.5*(P149-P150)*($B150-$B149))</f>
        <v>800.55902141759157</v>
      </c>
      <c r="R149" s="587">
        <f t="shared" ref="R149:R168" si="62">R150+Q149</f>
        <v>6687.7768324010985</v>
      </c>
      <c r="S149" s="587">
        <f t="shared" ref="S149:S169" si="63">P149-J149</f>
        <v>655.71127893582798</v>
      </c>
      <c r="T149" s="587">
        <f t="shared" ref="T149:T169" si="64">R149-L149</f>
        <v>2969.3779929937673</v>
      </c>
      <c r="U149" s="587"/>
      <c r="V149" s="587">
        <f t="shared" ref="V149:V169" si="65">IF($C149&lt;=$S$23,-$T$23,0)</f>
        <v>-0.7108446554701896</v>
      </c>
      <c r="W149" s="99">
        <f t="shared" ref="W149:W169" si="66">O149+V149</f>
        <v>81.588498106554496</v>
      </c>
      <c r="X149" s="587">
        <f t="shared" ref="X149:X168" si="67">X150+W149</f>
        <v>1266.5463831058862</v>
      </c>
      <c r="Y149" s="587">
        <f t="shared" ref="Y149:Y168" si="68">(X150*($B150-$B149))+(0.5*(X149-X150)*($B150-$B149))</f>
        <v>792.97126399637557</v>
      </c>
      <c r="Z149" s="587">
        <f t="shared" ref="Z149:Z168" si="69">Z150+Y149</f>
        <v>6621.3264719546933</v>
      </c>
      <c r="AA149" s="587">
        <f t="shared" ref="AA149:AA169" si="70">X149-P149</f>
        <v>-12.084359142993435</v>
      </c>
      <c r="AB149" s="587">
        <f t="shared" ref="AB149:AB169" si="71">Z149-R149</f>
        <v>-66.450360446405284</v>
      </c>
      <c r="AC149" s="587"/>
      <c r="AD149" s="99">
        <f t="shared" ref="AD149:AD169" si="72">IF($R$24=$C149,-$T$24,(IF($R$25=$C149,-$T$25,0)))</f>
        <v>0</v>
      </c>
      <c r="AE149" s="99">
        <f t="shared" ref="AE149:AE169" si="73">W149+AD149</f>
        <v>81.588498106554496</v>
      </c>
      <c r="AF149" s="587">
        <f t="shared" ref="AF149:AF168" si="74">AF150+AE149</f>
        <v>1266.5463831058862</v>
      </c>
      <c r="AG149" s="587">
        <f t="shared" ref="AG149:AG168" si="75">(AF150*($B150-$B149))+(0.5*(AF149-AF150)*($B150-$B149))</f>
        <v>792.97126399637557</v>
      </c>
      <c r="AH149" s="587">
        <f t="shared" ref="AH149:AH168" si="76">AH150+AG149</f>
        <v>6621.3264719546933</v>
      </c>
      <c r="AI149" s="587">
        <f t="shared" ref="AI149:AI169" si="77">AF149-X149</f>
        <v>0</v>
      </c>
      <c r="AJ149" s="587">
        <f t="shared" ref="AJ149:AJ169" si="78">AH149-Z149</f>
        <v>0</v>
      </c>
      <c r="AK149" s="587"/>
      <c r="AL149" s="587">
        <f t="shared" ref="AL149:AL169" si="79">-2*$Q$27/($Q$12*(1+$Q$9))*(1-$C149*(1-$Q$9))</f>
        <v>-4.9283330939917542</v>
      </c>
      <c r="AM149" s="587">
        <f t="shared" ref="AM149:AM168" si="80">(AL150*($B150-$B149))+(0.5*(AL149-AL150)*($B150-$B149))</f>
        <v>-3.1882681778550168</v>
      </c>
      <c r="AN149" s="99">
        <f t="shared" ref="AN149:AN169" si="81">AE149+AM149</f>
        <v>78.400229928699474</v>
      </c>
      <c r="AO149" s="587">
        <f t="shared" ref="AO149:AO168" si="82">AO150+AN149</f>
        <v>1202.7810195487859</v>
      </c>
      <c r="AP149" s="587">
        <f t="shared" ref="AP149:AP168" si="83">(AO150*($B150-$B149))+(0.5*(AO149-AO150)*($B150-$B149))</f>
        <v>752.75106201101266</v>
      </c>
      <c r="AQ149" s="587">
        <f t="shared" ref="AQ149:AQ168" si="84">AQ150+AP149</f>
        <v>6208.8115797971232</v>
      </c>
      <c r="AR149" s="587">
        <f t="shared" ref="AR149:AR169" si="85">AO149-AF149</f>
        <v>-63.765363557100272</v>
      </c>
      <c r="AS149" s="587">
        <f t="shared" ref="AS149:AS169" si="86">AQ149-AH149</f>
        <v>-412.5148921575701</v>
      </c>
      <c r="AT149" s="587"/>
      <c r="AU149" s="587">
        <f t="shared" ref="AU149:AU169" si="87">IF($C149&lt;=$S$26,-$T$26,0)</f>
        <v>-20.994165285450979</v>
      </c>
      <c r="AV149" s="99">
        <f t="shared" ref="AV149:AV169" si="88">AN149+AU149</f>
        <v>57.406064643248499</v>
      </c>
      <c r="AW149" s="99"/>
      <c r="AX149" s="587">
        <f t="shared" ref="AX149:AX168" si="89">AX150+AV149</f>
        <v>971.84520140882501</v>
      </c>
      <c r="AY149" s="587">
        <f t="shared" ref="AY149:AY168" si="90">(AX150*($B150-$B149))+(0.5*(AX149-AX150)*($B150-$B149))</f>
        <v>610.14345165909526</v>
      </c>
      <c r="AZ149" s="587">
        <f t="shared" ref="AZ149:AZ168" si="91">AZ150+AY149</f>
        <v>5387.1201106265526</v>
      </c>
      <c r="BA149" s="587">
        <f t="shared" ref="BA149:BA169" si="92">AX149-AO149</f>
        <v>-230.93581813996093</v>
      </c>
      <c r="BB149" s="587">
        <f t="shared" ref="BB149:BB169" si="93">AZ149-AQ149</f>
        <v>-821.6914691705706</v>
      </c>
      <c r="BC149" s="99"/>
      <c r="BD149" s="515">
        <f t="shared" ref="BD149:BD169" si="94">B149</f>
        <v>0</v>
      </c>
      <c r="BE149" s="515">
        <f t="shared" ref="BE149:BE169" si="95">AV149/1000</f>
        <v>5.7406064643248496E-2</v>
      </c>
      <c r="BF149" s="587">
        <f t="shared" ref="BF149:BF169" si="96">AX149/1000</f>
        <v>0.97184520140882502</v>
      </c>
      <c r="BG149" s="1112">
        <f t="shared" ref="BG149:BG169" si="97">AZ149/1000</f>
        <v>5.3871201106265527</v>
      </c>
      <c r="BH149" s="399"/>
      <c r="BI149" s="335"/>
    </row>
    <row r="150" spans="2:61">
      <c r="B150" s="1124">
        <f t="shared" si="48"/>
        <v>0.64692627650146228</v>
      </c>
      <c r="C150" s="101">
        <f t="shared" ref="C150:C169" si="98">C149+0.05</f>
        <v>0.05</v>
      </c>
      <c r="D150" s="587">
        <f t="shared" si="49"/>
        <v>61.351053817620347</v>
      </c>
      <c r="E150" s="587">
        <f t="shared" si="50"/>
        <v>39.614863514082565</v>
      </c>
      <c r="F150" s="587">
        <f t="shared" si="51"/>
        <v>48.245349416495223</v>
      </c>
      <c r="G150" s="587">
        <f t="shared" si="52"/>
        <v>31.21118425652525</v>
      </c>
      <c r="H150" s="587">
        <f t="shared" si="53"/>
        <v>54.798201617057785</v>
      </c>
      <c r="I150" s="587">
        <f t="shared" si="54"/>
        <v>35.413023885303907</v>
      </c>
      <c r="J150" s="587">
        <f t="shared" si="55"/>
        <v>587.45664047501464</v>
      </c>
      <c r="K150" s="587">
        <f t="shared" si="56"/>
        <v>368.58632918767097</v>
      </c>
      <c r="L150" s="587">
        <f t="shared" si="57"/>
        <v>3326.8867864123508</v>
      </c>
      <c r="M150" s="99"/>
      <c r="N150" s="587">
        <f t="shared" si="58"/>
        <v>46.836519923987694</v>
      </c>
      <c r="O150" s="99">
        <f t="shared" si="59"/>
        <v>82.249543809291595</v>
      </c>
      <c r="P150" s="587">
        <f t="shared" si="60"/>
        <v>1196.3313994868549</v>
      </c>
      <c r="Q150" s="587">
        <f t="shared" si="61"/>
        <v>747.33352217156994</v>
      </c>
      <c r="R150" s="587">
        <f t="shared" si="62"/>
        <v>5887.2178109835068</v>
      </c>
      <c r="S150" s="587">
        <f t="shared" si="63"/>
        <v>608.8747590118403</v>
      </c>
      <c r="T150" s="587">
        <f t="shared" si="64"/>
        <v>2560.3310245711559</v>
      </c>
      <c r="U150" s="587"/>
      <c r="V150" s="587">
        <f t="shared" si="65"/>
        <v>-0.7108446554701896</v>
      </c>
      <c r="W150" s="99">
        <f t="shared" si="66"/>
        <v>81.538699153821412</v>
      </c>
      <c r="X150" s="587">
        <f t="shared" si="67"/>
        <v>1184.9578849993318</v>
      </c>
      <c r="Y150" s="587">
        <f t="shared" si="68"/>
        <v>740.20562883648836</v>
      </c>
      <c r="Z150" s="587">
        <f t="shared" si="69"/>
        <v>5828.3552079583178</v>
      </c>
      <c r="AA150" s="587">
        <f t="shared" si="70"/>
        <v>-11.373514487523153</v>
      </c>
      <c r="AB150" s="587">
        <f t="shared" si="71"/>
        <v>-58.862603025188946</v>
      </c>
      <c r="AC150" s="587"/>
      <c r="AD150" s="99">
        <f t="shared" si="72"/>
        <v>0</v>
      </c>
      <c r="AE150" s="99">
        <f t="shared" si="73"/>
        <v>81.538699153821412</v>
      </c>
      <c r="AF150" s="587">
        <f t="shared" si="74"/>
        <v>1184.9578849993318</v>
      </c>
      <c r="AG150" s="587">
        <f t="shared" si="75"/>
        <v>740.20562883648836</v>
      </c>
      <c r="AH150" s="587">
        <f t="shared" si="76"/>
        <v>5828.3552079583178</v>
      </c>
      <c r="AI150" s="587">
        <f t="shared" si="77"/>
        <v>0</v>
      </c>
      <c r="AJ150" s="587">
        <f t="shared" si="78"/>
        <v>0</v>
      </c>
      <c r="AK150" s="587"/>
      <c r="AL150" s="587">
        <f t="shared" si="79"/>
        <v>-4.9283330939917542</v>
      </c>
      <c r="AM150" s="587">
        <f t="shared" si="80"/>
        <v>-3.1882681778550168</v>
      </c>
      <c r="AN150" s="99">
        <f t="shared" si="81"/>
        <v>78.35043097596639</v>
      </c>
      <c r="AO150" s="587">
        <f t="shared" si="82"/>
        <v>1124.3807896200865</v>
      </c>
      <c r="AP150" s="587">
        <f t="shared" si="83"/>
        <v>702.04800131191314</v>
      </c>
      <c r="AQ150" s="587">
        <f t="shared" si="84"/>
        <v>5456.0605177861107</v>
      </c>
      <c r="AR150" s="587">
        <f t="shared" si="85"/>
        <v>-60.577095379245293</v>
      </c>
      <c r="AS150" s="587">
        <f t="shared" si="86"/>
        <v>-372.29469017220708</v>
      </c>
      <c r="AT150" s="587"/>
      <c r="AU150" s="587">
        <f t="shared" si="87"/>
        <v>-20.994165285450979</v>
      </c>
      <c r="AV150" s="99">
        <f t="shared" si="88"/>
        <v>57.356265690515414</v>
      </c>
      <c r="AW150" s="99"/>
      <c r="AX150" s="587">
        <f t="shared" si="89"/>
        <v>914.43913676557656</v>
      </c>
      <c r="AY150" s="587">
        <f t="shared" si="90"/>
        <v>573.02206813636906</v>
      </c>
      <c r="AZ150" s="587">
        <f t="shared" si="91"/>
        <v>4776.9766589674573</v>
      </c>
      <c r="BA150" s="587">
        <f t="shared" si="92"/>
        <v>-209.94165285450993</v>
      </c>
      <c r="BB150" s="587">
        <f t="shared" si="93"/>
        <v>-679.08385881865343</v>
      </c>
      <c r="BC150" s="99"/>
      <c r="BD150" s="515">
        <f t="shared" si="94"/>
        <v>0.64692627650146228</v>
      </c>
      <c r="BE150" s="515">
        <f t="shared" si="95"/>
        <v>5.7356265690515412E-2</v>
      </c>
      <c r="BF150" s="587">
        <f t="shared" si="96"/>
        <v>0.91443913676557653</v>
      </c>
      <c r="BG150" s="1112">
        <f t="shared" si="97"/>
        <v>4.7769766589674569</v>
      </c>
      <c r="BH150" s="399"/>
      <c r="BI150" s="423"/>
    </row>
    <row r="151" spans="2:61">
      <c r="B151" s="1124">
        <f t="shared" si="48"/>
        <v>1.2938525530029246</v>
      </c>
      <c r="C151" s="101">
        <f t="shared" si="98"/>
        <v>0.1</v>
      </c>
      <c r="D151" s="587">
        <f t="shared" si="49"/>
        <v>61.119975581022487</v>
      </c>
      <c r="E151" s="587">
        <f t="shared" si="50"/>
        <v>39.414910762190239</v>
      </c>
      <c r="F151" s="587">
        <f t="shared" si="51"/>
        <v>48.245349416495223</v>
      </c>
      <c r="G151" s="587">
        <f t="shared" si="52"/>
        <v>31.21118425652525</v>
      </c>
      <c r="H151" s="587">
        <f t="shared" si="53"/>
        <v>54.682662498758859</v>
      </c>
      <c r="I151" s="587">
        <f t="shared" si="54"/>
        <v>35.313047509357752</v>
      </c>
      <c r="J151" s="587">
        <f t="shared" si="55"/>
        <v>552.04361658971072</v>
      </c>
      <c r="K151" s="587">
        <f t="shared" si="56"/>
        <v>345.70905217820842</v>
      </c>
      <c r="L151" s="587">
        <f t="shared" si="57"/>
        <v>2958.30045722468</v>
      </c>
      <c r="M151" s="99"/>
      <c r="N151" s="587">
        <f t="shared" si="58"/>
        <v>46.836519923987694</v>
      </c>
      <c r="O151" s="99">
        <f t="shared" si="59"/>
        <v>82.149567433345453</v>
      </c>
      <c r="P151" s="587">
        <f t="shared" si="60"/>
        <v>1114.0818556775632</v>
      </c>
      <c r="Q151" s="587">
        <f t="shared" si="61"/>
        <v>694.1564697233955</v>
      </c>
      <c r="R151" s="587">
        <f t="shared" si="62"/>
        <v>5139.884288811937</v>
      </c>
      <c r="S151" s="587">
        <f t="shared" si="63"/>
        <v>562.0382390878525</v>
      </c>
      <c r="T151" s="587">
        <f t="shared" si="64"/>
        <v>2181.583831587257</v>
      </c>
      <c r="U151" s="587"/>
      <c r="V151" s="587">
        <f t="shared" si="65"/>
        <v>-0.7108446554701896</v>
      </c>
      <c r="W151" s="99">
        <f t="shared" si="66"/>
        <v>81.43872277787527</v>
      </c>
      <c r="X151" s="587">
        <f t="shared" si="67"/>
        <v>1103.4191858455104</v>
      </c>
      <c r="Y151" s="587">
        <f t="shared" si="68"/>
        <v>687.48844047444823</v>
      </c>
      <c r="Z151" s="587">
        <f t="shared" si="69"/>
        <v>5088.1495791218294</v>
      </c>
      <c r="AA151" s="587">
        <f t="shared" si="70"/>
        <v>-10.66266983205287</v>
      </c>
      <c r="AB151" s="587">
        <f t="shared" si="71"/>
        <v>-51.734709690107593</v>
      </c>
      <c r="AC151" s="587"/>
      <c r="AD151" s="99">
        <f t="shared" si="72"/>
        <v>0</v>
      </c>
      <c r="AE151" s="99">
        <f t="shared" si="73"/>
        <v>81.43872277787527</v>
      </c>
      <c r="AF151" s="587">
        <f t="shared" si="74"/>
        <v>1103.4191858455104</v>
      </c>
      <c r="AG151" s="587">
        <f t="shared" si="75"/>
        <v>687.48844047444823</v>
      </c>
      <c r="AH151" s="587">
        <f t="shared" si="76"/>
        <v>5088.1495791218294</v>
      </c>
      <c r="AI151" s="587">
        <f t="shared" si="77"/>
        <v>0</v>
      </c>
      <c r="AJ151" s="587">
        <f t="shared" si="78"/>
        <v>0</v>
      </c>
      <c r="AK151" s="587"/>
      <c r="AL151" s="587">
        <f t="shared" si="79"/>
        <v>-4.9283330939917542</v>
      </c>
      <c r="AM151" s="587">
        <f t="shared" si="80"/>
        <v>-3.1882681778550168</v>
      </c>
      <c r="AN151" s="99">
        <f t="shared" si="81"/>
        <v>78.250454600020248</v>
      </c>
      <c r="AO151" s="587">
        <f t="shared" si="82"/>
        <v>1046.03035864412</v>
      </c>
      <c r="AP151" s="587">
        <f t="shared" si="83"/>
        <v>651.39338741066081</v>
      </c>
      <c r="AQ151" s="587">
        <f t="shared" si="84"/>
        <v>4754.0125164741976</v>
      </c>
      <c r="AR151" s="587">
        <f t="shared" si="85"/>
        <v>-57.388827201390313</v>
      </c>
      <c r="AS151" s="587">
        <f t="shared" si="86"/>
        <v>-334.13706264763186</v>
      </c>
      <c r="AT151" s="587"/>
      <c r="AU151" s="587">
        <f t="shared" si="87"/>
        <v>-20.994165285450979</v>
      </c>
      <c r="AV151" s="99">
        <f t="shared" si="88"/>
        <v>57.256289314569273</v>
      </c>
      <c r="AW151" s="99"/>
      <c r="AX151" s="587">
        <f t="shared" si="89"/>
        <v>857.08287107506112</v>
      </c>
      <c r="AY151" s="587">
        <f t="shared" si="90"/>
        <v>535.94913141148982</v>
      </c>
      <c r="AZ151" s="587">
        <f t="shared" si="91"/>
        <v>4203.9545908310884</v>
      </c>
      <c r="BA151" s="587">
        <f t="shared" si="92"/>
        <v>-188.94748756905892</v>
      </c>
      <c r="BB151" s="587">
        <f t="shared" si="93"/>
        <v>-550.05792564310923</v>
      </c>
      <c r="BC151" s="99"/>
      <c r="BD151" s="515">
        <f t="shared" si="94"/>
        <v>1.2938525530029246</v>
      </c>
      <c r="BE151" s="515">
        <f t="shared" si="95"/>
        <v>5.7256289314569275E-2</v>
      </c>
      <c r="BF151" s="587">
        <f t="shared" si="96"/>
        <v>0.85708287107506109</v>
      </c>
      <c r="BG151" s="1112">
        <f t="shared" si="97"/>
        <v>4.2039545908310885</v>
      </c>
      <c r="BH151" s="399"/>
      <c r="BI151" s="423"/>
    </row>
    <row r="152" spans="2:61">
      <c r="B152" s="1124">
        <f t="shared" si="48"/>
        <v>1.9407788295043868</v>
      </c>
      <c r="C152" s="101">
        <f t="shared" si="98"/>
        <v>0.15000000000000002</v>
      </c>
      <c r="D152" s="587">
        <f t="shared" si="49"/>
        <v>60.732891411314455</v>
      </c>
      <c r="E152" s="587">
        <f t="shared" si="50"/>
        <v>39.113060072966739</v>
      </c>
      <c r="F152" s="587">
        <f t="shared" si="51"/>
        <v>48.245349416495223</v>
      </c>
      <c r="G152" s="587">
        <f t="shared" si="52"/>
        <v>31.21118425652525</v>
      </c>
      <c r="H152" s="587">
        <f t="shared" si="53"/>
        <v>54.489120413904843</v>
      </c>
      <c r="I152" s="587">
        <f t="shared" si="54"/>
        <v>35.162122164745995</v>
      </c>
      <c r="J152" s="587">
        <f t="shared" si="55"/>
        <v>516.73056908035301</v>
      </c>
      <c r="K152" s="587">
        <f t="shared" si="56"/>
        <v>322.91293262667006</v>
      </c>
      <c r="L152" s="587">
        <f t="shared" si="57"/>
        <v>2612.5914050464717</v>
      </c>
      <c r="M152" s="99"/>
      <c r="N152" s="587">
        <f t="shared" si="58"/>
        <v>46.836519923987694</v>
      </c>
      <c r="O152" s="99">
        <f t="shared" si="59"/>
        <v>81.998642088733689</v>
      </c>
      <c r="P152" s="587">
        <f t="shared" si="60"/>
        <v>1031.9322882442177</v>
      </c>
      <c r="Q152" s="587">
        <f t="shared" si="61"/>
        <v>641.06057473314524</v>
      </c>
      <c r="R152" s="587">
        <f t="shared" si="62"/>
        <v>4445.7278190885418</v>
      </c>
      <c r="S152" s="587">
        <f t="shared" si="63"/>
        <v>515.20171916386471</v>
      </c>
      <c r="T152" s="587">
        <f t="shared" si="64"/>
        <v>1833.1364140420701</v>
      </c>
      <c r="U152" s="587"/>
      <c r="V152" s="587">
        <f t="shared" si="65"/>
        <v>-0.7108446554701896</v>
      </c>
      <c r="W152" s="99">
        <f t="shared" si="66"/>
        <v>81.287797433263506</v>
      </c>
      <c r="X152" s="587">
        <f t="shared" si="67"/>
        <v>1021.9804630676351</v>
      </c>
      <c r="Y152" s="587">
        <f t="shared" si="68"/>
        <v>634.85240957033227</v>
      </c>
      <c r="Z152" s="587">
        <f t="shared" si="69"/>
        <v>4400.6611386473814</v>
      </c>
      <c r="AA152" s="587">
        <f t="shared" si="70"/>
        <v>-9.951825176582588</v>
      </c>
      <c r="AB152" s="587">
        <f t="shared" si="71"/>
        <v>-45.066680441160315</v>
      </c>
      <c r="AC152" s="587"/>
      <c r="AD152" s="99">
        <f t="shared" si="72"/>
        <v>0</v>
      </c>
      <c r="AE152" s="99">
        <f t="shared" si="73"/>
        <v>81.287797433263506</v>
      </c>
      <c r="AF152" s="587">
        <f t="shared" si="74"/>
        <v>1021.9804630676351</v>
      </c>
      <c r="AG152" s="587">
        <f t="shared" si="75"/>
        <v>634.85240957033227</v>
      </c>
      <c r="AH152" s="587">
        <f t="shared" si="76"/>
        <v>4400.6611386473814</v>
      </c>
      <c r="AI152" s="587">
        <f t="shared" si="77"/>
        <v>0</v>
      </c>
      <c r="AJ152" s="587">
        <f t="shared" si="78"/>
        <v>0</v>
      </c>
      <c r="AK152" s="587"/>
      <c r="AL152" s="587">
        <f t="shared" si="79"/>
        <v>-4.9283330939917542</v>
      </c>
      <c r="AM152" s="587">
        <f t="shared" si="80"/>
        <v>-3.1882681778550168</v>
      </c>
      <c r="AN152" s="99">
        <f t="shared" si="81"/>
        <v>78.099529255408484</v>
      </c>
      <c r="AO152" s="587">
        <f t="shared" si="82"/>
        <v>967.77990404409979</v>
      </c>
      <c r="AP152" s="587">
        <f t="shared" si="83"/>
        <v>600.81993096733265</v>
      </c>
      <c r="AQ152" s="587">
        <f t="shared" si="84"/>
        <v>4102.619129063537</v>
      </c>
      <c r="AR152" s="587">
        <f t="shared" si="85"/>
        <v>-54.200559023535334</v>
      </c>
      <c r="AS152" s="587">
        <f t="shared" si="86"/>
        <v>-298.04200958384445</v>
      </c>
      <c r="AT152" s="587"/>
      <c r="AU152" s="587">
        <f t="shared" si="87"/>
        <v>-20.994165285450979</v>
      </c>
      <c r="AV152" s="99">
        <f t="shared" si="88"/>
        <v>57.105363969957509</v>
      </c>
      <c r="AW152" s="99"/>
      <c r="AX152" s="587">
        <f t="shared" si="89"/>
        <v>799.82658176049188</v>
      </c>
      <c r="AY152" s="587">
        <f t="shared" si="90"/>
        <v>498.95735214453475</v>
      </c>
      <c r="AZ152" s="587">
        <f t="shared" si="91"/>
        <v>3668.005459419599</v>
      </c>
      <c r="BA152" s="587">
        <f t="shared" si="92"/>
        <v>-167.95332228360792</v>
      </c>
      <c r="BB152" s="587">
        <f t="shared" si="93"/>
        <v>-434.61366964393801</v>
      </c>
      <c r="BC152" s="99"/>
      <c r="BD152" s="515">
        <f t="shared" si="94"/>
        <v>1.9407788295043868</v>
      </c>
      <c r="BE152" s="515">
        <f t="shared" si="95"/>
        <v>5.7105363969957509E-2</v>
      </c>
      <c r="BF152" s="587">
        <f t="shared" si="96"/>
        <v>0.79982658176049193</v>
      </c>
      <c r="BG152" s="1112">
        <f t="shared" si="97"/>
        <v>3.6680054594195992</v>
      </c>
      <c r="BH152" s="399"/>
      <c r="BI152" s="423"/>
    </row>
    <row r="153" spans="2:61">
      <c r="B153" s="1124">
        <f t="shared" si="48"/>
        <v>2.5877051060058491</v>
      </c>
      <c r="C153" s="101">
        <f t="shared" si="98"/>
        <v>0.2</v>
      </c>
      <c r="D153" s="587">
        <f t="shared" si="49"/>
        <v>60.186791383107725</v>
      </c>
      <c r="E153" s="587">
        <f t="shared" si="50"/>
        <v>38.706921102166547</v>
      </c>
      <c r="F153" s="587">
        <f t="shared" si="51"/>
        <v>48.245349416495223</v>
      </c>
      <c r="G153" s="587">
        <f t="shared" si="52"/>
        <v>31.211184256525229</v>
      </c>
      <c r="H153" s="587">
        <f t="shared" si="53"/>
        <v>54.216070399801474</v>
      </c>
      <c r="I153" s="587">
        <f t="shared" si="54"/>
        <v>34.959052679345888</v>
      </c>
      <c r="J153" s="587">
        <f t="shared" si="55"/>
        <v>481.56844691560707</v>
      </c>
      <c r="K153" s="587">
        <f t="shared" si="56"/>
        <v>300.23131735377171</v>
      </c>
      <c r="L153" s="587">
        <f t="shared" si="57"/>
        <v>2289.6784724198014</v>
      </c>
      <c r="M153" s="99"/>
      <c r="N153" s="587">
        <f t="shared" si="58"/>
        <v>46.836519923987694</v>
      </c>
      <c r="O153" s="99">
        <f t="shared" si="59"/>
        <v>81.795572603333582</v>
      </c>
      <c r="P153" s="587">
        <f t="shared" si="60"/>
        <v>949.93364615548398</v>
      </c>
      <c r="Q153" s="587">
        <f t="shared" si="61"/>
        <v>588.07918402153473</v>
      </c>
      <c r="R153" s="587">
        <f t="shared" si="62"/>
        <v>3804.6672443553962</v>
      </c>
      <c r="S153" s="587">
        <f t="shared" si="63"/>
        <v>468.36519923987692</v>
      </c>
      <c r="T153" s="587">
        <f t="shared" si="64"/>
        <v>1514.9887719355947</v>
      </c>
      <c r="U153" s="587"/>
      <c r="V153" s="587">
        <f t="shared" si="65"/>
        <v>-0.7108446554701896</v>
      </c>
      <c r="W153" s="99">
        <f t="shared" si="66"/>
        <v>81.084727947863399</v>
      </c>
      <c r="X153" s="587">
        <f t="shared" si="67"/>
        <v>940.69266563437168</v>
      </c>
      <c r="Y153" s="587">
        <f t="shared" si="68"/>
        <v>582.33088294485617</v>
      </c>
      <c r="Z153" s="587">
        <f t="shared" si="69"/>
        <v>3765.8087290770491</v>
      </c>
      <c r="AA153" s="587">
        <f t="shared" si="70"/>
        <v>-9.2409805211123057</v>
      </c>
      <c r="AB153" s="587">
        <f t="shared" si="71"/>
        <v>-38.858515278347113</v>
      </c>
      <c r="AC153" s="587"/>
      <c r="AD153" s="99">
        <f t="shared" si="72"/>
        <v>0</v>
      </c>
      <c r="AE153" s="99">
        <f t="shared" si="73"/>
        <v>81.084727947863399</v>
      </c>
      <c r="AF153" s="587">
        <f t="shared" si="74"/>
        <v>940.69266563437168</v>
      </c>
      <c r="AG153" s="587">
        <f t="shared" si="75"/>
        <v>582.33088294485617</v>
      </c>
      <c r="AH153" s="587">
        <f t="shared" si="76"/>
        <v>3765.8087290770491</v>
      </c>
      <c r="AI153" s="587">
        <f t="shared" si="77"/>
        <v>0</v>
      </c>
      <c r="AJ153" s="587">
        <f t="shared" si="78"/>
        <v>0</v>
      </c>
      <c r="AK153" s="587"/>
      <c r="AL153" s="587">
        <f t="shared" si="79"/>
        <v>-4.9283330939917542</v>
      </c>
      <c r="AM153" s="587">
        <f t="shared" si="80"/>
        <v>-3.1882681778550146</v>
      </c>
      <c r="AN153" s="99">
        <f t="shared" si="81"/>
        <v>77.896459770008391</v>
      </c>
      <c r="AO153" s="587">
        <f t="shared" si="82"/>
        <v>889.68037478869132</v>
      </c>
      <c r="AP153" s="587">
        <f t="shared" si="83"/>
        <v>550.36097880264447</v>
      </c>
      <c r="AQ153" s="587">
        <f t="shared" si="84"/>
        <v>3501.7991980962042</v>
      </c>
      <c r="AR153" s="587">
        <f t="shared" si="85"/>
        <v>-51.012290845680354</v>
      </c>
      <c r="AS153" s="587">
        <f t="shared" si="86"/>
        <v>-264.00953098084483</v>
      </c>
      <c r="AT153" s="587"/>
      <c r="AU153" s="587">
        <f t="shared" si="87"/>
        <v>-20.994165285450979</v>
      </c>
      <c r="AV153" s="99">
        <f t="shared" si="88"/>
        <v>56.902294484557416</v>
      </c>
      <c r="AW153" s="99"/>
      <c r="AX153" s="587">
        <f t="shared" si="89"/>
        <v>742.72121779053441</v>
      </c>
      <c r="AY153" s="587">
        <f t="shared" si="90"/>
        <v>462.08007715621955</v>
      </c>
      <c r="AZ153" s="587">
        <f t="shared" si="91"/>
        <v>3169.048107275064</v>
      </c>
      <c r="BA153" s="587">
        <f t="shared" si="92"/>
        <v>-146.95915699815691</v>
      </c>
      <c r="BB153" s="587">
        <f t="shared" si="93"/>
        <v>-332.75109082114022</v>
      </c>
      <c r="BC153" s="99"/>
      <c r="BD153" s="515">
        <f t="shared" si="94"/>
        <v>2.5877051060058491</v>
      </c>
      <c r="BE153" s="515">
        <f t="shared" si="95"/>
        <v>5.6902294484557414E-2</v>
      </c>
      <c r="BF153" s="587">
        <f t="shared" si="96"/>
        <v>0.74272121779053446</v>
      </c>
      <c r="BG153" s="1112">
        <f t="shared" si="97"/>
        <v>3.169048107275064</v>
      </c>
      <c r="BH153" s="399"/>
      <c r="BI153" s="423"/>
    </row>
    <row r="154" spans="2:61">
      <c r="B154" s="1124">
        <f t="shared" si="48"/>
        <v>3.234631382507311</v>
      </c>
      <c r="C154" s="101">
        <f t="shared" si="98"/>
        <v>0.25</v>
      </c>
      <c r="D154" s="587">
        <f t="shared" si="49"/>
        <v>59.477295571255091</v>
      </c>
      <c r="E154" s="587">
        <f t="shared" si="50"/>
        <v>38.193157427095073</v>
      </c>
      <c r="F154" s="587">
        <f t="shared" si="51"/>
        <v>48.245349416495223</v>
      </c>
      <c r="G154" s="587">
        <f t="shared" si="52"/>
        <v>31.211184256525229</v>
      </c>
      <c r="H154" s="587">
        <f t="shared" si="53"/>
        <v>53.861322493875157</v>
      </c>
      <c r="I154" s="587">
        <f t="shared" si="54"/>
        <v>34.702170841810151</v>
      </c>
      <c r="J154" s="587">
        <f t="shared" si="55"/>
        <v>446.60939423626115</v>
      </c>
      <c r="K154" s="587">
        <f t="shared" si="56"/>
        <v>277.69847937923294</v>
      </c>
      <c r="L154" s="587">
        <f t="shared" si="57"/>
        <v>1989.4471550660296</v>
      </c>
      <c r="M154" s="99"/>
      <c r="N154" s="587">
        <f t="shared" si="58"/>
        <v>46.836519923987694</v>
      </c>
      <c r="O154" s="99">
        <f t="shared" si="59"/>
        <v>81.538690765797838</v>
      </c>
      <c r="P154" s="587">
        <f t="shared" si="60"/>
        <v>868.13807355215044</v>
      </c>
      <c r="Q154" s="587">
        <f t="shared" si="61"/>
        <v>535.24657060828406</v>
      </c>
      <c r="R154" s="587">
        <f t="shared" si="62"/>
        <v>3216.5880603338614</v>
      </c>
      <c r="S154" s="587">
        <f t="shared" si="63"/>
        <v>421.52867931588929</v>
      </c>
      <c r="T154" s="587">
        <f t="shared" si="64"/>
        <v>1227.1409052678318</v>
      </c>
      <c r="U154" s="587"/>
      <c r="V154" s="587">
        <f t="shared" si="65"/>
        <v>-0.7108446554701896</v>
      </c>
      <c r="W154" s="99">
        <f t="shared" si="66"/>
        <v>80.827846110327656</v>
      </c>
      <c r="X154" s="587">
        <f t="shared" si="67"/>
        <v>859.60793768650831</v>
      </c>
      <c r="Y154" s="587">
        <f t="shared" si="68"/>
        <v>529.95813361773969</v>
      </c>
      <c r="Z154" s="587">
        <f t="shared" si="69"/>
        <v>3183.477846132193</v>
      </c>
      <c r="AA154" s="587">
        <f t="shared" si="70"/>
        <v>-8.5301358656421371</v>
      </c>
      <c r="AB154" s="587">
        <f t="shared" si="71"/>
        <v>-33.110214201668441</v>
      </c>
      <c r="AC154" s="587"/>
      <c r="AD154" s="99">
        <f t="shared" si="72"/>
        <v>0</v>
      </c>
      <c r="AE154" s="99">
        <f t="shared" si="73"/>
        <v>80.827846110327656</v>
      </c>
      <c r="AF154" s="587">
        <f t="shared" si="74"/>
        <v>859.60793768650831</v>
      </c>
      <c r="AG154" s="587">
        <f t="shared" si="75"/>
        <v>529.95813361773969</v>
      </c>
      <c r="AH154" s="587">
        <f t="shared" si="76"/>
        <v>3183.477846132193</v>
      </c>
      <c r="AI154" s="587">
        <f t="shared" si="77"/>
        <v>0</v>
      </c>
      <c r="AJ154" s="587">
        <f t="shared" si="78"/>
        <v>0</v>
      </c>
      <c r="AK154" s="587"/>
      <c r="AL154" s="587">
        <f t="shared" si="79"/>
        <v>-4.9283330939917542</v>
      </c>
      <c r="AM154" s="587">
        <f t="shared" si="80"/>
        <v>-3.1882681778550146</v>
      </c>
      <c r="AN154" s="99">
        <f t="shared" si="81"/>
        <v>77.639577932472648</v>
      </c>
      <c r="AO154" s="587">
        <f t="shared" si="82"/>
        <v>811.78391501868293</v>
      </c>
      <c r="AP154" s="587">
        <f t="shared" si="83"/>
        <v>500.05080393631584</v>
      </c>
      <c r="AQ154" s="587">
        <f t="shared" si="84"/>
        <v>2951.4382192935595</v>
      </c>
      <c r="AR154" s="587">
        <f t="shared" si="85"/>
        <v>-47.824022667825375</v>
      </c>
      <c r="AS154" s="587">
        <f t="shared" si="86"/>
        <v>-232.03962683863347</v>
      </c>
      <c r="AT154" s="587"/>
      <c r="AU154" s="587">
        <f t="shared" si="87"/>
        <v>-20.994165285450979</v>
      </c>
      <c r="AV154" s="99">
        <f t="shared" si="88"/>
        <v>56.645412647021672</v>
      </c>
      <c r="AW154" s="99"/>
      <c r="AX154" s="587">
        <f t="shared" si="89"/>
        <v>685.81892330597702</v>
      </c>
      <c r="AY154" s="587">
        <f t="shared" si="90"/>
        <v>425.35157946626407</v>
      </c>
      <c r="AZ154" s="587">
        <f t="shared" si="91"/>
        <v>2706.9680301188446</v>
      </c>
      <c r="BA154" s="587">
        <f t="shared" si="92"/>
        <v>-125.96499171270591</v>
      </c>
      <c r="BB154" s="587">
        <f t="shared" si="93"/>
        <v>-244.47018917471496</v>
      </c>
      <c r="BC154" s="99"/>
      <c r="BD154" s="515">
        <f t="shared" si="94"/>
        <v>3.234631382507311</v>
      </c>
      <c r="BE154" s="515">
        <f t="shared" si="95"/>
        <v>5.6645412647021672E-2</v>
      </c>
      <c r="BF154" s="587">
        <f t="shared" si="96"/>
        <v>0.68581892330597705</v>
      </c>
      <c r="BG154" s="1112">
        <f t="shared" si="97"/>
        <v>2.7069680301188446</v>
      </c>
      <c r="BH154" s="399"/>
      <c r="BI154" s="423"/>
    </row>
    <row r="155" spans="2:61">
      <c r="B155" s="1124">
        <f t="shared" si="48"/>
        <v>3.8815576590087728</v>
      </c>
      <c r="C155" s="101">
        <f t="shared" si="98"/>
        <v>0.3</v>
      </c>
      <c r="D155" s="587">
        <f t="shared" si="49"/>
        <v>58.598469208748455</v>
      </c>
      <c r="E155" s="587">
        <f t="shared" si="50"/>
        <v>37.56733999168474</v>
      </c>
      <c r="F155" s="587">
        <f t="shared" si="51"/>
        <v>48.245349416495223</v>
      </c>
      <c r="G155" s="587">
        <f t="shared" si="52"/>
        <v>31.21118425652525</v>
      </c>
      <c r="H155" s="587">
        <f t="shared" si="53"/>
        <v>53.421909312621835</v>
      </c>
      <c r="I155" s="587">
        <f t="shared" si="54"/>
        <v>34.389262124104995</v>
      </c>
      <c r="J155" s="587">
        <f t="shared" si="55"/>
        <v>411.90722339445102</v>
      </c>
      <c r="K155" s="587">
        <f t="shared" si="56"/>
        <v>255.3499476458382</v>
      </c>
      <c r="L155" s="587">
        <f t="shared" si="57"/>
        <v>1711.7486756867966</v>
      </c>
      <c r="M155" s="99"/>
      <c r="N155" s="587">
        <f t="shared" si="58"/>
        <v>46.836519923987694</v>
      </c>
      <c r="O155" s="99">
        <f t="shared" si="59"/>
        <v>81.225782048092697</v>
      </c>
      <c r="P155" s="587">
        <f t="shared" si="60"/>
        <v>786.59938278635263</v>
      </c>
      <c r="Q155" s="587">
        <f t="shared" si="61"/>
        <v>482.59826343617755</v>
      </c>
      <c r="R155" s="587">
        <f t="shared" si="62"/>
        <v>2681.3414897255775</v>
      </c>
      <c r="S155" s="587">
        <f t="shared" si="63"/>
        <v>374.69215939190161</v>
      </c>
      <c r="T155" s="587">
        <f t="shared" si="64"/>
        <v>969.59281403878094</v>
      </c>
      <c r="U155" s="587"/>
      <c r="V155" s="587">
        <f t="shared" si="65"/>
        <v>-0.7108446554701896</v>
      </c>
      <c r="W155" s="99">
        <f t="shared" si="66"/>
        <v>80.514937392622514</v>
      </c>
      <c r="X155" s="587">
        <f t="shared" si="67"/>
        <v>778.78009157618067</v>
      </c>
      <c r="Y155" s="587">
        <f t="shared" si="68"/>
        <v>477.76969053176754</v>
      </c>
      <c r="Z155" s="587">
        <f t="shared" si="69"/>
        <v>2653.5197125144532</v>
      </c>
      <c r="AA155" s="587">
        <f t="shared" si="70"/>
        <v>-7.8192912101719685</v>
      </c>
      <c r="AB155" s="587">
        <f t="shared" si="71"/>
        <v>-27.821777211124299</v>
      </c>
      <c r="AC155" s="587"/>
      <c r="AD155" s="99">
        <f t="shared" si="72"/>
        <v>0</v>
      </c>
      <c r="AE155" s="99">
        <f t="shared" si="73"/>
        <v>80.514937392622514</v>
      </c>
      <c r="AF155" s="587">
        <f t="shared" si="74"/>
        <v>778.78009157618067</v>
      </c>
      <c r="AG155" s="587">
        <f t="shared" si="75"/>
        <v>477.76969053176754</v>
      </c>
      <c r="AH155" s="587">
        <f t="shared" si="76"/>
        <v>2653.5197125144532</v>
      </c>
      <c r="AI155" s="587">
        <f t="shared" si="77"/>
        <v>0</v>
      </c>
      <c r="AJ155" s="587">
        <f t="shared" si="78"/>
        <v>0</v>
      </c>
      <c r="AK155" s="587"/>
      <c r="AL155" s="587">
        <f t="shared" si="79"/>
        <v>-4.9283330939917542</v>
      </c>
      <c r="AM155" s="587">
        <f t="shared" si="80"/>
        <v>-3.1882681778550168</v>
      </c>
      <c r="AN155" s="99">
        <f t="shared" si="81"/>
        <v>77.326669214767492</v>
      </c>
      <c r="AO155" s="587">
        <f t="shared" si="82"/>
        <v>734.14433708621027</v>
      </c>
      <c r="AP155" s="587">
        <f t="shared" si="83"/>
        <v>449.92493531113149</v>
      </c>
      <c r="AQ155" s="587">
        <f t="shared" si="84"/>
        <v>2451.3874153572438</v>
      </c>
      <c r="AR155" s="587">
        <f t="shared" si="85"/>
        <v>-44.635754489970395</v>
      </c>
      <c r="AS155" s="587">
        <f t="shared" si="86"/>
        <v>-202.13229715720945</v>
      </c>
      <c r="AT155" s="587"/>
      <c r="AU155" s="587">
        <f t="shared" si="87"/>
        <v>-20.994165285450979</v>
      </c>
      <c r="AV155" s="99">
        <f t="shared" si="88"/>
        <v>56.332503929316516</v>
      </c>
      <c r="AW155" s="99"/>
      <c r="AX155" s="587">
        <f t="shared" si="89"/>
        <v>629.17351065895537</v>
      </c>
      <c r="AY155" s="587">
        <f t="shared" si="90"/>
        <v>388.80738801745269</v>
      </c>
      <c r="AZ155" s="587">
        <f t="shared" si="91"/>
        <v>2281.6164506525806</v>
      </c>
      <c r="BA155" s="587">
        <f t="shared" si="92"/>
        <v>-104.97082642725491</v>
      </c>
      <c r="BB155" s="587">
        <f t="shared" si="93"/>
        <v>-169.77096470466313</v>
      </c>
      <c r="BC155" s="99"/>
      <c r="BD155" s="515">
        <f t="shared" si="94"/>
        <v>3.8815576590087728</v>
      </c>
      <c r="BE155" s="515">
        <f t="shared" si="95"/>
        <v>5.6332503929316519E-2</v>
      </c>
      <c r="BF155" s="587">
        <f t="shared" si="96"/>
        <v>0.62917351065895533</v>
      </c>
      <c r="BG155" s="1112">
        <f t="shared" si="97"/>
        <v>2.2816164506525807</v>
      </c>
      <c r="BH155" s="399"/>
      <c r="BI155" s="423"/>
    </row>
    <row r="156" spans="2:61">
      <c r="B156" s="1124">
        <f t="shared" si="48"/>
        <v>4.5284839355102351</v>
      </c>
      <c r="C156" s="101">
        <f t="shared" si="98"/>
        <v>0.35</v>
      </c>
      <c r="D156" s="587">
        <f t="shared" si="49"/>
        <v>57.542554448063321</v>
      </c>
      <c r="E156" s="587">
        <f t="shared" si="50"/>
        <v>36.823736707112531</v>
      </c>
      <c r="F156" s="587">
        <f t="shared" si="51"/>
        <v>48.245349416495223</v>
      </c>
      <c r="G156" s="587">
        <f t="shared" si="52"/>
        <v>31.21118425652525</v>
      </c>
      <c r="H156" s="587">
        <f t="shared" si="53"/>
        <v>52.893951932279272</v>
      </c>
      <c r="I156" s="587">
        <f t="shared" si="54"/>
        <v>34.017460481818894</v>
      </c>
      <c r="J156" s="587">
        <f t="shared" si="55"/>
        <v>377.51796127034601</v>
      </c>
      <c r="K156" s="587">
        <f t="shared" si="56"/>
        <v>233.2228944742788</v>
      </c>
      <c r="L156" s="587">
        <f t="shared" si="57"/>
        <v>1456.3987280409583</v>
      </c>
      <c r="M156" s="99"/>
      <c r="N156" s="587">
        <f t="shared" si="58"/>
        <v>46.836519923987694</v>
      </c>
      <c r="O156" s="99">
        <f t="shared" si="59"/>
        <v>80.853980405806595</v>
      </c>
      <c r="P156" s="587">
        <f t="shared" si="60"/>
        <v>705.37360073825994</v>
      </c>
      <c r="Q156" s="587">
        <f t="shared" si="61"/>
        <v>430.17143482590626</v>
      </c>
      <c r="R156" s="587">
        <f t="shared" si="62"/>
        <v>2198.7432262893999</v>
      </c>
      <c r="S156" s="587">
        <f t="shared" si="63"/>
        <v>327.85563946791393</v>
      </c>
      <c r="T156" s="587">
        <f t="shared" si="64"/>
        <v>742.3444982484416</v>
      </c>
      <c r="U156" s="587"/>
      <c r="V156" s="587">
        <f t="shared" si="65"/>
        <v>-0.7108446554701896</v>
      </c>
      <c r="W156" s="99">
        <f t="shared" si="66"/>
        <v>80.143135750336413</v>
      </c>
      <c r="X156" s="587">
        <f t="shared" si="67"/>
        <v>698.26515418355814</v>
      </c>
      <c r="Y156" s="587">
        <f t="shared" si="68"/>
        <v>425.8027260076305</v>
      </c>
      <c r="Z156" s="587">
        <f t="shared" si="69"/>
        <v>2175.7500219826857</v>
      </c>
      <c r="AA156" s="587">
        <f t="shared" si="70"/>
        <v>-7.1084465547017999</v>
      </c>
      <c r="AB156" s="587">
        <f t="shared" si="71"/>
        <v>-22.993204306714233</v>
      </c>
      <c r="AC156" s="587"/>
      <c r="AD156" s="99">
        <f t="shared" si="72"/>
        <v>0</v>
      </c>
      <c r="AE156" s="99">
        <f t="shared" si="73"/>
        <v>80.143135750336413</v>
      </c>
      <c r="AF156" s="587">
        <f t="shared" si="74"/>
        <v>698.26515418355814</v>
      </c>
      <c r="AG156" s="587">
        <f t="shared" si="75"/>
        <v>425.8027260076305</v>
      </c>
      <c r="AH156" s="587">
        <f t="shared" si="76"/>
        <v>2175.7500219826857</v>
      </c>
      <c r="AI156" s="587">
        <f t="shared" si="77"/>
        <v>0</v>
      </c>
      <c r="AJ156" s="587">
        <f t="shared" si="78"/>
        <v>0</v>
      </c>
      <c r="AK156" s="587"/>
      <c r="AL156" s="587">
        <f t="shared" si="79"/>
        <v>-4.9283330939917542</v>
      </c>
      <c r="AM156" s="587">
        <f t="shared" si="80"/>
        <v>-3.1882681778550168</v>
      </c>
      <c r="AN156" s="99">
        <f t="shared" si="81"/>
        <v>76.95486757248139</v>
      </c>
      <c r="AO156" s="587">
        <f t="shared" si="82"/>
        <v>656.81766787144272</v>
      </c>
      <c r="AP156" s="587">
        <f t="shared" si="83"/>
        <v>400.02054524778231</v>
      </c>
      <c r="AQ156" s="587">
        <f t="shared" si="84"/>
        <v>2001.4624800461122</v>
      </c>
      <c r="AR156" s="587">
        <f t="shared" si="85"/>
        <v>-41.447486312115416</v>
      </c>
      <c r="AS156" s="587">
        <f t="shared" si="86"/>
        <v>-174.28754193657346</v>
      </c>
      <c r="AT156" s="587"/>
      <c r="AU156" s="587">
        <f t="shared" si="87"/>
        <v>-20.994165285450979</v>
      </c>
      <c r="AV156" s="99">
        <f t="shared" si="88"/>
        <v>55.960702287030415</v>
      </c>
      <c r="AW156" s="99"/>
      <c r="AX156" s="587">
        <f t="shared" si="89"/>
        <v>572.84100672963882</v>
      </c>
      <c r="AY156" s="587">
        <f t="shared" si="90"/>
        <v>352.48467513047666</v>
      </c>
      <c r="AZ156" s="587">
        <f t="shared" si="91"/>
        <v>1892.8090626351279</v>
      </c>
      <c r="BA156" s="587">
        <f t="shared" si="92"/>
        <v>-83.976661141803902</v>
      </c>
      <c r="BB156" s="587">
        <f t="shared" si="93"/>
        <v>-108.65341741098428</v>
      </c>
      <c r="BC156" s="99"/>
      <c r="BD156" s="515">
        <f t="shared" si="94"/>
        <v>4.5284839355102351</v>
      </c>
      <c r="BE156" s="515">
        <f t="shared" si="95"/>
        <v>5.5960702287030414E-2</v>
      </c>
      <c r="BF156" s="587">
        <f t="shared" si="96"/>
        <v>0.57284100672963878</v>
      </c>
      <c r="BG156" s="1112">
        <f t="shared" si="97"/>
        <v>1.8928090626351279</v>
      </c>
      <c r="BH156" s="399"/>
      <c r="BI156" s="423"/>
    </row>
    <row r="157" spans="2:61">
      <c r="B157" s="1124">
        <f t="shared" si="48"/>
        <v>5.1754102120116974</v>
      </c>
      <c r="C157" s="101">
        <f t="shared" si="98"/>
        <v>0.39999999999999997</v>
      </c>
      <c r="D157" s="587">
        <f t="shared" si="49"/>
        <v>56.299588141206819</v>
      </c>
      <c r="E157" s="587">
        <f t="shared" si="50"/>
        <v>35.955012555853124</v>
      </c>
      <c r="F157" s="587">
        <f t="shared" si="51"/>
        <v>48.245349416495223</v>
      </c>
      <c r="G157" s="587">
        <f t="shared" si="52"/>
        <v>31.211184256525208</v>
      </c>
      <c r="H157" s="587">
        <f t="shared" si="53"/>
        <v>52.272468778851021</v>
      </c>
      <c r="I157" s="587">
        <f t="shared" si="54"/>
        <v>33.583098406189166</v>
      </c>
      <c r="J157" s="587">
        <f t="shared" si="55"/>
        <v>343.50050078852712</v>
      </c>
      <c r="K157" s="587">
        <f t="shared" si="56"/>
        <v>211.3566055488601</v>
      </c>
      <c r="L157" s="587">
        <f t="shared" si="57"/>
        <v>1223.1758335666796</v>
      </c>
      <c r="M157" s="99"/>
      <c r="N157" s="587">
        <f t="shared" si="58"/>
        <v>46.836519923987694</v>
      </c>
      <c r="O157" s="99">
        <f t="shared" si="59"/>
        <v>80.41961833017686</v>
      </c>
      <c r="P157" s="587">
        <f t="shared" si="60"/>
        <v>624.51962033245331</v>
      </c>
      <c r="Q157" s="587">
        <f t="shared" si="61"/>
        <v>378.00537046177539</v>
      </c>
      <c r="R157" s="587">
        <f t="shared" si="62"/>
        <v>1768.5717914634938</v>
      </c>
      <c r="S157" s="587">
        <f t="shared" si="63"/>
        <v>281.01911954392619</v>
      </c>
      <c r="T157" s="587">
        <f t="shared" si="64"/>
        <v>545.39595789681425</v>
      </c>
      <c r="U157" s="587"/>
      <c r="V157" s="587">
        <f t="shared" si="65"/>
        <v>-0.7108446554701896</v>
      </c>
      <c r="W157" s="99">
        <f t="shared" si="66"/>
        <v>79.708773674706677</v>
      </c>
      <c r="X157" s="587">
        <f t="shared" si="67"/>
        <v>618.12201843322168</v>
      </c>
      <c r="Y157" s="587">
        <f t="shared" si="68"/>
        <v>374.09652572963392</v>
      </c>
      <c r="Z157" s="587">
        <f t="shared" si="69"/>
        <v>1749.9472959750551</v>
      </c>
      <c r="AA157" s="587">
        <f t="shared" si="70"/>
        <v>-6.3976018992316313</v>
      </c>
      <c r="AB157" s="587">
        <f t="shared" si="71"/>
        <v>-18.624495488438697</v>
      </c>
      <c r="AC157" s="587"/>
      <c r="AD157" s="99">
        <f t="shared" si="72"/>
        <v>0</v>
      </c>
      <c r="AE157" s="99">
        <f t="shared" si="73"/>
        <v>79.708773674706677</v>
      </c>
      <c r="AF157" s="587">
        <f t="shared" si="74"/>
        <v>618.12201843322168</v>
      </c>
      <c r="AG157" s="587">
        <f t="shared" si="75"/>
        <v>374.09652572963392</v>
      </c>
      <c r="AH157" s="587">
        <f t="shared" si="76"/>
        <v>1749.9472959750551</v>
      </c>
      <c r="AI157" s="587">
        <f t="shared" si="77"/>
        <v>0</v>
      </c>
      <c r="AJ157" s="587">
        <f t="shared" si="78"/>
        <v>0</v>
      </c>
      <c r="AK157" s="587"/>
      <c r="AL157" s="587">
        <f t="shared" si="79"/>
        <v>-4.9283330939917542</v>
      </c>
      <c r="AM157" s="587">
        <f t="shared" si="80"/>
        <v>-3.1882681778550124</v>
      </c>
      <c r="AN157" s="99">
        <f t="shared" si="81"/>
        <v>76.520505496851669</v>
      </c>
      <c r="AO157" s="587">
        <f t="shared" si="82"/>
        <v>579.86280029896136</v>
      </c>
      <c r="AP157" s="587">
        <f t="shared" si="83"/>
        <v>350.37691943057365</v>
      </c>
      <c r="AQ157" s="587">
        <f t="shared" si="84"/>
        <v>1601.4419347983298</v>
      </c>
      <c r="AR157" s="587">
        <f t="shared" si="85"/>
        <v>-38.259218134260323</v>
      </c>
      <c r="AS157" s="587">
        <f t="shared" si="86"/>
        <v>-148.50536117672527</v>
      </c>
      <c r="AT157" s="587"/>
      <c r="AU157" s="587">
        <f t="shared" si="87"/>
        <v>-20.994165285450979</v>
      </c>
      <c r="AV157" s="99">
        <f t="shared" si="88"/>
        <v>55.526340211400694</v>
      </c>
      <c r="AW157" s="99"/>
      <c r="AX157" s="587">
        <f t="shared" si="89"/>
        <v>516.88030444260846</v>
      </c>
      <c r="AY157" s="587">
        <f t="shared" si="90"/>
        <v>316.42272648964104</v>
      </c>
      <c r="AZ157" s="587">
        <f t="shared" si="91"/>
        <v>1540.3243875046512</v>
      </c>
      <c r="BA157" s="587">
        <f t="shared" si="92"/>
        <v>-62.982495856352898</v>
      </c>
      <c r="BB157" s="587">
        <f t="shared" si="93"/>
        <v>-61.117547293678626</v>
      </c>
      <c r="BC157" s="99"/>
      <c r="BD157" s="515">
        <f t="shared" si="94"/>
        <v>5.1754102120116974</v>
      </c>
      <c r="BE157" s="515">
        <f t="shared" si="95"/>
        <v>5.5526340211400696E-2</v>
      </c>
      <c r="BF157" s="587">
        <f t="shared" si="96"/>
        <v>0.51688030444260846</v>
      </c>
      <c r="BG157" s="1112">
        <f t="shared" si="97"/>
        <v>1.5403243875046513</v>
      </c>
      <c r="BH157" s="399"/>
      <c r="BI157" s="423"/>
    </row>
    <row r="158" spans="2:61">
      <c r="B158" s="1124">
        <f t="shared" si="48"/>
        <v>5.8223364885131588</v>
      </c>
      <c r="C158" s="101">
        <f t="shared" si="98"/>
        <v>0.44999999999999996</v>
      </c>
      <c r="D158" s="587">
        <f t="shared" si="49"/>
        <v>54.856856918640432</v>
      </c>
      <c r="E158" s="587">
        <f t="shared" si="50"/>
        <v>34.951798834430861</v>
      </c>
      <c r="F158" s="587">
        <f t="shared" si="51"/>
        <v>48.245349416495223</v>
      </c>
      <c r="G158" s="587">
        <f t="shared" si="52"/>
        <v>31.21118425652525</v>
      </c>
      <c r="H158" s="587">
        <f t="shared" si="53"/>
        <v>51.551103167567831</v>
      </c>
      <c r="I158" s="587">
        <f t="shared" si="54"/>
        <v>33.081491545478059</v>
      </c>
      <c r="J158" s="587">
        <f t="shared" si="55"/>
        <v>309.91740238233797</v>
      </c>
      <c r="K158" s="587">
        <f t="shared" si="56"/>
        <v>189.79306807289595</v>
      </c>
      <c r="L158" s="587">
        <f t="shared" si="57"/>
        <v>1011.8192280178196</v>
      </c>
      <c r="M158" s="99"/>
      <c r="N158" s="587">
        <f t="shared" si="58"/>
        <v>46.836519923987694</v>
      </c>
      <c r="O158" s="99">
        <f t="shared" si="59"/>
        <v>79.918011469465753</v>
      </c>
      <c r="P158" s="587">
        <f t="shared" si="60"/>
        <v>544.10000200227648</v>
      </c>
      <c r="Q158" s="587">
        <f t="shared" si="61"/>
        <v>326.14205754709957</v>
      </c>
      <c r="R158" s="587">
        <f t="shared" si="62"/>
        <v>1390.5664210017185</v>
      </c>
      <c r="S158" s="587">
        <f t="shared" si="63"/>
        <v>234.18259961993851</v>
      </c>
      <c r="T158" s="587">
        <f t="shared" si="64"/>
        <v>378.74719298389891</v>
      </c>
      <c r="U158" s="587"/>
      <c r="V158" s="587">
        <f t="shared" si="65"/>
        <v>-0.7108446554701896</v>
      </c>
      <c r="W158" s="99">
        <f t="shared" si="66"/>
        <v>79.20716681399557</v>
      </c>
      <c r="X158" s="587">
        <f t="shared" si="67"/>
        <v>538.41324475851502</v>
      </c>
      <c r="Y158" s="587">
        <f t="shared" si="68"/>
        <v>322.69307690109241</v>
      </c>
      <c r="Z158" s="587">
        <f t="shared" si="69"/>
        <v>1375.8507702454212</v>
      </c>
      <c r="AA158" s="587">
        <f t="shared" si="70"/>
        <v>-5.6867572437614626</v>
      </c>
      <c r="AB158" s="587">
        <f t="shared" si="71"/>
        <v>-14.715650756297237</v>
      </c>
      <c r="AC158" s="587"/>
      <c r="AD158" s="99">
        <f t="shared" si="72"/>
        <v>0</v>
      </c>
      <c r="AE158" s="99">
        <f t="shared" si="73"/>
        <v>79.20716681399557</v>
      </c>
      <c r="AF158" s="587">
        <f t="shared" si="74"/>
        <v>538.41324475851502</v>
      </c>
      <c r="AG158" s="587">
        <f t="shared" si="75"/>
        <v>322.69307690109241</v>
      </c>
      <c r="AH158" s="587">
        <f t="shared" si="76"/>
        <v>1375.8507702454212</v>
      </c>
      <c r="AI158" s="587">
        <f t="shared" si="77"/>
        <v>0</v>
      </c>
      <c r="AJ158" s="587">
        <f t="shared" si="78"/>
        <v>0</v>
      </c>
      <c r="AK158" s="587"/>
      <c r="AL158" s="587">
        <f t="shared" si="79"/>
        <v>-4.9283330939917542</v>
      </c>
      <c r="AM158" s="587">
        <f t="shared" si="80"/>
        <v>-3.1882681778550168</v>
      </c>
      <c r="AN158" s="99">
        <f t="shared" si="81"/>
        <v>76.018898636140548</v>
      </c>
      <c r="AO158" s="587">
        <f t="shared" si="82"/>
        <v>503.34229480210968</v>
      </c>
      <c r="AP158" s="587">
        <f t="shared" si="83"/>
        <v>301.03604506281988</v>
      </c>
      <c r="AQ158" s="587">
        <f t="shared" si="84"/>
        <v>1251.0650153677561</v>
      </c>
      <c r="AR158" s="587">
        <f t="shared" si="85"/>
        <v>-35.070949956405343</v>
      </c>
      <c r="AS158" s="587">
        <f t="shared" si="86"/>
        <v>-124.78575487766511</v>
      </c>
      <c r="AT158" s="587"/>
      <c r="AU158" s="587">
        <f t="shared" si="87"/>
        <v>-20.994165285450979</v>
      </c>
      <c r="AV158" s="99">
        <f t="shared" si="88"/>
        <v>55.024733350689573</v>
      </c>
      <c r="AW158" s="99"/>
      <c r="AX158" s="587">
        <f t="shared" si="89"/>
        <v>461.35396423120778</v>
      </c>
      <c r="AY158" s="587">
        <f t="shared" si="90"/>
        <v>280.6635292982603</v>
      </c>
      <c r="AZ158" s="587">
        <f t="shared" si="91"/>
        <v>1223.9016610150102</v>
      </c>
      <c r="BA158" s="587">
        <f t="shared" si="92"/>
        <v>-41.988330570901894</v>
      </c>
      <c r="BB158" s="587">
        <f t="shared" si="93"/>
        <v>-27.163354352745955</v>
      </c>
      <c r="BC158" s="99"/>
      <c r="BD158" s="515">
        <f t="shared" si="94"/>
        <v>5.8223364885131588</v>
      </c>
      <c r="BE158" s="515">
        <f t="shared" si="95"/>
        <v>5.5024733350689574E-2</v>
      </c>
      <c r="BF158" s="587">
        <f t="shared" si="96"/>
        <v>0.46135396423120778</v>
      </c>
      <c r="BG158" s="1112">
        <f t="shared" si="97"/>
        <v>1.2239016610150102</v>
      </c>
      <c r="BH158" s="399"/>
      <c r="BI158" s="423"/>
    </row>
    <row r="159" spans="2:61">
      <c r="B159" s="1124">
        <f t="shared" si="48"/>
        <v>6.4692627650146211</v>
      </c>
      <c r="C159" s="101">
        <f t="shared" si="98"/>
        <v>0.49999999999999994</v>
      </c>
      <c r="D159" s="587">
        <f t="shared" si="49"/>
        <v>53.198110406069425</v>
      </c>
      <c r="E159" s="587">
        <f t="shared" si="50"/>
        <v>33.802062976851566</v>
      </c>
      <c r="F159" s="587">
        <f t="shared" si="51"/>
        <v>48.245349416495223</v>
      </c>
      <c r="G159" s="587">
        <f t="shared" si="52"/>
        <v>31.21118425652525</v>
      </c>
      <c r="H159" s="587">
        <f t="shared" si="53"/>
        <v>50.721729911282324</v>
      </c>
      <c r="I159" s="587">
        <f t="shared" si="54"/>
        <v>32.506623616688408</v>
      </c>
      <c r="J159" s="587">
        <f t="shared" si="55"/>
        <v>276.83591083685991</v>
      </c>
      <c r="K159" s="587">
        <f t="shared" si="56"/>
        <v>168.57773051059121</v>
      </c>
      <c r="L159" s="587">
        <f t="shared" si="57"/>
        <v>822.02615994492362</v>
      </c>
      <c r="M159" s="99"/>
      <c r="N159" s="587">
        <f t="shared" si="58"/>
        <v>46.836519923987694</v>
      </c>
      <c r="O159" s="99">
        <f t="shared" si="59"/>
        <v>79.343143540676095</v>
      </c>
      <c r="P159" s="587">
        <f t="shared" si="60"/>
        <v>464.18199053281069</v>
      </c>
      <c r="Q159" s="587">
        <f t="shared" si="61"/>
        <v>274.62694454608288</v>
      </c>
      <c r="R159" s="587">
        <f t="shared" si="62"/>
        <v>1064.424363454619</v>
      </c>
      <c r="S159" s="587">
        <f t="shared" si="63"/>
        <v>187.34607969595078</v>
      </c>
      <c r="T159" s="587">
        <f t="shared" si="64"/>
        <v>242.39820350969535</v>
      </c>
      <c r="U159" s="587"/>
      <c r="V159" s="587">
        <f t="shared" si="65"/>
        <v>-0.7108446554701896</v>
      </c>
      <c r="W159" s="99">
        <f t="shared" si="66"/>
        <v>78.632298885205913</v>
      </c>
      <c r="X159" s="587">
        <f t="shared" si="67"/>
        <v>459.20607794451939</v>
      </c>
      <c r="Y159" s="587">
        <f t="shared" si="68"/>
        <v>271.63782798621003</v>
      </c>
      <c r="Z159" s="587">
        <f t="shared" si="69"/>
        <v>1053.1576933443289</v>
      </c>
      <c r="AA159" s="587">
        <f t="shared" si="70"/>
        <v>-4.975912588291294</v>
      </c>
      <c r="AB159" s="587">
        <f t="shared" si="71"/>
        <v>-11.266670110290079</v>
      </c>
      <c r="AC159" s="587"/>
      <c r="AD159" s="99">
        <f t="shared" si="72"/>
        <v>0</v>
      </c>
      <c r="AE159" s="99">
        <f t="shared" si="73"/>
        <v>78.632298885205913</v>
      </c>
      <c r="AF159" s="587">
        <f t="shared" si="74"/>
        <v>459.20607794451939</v>
      </c>
      <c r="AG159" s="587">
        <f t="shared" si="75"/>
        <v>271.63782798621003</v>
      </c>
      <c r="AH159" s="587">
        <f t="shared" si="76"/>
        <v>1053.1576933443289</v>
      </c>
      <c r="AI159" s="587">
        <f t="shared" si="77"/>
        <v>0</v>
      </c>
      <c r="AJ159" s="587">
        <f t="shared" si="78"/>
        <v>0</v>
      </c>
      <c r="AK159" s="587"/>
      <c r="AL159" s="587">
        <f t="shared" si="79"/>
        <v>-4.9283330939917542</v>
      </c>
      <c r="AM159" s="587">
        <f t="shared" si="80"/>
        <v>-3.1882681778550168</v>
      </c>
      <c r="AN159" s="99">
        <f t="shared" si="81"/>
        <v>75.44403070735089</v>
      </c>
      <c r="AO159" s="587">
        <f t="shared" si="82"/>
        <v>427.32339616596914</v>
      </c>
      <c r="AP159" s="587">
        <f t="shared" si="83"/>
        <v>252.04337060872541</v>
      </c>
      <c r="AQ159" s="587">
        <f t="shared" si="84"/>
        <v>950.02897030493637</v>
      </c>
      <c r="AR159" s="587">
        <f t="shared" si="85"/>
        <v>-31.88268177855025</v>
      </c>
      <c r="AS159" s="587">
        <f t="shared" si="86"/>
        <v>-103.12872303939253</v>
      </c>
      <c r="AT159" s="587"/>
      <c r="AU159" s="587">
        <f t="shared" si="87"/>
        <v>-20.994165285450979</v>
      </c>
      <c r="AV159" s="99">
        <f t="shared" si="88"/>
        <v>54.449865421899915</v>
      </c>
      <c r="AW159" s="99"/>
      <c r="AX159" s="587">
        <f t="shared" si="89"/>
        <v>406.3292308805182</v>
      </c>
      <c r="AY159" s="587">
        <f t="shared" si="90"/>
        <v>245.25253202053889</v>
      </c>
      <c r="AZ159" s="587">
        <f t="shared" si="91"/>
        <v>943.23813171674976</v>
      </c>
      <c r="BA159" s="587">
        <f t="shared" si="92"/>
        <v>-20.994165285450947</v>
      </c>
      <c r="BB159" s="587">
        <f t="shared" si="93"/>
        <v>-6.7908385881866025</v>
      </c>
      <c r="BC159" s="99"/>
      <c r="BD159" s="515">
        <f t="shared" si="94"/>
        <v>6.4692627650146211</v>
      </c>
      <c r="BE159" s="515">
        <f t="shared" si="95"/>
        <v>5.4449865421899918E-2</v>
      </c>
      <c r="BF159" s="587">
        <f t="shared" si="96"/>
        <v>0.4063292308805182</v>
      </c>
      <c r="BG159" s="1112">
        <f t="shared" si="97"/>
        <v>0.94323813171674975</v>
      </c>
      <c r="BH159" s="399"/>
      <c r="BI159" s="423"/>
    </row>
    <row r="160" spans="2:61">
      <c r="B160" s="1124">
        <f t="shared" si="48"/>
        <v>7.1161890415160833</v>
      </c>
      <c r="C160" s="101">
        <f t="shared" si="98"/>
        <v>0.54999999999999993</v>
      </c>
      <c r="D160" s="587">
        <f t="shared" si="49"/>
        <v>51.302399790087868</v>
      </c>
      <c r="E160" s="587">
        <f t="shared" si="50"/>
        <v>32.490160849264868</v>
      </c>
      <c r="F160" s="587">
        <f t="shared" si="51"/>
        <v>48.245349416495223</v>
      </c>
      <c r="G160" s="587">
        <f t="shared" si="52"/>
        <v>31.21118425652525</v>
      </c>
      <c r="H160" s="587">
        <f t="shared" si="53"/>
        <v>49.773874603291546</v>
      </c>
      <c r="I160" s="587">
        <f t="shared" si="54"/>
        <v>31.850672552895059</v>
      </c>
      <c r="J160" s="587">
        <f t="shared" si="55"/>
        <v>244.32928722017149</v>
      </c>
      <c r="K160" s="587">
        <f t="shared" si="56"/>
        <v>147.760517522246</v>
      </c>
      <c r="L160" s="587">
        <f t="shared" si="57"/>
        <v>653.44842943433241</v>
      </c>
      <c r="M160" s="99"/>
      <c r="N160" s="587">
        <f t="shared" si="58"/>
        <v>46.836519923987694</v>
      </c>
      <c r="O160" s="99">
        <f t="shared" si="59"/>
        <v>78.687192476882757</v>
      </c>
      <c r="P160" s="587">
        <f t="shared" si="60"/>
        <v>384.83884699213456</v>
      </c>
      <c r="Q160" s="587">
        <f t="shared" si="61"/>
        <v>223.50995611902579</v>
      </c>
      <c r="R160" s="587">
        <f t="shared" si="62"/>
        <v>789.79741890853609</v>
      </c>
      <c r="S160" s="587">
        <f t="shared" si="63"/>
        <v>140.50955977196307</v>
      </c>
      <c r="T160" s="587">
        <f t="shared" si="64"/>
        <v>136.34898947420368</v>
      </c>
      <c r="U160" s="587"/>
      <c r="V160" s="587">
        <f t="shared" si="65"/>
        <v>-0.7108446554701896</v>
      </c>
      <c r="W160" s="99">
        <f t="shared" si="66"/>
        <v>77.976347821412574</v>
      </c>
      <c r="X160" s="587">
        <f t="shared" si="67"/>
        <v>380.57377905931349</v>
      </c>
      <c r="Y160" s="587">
        <f t="shared" si="68"/>
        <v>220.98070364528718</v>
      </c>
      <c r="Z160" s="587">
        <f t="shared" si="69"/>
        <v>781.51986535811875</v>
      </c>
      <c r="AA160" s="587">
        <f t="shared" si="70"/>
        <v>-4.2650679328210686</v>
      </c>
      <c r="AB160" s="587">
        <f t="shared" si="71"/>
        <v>-8.2775535504173376</v>
      </c>
      <c r="AC160" s="587"/>
      <c r="AD160" s="99">
        <f t="shared" si="72"/>
        <v>0</v>
      </c>
      <c r="AE160" s="99">
        <f t="shared" si="73"/>
        <v>77.976347821412574</v>
      </c>
      <c r="AF160" s="587">
        <f t="shared" si="74"/>
        <v>380.57377905931349</v>
      </c>
      <c r="AG160" s="587">
        <f t="shared" si="75"/>
        <v>220.98070364528718</v>
      </c>
      <c r="AH160" s="587">
        <f t="shared" si="76"/>
        <v>781.51986535811875</v>
      </c>
      <c r="AI160" s="587">
        <f t="shared" si="77"/>
        <v>0</v>
      </c>
      <c r="AJ160" s="587">
        <f t="shared" si="78"/>
        <v>0</v>
      </c>
      <c r="AK160" s="587"/>
      <c r="AL160" s="587">
        <f t="shared" si="79"/>
        <v>-4.9283330939917542</v>
      </c>
      <c r="AM160" s="587">
        <f t="shared" si="80"/>
        <v>-3.1882681778550168</v>
      </c>
      <c r="AN160" s="99">
        <f t="shared" si="81"/>
        <v>74.788079643557552</v>
      </c>
      <c r="AO160" s="587">
        <f t="shared" si="82"/>
        <v>351.87936545861828</v>
      </c>
      <c r="AP160" s="587">
        <f t="shared" si="83"/>
        <v>203.44882072859045</v>
      </c>
      <c r="AQ160" s="587">
        <f t="shared" si="84"/>
        <v>697.9855996962109</v>
      </c>
      <c r="AR160" s="587">
        <f t="shared" si="85"/>
        <v>-28.694413600695214</v>
      </c>
      <c r="AS160" s="587">
        <f t="shared" si="86"/>
        <v>-83.534265661907853</v>
      </c>
      <c r="AT160" s="587"/>
      <c r="AU160" s="587">
        <f t="shared" si="87"/>
        <v>0</v>
      </c>
      <c r="AV160" s="99">
        <f t="shared" si="88"/>
        <v>74.788079643557552</v>
      </c>
      <c r="AW160" s="99"/>
      <c r="AX160" s="587">
        <f t="shared" si="89"/>
        <v>351.87936545861828</v>
      </c>
      <c r="AY160" s="587">
        <f t="shared" si="90"/>
        <v>203.44882072859045</v>
      </c>
      <c r="AZ160" s="587">
        <f t="shared" si="91"/>
        <v>697.9855996962109</v>
      </c>
      <c r="BA160" s="587">
        <f t="shared" si="92"/>
        <v>0</v>
      </c>
      <c r="BB160" s="587">
        <f t="shared" si="93"/>
        <v>0</v>
      </c>
      <c r="BC160" s="99"/>
      <c r="BD160" s="515">
        <f t="shared" si="94"/>
        <v>7.1161890415160833</v>
      </c>
      <c r="BE160" s="515">
        <f t="shared" si="95"/>
        <v>7.4788079643557548E-2</v>
      </c>
      <c r="BF160" s="587">
        <f t="shared" si="96"/>
        <v>0.35187936545861825</v>
      </c>
      <c r="BG160" s="1112">
        <f t="shared" si="97"/>
        <v>0.69798559969621088</v>
      </c>
      <c r="BH160" s="399"/>
      <c r="BI160" s="423"/>
    </row>
    <row r="161" spans="2:61">
      <c r="B161" s="1124">
        <f t="shared" si="48"/>
        <v>7.7631153180175456</v>
      </c>
      <c r="C161" s="101">
        <f t="shared" si="98"/>
        <v>0.6</v>
      </c>
      <c r="D161" s="587">
        <f t="shared" si="49"/>
        <v>49.142309381317787</v>
      </c>
      <c r="E161" s="587">
        <f t="shared" si="50"/>
        <v>30.995357675208531</v>
      </c>
      <c r="F161" s="587">
        <f t="shared" si="51"/>
        <v>48.245349416495223</v>
      </c>
      <c r="G161" s="587">
        <f t="shared" si="52"/>
        <v>31.211184256525335</v>
      </c>
      <c r="H161" s="587">
        <f t="shared" si="53"/>
        <v>48.693829398906502</v>
      </c>
      <c r="I161" s="587">
        <f t="shared" si="54"/>
        <v>31.103270965866933</v>
      </c>
      <c r="J161" s="587">
        <f t="shared" si="55"/>
        <v>212.47861466727645</v>
      </c>
      <c r="K161" s="587">
        <f t="shared" si="56"/>
        <v>127.39723738640834</v>
      </c>
      <c r="L161" s="587">
        <f t="shared" si="57"/>
        <v>505.68791191208635</v>
      </c>
      <c r="M161" s="99"/>
      <c r="N161" s="587">
        <f t="shared" si="58"/>
        <v>46.836519923987694</v>
      </c>
      <c r="O161" s="99">
        <f t="shared" si="59"/>
        <v>77.939790889854635</v>
      </c>
      <c r="P161" s="587">
        <f t="shared" si="60"/>
        <v>306.15165451525183</v>
      </c>
      <c r="Q161" s="587">
        <f t="shared" si="61"/>
        <v>172.84690054447631</v>
      </c>
      <c r="R161" s="587">
        <f t="shared" si="62"/>
        <v>566.2874627895103</v>
      </c>
      <c r="S161" s="587">
        <f t="shared" si="63"/>
        <v>93.673039847975389</v>
      </c>
      <c r="T161" s="587">
        <f t="shared" si="64"/>
        <v>60.599550877423951</v>
      </c>
      <c r="U161" s="587"/>
      <c r="V161" s="587">
        <f t="shared" si="65"/>
        <v>-0.7108446554701896</v>
      </c>
      <c r="W161" s="99">
        <f t="shared" si="66"/>
        <v>77.228946234384452</v>
      </c>
      <c r="X161" s="587">
        <f t="shared" si="67"/>
        <v>302.59743123790093</v>
      </c>
      <c r="Y161" s="587">
        <f t="shared" si="68"/>
        <v>170.77751215687201</v>
      </c>
      <c r="Z161" s="587">
        <f t="shared" si="69"/>
        <v>560.53916171283163</v>
      </c>
      <c r="AA161" s="587">
        <f t="shared" si="70"/>
        <v>-3.5542232773508999</v>
      </c>
      <c r="AB161" s="587">
        <f t="shared" si="71"/>
        <v>-5.748301076678672</v>
      </c>
      <c r="AC161" s="587"/>
      <c r="AD161" s="99">
        <f t="shared" si="72"/>
        <v>0</v>
      </c>
      <c r="AE161" s="99">
        <f t="shared" si="73"/>
        <v>77.228946234384452</v>
      </c>
      <c r="AF161" s="587">
        <f t="shared" si="74"/>
        <v>302.59743123790093</v>
      </c>
      <c r="AG161" s="587">
        <f t="shared" si="75"/>
        <v>170.77751215687201</v>
      </c>
      <c r="AH161" s="587">
        <f t="shared" si="76"/>
        <v>560.53916171283163</v>
      </c>
      <c r="AI161" s="587">
        <f t="shared" si="77"/>
        <v>0</v>
      </c>
      <c r="AJ161" s="587">
        <f t="shared" si="78"/>
        <v>0</v>
      </c>
      <c r="AK161" s="587"/>
      <c r="AL161" s="587">
        <f t="shared" si="79"/>
        <v>-4.9283330939917542</v>
      </c>
      <c r="AM161" s="587">
        <f t="shared" si="80"/>
        <v>-3.1882681778550253</v>
      </c>
      <c r="AN161" s="99">
        <f t="shared" si="81"/>
        <v>74.04067805652943</v>
      </c>
      <c r="AO161" s="587">
        <f t="shared" si="82"/>
        <v>277.09128581506076</v>
      </c>
      <c r="AP161" s="587">
        <f t="shared" si="83"/>
        <v>155.30820370096308</v>
      </c>
      <c r="AQ161" s="587">
        <f t="shared" si="84"/>
        <v>494.53677896762042</v>
      </c>
      <c r="AR161" s="587">
        <f t="shared" si="85"/>
        <v>-25.506145422840177</v>
      </c>
      <c r="AS161" s="587">
        <f t="shared" si="86"/>
        <v>-66.002382745211207</v>
      </c>
      <c r="AT161" s="587"/>
      <c r="AU161" s="587">
        <f t="shared" si="87"/>
        <v>0</v>
      </c>
      <c r="AV161" s="99">
        <f t="shared" si="88"/>
        <v>74.04067805652943</v>
      </c>
      <c r="AW161" s="99"/>
      <c r="AX161" s="587">
        <f t="shared" si="89"/>
        <v>277.09128581506076</v>
      </c>
      <c r="AY161" s="587">
        <f t="shared" si="90"/>
        <v>155.30820370096308</v>
      </c>
      <c r="AZ161" s="587">
        <f t="shared" si="91"/>
        <v>494.53677896762042</v>
      </c>
      <c r="BA161" s="587">
        <f t="shared" si="92"/>
        <v>0</v>
      </c>
      <c r="BB161" s="587">
        <f t="shared" si="93"/>
        <v>0</v>
      </c>
      <c r="BC161" s="99"/>
      <c r="BD161" s="515">
        <f t="shared" si="94"/>
        <v>7.7631153180175456</v>
      </c>
      <c r="BE161" s="515">
        <f t="shared" si="95"/>
        <v>7.4040678056529433E-2</v>
      </c>
      <c r="BF161" s="587">
        <f t="shared" si="96"/>
        <v>0.27709128581506076</v>
      </c>
      <c r="BG161" s="1112">
        <f t="shared" si="97"/>
        <v>0.49453677896762044</v>
      </c>
      <c r="BH161" s="399"/>
      <c r="BI161" s="423"/>
    </row>
    <row r="162" spans="2:61">
      <c r="B162" s="1124">
        <f t="shared" si="48"/>
        <v>8.4100415945190097</v>
      </c>
      <c r="C162" s="101">
        <f t="shared" si="98"/>
        <v>0.65</v>
      </c>
      <c r="D162" s="587">
        <f t="shared" si="49"/>
        <v>46.681152428981349</v>
      </c>
      <c r="E162" s="587">
        <f t="shared" si="50"/>
        <v>29.289405410293167</v>
      </c>
      <c r="F162" s="587">
        <f t="shared" si="51"/>
        <v>48.245349416495223</v>
      </c>
      <c r="G162" s="587">
        <f t="shared" si="52"/>
        <v>31.21118425652525</v>
      </c>
      <c r="H162" s="587">
        <f t="shared" si="53"/>
        <v>47.463250922738283</v>
      </c>
      <c r="I162" s="587">
        <f t="shared" si="54"/>
        <v>30.250294833409207</v>
      </c>
      <c r="J162" s="587">
        <f t="shared" si="55"/>
        <v>181.37534370140952</v>
      </c>
      <c r="K162" s="587">
        <f t="shared" si="56"/>
        <v>107.5516204501014</v>
      </c>
      <c r="L162" s="587">
        <f t="shared" si="57"/>
        <v>378.29067452567801</v>
      </c>
      <c r="M162" s="99"/>
      <c r="N162" s="587">
        <f t="shared" si="58"/>
        <v>46.836519923987694</v>
      </c>
      <c r="O162" s="99">
        <f t="shared" si="59"/>
        <v>77.086814757396894</v>
      </c>
      <c r="P162" s="587">
        <f t="shared" si="60"/>
        <v>228.2118636253972</v>
      </c>
      <c r="Q162" s="587">
        <f t="shared" si="61"/>
        <v>122.70150816945734</v>
      </c>
      <c r="R162" s="587">
        <f t="shared" si="62"/>
        <v>393.44056224503396</v>
      </c>
      <c r="S162" s="587">
        <f t="shared" si="63"/>
        <v>46.83651992398768</v>
      </c>
      <c r="T162" s="587">
        <f t="shared" si="64"/>
        <v>15.149887719355945</v>
      </c>
      <c r="U162" s="587"/>
      <c r="V162" s="587">
        <f t="shared" si="65"/>
        <v>-0.7108446554701896</v>
      </c>
      <c r="W162" s="99">
        <f t="shared" si="66"/>
        <v>76.375970101926711</v>
      </c>
      <c r="X162" s="587">
        <f t="shared" si="67"/>
        <v>225.36848500351647</v>
      </c>
      <c r="Y162" s="587">
        <f t="shared" si="68"/>
        <v>121.09198386798732</v>
      </c>
      <c r="Z162" s="587">
        <f t="shared" si="69"/>
        <v>389.76164955595959</v>
      </c>
      <c r="AA162" s="587">
        <f t="shared" si="70"/>
        <v>-2.8433786218807313</v>
      </c>
      <c r="AB162" s="587">
        <f t="shared" si="71"/>
        <v>-3.678912689074366</v>
      </c>
      <c r="AC162" s="587"/>
      <c r="AD162" s="99">
        <f t="shared" si="72"/>
        <v>0</v>
      </c>
      <c r="AE162" s="99">
        <f t="shared" si="73"/>
        <v>76.375970101926711</v>
      </c>
      <c r="AF162" s="587">
        <f t="shared" si="74"/>
        <v>225.36848500351647</v>
      </c>
      <c r="AG162" s="587">
        <f t="shared" si="75"/>
        <v>121.09198386798732</v>
      </c>
      <c r="AH162" s="587">
        <f t="shared" si="76"/>
        <v>389.76164955595959</v>
      </c>
      <c r="AI162" s="587">
        <f t="shared" si="77"/>
        <v>0</v>
      </c>
      <c r="AJ162" s="587">
        <f t="shared" si="78"/>
        <v>0</v>
      </c>
      <c r="AK162" s="587"/>
      <c r="AL162" s="587">
        <f t="shared" si="79"/>
        <v>-4.9283330939917542</v>
      </c>
      <c r="AM162" s="587">
        <f t="shared" si="80"/>
        <v>-3.1882681778550168</v>
      </c>
      <c r="AN162" s="99">
        <f t="shared" si="81"/>
        <v>73.187701924071689</v>
      </c>
      <c r="AO162" s="587">
        <f t="shared" si="82"/>
        <v>203.05060775853133</v>
      </c>
      <c r="AP162" s="587">
        <f t="shared" si="83"/>
        <v>107.68524987286631</v>
      </c>
      <c r="AQ162" s="587">
        <f t="shared" si="84"/>
        <v>339.22857526665734</v>
      </c>
      <c r="AR162" s="587">
        <f t="shared" si="85"/>
        <v>-22.317877244985141</v>
      </c>
      <c r="AS162" s="587">
        <f t="shared" si="86"/>
        <v>-50.533074289302249</v>
      </c>
      <c r="AT162" s="587"/>
      <c r="AU162" s="587">
        <f t="shared" si="87"/>
        <v>0</v>
      </c>
      <c r="AV162" s="99">
        <f t="shared" si="88"/>
        <v>73.187701924071689</v>
      </c>
      <c r="AW162" s="99"/>
      <c r="AX162" s="587">
        <f t="shared" si="89"/>
        <v>203.05060775853133</v>
      </c>
      <c r="AY162" s="587">
        <f t="shared" si="90"/>
        <v>107.68524987286631</v>
      </c>
      <c r="AZ162" s="587">
        <f t="shared" si="91"/>
        <v>339.22857526665734</v>
      </c>
      <c r="BA162" s="587">
        <f t="shared" si="92"/>
        <v>0</v>
      </c>
      <c r="BB162" s="587">
        <f t="shared" si="93"/>
        <v>0</v>
      </c>
      <c r="BC162" s="99"/>
      <c r="BD162" s="515">
        <f t="shared" si="94"/>
        <v>8.4100415945190097</v>
      </c>
      <c r="BE162" s="515">
        <f t="shared" si="95"/>
        <v>7.3187701924071688E-2</v>
      </c>
      <c r="BF162" s="587">
        <f t="shared" si="96"/>
        <v>0.20305060775853132</v>
      </c>
      <c r="BG162" s="1112">
        <f t="shared" si="97"/>
        <v>0.33922857526665734</v>
      </c>
      <c r="BH162" s="399"/>
      <c r="BI162" s="423"/>
    </row>
    <row r="163" spans="2:61">
      <c r="B163" s="1124">
        <f t="shared" si="48"/>
        <v>9.056967871020472</v>
      </c>
      <c r="C163" s="101">
        <f t="shared" si="98"/>
        <v>0.70000000000000007</v>
      </c>
      <c r="D163" s="587">
        <f t="shared" si="49"/>
        <v>43.868285657498852</v>
      </c>
      <c r="E163" s="587">
        <f t="shared" si="50"/>
        <v>27.332316124046322</v>
      </c>
      <c r="F163" s="587">
        <f t="shared" si="51"/>
        <v>48.245349416495223</v>
      </c>
      <c r="G163" s="587">
        <f t="shared" si="52"/>
        <v>31.21118425652525</v>
      </c>
      <c r="H163" s="587">
        <f t="shared" si="53"/>
        <v>46.056817536997038</v>
      </c>
      <c r="I163" s="587">
        <f t="shared" si="54"/>
        <v>29.27175019028579</v>
      </c>
      <c r="J163" s="587">
        <f t="shared" si="55"/>
        <v>151.12504886800031</v>
      </c>
      <c r="K163" s="587">
        <f t="shared" si="56"/>
        <v>88.298432971635677</v>
      </c>
      <c r="L163" s="587">
        <f t="shared" si="57"/>
        <v>270.73905407557663</v>
      </c>
      <c r="M163" s="99"/>
      <c r="N163" s="587">
        <f t="shared" si="58"/>
        <v>0</v>
      </c>
      <c r="O163" s="99">
        <f t="shared" si="59"/>
        <v>29.27175019028579</v>
      </c>
      <c r="P163" s="587">
        <f t="shared" si="60"/>
        <v>151.12504886800031</v>
      </c>
      <c r="Q163" s="587">
        <f t="shared" si="61"/>
        <v>88.298432971635677</v>
      </c>
      <c r="R163" s="587">
        <f t="shared" si="62"/>
        <v>270.73905407557663</v>
      </c>
      <c r="S163" s="587">
        <f t="shared" si="63"/>
        <v>0</v>
      </c>
      <c r="T163" s="587">
        <f t="shared" si="64"/>
        <v>0</v>
      </c>
      <c r="U163" s="587"/>
      <c r="V163" s="587">
        <f t="shared" si="65"/>
        <v>-0.7108446554701896</v>
      </c>
      <c r="W163" s="99">
        <f t="shared" si="66"/>
        <v>28.5609055348156</v>
      </c>
      <c r="X163" s="587">
        <f t="shared" si="67"/>
        <v>148.99251490158974</v>
      </c>
      <c r="Y163" s="587">
        <f t="shared" si="68"/>
        <v>87.148772756299962</v>
      </c>
      <c r="Z163" s="587">
        <f t="shared" si="69"/>
        <v>268.66966568797227</v>
      </c>
      <c r="AA163" s="587">
        <f t="shared" si="70"/>
        <v>-2.1325339664105627</v>
      </c>
      <c r="AB163" s="587">
        <f t="shared" si="71"/>
        <v>-2.0693883876043628</v>
      </c>
      <c r="AC163" s="587"/>
      <c r="AD163" s="99">
        <f t="shared" si="72"/>
        <v>0</v>
      </c>
      <c r="AE163" s="99">
        <f t="shared" si="73"/>
        <v>28.5609055348156</v>
      </c>
      <c r="AF163" s="587">
        <f t="shared" si="74"/>
        <v>148.99251490158974</v>
      </c>
      <c r="AG163" s="587">
        <f t="shared" si="75"/>
        <v>87.148772756299962</v>
      </c>
      <c r="AH163" s="587">
        <f t="shared" si="76"/>
        <v>268.66966568797227</v>
      </c>
      <c r="AI163" s="587">
        <f t="shared" si="77"/>
        <v>0</v>
      </c>
      <c r="AJ163" s="587">
        <f t="shared" si="78"/>
        <v>0</v>
      </c>
      <c r="AK163" s="587"/>
      <c r="AL163" s="587">
        <f t="shared" si="79"/>
        <v>-4.9283330939917542</v>
      </c>
      <c r="AM163" s="587">
        <f t="shared" si="80"/>
        <v>-3.1882681778550168</v>
      </c>
      <c r="AN163" s="99">
        <f t="shared" si="81"/>
        <v>25.372637356960581</v>
      </c>
      <c r="AO163" s="587">
        <f t="shared" si="82"/>
        <v>129.86290583445964</v>
      </c>
      <c r="AP163" s="587">
        <f t="shared" si="83"/>
        <v>75.80461322196679</v>
      </c>
      <c r="AQ163" s="587">
        <f t="shared" si="84"/>
        <v>231.54332539379101</v>
      </c>
      <c r="AR163" s="587">
        <f t="shared" si="85"/>
        <v>-19.129609067130104</v>
      </c>
      <c r="AS163" s="587">
        <f t="shared" si="86"/>
        <v>-37.126340294181261</v>
      </c>
      <c r="AT163" s="587"/>
      <c r="AU163" s="587">
        <f t="shared" si="87"/>
        <v>0</v>
      </c>
      <c r="AV163" s="99">
        <f t="shared" si="88"/>
        <v>25.372637356960581</v>
      </c>
      <c r="AW163" s="99"/>
      <c r="AX163" s="587">
        <f t="shared" si="89"/>
        <v>129.86290583445964</v>
      </c>
      <c r="AY163" s="587">
        <f t="shared" si="90"/>
        <v>75.80461322196679</v>
      </c>
      <c r="AZ163" s="587">
        <f t="shared" si="91"/>
        <v>231.54332539379101</v>
      </c>
      <c r="BA163" s="587">
        <f t="shared" si="92"/>
        <v>0</v>
      </c>
      <c r="BB163" s="587">
        <f t="shared" si="93"/>
        <v>0</v>
      </c>
      <c r="BC163" s="99"/>
      <c r="BD163" s="515">
        <f t="shared" si="94"/>
        <v>9.056967871020472</v>
      </c>
      <c r="BE163" s="515">
        <f t="shared" si="95"/>
        <v>2.5372637356960583E-2</v>
      </c>
      <c r="BF163" s="587">
        <f t="shared" si="96"/>
        <v>0.12986290583445964</v>
      </c>
      <c r="BG163" s="1112">
        <f t="shared" si="97"/>
        <v>0.23154332539379102</v>
      </c>
      <c r="BH163" s="399"/>
      <c r="BI163" s="423"/>
    </row>
    <row r="164" spans="2:61">
      <c r="B164" s="1124">
        <f t="shared" si="48"/>
        <v>9.7038941475219342</v>
      </c>
      <c r="C164" s="101">
        <f t="shared" si="98"/>
        <v>0.75000000000000011</v>
      </c>
      <c r="D164" s="587">
        <f t="shared" si="49"/>
        <v>40.630727960738504</v>
      </c>
      <c r="E164" s="587">
        <f t="shared" si="50"/>
        <v>25.064336985619249</v>
      </c>
      <c r="F164" s="587">
        <f t="shared" si="51"/>
        <v>48.245349416495223</v>
      </c>
      <c r="G164" s="587">
        <f t="shared" si="52"/>
        <v>31.21118425652525</v>
      </c>
      <c r="H164" s="587">
        <f t="shared" si="53"/>
        <v>44.438038688616864</v>
      </c>
      <c r="I164" s="587">
        <f t="shared" si="54"/>
        <v>28.13776062107225</v>
      </c>
      <c r="J164" s="587">
        <f t="shared" si="55"/>
        <v>121.85329867771451</v>
      </c>
      <c r="K164" s="587">
        <f t="shared" si="56"/>
        <v>69.728572439154533</v>
      </c>
      <c r="L164" s="587">
        <f t="shared" si="57"/>
        <v>182.44062110394094</v>
      </c>
      <c r="M164" s="99"/>
      <c r="N164" s="587">
        <f t="shared" si="58"/>
        <v>0</v>
      </c>
      <c r="O164" s="99">
        <f t="shared" si="59"/>
        <v>28.13776062107225</v>
      </c>
      <c r="P164" s="587">
        <f t="shared" si="60"/>
        <v>121.85329867771451</v>
      </c>
      <c r="Q164" s="587">
        <f t="shared" si="61"/>
        <v>69.728572439154533</v>
      </c>
      <c r="R164" s="587">
        <f t="shared" si="62"/>
        <v>182.44062110394094</v>
      </c>
      <c r="S164" s="587">
        <f t="shared" si="63"/>
        <v>0</v>
      </c>
      <c r="T164" s="587">
        <f t="shared" si="64"/>
        <v>0</v>
      </c>
      <c r="U164" s="587"/>
      <c r="V164" s="587">
        <f t="shared" si="65"/>
        <v>-0.7108446554701896</v>
      </c>
      <c r="W164" s="99">
        <f t="shared" si="66"/>
        <v>27.42691596560206</v>
      </c>
      <c r="X164" s="587">
        <f t="shared" si="67"/>
        <v>120.43160936677414</v>
      </c>
      <c r="Y164" s="587">
        <f t="shared" si="68"/>
        <v>69.038776309953093</v>
      </c>
      <c r="Z164" s="587">
        <f t="shared" si="69"/>
        <v>181.52089293167234</v>
      </c>
      <c r="AA164" s="587">
        <f t="shared" si="70"/>
        <v>-1.4216893109403657</v>
      </c>
      <c r="AB164" s="587">
        <f t="shared" si="71"/>
        <v>-0.9197281722686057</v>
      </c>
      <c r="AC164" s="587"/>
      <c r="AD164" s="99">
        <f t="shared" si="72"/>
        <v>0</v>
      </c>
      <c r="AE164" s="99">
        <f t="shared" si="73"/>
        <v>27.42691596560206</v>
      </c>
      <c r="AF164" s="587">
        <f t="shared" si="74"/>
        <v>120.43160936677414</v>
      </c>
      <c r="AG164" s="587">
        <f t="shared" si="75"/>
        <v>69.038776309953093</v>
      </c>
      <c r="AH164" s="587">
        <f t="shared" si="76"/>
        <v>181.52089293167234</v>
      </c>
      <c r="AI164" s="587">
        <f t="shared" si="77"/>
        <v>0</v>
      </c>
      <c r="AJ164" s="587">
        <f t="shared" si="78"/>
        <v>0</v>
      </c>
      <c r="AK164" s="587"/>
      <c r="AL164" s="587">
        <f t="shared" si="79"/>
        <v>-4.9283330939917542</v>
      </c>
      <c r="AM164" s="587">
        <f t="shared" si="80"/>
        <v>-3.1882681778550168</v>
      </c>
      <c r="AN164" s="99">
        <f t="shared" si="81"/>
        <v>24.238647787747041</v>
      </c>
      <c r="AO164" s="587">
        <f t="shared" si="82"/>
        <v>104.49026847749904</v>
      </c>
      <c r="AP164" s="587">
        <f t="shared" si="83"/>
        <v>59.757191236407778</v>
      </c>
      <c r="AQ164" s="587">
        <f t="shared" si="84"/>
        <v>155.73871217182423</v>
      </c>
      <c r="AR164" s="587">
        <f t="shared" si="85"/>
        <v>-15.941340889275097</v>
      </c>
      <c r="AS164" s="587">
        <f t="shared" si="86"/>
        <v>-25.782180759848103</v>
      </c>
      <c r="AT164" s="587"/>
      <c r="AU164" s="587">
        <f t="shared" si="87"/>
        <v>0</v>
      </c>
      <c r="AV164" s="99">
        <f t="shared" si="88"/>
        <v>24.238647787747041</v>
      </c>
      <c r="AW164" s="99"/>
      <c r="AX164" s="587">
        <f t="shared" si="89"/>
        <v>104.49026847749904</v>
      </c>
      <c r="AY164" s="587">
        <f t="shared" si="90"/>
        <v>59.757191236407778</v>
      </c>
      <c r="AZ164" s="587">
        <f t="shared" si="91"/>
        <v>155.73871217182423</v>
      </c>
      <c r="BA164" s="587">
        <f t="shared" si="92"/>
        <v>0</v>
      </c>
      <c r="BB164" s="587">
        <f t="shared" si="93"/>
        <v>0</v>
      </c>
      <c r="BC164" s="99"/>
      <c r="BD164" s="515">
        <f t="shared" si="94"/>
        <v>9.7038941475219342</v>
      </c>
      <c r="BE164" s="515">
        <f t="shared" si="95"/>
        <v>2.423864778774704E-2</v>
      </c>
      <c r="BF164" s="587">
        <f t="shared" si="96"/>
        <v>0.10449026847749904</v>
      </c>
      <c r="BG164" s="1112">
        <f t="shared" si="97"/>
        <v>0.15573871217182422</v>
      </c>
      <c r="BH164" s="399"/>
      <c r="BI164" s="423"/>
    </row>
    <row r="165" spans="2:61">
      <c r="B165" s="1124">
        <f t="shared" si="48"/>
        <v>10.350820424023397</v>
      </c>
      <c r="C165" s="101">
        <f t="shared" si="98"/>
        <v>0.80000000000000016</v>
      </c>
      <c r="D165" s="587">
        <f t="shared" si="49"/>
        <v>36.856732035988323</v>
      </c>
      <c r="E165" s="587">
        <f t="shared" si="50"/>
        <v>22.388785535827893</v>
      </c>
      <c r="F165" s="587">
        <f t="shared" si="51"/>
        <v>48.245349416495223</v>
      </c>
      <c r="G165" s="587">
        <f t="shared" si="52"/>
        <v>31.211184256525335</v>
      </c>
      <c r="H165" s="587">
        <f t="shared" si="53"/>
        <v>42.551040726241773</v>
      </c>
      <c r="I165" s="587">
        <f t="shared" si="54"/>
        <v>26.799984896176614</v>
      </c>
      <c r="J165" s="587">
        <f t="shared" si="55"/>
        <v>93.715538056642259</v>
      </c>
      <c r="K165" s="587">
        <f t="shared" si="56"/>
        <v>51.958236865725318</v>
      </c>
      <c r="L165" s="587">
        <f t="shared" si="57"/>
        <v>112.71204866478639</v>
      </c>
      <c r="M165" s="99"/>
      <c r="N165" s="587">
        <f t="shared" si="58"/>
        <v>0</v>
      </c>
      <c r="O165" s="99">
        <f t="shared" si="59"/>
        <v>26.799984896176614</v>
      </c>
      <c r="P165" s="587">
        <f t="shared" si="60"/>
        <v>93.715538056642259</v>
      </c>
      <c r="Q165" s="587">
        <f t="shared" si="61"/>
        <v>51.958236865725318</v>
      </c>
      <c r="R165" s="587">
        <f t="shared" si="62"/>
        <v>112.71204866478639</v>
      </c>
      <c r="S165" s="587">
        <f t="shared" si="63"/>
        <v>0</v>
      </c>
      <c r="T165" s="587">
        <f t="shared" si="64"/>
        <v>0</v>
      </c>
      <c r="U165" s="587"/>
      <c r="V165" s="587">
        <f t="shared" si="65"/>
        <v>-0.7108446554701896</v>
      </c>
      <c r="W165" s="99">
        <f t="shared" si="66"/>
        <v>26.089140240706424</v>
      </c>
      <c r="X165" s="587">
        <f t="shared" si="67"/>
        <v>93.004693401172077</v>
      </c>
      <c r="Y165" s="587">
        <f t="shared" si="68"/>
        <v>51.728304822658174</v>
      </c>
      <c r="Z165" s="587">
        <f t="shared" si="69"/>
        <v>112.48211662171926</v>
      </c>
      <c r="AA165" s="587">
        <f t="shared" si="70"/>
        <v>-0.71084465547018283</v>
      </c>
      <c r="AB165" s="587">
        <f t="shared" si="71"/>
        <v>-0.22993204306713722</v>
      </c>
      <c r="AC165" s="587"/>
      <c r="AD165" s="99">
        <f t="shared" si="72"/>
        <v>0</v>
      </c>
      <c r="AE165" s="99">
        <f t="shared" si="73"/>
        <v>26.089140240706424</v>
      </c>
      <c r="AF165" s="587">
        <f t="shared" si="74"/>
        <v>93.004693401172077</v>
      </c>
      <c r="AG165" s="587">
        <f t="shared" si="75"/>
        <v>51.728304822658174</v>
      </c>
      <c r="AH165" s="587">
        <f t="shared" si="76"/>
        <v>112.48211662171926</v>
      </c>
      <c r="AI165" s="587">
        <f t="shared" si="77"/>
        <v>0</v>
      </c>
      <c r="AJ165" s="587">
        <f t="shared" si="78"/>
        <v>0</v>
      </c>
      <c r="AK165" s="587"/>
      <c r="AL165" s="587">
        <f t="shared" si="79"/>
        <v>-4.9283330939917542</v>
      </c>
      <c r="AM165" s="587">
        <f t="shared" si="80"/>
        <v>-3.1882681778550253</v>
      </c>
      <c r="AN165" s="99">
        <f t="shared" si="81"/>
        <v>22.900872062851398</v>
      </c>
      <c r="AO165" s="587">
        <f t="shared" si="82"/>
        <v>80.251620689752002</v>
      </c>
      <c r="AP165" s="587">
        <f t="shared" si="83"/>
        <v>44.509294209900688</v>
      </c>
      <c r="AQ165" s="587">
        <f t="shared" si="84"/>
        <v>95.981520935416455</v>
      </c>
      <c r="AR165" s="587">
        <f t="shared" si="85"/>
        <v>-12.753072711420074</v>
      </c>
      <c r="AS165" s="587">
        <f t="shared" si="86"/>
        <v>-16.500595686302802</v>
      </c>
      <c r="AT165" s="587"/>
      <c r="AU165" s="587">
        <f t="shared" si="87"/>
        <v>0</v>
      </c>
      <c r="AV165" s="99">
        <f t="shared" si="88"/>
        <v>22.900872062851398</v>
      </c>
      <c r="AW165" s="99"/>
      <c r="AX165" s="587">
        <f t="shared" si="89"/>
        <v>80.251620689752002</v>
      </c>
      <c r="AY165" s="587">
        <f t="shared" si="90"/>
        <v>44.509294209900688</v>
      </c>
      <c r="AZ165" s="587">
        <f t="shared" si="91"/>
        <v>95.981520935416455</v>
      </c>
      <c r="BA165" s="587">
        <f t="shared" si="92"/>
        <v>0</v>
      </c>
      <c r="BB165" s="587">
        <f t="shared" si="93"/>
        <v>0</v>
      </c>
      <c r="BC165" s="99"/>
      <c r="BD165" s="515">
        <f t="shared" si="94"/>
        <v>10.350820424023397</v>
      </c>
      <c r="BE165" s="515">
        <f t="shared" si="95"/>
        <v>2.2900872062851397E-2</v>
      </c>
      <c r="BF165" s="587">
        <f t="shared" si="96"/>
        <v>8.0251620689752001E-2</v>
      </c>
      <c r="BG165" s="1112">
        <f t="shared" si="97"/>
        <v>9.5981520935416453E-2</v>
      </c>
      <c r="BH165" s="399"/>
      <c r="BI165" s="423"/>
    </row>
    <row r="166" spans="2:61">
      <c r="B166" s="1124">
        <f t="shared" si="48"/>
        <v>10.997746700524861</v>
      </c>
      <c r="C166" s="101">
        <f t="shared" si="98"/>
        <v>0.8500000000000002</v>
      </c>
      <c r="D166" s="587">
        <f t="shared" si="49"/>
        <v>32.359147266070671</v>
      </c>
      <c r="E166" s="587">
        <f t="shared" si="50"/>
        <v>19.127974023666813</v>
      </c>
      <c r="F166" s="587">
        <f t="shared" si="51"/>
        <v>48.245349416495223</v>
      </c>
      <c r="G166" s="587">
        <f t="shared" si="52"/>
        <v>31.21118425652525</v>
      </c>
      <c r="H166" s="587">
        <f t="shared" si="53"/>
        <v>40.302248341282947</v>
      </c>
      <c r="I166" s="587">
        <f t="shared" si="54"/>
        <v>25.16957914009603</v>
      </c>
      <c r="J166" s="587">
        <f t="shared" si="55"/>
        <v>66.915553160465649</v>
      </c>
      <c r="K166" s="587">
        <f t="shared" si="56"/>
        <v>35.147998589030095</v>
      </c>
      <c r="L166" s="587">
        <f t="shared" si="57"/>
        <v>60.753811799061076</v>
      </c>
      <c r="M166" s="99"/>
      <c r="N166" s="587">
        <f t="shared" si="58"/>
        <v>0</v>
      </c>
      <c r="O166" s="99">
        <f t="shared" si="59"/>
        <v>25.16957914009603</v>
      </c>
      <c r="P166" s="587">
        <f t="shared" si="60"/>
        <v>66.915553160465649</v>
      </c>
      <c r="Q166" s="587">
        <f t="shared" si="61"/>
        <v>35.147998589030095</v>
      </c>
      <c r="R166" s="587">
        <f t="shared" si="62"/>
        <v>60.753811799061076</v>
      </c>
      <c r="S166" s="587">
        <f t="shared" si="63"/>
        <v>0</v>
      </c>
      <c r="T166" s="587">
        <f t="shared" si="64"/>
        <v>0</v>
      </c>
      <c r="U166" s="587"/>
      <c r="V166" s="587">
        <f t="shared" si="65"/>
        <v>0</v>
      </c>
      <c r="W166" s="99">
        <f t="shared" si="66"/>
        <v>25.16957914009603</v>
      </c>
      <c r="X166" s="587">
        <f t="shared" si="67"/>
        <v>66.915553160465649</v>
      </c>
      <c r="Y166" s="587">
        <f t="shared" si="68"/>
        <v>35.147998589030095</v>
      </c>
      <c r="Z166" s="587">
        <f t="shared" si="69"/>
        <v>60.753811799061076</v>
      </c>
      <c r="AA166" s="587">
        <f t="shared" si="70"/>
        <v>0</v>
      </c>
      <c r="AB166" s="587">
        <f t="shared" si="71"/>
        <v>0</v>
      </c>
      <c r="AC166" s="587"/>
      <c r="AD166" s="99">
        <f t="shared" si="72"/>
        <v>0</v>
      </c>
      <c r="AE166" s="99">
        <f t="shared" si="73"/>
        <v>25.16957914009603</v>
      </c>
      <c r="AF166" s="587">
        <f t="shared" si="74"/>
        <v>66.915553160465649</v>
      </c>
      <c r="AG166" s="587">
        <f t="shared" si="75"/>
        <v>35.147998589030095</v>
      </c>
      <c r="AH166" s="587">
        <f t="shared" si="76"/>
        <v>60.753811799061076</v>
      </c>
      <c r="AI166" s="587">
        <f t="shared" si="77"/>
        <v>0</v>
      </c>
      <c r="AJ166" s="587">
        <f t="shared" si="78"/>
        <v>0</v>
      </c>
      <c r="AK166" s="587"/>
      <c r="AL166" s="587">
        <f t="shared" si="79"/>
        <v>-4.9283330939917542</v>
      </c>
      <c r="AM166" s="587">
        <f t="shared" si="80"/>
        <v>-3.1882681778550168</v>
      </c>
      <c r="AN166" s="99">
        <f t="shared" si="81"/>
        <v>21.981310962241011</v>
      </c>
      <c r="AO166" s="587">
        <f t="shared" si="82"/>
        <v>57.350748626900597</v>
      </c>
      <c r="AP166" s="587">
        <f t="shared" si="83"/>
        <v>29.99156243706048</v>
      </c>
      <c r="AQ166" s="587">
        <f t="shared" si="84"/>
        <v>51.472226725515767</v>
      </c>
      <c r="AR166" s="587">
        <f t="shared" si="85"/>
        <v>-9.5648045335650522</v>
      </c>
      <c r="AS166" s="587">
        <f t="shared" si="86"/>
        <v>-9.2815850735453083</v>
      </c>
      <c r="AT166" s="587"/>
      <c r="AU166" s="587">
        <f t="shared" si="87"/>
        <v>0</v>
      </c>
      <c r="AV166" s="99">
        <f t="shared" si="88"/>
        <v>21.981310962241011</v>
      </c>
      <c r="AW166" s="99"/>
      <c r="AX166" s="587">
        <f t="shared" si="89"/>
        <v>57.350748626900597</v>
      </c>
      <c r="AY166" s="587">
        <f t="shared" si="90"/>
        <v>29.99156243706048</v>
      </c>
      <c r="AZ166" s="587">
        <f t="shared" si="91"/>
        <v>51.472226725515767</v>
      </c>
      <c r="BA166" s="587">
        <f t="shared" si="92"/>
        <v>0</v>
      </c>
      <c r="BB166" s="587">
        <f t="shared" si="93"/>
        <v>0</v>
      </c>
      <c r="BC166" s="99"/>
      <c r="BD166" s="515">
        <f t="shared" si="94"/>
        <v>10.997746700524861</v>
      </c>
      <c r="BE166" s="515">
        <f t="shared" si="95"/>
        <v>2.198131096224101E-2</v>
      </c>
      <c r="BF166" s="587">
        <f t="shared" si="96"/>
        <v>5.7350748626900594E-2</v>
      </c>
      <c r="BG166" s="1112">
        <f t="shared" si="97"/>
        <v>5.1472226725515768E-2</v>
      </c>
      <c r="BH166" s="399"/>
      <c r="BI166" s="423"/>
    </row>
    <row r="167" spans="2:61">
      <c r="B167" s="1124">
        <f t="shared" si="48"/>
        <v>11.644672977026323</v>
      </c>
      <c r="C167" s="101">
        <f t="shared" si="98"/>
        <v>0.90000000000000024</v>
      </c>
      <c r="D167" s="587">
        <f t="shared" si="49"/>
        <v>26.77579505567185</v>
      </c>
      <c r="E167" s="587">
        <f t="shared" si="50"/>
        <v>14.865281112777389</v>
      </c>
      <c r="F167" s="587">
        <f t="shared" si="51"/>
        <v>48.245349416495223</v>
      </c>
      <c r="G167" s="587">
        <f t="shared" si="52"/>
        <v>31.21118425652525</v>
      </c>
      <c r="H167" s="587">
        <f t="shared" si="53"/>
        <v>37.510572236083533</v>
      </c>
      <c r="I167" s="587">
        <f t="shared" si="54"/>
        <v>23.038232684651316</v>
      </c>
      <c r="J167" s="587">
        <f t="shared" si="55"/>
        <v>41.745974020369616</v>
      </c>
      <c r="K167" s="587">
        <f t="shared" si="56"/>
        <v>19.554548487996612</v>
      </c>
      <c r="L167" s="587">
        <f t="shared" si="57"/>
        <v>25.605813210030981</v>
      </c>
      <c r="M167" s="99"/>
      <c r="N167" s="587">
        <f t="shared" si="58"/>
        <v>0</v>
      </c>
      <c r="O167" s="99">
        <f t="shared" si="59"/>
        <v>23.038232684651316</v>
      </c>
      <c r="P167" s="587">
        <f t="shared" si="60"/>
        <v>41.745974020369616</v>
      </c>
      <c r="Q167" s="587">
        <f t="shared" si="61"/>
        <v>19.554548487996612</v>
      </c>
      <c r="R167" s="587">
        <f t="shared" si="62"/>
        <v>25.605813210030981</v>
      </c>
      <c r="S167" s="587">
        <f t="shared" si="63"/>
        <v>0</v>
      </c>
      <c r="T167" s="587">
        <f t="shared" si="64"/>
        <v>0</v>
      </c>
      <c r="U167" s="587"/>
      <c r="V167" s="587">
        <f t="shared" si="65"/>
        <v>0</v>
      </c>
      <c r="W167" s="99">
        <f t="shared" si="66"/>
        <v>23.038232684651316</v>
      </c>
      <c r="X167" s="587">
        <f t="shared" si="67"/>
        <v>41.745974020369616</v>
      </c>
      <c r="Y167" s="587">
        <f t="shared" si="68"/>
        <v>19.554548487996612</v>
      </c>
      <c r="Z167" s="587">
        <f t="shared" si="69"/>
        <v>25.605813210030981</v>
      </c>
      <c r="AA167" s="587">
        <f t="shared" si="70"/>
        <v>0</v>
      </c>
      <c r="AB167" s="587">
        <f t="shared" si="71"/>
        <v>0</v>
      </c>
      <c r="AC167" s="587"/>
      <c r="AD167" s="99">
        <f t="shared" si="72"/>
        <v>0</v>
      </c>
      <c r="AE167" s="99">
        <f t="shared" si="73"/>
        <v>23.038232684651316</v>
      </c>
      <c r="AF167" s="587">
        <f t="shared" si="74"/>
        <v>41.745974020369616</v>
      </c>
      <c r="AG167" s="587">
        <f t="shared" si="75"/>
        <v>19.554548487996612</v>
      </c>
      <c r="AH167" s="587">
        <f t="shared" si="76"/>
        <v>25.605813210030981</v>
      </c>
      <c r="AI167" s="587">
        <f t="shared" si="77"/>
        <v>0</v>
      </c>
      <c r="AJ167" s="587">
        <f t="shared" si="78"/>
        <v>0</v>
      </c>
      <c r="AK167" s="587"/>
      <c r="AL167" s="587">
        <f t="shared" si="79"/>
        <v>-4.9283330939917542</v>
      </c>
      <c r="AM167" s="587">
        <f t="shared" si="80"/>
        <v>-3.1882681778550168</v>
      </c>
      <c r="AN167" s="99">
        <f t="shared" si="81"/>
        <v>19.849964506796297</v>
      </c>
      <c r="AO167" s="587">
        <f t="shared" si="82"/>
        <v>35.369437664659586</v>
      </c>
      <c r="AP167" s="587">
        <f t="shared" si="83"/>
        <v>16.460686796814841</v>
      </c>
      <c r="AQ167" s="587">
        <f t="shared" si="84"/>
        <v>21.480664288455284</v>
      </c>
      <c r="AR167" s="587">
        <f t="shared" si="85"/>
        <v>-6.3765363557100301</v>
      </c>
      <c r="AS167" s="587">
        <f t="shared" si="86"/>
        <v>-4.1251489215756969</v>
      </c>
      <c r="AT167" s="587"/>
      <c r="AU167" s="587">
        <f t="shared" si="87"/>
        <v>0</v>
      </c>
      <c r="AV167" s="99">
        <f t="shared" si="88"/>
        <v>19.849964506796297</v>
      </c>
      <c r="AW167" s="99"/>
      <c r="AX167" s="587">
        <f t="shared" si="89"/>
        <v>35.369437664659586</v>
      </c>
      <c r="AY167" s="587">
        <f t="shared" si="90"/>
        <v>16.460686796814841</v>
      </c>
      <c r="AZ167" s="587">
        <f t="shared" si="91"/>
        <v>21.480664288455284</v>
      </c>
      <c r="BA167" s="587">
        <f t="shared" si="92"/>
        <v>0</v>
      </c>
      <c r="BB167" s="587">
        <f t="shared" si="93"/>
        <v>0</v>
      </c>
      <c r="BC167" s="99"/>
      <c r="BD167" s="515">
        <f t="shared" si="94"/>
        <v>11.644672977026323</v>
      </c>
      <c r="BE167" s="515">
        <f t="shared" si="95"/>
        <v>1.9849964506796297E-2</v>
      </c>
      <c r="BF167" s="587">
        <f t="shared" si="96"/>
        <v>3.5369437664659588E-2</v>
      </c>
      <c r="BG167" s="1112">
        <f t="shared" si="97"/>
        <v>2.1480664288455284E-2</v>
      </c>
      <c r="BH167" s="399"/>
      <c r="BI167" s="423"/>
    </row>
    <row r="168" spans="2:61">
      <c r="B168" s="1124">
        <f t="shared" si="48"/>
        <v>12.291599253527785</v>
      </c>
      <c r="C168" s="101">
        <f t="shared" si="98"/>
        <v>0.95000000000000029</v>
      </c>
      <c r="D168" s="587">
        <f t="shared" si="49"/>
        <v>19.180851482687725</v>
      </c>
      <c r="E168" s="587">
        <f t="shared" si="50"/>
        <v>6.2042984149113609</v>
      </c>
      <c r="F168" s="587">
        <f t="shared" si="51"/>
        <v>48.245349416495223</v>
      </c>
      <c r="G168" s="587">
        <f t="shared" si="52"/>
        <v>31.21118425652525</v>
      </c>
      <c r="H168" s="587">
        <f t="shared" si="53"/>
        <v>33.713100449591472</v>
      </c>
      <c r="I168" s="587">
        <f t="shared" si="54"/>
        <v>18.707741335718303</v>
      </c>
      <c r="J168" s="587">
        <f t="shared" si="55"/>
        <v>18.707741335718303</v>
      </c>
      <c r="K168" s="587">
        <f t="shared" si="56"/>
        <v>6.0512647220343672</v>
      </c>
      <c r="L168" s="587">
        <f t="shared" si="57"/>
        <v>6.0512647220343672</v>
      </c>
      <c r="M168" s="99"/>
      <c r="N168" s="587">
        <f t="shared" si="58"/>
        <v>0</v>
      </c>
      <c r="O168" s="99">
        <f t="shared" si="59"/>
        <v>18.707741335718303</v>
      </c>
      <c r="P168" s="587">
        <f t="shared" si="60"/>
        <v>18.707741335718303</v>
      </c>
      <c r="Q168" s="587">
        <f t="shared" si="61"/>
        <v>6.0512647220343672</v>
      </c>
      <c r="R168" s="587">
        <f t="shared" si="62"/>
        <v>6.0512647220343672</v>
      </c>
      <c r="S168" s="587">
        <f t="shared" si="63"/>
        <v>0</v>
      </c>
      <c r="T168" s="587">
        <f t="shared" si="64"/>
        <v>0</v>
      </c>
      <c r="U168" s="587"/>
      <c r="V168" s="587">
        <f t="shared" si="65"/>
        <v>0</v>
      </c>
      <c r="W168" s="99">
        <f t="shared" si="66"/>
        <v>18.707741335718303</v>
      </c>
      <c r="X168" s="587">
        <f t="shared" si="67"/>
        <v>18.707741335718303</v>
      </c>
      <c r="Y168" s="587">
        <f t="shared" si="68"/>
        <v>6.0512647220343672</v>
      </c>
      <c r="Z168" s="587">
        <f t="shared" si="69"/>
        <v>6.0512647220343672</v>
      </c>
      <c r="AA168" s="587">
        <f t="shared" si="70"/>
        <v>0</v>
      </c>
      <c r="AB168" s="587">
        <f t="shared" si="71"/>
        <v>0</v>
      </c>
      <c r="AC168" s="587"/>
      <c r="AD168" s="99">
        <f t="shared" si="72"/>
        <v>0</v>
      </c>
      <c r="AE168" s="99">
        <f t="shared" si="73"/>
        <v>18.707741335718303</v>
      </c>
      <c r="AF168" s="587">
        <f t="shared" si="74"/>
        <v>18.707741335718303</v>
      </c>
      <c r="AG168" s="587">
        <f t="shared" si="75"/>
        <v>6.0512647220343672</v>
      </c>
      <c r="AH168" s="587">
        <f t="shared" si="76"/>
        <v>6.0512647220343672</v>
      </c>
      <c r="AI168" s="587">
        <f t="shared" si="77"/>
        <v>0</v>
      </c>
      <c r="AJ168" s="587">
        <f t="shared" si="78"/>
        <v>0</v>
      </c>
      <c r="AK168" s="587"/>
      <c r="AL168" s="587">
        <f t="shared" si="79"/>
        <v>-4.9283330939917542</v>
      </c>
      <c r="AM168" s="587">
        <f t="shared" si="80"/>
        <v>-3.1882681778550168</v>
      </c>
      <c r="AN168" s="99">
        <f t="shared" si="81"/>
        <v>15.519473157863287</v>
      </c>
      <c r="AO168" s="587">
        <f t="shared" si="82"/>
        <v>15.519473157863287</v>
      </c>
      <c r="AP168" s="587">
        <f t="shared" si="83"/>
        <v>5.0199774916404429</v>
      </c>
      <c r="AQ168" s="587">
        <f t="shared" si="84"/>
        <v>5.0199774916404429</v>
      </c>
      <c r="AR168" s="587">
        <f t="shared" si="85"/>
        <v>-3.1882681778550168</v>
      </c>
      <c r="AS168" s="587">
        <f t="shared" si="86"/>
        <v>-1.0312872303939242</v>
      </c>
      <c r="AT168" s="587"/>
      <c r="AU168" s="587">
        <f t="shared" si="87"/>
        <v>0</v>
      </c>
      <c r="AV168" s="99">
        <f t="shared" si="88"/>
        <v>15.519473157863287</v>
      </c>
      <c r="AW168" s="99"/>
      <c r="AX168" s="587">
        <f t="shared" si="89"/>
        <v>15.519473157863287</v>
      </c>
      <c r="AY168" s="587">
        <f t="shared" si="90"/>
        <v>5.0199774916404429</v>
      </c>
      <c r="AZ168" s="587">
        <f t="shared" si="91"/>
        <v>5.0199774916404429</v>
      </c>
      <c r="BA168" s="587">
        <f t="shared" si="92"/>
        <v>0</v>
      </c>
      <c r="BB168" s="587">
        <f t="shared" si="93"/>
        <v>0</v>
      </c>
      <c r="BC168" s="99"/>
      <c r="BD168" s="515">
        <f t="shared" si="94"/>
        <v>12.291599253527785</v>
      </c>
      <c r="BE168" s="515">
        <f t="shared" si="95"/>
        <v>1.5519473157863287E-2</v>
      </c>
      <c r="BF168" s="587">
        <f t="shared" si="96"/>
        <v>1.5519473157863287E-2</v>
      </c>
      <c r="BG168" s="1112">
        <f t="shared" si="97"/>
        <v>5.0199774916404429E-3</v>
      </c>
      <c r="BH168" s="399"/>
      <c r="BI168" s="423"/>
    </row>
    <row r="169" spans="2:61">
      <c r="B169" s="1125">
        <f t="shared" si="48"/>
        <v>12.938525530029247</v>
      </c>
      <c r="C169" s="101">
        <f t="shared" si="98"/>
        <v>1.0000000000000002</v>
      </c>
      <c r="D169" s="99">
        <v>0</v>
      </c>
      <c r="E169" s="99">
        <v>0</v>
      </c>
      <c r="F169" s="99">
        <f t="shared" si="51"/>
        <v>48.245349416495223</v>
      </c>
      <c r="G169" s="99">
        <v>0</v>
      </c>
      <c r="H169" s="99">
        <f t="shared" si="53"/>
        <v>24.122674708247612</v>
      </c>
      <c r="I169" s="99">
        <v>0</v>
      </c>
      <c r="J169" s="99">
        <v>0</v>
      </c>
      <c r="K169" s="99">
        <v>0</v>
      </c>
      <c r="L169" s="99">
        <v>0</v>
      </c>
      <c r="M169" s="99"/>
      <c r="N169" s="99">
        <f t="shared" si="58"/>
        <v>0</v>
      </c>
      <c r="O169" s="99">
        <f t="shared" si="59"/>
        <v>0</v>
      </c>
      <c r="P169" s="99">
        <v>0</v>
      </c>
      <c r="Q169" s="99">
        <v>0</v>
      </c>
      <c r="R169" s="99">
        <v>0</v>
      </c>
      <c r="S169" s="99">
        <f t="shared" si="63"/>
        <v>0</v>
      </c>
      <c r="T169" s="99">
        <f t="shared" si="64"/>
        <v>0</v>
      </c>
      <c r="U169" s="99"/>
      <c r="V169" s="99">
        <f t="shared" si="65"/>
        <v>0</v>
      </c>
      <c r="W169" s="99">
        <f t="shared" si="66"/>
        <v>0</v>
      </c>
      <c r="X169" s="99">
        <v>0</v>
      </c>
      <c r="Y169" s="99">
        <v>0</v>
      </c>
      <c r="Z169" s="99">
        <v>0</v>
      </c>
      <c r="AA169" s="99">
        <f t="shared" si="70"/>
        <v>0</v>
      </c>
      <c r="AB169" s="99">
        <f t="shared" si="71"/>
        <v>0</v>
      </c>
      <c r="AC169" s="99"/>
      <c r="AD169" s="99">
        <f t="shared" si="72"/>
        <v>0</v>
      </c>
      <c r="AE169" s="99">
        <f t="shared" si="73"/>
        <v>0</v>
      </c>
      <c r="AF169" s="99">
        <v>0</v>
      </c>
      <c r="AG169" s="99">
        <v>0</v>
      </c>
      <c r="AH169" s="99">
        <v>0</v>
      </c>
      <c r="AI169" s="99">
        <f t="shared" si="77"/>
        <v>0</v>
      </c>
      <c r="AJ169" s="99">
        <f t="shared" si="78"/>
        <v>0</v>
      </c>
      <c r="AK169" s="99"/>
      <c r="AL169" s="99">
        <f t="shared" si="79"/>
        <v>-4.9283330939917542</v>
      </c>
      <c r="AM169" s="99">
        <v>0</v>
      </c>
      <c r="AN169" s="99">
        <f t="shared" si="81"/>
        <v>0</v>
      </c>
      <c r="AO169" s="99">
        <v>0</v>
      </c>
      <c r="AP169" s="99">
        <v>0</v>
      </c>
      <c r="AQ169" s="99">
        <v>0</v>
      </c>
      <c r="AR169" s="99">
        <f t="shared" si="85"/>
        <v>0</v>
      </c>
      <c r="AS169" s="99">
        <f t="shared" si="86"/>
        <v>0</v>
      </c>
      <c r="AT169" s="99"/>
      <c r="AU169" s="99">
        <f t="shared" si="87"/>
        <v>0</v>
      </c>
      <c r="AV169" s="99">
        <f t="shared" si="88"/>
        <v>0</v>
      </c>
      <c r="AW169" s="99"/>
      <c r="AX169" s="99">
        <v>0</v>
      </c>
      <c r="AY169" s="99">
        <v>0</v>
      </c>
      <c r="AZ169" s="99">
        <v>0</v>
      </c>
      <c r="BA169" s="99">
        <f t="shared" si="92"/>
        <v>0</v>
      </c>
      <c r="BB169" s="99">
        <f t="shared" si="93"/>
        <v>0</v>
      </c>
      <c r="BC169" s="99"/>
      <c r="BD169" s="515">
        <f t="shared" si="94"/>
        <v>12.938525530029247</v>
      </c>
      <c r="BE169" s="515">
        <f t="shared" si="95"/>
        <v>0</v>
      </c>
      <c r="BF169" s="587">
        <f t="shared" si="96"/>
        <v>0</v>
      </c>
      <c r="BG169" s="1112">
        <f t="shared" si="97"/>
        <v>0</v>
      </c>
      <c r="BH169" s="600"/>
      <c r="BI169" s="423"/>
    </row>
    <row r="170" spans="2:61">
      <c r="B170" s="246"/>
      <c r="C170" s="223"/>
      <c r="D170" s="223"/>
      <c r="E170" s="94"/>
      <c r="F170" s="223"/>
      <c r="G170" s="223"/>
      <c r="H170" s="223"/>
      <c r="I170" s="223"/>
      <c r="J170" s="223"/>
      <c r="K170" s="94"/>
      <c r="L170" s="223"/>
      <c r="M170" s="94"/>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223"/>
      <c r="AJ170" s="223"/>
      <c r="AK170" s="223"/>
      <c r="AL170" s="223"/>
      <c r="AM170" s="223"/>
      <c r="AN170" s="223"/>
      <c r="AO170" s="223"/>
      <c r="AP170" s="223"/>
      <c r="AQ170" s="223"/>
      <c r="AR170" s="223"/>
      <c r="AS170" s="223"/>
      <c r="AT170" s="223"/>
      <c r="AU170" s="223"/>
      <c r="AV170" s="223"/>
      <c r="AW170" s="223"/>
      <c r="AX170" s="223"/>
      <c r="AY170" s="223"/>
      <c r="AZ170" s="223"/>
      <c r="BA170" s="223"/>
      <c r="BB170" s="223"/>
      <c r="BC170" s="223"/>
      <c r="BD170" s="223"/>
      <c r="BE170" s="223"/>
      <c r="BF170" s="223"/>
      <c r="BG170" s="460"/>
      <c r="BH170" s="335"/>
      <c r="BI170" s="335"/>
    </row>
    <row r="171" spans="2:61">
      <c r="B171" s="1117" t="s">
        <v>146</v>
      </c>
      <c r="C171" s="223"/>
      <c r="D171" s="99"/>
      <c r="E171" s="99">
        <f>SUM(E149:E169)</f>
        <v>621.6152414955983</v>
      </c>
      <c r="F171" s="587"/>
      <c r="G171" s="99">
        <f>SUM(G149:G169)</f>
        <v>624.22368513050515</v>
      </c>
      <c r="H171" s="587"/>
      <c r="I171" s="99">
        <f>SUM(I149:I169)</f>
        <v>622.91946331305178</v>
      </c>
      <c r="J171" s="223"/>
      <c r="K171" s="94"/>
      <c r="L171" s="223"/>
      <c r="M171" s="94"/>
      <c r="N171" s="99">
        <f>SUM(N149:N169)</f>
        <v>655.71127893582764</v>
      </c>
      <c r="O171" s="99">
        <f>SUM(O149:O169)</f>
        <v>1278.6307422488792</v>
      </c>
      <c r="P171" s="99"/>
      <c r="Q171" s="99"/>
      <c r="R171" s="99"/>
      <c r="S171" s="223"/>
      <c r="T171" s="223"/>
      <c r="U171" s="223"/>
      <c r="V171" s="99">
        <f>SUM(V149:V169)</f>
        <v>-12.084359142993227</v>
      </c>
      <c r="W171" s="99">
        <f>SUM(W149:W169)</f>
        <v>1266.5463831058864</v>
      </c>
      <c r="X171" s="99"/>
      <c r="Y171" s="99"/>
      <c r="Z171" s="99"/>
      <c r="AA171" s="223"/>
      <c r="AB171" s="223"/>
      <c r="AC171" s="223"/>
      <c r="AD171" s="99">
        <f>SUM(AD149:AD169)</f>
        <v>0</v>
      </c>
      <c r="AE171" s="99">
        <f>SUM(AE149:AE169)</f>
        <v>1266.5463831058864</v>
      </c>
      <c r="AF171" s="99"/>
      <c r="AG171" s="99"/>
      <c r="AH171" s="99"/>
      <c r="AI171" s="223"/>
      <c r="AJ171" s="223"/>
      <c r="AK171" s="223"/>
      <c r="AL171" s="223"/>
      <c r="AM171" s="99">
        <f>SUM(AM149:AM169)</f>
        <v>-63.765363557100322</v>
      </c>
      <c r="AN171" s="99">
        <f>SUM(AN149:AN169)</f>
        <v>1202.7810195487859</v>
      </c>
      <c r="AO171" s="99"/>
      <c r="AP171" s="99"/>
      <c r="AQ171" s="99"/>
      <c r="AR171" s="223"/>
      <c r="AS171" s="223"/>
      <c r="AT171" s="223"/>
      <c r="AU171" s="99">
        <f>SUM(AU149:AU169)</f>
        <v>-230.93581813996076</v>
      </c>
      <c r="AV171" s="99">
        <f>SUM(AV149:AV169)</f>
        <v>971.84520140882501</v>
      </c>
      <c r="AW171" s="99"/>
      <c r="AX171" s="99"/>
      <c r="AY171" s="99"/>
      <c r="AZ171" s="99"/>
      <c r="BA171" s="223"/>
      <c r="BB171" s="223"/>
      <c r="BC171" s="223"/>
      <c r="BD171" s="223"/>
      <c r="BE171" s="223"/>
      <c r="BF171" s="223"/>
      <c r="BG171" s="460"/>
      <c r="BH171" s="335"/>
      <c r="BI171" s="335"/>
    </row>
    <row r="172" spans="2:61">
      <c r="B172" s="1117" t="s">
        <v>1812</v>
      </c>
      <c r="C172" s="223"/>
      <c r="D172" s="1126"/>
      <c r="E172" s="1126">
        <f>((2*E171)-$Q21)/$Q21</f>
        <v>-4.1787001952053133E-3</v>
      </c>
      <c r="F172" s="1127"/>
      <c r="G172" s="1126">
        <f>((2*G171)-$Q21)/$Q21</f>
        <v>3.6425031740936841E-16</v>
      </c>
      <c r="H172" s="1127"/>
      <c r="I172" s="1126">
        <f>((2*I171)-$Q21)/$Q21</f>
        <v>-2.0893500976023834E-3</v>
      </c>
      <c r="J172" s="223"/>
      <c r="K172" s="94"/>
      <c r="L172" s="223"/>
      <c r="M172" s="94"/>
      <c r="N172" s="223"/>
      <c r="O172" s="1126">
        <f>((O171)-(($Q21/2)+$Q$22))/(($Q21/2)+$Q$22)</f>
        <v>0.30448400210728543</v>
      </c>
      <c r="P172" s="1126"/>
      <c r="Q172" s="1126"/>
      <c r="R172" s="1126"/>
      <c r="S172" s="223"/>
      <c r="T172" s="223"/>
      <c r="U172" s="223"/>
      <c r="V172" s="223"/>
      <c r="W172" s="1126">
        <f>((W171)-(($Q21/2)+$Q$22-$Q$23))/(($Q21/2)+$Q$22-$Q$23)</f>
        <v>0.30828475192956084</v>
      </c>
      <c r="X172" s="1126"/>
      <c r="Y172" s="1126"/>
      <c r="Z172" s="1126"/>
      <c r="AA172" s="223"/>
      <c r="AB172" s="223"/>
      <c r="AC172" s="223"/>
      <c r="AD172" s="223"/>
      <c r="AE172" s="1126">
        <f>((AE171)-(($Q21/2)+$Q$22-$Q$23-$Q$24-$Q$25))/(($Q21/2)+$Q$22-$Q$23-$Q$24-$Q$25)</f>
        <v>0.30828475192956084</v>
      </c>
      <c r="AF172" s="1126"/>
      <c r="AG172" s="1126"/>
      <c r="AH172" s="1126"/>
      <c r="AI172" s="223"/>
      <c r="AJ172" s="223"/>
      <c r="AK172" s="223"/>
      <c r="AL172" s="223"/>
      <c r="AM172" s="1126"/>
      <c r="AN172" s="1126">
        <f>((AN171)-(($Q21/2)+$Q$22-$Q$23-$Q$24-$Q$25-($Q$27/2)))/(($Q21/2)+$Q$22-$Q$23-$Q$24-$Q$25-($Q$27/2))</f>
        <v>0.33002223313504303</v>
      </c>
      <c r="AO172" s="1126"/>
      <c r="AP172" s="1126"/>
      <c r="AQ172" s="1126"/>
      <c r="AR172" s="223"/>
      <c r="AS172" s="223"/>
      <c r="AT172" s="223"/>
      <c r="AU172" s="223"/>
      <c r="AV172" s="1126">
        <f>((AV171)-(($Q21/2)+$Q$22-$Q$23-$Q$24-$Q$25-($Q$27/2)-$Q$26))/(($Q21/2)+$Q$22-$Q$23-$Q$24-$Q$25-($Q$27/2)-$Q$26)</f>
        <v>0.15510350713100118</v>
      </c>
      <c r="AW172" s="1126"/>
      <c r="AX172" s="1126"/>
      <c r="AY172" s="1126"/>
      <c r="AZ172" s="1126"/>
      <c r="BA172" s="223"/>
      <c r="BB172" s="223"/>
      <c r="BC172" s="223"/>
      <c r="BD172" s="223"/>
      <c r="BE172" s="223"/>
      <c r="BF172" s="223"/>
      <c r="BG172" s="460"/>
      <c r="BH172" s="335"/>
      <c r="BI172" s="335"/>
    </row>
    <row r="173" spans="2:61">
      <c r="B173" s="246"/>
      <c r="C173" s="223"/>
      <c r="D173" s="223"/>
      <c r="E173" s="94"/>
      <c r="F173" s="223"/>
      <c r="G173" s="223"/>
      <c r="H173" s="223"/>
      <c r="I173" s="223"/>
      <c r="J173" s="223"/>
      <c r="K173" s="94"/>
      <c r="L173" s="223"/>
      <c r="M173" s="94"/>
      <c r="N173" s="587"/>
      <c r="O173" s="223"/>
      <c r="P173" s="223"/>
      <c r="Q173" s="223"/>
      <c r="R173" s="223"/>
      <c r="S173" s="223"/>
      <c r="T173" s="223"/>
      <c r="U173" s="223"/>
      <c r="V173" s="223"/>
      <c r="W173" s="223"/>
      <c r="X173" s="223"/>
      <c r="Y173" s="223"/>
      <c r="Z173" s="223"/>
      <c r="AA173" s="223"/>
      <c r="AB173" s="223"/>
      <c r="AC173" s="223"/>
      <c r="AD173" s="223"/>
      <c r="AE173" s="223"/>
      <c r="AF173" s="223"/>
      <c r="AG173" s="223"/>
      <c r="AH173" s="223"/>
      <c r="AI173" s="223"/>
      <c r="AJ173" s="223"/>
      <c r="AK173" s="223"/>
      <c r="AL173" s="223"/>
      <c r="AM173" s="223"/>
      <c r="AN173" s="223"/>
      <c r="AO173" s="223"/>
      <c r="AP173" s="223"/>
      <c r="AQ173" s="223"/>
      <c r="AR173" s="223"/>
      <c r="AS173" s="223"/>
      <c r="AT173" s="223"/>
      <c r="AU173" s="223"/>
      <c r="AV173" s="223"/>
      <c r="AW173" s="223"/>
      <c r="AX173" s="223"/>
      <c r="AY173" s="223"/>
      <c r="AZ173" s="223"/>
      <c r="BA173" s="223"/>
      <c r="BB173" s="223"/>
      <c r="BC173" s="223"/>
      <c r="BD173" s="223"/>
      <c r="BE173" s="223"/>
      <c r="BF173" s="223"/>
      <c r="BG173" s="460"/>
      <c r="BH173" s="335"/>
      <c r="BI173" s="335"/>
    </row>
    <row r="174" spans="2:61">
      <c r="B174" s="246"/>
      <c r="C174" s="223"/>
      <c r="D174" s="223"/>
      <c r="E174" s="223"/>
      <c r="F174" s="223"/>
      <c r="G174" s="223"/>
      <c r="H174" s="223"/>
      <c r="I174" s="223"/>
      <c r="J174" s="223"/>
      <c r="K174" s="223"/>
      <c r="L174" s="223"/>
      <c r="M174" s="94"/>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c r="AI174" s="223"/>
      <c r="AJ174" s="223"/>
      <c r="AK174" s="223"/>
      <c r="AL174" s="223"/>
      <c r="AM174" s="223"/>
      <c r="AN174" s="223"/>
      <c r="AO174" s="223"/>
      <c r="AP174" s="223"/>
      <c r="AQ174" s="223"/>
      <c r="AR174" s="223"/>
      <c r="AS174" s="223"/>
      <c r="AT174" s="223"/>
      <c r="AU174" s="223"/>
      <c r="AV174" s="223"/>
      <c r="AW174" s="223"/>
      <c r="AX174" s="223"/>
      <c r="AY174" s="223"/>
      <c r="AZ174" s="223"/>
      <c r="BA174" s="223"/>
      <c r="BB174" s="223"/>
      <c r="BC174" s="223"/>
      <c r="BD174" s="223"/>
      <c r="BE174" s="223"/>
      <c r="BF174" s="223"/>
      <c r="BG174" s="460"/>
      <c r="BH174" s="335"/>
      <c r="BI174" s="335"/>
    </row>
    <row r="175" spans="2:61" ht="13.8" thickBot="1">
      <c r="B175" s="463"/>
      <c r="C175" s="579"/>
      <c r="D175" s="579"/>
      <c r="E175" s="579"/>
      <c r="F175" s="579"/>
      <c r="G175" s="579"/>
      <c r="H175" s="579"/>
      <c r="I175" s="579"/>
      <c r="J175" s="579"/>
      <c r="K175" s="579"/>
      <c r="L175" s="579"/>
      <c r="M175" s="654"/>
      <c r="N175" s="579"/>
      <c r="O175" s="579"/>
      <c r="P175" s="579"/>
      <c r="Q175" s="579"/>
      <c r="R175" s="579"/>
      <c r="S175" s="579"/>
      <c r="T175" s="579"/>
      <c r="U175" s="579"/>
      <c r="V175" s="579"/>
      <c r="W175" s="579"/>
      <c r="X175" s="579"/>
      <c r="Y175" s="579"/>
      <c r="Z175" s="579"/>
      <c r="AA175" s="579"/>
      <c r="AB175" s="579"/>
      <c r="AC175" s="579"/>
      <c r="AD175" s="579"/>
      <c r="AE175" s="579"/>
      <c r="AF175" s="579"/>
      <c r="AG175" s="579"/>
      <c r="AH175" s="579"/>
      <c r="AI175" s="579"/>
      <c r="AJ175" s="579"/>
      <c r="AK175" s="579"/>
      <c r="AL175" s="579"/>
      <c r="AM175" s="579"/>
      <c r="AN175" s="579"/>
      <c r="AO175" s="579"/>
      <c r="AP175" s="579"/>
      <c r="AQ175" s="579"/>
      <c r="AR175" s="579"/>
      <c r="AS175" s="579"/>
      <c r="AT175" s="579"/>
      <c r="AU175" s="579"/>
      <c r="AV175" s="579"/>
      <c r="AW175" s="579"/>
      <c r="AX175" s="579"/>
      <c r="AY175" s="579"/>
      <c r="AZ175" s="579"/>
      <c r="BA175" s="579"/>
      <c r="BB175" s="579"/>
      <c r="BC175" s="579"/>
      <c r="BD175" s="579"/>
      <c r="BE175" s="579"/>
      <c r="BF175" s="579"/>
      <c r="BG175" s="464"/>
      <c r="BH175" s="335"/>
      <c r="BI175" s="335"/>
    </row>
    <row r="176" spans="2:61" ht="13.8" thickBot="1">
      <c r="F176" s="303"/>
      <c r="G176" s="335"/>
      <c r="H176" s="335"/>
      <c r="Y176" s="323"/>
      <c r="Z176" s="323"/>
      <c r="AA176" s="323"/>
      <c r="AK176" s="335"/>
      <c r="AL176" s="335"/>
      <c r="AM176" s="335"/>
      <c r="AN176" s="335"/>
      <c r="AO176" s="335"/>
      <c r="AP176" s="335"/>
      <c r="AQ176" s="335"/>
      <c r="AR176" s="335"/>
      <c r="AS176" s="335"/>
      <c r="AT176" s="335"/>
      <c r="AU176" s="335"/>
      <c r="AV176" s="335"/>
      <c r="AW176" s="335"/>
      <c r="AX176" s="335"/>
      <c r="AY176" s="335"/>
      <c r="AZ176" s="335"/>
      <c r="BA176" s="335"/>
      <c r="BB176" s="335"/>
      <c r="BC176" s="335"/>
      <c r="BD176" s="335"/>
      <c r="BE176" s="335"/>
      <c r="BF176" s="335"/>
      <c r="BG176" s="335"/>
      <c r="BH176" s="335"/>
      <c r="BI176" s="335"/>
    </row>
    <row r="177" spans="2:61">
      <c r="B177" s="565"/>
      <c r="C177" s="229"/>
      <c r="D177" s="229"/>
      <c r="E177" s="229"/>
      <c r="F177" s="229"/>
      <c r="G177" s="229"/>
      <c r="H177" s="229"/>
      <c r="I177" s="229"/>
      <c r="J177" s="229"/>
      <c r="K177" s="229"/>
      <c r="L177" s="229"/>
      <c r="M177" s="229"/>
      <c r="N177" s="229"/>
      <c r="O177" s="229"/>
      <c r="P177" s="229"/>
      <c r="Q177" s="229"/>
      <c r="R177" s="229"/>
      <c r="S177" s="229"/>
      <c r="T177" s="229"/>
      <c r="U177" s="229"/>
      <c r="V177" s="229"/>
      <c r="W177" s="229"/>
      <c r="X177" s="229"/>
      <c r="Y177" s="449"/>
      <c r="Z177" s="449"/>
      <c r="AA177" s="449"/>
      <c r="AB177" s="229"/>
      <c r="AC177" s="229"/>
      <c r="AD177" s="229"/>
      <c r="AE177" s="229"/>
      <c r="AF177" s="229"/>
      <c r="AG177" s="229"/>
      <c r="AH177" s="1128">
        <v>1</v>
      </c>
      <c r="AI177" s="1128">
        <v>1</v>
      </c>
      <c r="AJ177" s="1128">
        <v>1</v>
      </c>
      <c r="AK177" s="1106"/>
      <c r="AL177" s="335"/>
      <c r="AM177" s="335"/>
      <c r="AN177" s="335"/>
      <c r="AO177" s="335"/>
      <c r="AP177" s="335"/>
      <c r="AQ177" s="335"/>
      <c r="AR177" s="335"/>
      <c r="AS177" s="335"/>
      <c r="AT177" s="335"/>
      <c r="AU177" s="335"/>
      <c r="AV177" s="335"/>
      <c r="AW177" s="335"/>
      <c r="AX177" s="335"/>
      <c r="AY177" s="335"/>
      <c r="AZ177" s="335"/>
      <c r="BA177" s="335"/>
      <c r="BB177" s="335"/>
      <c r="BC177" s="335"/>
      <c r="BD177" s="335"/>
      <c r="BE177" s="335"/>
      <c r="BF177" s="335"/>
      <c r="BG177" s="335"/>
      <c r="BH177" s="335"/>
      <c r="BI177" s="335"/>
    </row>
    <row r="178" spans="2:61" ht="15.6">
      <c r="B178" s="1115" t="s">
        <v>2567</v>
      </c>
      <c r="C178" s="223"/>
      <c r="D178" s="223"/>
      <c r="E178" s="223"/>
      <c r="F178" s="223"/>
      <c r="G178" s="223"/>
      <c r="H178" s="223"/>
      <c r="I178" s="231"/>
      <c r="J178" s="231"/>
      <c r="K178" s="231"/>
      <c r="L178" s="231"/>
      <c r="M178" s="231"/>
      <c r="N178" s="231"/>
      <c r="O178" s="231"/>
      <c r="P178" s="231"/>
      <c r="Q178" s="231"/>
      <c r="R178" s="231"/>
      <c r="S178" s="231"/>
      <c r="T178" s="231"/>
      <c r="U178" s="231"/>
      <c r="V178" s="231"/>
      <c r="W178" s="231"/>
      <c r="X178" s="231"/>
      <c r="Y178" s="239"/>
      <c r="Z178" s="239"/>
      <c r="AA178" s="239"/>
      <c r="AB178" s="231"/>
      <c r="AC178" s="231"/>
      <c r="AD178" s="231"/>
      <c r="AE178" s="231"/>
      <c r="AF178" s="231"/>
      <c r="AG178" s="231"/>
      <c r="AH178" s="231"/>
      <c r="AI178" s="231"/>
      <c r="AJ178" s="231"/>
      <c r="AK178" s="433"/>
    </row>
    <row r="179" spans="2:61">
      <c r="B179" s="289" t="s">
        <v>34</v>
      </c>
      <c r="C179" s="617" t="s">
        <v>37</v>
      </c>
      <c r="D179" s="617" t="s">
        <v>1739</v>
      </c>
      <c r="E179" s="617" t="s">
        <v>1739</v>
      </c>
      <c r="F179" s="617" t="s">
        <v>1765</v>
      </c>
      <c r="G179" s="617" t="s">
        <v>1739</v>
      </c>
      <c r="H179" s="617" t="s">
        <v>1739</v>
      </c>
      <c r="I179" s="617" t="s">
        <v>1765</v>
      </c>
      <c r="J179" s="617" t="s">
        <v>1739</v>
      </c>
      <c r="K179" s="617" t="s">
        <v>1739</v>
      </c>
      <c r="L179" s="617" t="s">
        <v>1765</v>
      </c>
      <c r="M179" s="617" t="s">
        <v>1739</v>
      </c>
      <c r="N179" s="617" t="s">
        <v>1739</v>
      </c>
      <c r="O179" s="617" t="s">
        <v>1765</v>
      </c>
      <c r="P179" s="617" t="s">
        <v>1739</v>
      </c>
      <c r="Q179" s="617" t="s">
        <v>1739</v>
      </c>
      <c r="R179" s="617" t="s">
        <v>1765</v>
      </c>
      <c r="S179" s="617" t="s">
        <v>1739</v>
      </c>
      <c r="T179" s="617" t="s">
        <v>1739</v>
      </c>
      <c r="U179" s="617" t="s">
        <v>1765</v>
      </c>
      <c r="V179" s="617" t="s">
        <v>1739</v>
      </c>
      <c r="W179" s="617" t="s">
        <v>1739</v>
      </c>
      <c r="X179" s="617" t="s">
        <v>1765</v>
      </c>
      <c r="Y179" s="617" t="s">
        <v>1739</v>
      </c>
      <c r="Z179" s="617" t="s">
        <v>1739</v>
      </c>
      <c r="AA179" s="617" t="s">
        <v>1765</v>
      </c>
      <c r="AB179" s="617" t="s">
        <v>1739</v>
      </c>
      <c r="AC179" s="617" t="s">
        <v>1739</v>
      </c>
      <c r="AD179" s="617" t="s">
        <v>1765</v>
      </c>
      <c r="AE179" s="617" t="s">
        <v>1739</v>
      </c>
      <c r="AF179" s="617" t="s">
        <v>1739</v>
      </c>
      <c r="AG179" s="617" t="s">
        <v>1765</v>
      </c>
      <c r="AH179" s="617" t="s">
        <v>1854</v>
      </c>
      <c r="AI179" s="617" t="s">
        <v>1854</v>
      </c>
      <c r="AJ179" s="617" t="s">
        <v>1765</v>
      </c>
      <c r="AK179" s="433"/>
    </row>
    <row r="180" spans="2:61">
      <c r="B180" s="1129" t="s">
        <v>196</v>
      </c>
      <c r="C180" s="571" t="s">
        <v>1811</v>
      </c>
      <c r="D180" s="571" t="s">
        <v>1855</v>
      </c>
      <c r="E180" s="571" t="s">
        <v>1856</v>
      </c>
      <c r="F180" s="571" t="s">
        <v>1857</v>
      </c>
      <c r="G180" s="571" t="s">
        <v>1858</v>
      </c>
      <c r="H180" s="571" t="s">
        <v>1859</v>
      </c>
      <c r="I180" s="571" t="s">
        <v>1860</v>
      </c>
      <c r="J180" s="571" t="s">
        <v>1861</v>
      </c>
      <c r="K180" s="571" t="s">
        <v>1862</v>
      </c>
      <c r="L180" s="571" t="s">
        <v>1863</v>
      </c>
      <c r="M180" s="571" t="s">
        <v>1864</v>
      </c>
      <c r="N180" s="1130" t="s">
        <v>1865</v>
      </c>
      <c r="O180" s="571" t="s">
        <v>1866</v>
      </c>
      <c r="P180" s="571" t="s">
        <v>1867</v>
      </c>
      <c r="Q180" s="1130" t="s">
        <v>1868</v>
      </c>
      <c r="R180" s="571" t="s">
        <v>1869</v>
      </c>
      <c r="S180" s="98" t="s">
        <v>1870</v>
      </c>
      <c r="T180" s="98" t="s">
        <v>1871</v>
      </c>
      <c r="U180" s="98" t="s">
        <v>1872</v>
      </c>
      <c r="V180" s="98" t="s">
        <v>1873</v>
      </c>
      <c r="W180" s="98" t="s">
        <v>1874</v>
      </c>
      <c r="X180" s="98" t="s">
        <v>1875</v>
      </c>
      <c r="Y180" s="98" t="s">
        <v>1876</v>
      </c>
      <c r="Z180" s="98" t="s">
        <v>1877</v>
      </c>
      <c r="AA180" s="98" t="s">
        <v>1878</v>
      </c>
      <c r="AB180" s="98" t="s">
        <v>1879</v>
      </c>
      <c r="AC180" s="98" t="s">
        <v>1880</v>
      </c>
      <c r="AD180" s="98" t="s">
        <v>1881</v>
      </c>
      <c r="AE180" s="571" t="s">
        <v>1882</v>
      </c>
      <c r="AF180" s="571" t="s">
        <v>1883</v>
      </c>
      <c r="AG180" s="571" t="s">
        <v>1884</v>
      </c>
      <c r="AH180" s="98" t="s">
        <v>1885</v>
      </c>
      <c r="AI180" s="98" t="s">
        <v>1886</v>
      </c>
      <c r="AJ180" s="98" t="s">
        <v>1887</v>
      </c>
      <c r="AK180" s="433"/>
    </row>
    <row r="181" spans="2:61">
      <c r="B181" s="1131"/>
      <c r="C181" s="96"/>
      <c r="D181" s="96"/>
      <c r="E181" s="96"/>
      <c r="F181" s="96"/>
      <c r="G181" s="96"/>
      <c r="H181" s="96"/>
      <c r="I181" s="96"/>
      <c r="J181" s="96"/>
      <c r="K181" s="96"/>
      <c r="L181" s="96"/>
      <c r="M181" s="96"/>
      <c r="N181" s="308"/>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433"/>
    </row>
    <row r="182" spans="2:61">
      <c r="B182" s="1132">
        <f t="shared" ref="B182:B202" si="99">C182*AH$17</f>
        <v>0</v>
      </c>
      <c r="C182" s="101">
        <v>0</v>
      </c>
      <c r="D182" s="99">
        <f t="shared" ref="D182:D202" si="100">IF($C182&lt;$AI$25,0,(IF($C182&lt;=$AJ$25,-$AM$25,0)))</f>
        <v>0</v>
      </c>
      <c r="E182" s="99">
        <f>IF($C182=AH$18,E183+D182-D$204,E183+D182)</f>
        <v>1.4210854715202004E-14</v>
      </c>
      <c r="F182" s="100">
        <f t="shared" ref="F182:F201" si="101">0.05*AH$17*E182 + F183</f>
        <v>-229.75387820615842</v>
      </c>
      <c r="G182" s="99">
        <f t="shared" ref="G182:G202" si="102">IF($C182&lt;$AI$26,0,(IF($C182&lt;=$AJ$26,-$AM$26,0)))</f>
        <v>0</v>
      </c>
      <c r="H182" s="99">
        <f t="shared" ref="H182:H202" si="103">IF($C182=$AH$18,H183+G182-G$204,H183+G182)</f>
        <v>0</v>
      </c>
      <c r="I182" s="100">
        <f t="shared" ref="I182:I201" si="104">0.05*AH$17*H182 + I183</f>
        <v>-105.62500000000003</v>
      </c>
      <c r="J182" s="99">
        <f>-AM27</f>
        <v>-4.7232312445716893</v>
      </c>
      <c r="K182" s="99">
        <f t="shared" ref="K182:K202" si="105">IF($C182=$AH$18,K183+J182-J$204,K183+J182)</f>
        <v>2.4868995751603507E-14</v>
      </c>
      <c r="L182" s="100">
        <f t="shared" ref="L182:L201" si="106">0.05*AH$17*K182 + L183</f>
        <v>-99.778260041576743</v>
      </c>
      <c r="M182" s="99">
        <f t="shared" ref="M182:M202" si="107">IF($C182&lt;$AI$28,0,(IF($C182&lt;=$AJ$28,-$AM$28,0)))</f>
        <v>0</v>
      </c>
      <c r="N182" s="99">
        <f t="shared" ref="N182:N202" si="108">IF($C182=$AH$18,N183+M182-M$204,N183+M182)</f>
        <v>0</v>
      </c>
      <c r="O182" s="100">
        <f t="shared" ref="O182:O201" si="109">0.05*AH$17*N182 + O183</f>
        <v>3330.889513616833</v>
      </c>
      <c r="P182" s="99">
        <f t="shared" ref="P182:P202" si="110">IF($C182&lt;$AI$29,0,(IF($C182&lt;=$AJ$29,-$AM$29,0)))</f>
        <v>0</v>
      </c>
      <c r="Q182" s="99">
        <f t="shared" ref="Q182:Q202" si="111">IF($C182=$AH$18,Q183+P182-P$204,Q183+P182)</f>
        <v>0</v>
      </c>
      <c r="R182" s="100">
        <f t="shared" ref="R182:R201" si="112">0.05*AH$17*Q182 + R183</f>
        <v>0</v>
      </c>
      <c r="S182" s="99">
        <f t="shared" ref="S182:S202" si="113">IF($C182&lt;$AI$30,0,(IF($C182&lt;=$AJ$30,-$AM$30,0)))</f>
        <v>0</v>
      </c>
      <c r="T182" s="99">
        <f t="shared" ref="T182:T202" si="114">IF($C182=$AH$18,T183+S182-S$204,T183+S182)</f>
        <v>7.1054273576010019E-15</v>
      </c>
      <c r="U182" s="100">
        <f t="shared" ref="U182:U201" si="115">0.05*AH$17*T182 + U183</f>
        <v>269.4086610287489</v>
      </c>
      <c r="V182" s="99">
        <f t="shared" ref="V182:V202" si="116">IF($C182&lt;$AI$31,0,(IF($C182&lt;=$AJ$31,-$AM$31,0)))</f>
        <v>0</v>
      </c>
      <c r="W182" s="99">
        <f t="shared" ref="W182:W202" si="117">IF($C182=$AH$18,W183+V182-V$204,W183+V182)</f>
        <v>0</v>
      </c>
      <c r="X182" s="100">
        <f t="shared" ref="X182:X201" si="118">0.05*AH$17*W182 + X183</f>
        <v>-163.3006137621108</v>
      </c>
      <c r="Y182" s="99">
        <f t="shared" ref="Y182:Y202" si="119">IF($C182&lt;$AI$32,0,(IF($C182&lt;=$AJ$32,-$AM$32,0)))</f>
        <v>0</v>
      </c>
      <c r="Z182" s="99">
        <f t="shared" ref="Z182:Z202" si="120">IF($C182=$AH$18,Z183+Y182-Y$204,Z183+Y182)</f>
        <v>0</v>
      </c>
      <c r="AA182" s="100">
        <f t="shared" ref="AA182:AA201" si="121">0.05*AH$17*Z182 + AA183</f>
        <v>-102.15942949041639</v>
      </c>
      <c r="AB182" s="99">
        <f t="shared" ref="AB182:AB202" si="122">IF($C182&lt;$AI$36,0,(IF($C182&lt;=$AJ$36,$AM$36,0)))</f>
        <v>0</v>
      </c>
      <c r="AC182" s="99">
        <f t="shared" ref="AC182:AC202" si="123">IF($C182=$AH$18,AC183+AB182-AB$204,AC183+AB182)</f>
        <v>0</v>
      </c>
      <c r="AD182" s="100">
        <f t="shared" ref="AD182:AD201" si="124">0.05*AH$17*AC182 + AD183</f>
        <v>-2887.5174843796594</v>
      </c>
      <c r="AE182" s="99">
        <f t="shared" ref="AE182:AE202" si="125">-AM$33</f>
        <v>0</v>
      </c>
      <c r="AF182" s="99">
        <f t="shared" ref="AF182:AF202" si="126">IF($C182=$AH$18,AF183+AE182-AE$204,AF183+AE182)</f>
        <v>0</v>
      </c>
      <c r="AG182" s="100">
        <f t="shared" ref="AG182:AG201" si="127">0.05*AH$17*AF182 + AG183</f>
        <v>0</v>
      </c>
      <c r="AH182" s="502">
        <f t="shared" ref="AH182:AH202" si="128">(D182+G182+J182+M182+P182+S182+V182+Y182+AB182+AE182)/AH$177</f>
        <v>-4.7232312445716893</v>
      </c>
      <c r="AI182" s="502">
        <f t="shared" ref="AI182:AI202" si="129">(E182+H182+K182+N182+Q182+T182+W182+Z182+AC182+AF182)/AI$177</f>
        <v>4.6185277824406512E-14</v>
      </c>
      <c r="AJ182" s="502">
        <f t="shared" ref="AJ182:AJ202" si="130">(F182+I182+L182+O182+R182+U182+X182+AA182+AD182+AG182)/AJ$177</f>
        <v>12.163508765660481</v>
      </c>
      <c r="AK182" s="433"/>
    </row>
    <row r="183" spans="2:61">
      <c r="B183" s="1132">
        <f t="shared" si="99"/>
        <v>1.0562500000000001</v>
      </c>
      <c r="C183" s="101">
        <f t="shared" ref="C183:C202" si="131">C182+0.05</f>
        <v>0.05</v>
      </c>
      <c r="D183" s="99">
        <f t="shared" si="100"/>
        <v>0</v>
      </c>
      <c r="E183" s="99">
        <f t="shared" ref="E183:E202" si="132">IF(C183=AH$18,E184+D183-D$204,E184+D183)</f>
        <v>1.4210854715202004E-14</v>
      </c>
      <c r="F183" s="100">
        <f t="shared" si="101"/>
        <v>-229.75387820615845</v>
      </c>
      <c r="G183" s="99">
        <f t="shared" si="102"/>
        <v>0</v>
      </c>
      <c r="H183" s="99">
        <f t="shared" si="103"/>
        <v>0</v>
      </c>
      <c r="I183" s="100">
        <f t="shared" si="104"/>
        <v>-105.62500000000003</v>
      </c>
      <c r="J183" s="99">
        <f>-AM27</f>
        <v>-4.7232312445716893</v>
      </c>
      <c r="K183" s="99">
        <f t="shared" si="105"/>
        <v>4.7232312445717142</v>
      </c>
      <c r="L183" s="100">
        <f t="shared" si="106"/>
        <v>-99.778260041576772</v>
      </c>
      <c r="M183" s="99">
        <f t="shared" si="107"/>
        <v>-210.23365766417879</v>
      </c>
      <c r="N183" s="99">
        <f t="shared" si="108"/>
        <v>0</v>
      </c>
      <c r="O183" s="100">
        <f t="shared" si="109"/>
        <v>3330.889513616833</v>
      </c>
      <c r="P183" s="99">
        <f t="shared" si="110"/>
        <v>0</v>
      </c>
      <c r="Q183" s="99">
        <f t="shared" si="111"/>
        <v>0</v>
      </c>
      <c r="R183" s="100">
        <f t="shared" si="112"/>
        <v>0</v>
      </c>
      <c r="S183" s="99">
        <f t="shared" si="113"/>
        <v>0</v>
      </c>
      <c r="T183" s="99">
        <f t="shared" si="114"/>
        <v>7.1054273576010019E-15</v>
      </c>
      <c r="U183" s="100">
        <f t="shared" si="115"/>
        <v>269.4086610287489</v>
      </c>
      <c r="V183" s="99">
        <f t="shared" si="116"/>
        <v>0</v>
      </c>
      <c r="W183" s="99">
        <f t="shared" si="117"/>
        <v>0</v>
      </c>
      <c r="X183" s="100">
        <f t="shared" si="118"/>
        <v>-163.3006137621108</v>
      </c>
      <c r="Y183" s="99">
        <f t="shared" si="119"/>
        <v>0</v>
      </c>
      <c r="Z183" s="99">
        <f t="shared" si="120"/>
        <v>0</v>
      </c>
      <c r="AA183" s="100">
        <f t="shared" si="121"/>
        <v>-102.15942949041639</v>
      </c>
      <c r="AB183" s="99">
        <f t="shared" si="122"/>
        <v>0</v>
      </c>
      <c r="AC183" s="99">
        <f t="shared" si="123"/>
        <v>0</v>
      </c>
      <c r="AD183" s="100">
        <f t="shared" si="124"/>
        <v>-2887.5174843796594</v>
      </c>
      <c r="AE183" s="99">
        <f t="shared" si="125"/>
        <v>0</v>
      </c>
      <c r="AF183" s="99">
        <f t="shared" si="126"/>
        <v>0</v>
      </c>
      <c r="AG183" s="100">
        <f t="shared" si="127"/>
        <v>0</v>
      </c>
      <c r="AH183" s="502">
        <f t="shared" si="128"/>
        <v>-214.95688890875047</v>
      </c>
      <c r="AI183" s="502">
        <f t="shared" si="129"/>
        <v>4.7232312445717355</v>
      </c>
      <c r="AJ183" s="502">
        <f t="shared" si="130"/>
        <v>12.163508765660481</v>
      </c>
      <c r="AK183" s="433"/>
    </row>
    <row r="184" spans="2:61">
      <c r="B184" s="1132">
        <f t="shared" si="99"/>
        <v>2.1125000000000003</v>
      </c>
      <c r="C184" s="101">
        <f t="shared" si="131"/>
        <v>0.1</v>
      </c>
      <c r="D184" s="99">
        <f t="shared" si="100"/>
        <v>0</v>
      </c>
      <c r="E184" s="99">
        <f t="shared" si="132"/>
        <v>1.4210854715202004E-14</v>
      </c>
      <c r="F184" s="100">
        <f t="shared" si="101"/>
        <v>-229.75387820615848</v>
      </c>
      <c r="G184" s="99">
        <f t="shared" si="102"/>
        <v>0</v>
      </c>
      <c r="H184" s="99">
        <f t="shared" si="103"/>
        <v>0</v>
      </c>
      <c r="I184" s="100">
        <f t="shared" si="104"/>
        <v>-105.62500000000003</v>
      </c>
      <c r="J184" s="99">
        <f>-AM27</f>
        <v>-4.7232312445716893</v>
      </c>
      <c r="K184" s="99">
        <f t="shared" si="105"/>
        <v>9.4464624891434035</v>
      </c>
      <c r="L184" s="100">
        <f t="shared" si="106"/>
        <v>-104.76717304365565</v>
      </c>
      <c r="M184" s="99">
        <f t="shared" si="107"/>
        <v>-210.23365766417879</v>
      </c>
      <c r="N184" s="99">
        <f t="shared" si="108"/>
        <v>210.23365766417879</v>
      </c>
      <c r="O184" s="100">
        <f t="shared" si="109"/>
        <v>3330.889513616833</v>
      </c>
      <c r="P184" s="99">
        <f t="shared" si="110"/>
        <v>0</v>
      </c>
      <c r="Q184" s="99">
        <f t="shared" si="111"/>
        <v>0</v>
      </c>
      <c r="R184" s="100">
        <f t="shared" si="112"/>
        <v>0</v>
      </c>
      <c r="S184" s="99">
        <f t="shared" si="113"/>
        <v>0</v>
      </c>
      <c r="T184" s="99">
        <f t="shared" si="114"/>
        <v>7.1054273576010019E-15</v>
      </c>
      <c r="U184" s="100">
        <f t="shared" si="115"/>
        <v>269.4086610287489</v>
      </c>
      <c r="V184" s="99">
        <f t="shared" si="116"/>
        <v>0</v>
      </c>
      <c r="W184" s="99">
        <f t="shared" si="117"/>
        <v>0</v>
      </c>
      <c r="X184" s="100">
        <f t="shared" si="118"/>
        <v>-163.3006137621108</v>
      </c>
      <c r="Y184" s="99">
        <f t="shared" si="119"/>
        <v>0</v>
      </c>
      <c r="Z184" s="99">
        <f t="shared" si="120"/>
        <v>0</v>
      </c>
      <c r="AA184" s="100">
        <f t="shared" si="121"/>
        <v>-102.15942949041639</v>
      </c>
      <c r="AB184" s="99">
        <f t="shared" si="122"/>
        <v>0</v>
      </c>
      <c r="AC184" s="99">
        <f t="shared" si="123"/>
        <v>0</v>
      </c>
      <c r="AD184" s="100">
        <f t="shared" si="124"/>
        <v>-2887.5174843796594</v>
      </c>
      <c r="AE184" s="99">
        <f t="shared" si="125"/>
        <v>0</v>
      </c>
      <c r="AF184" s="99">
        <f t="shared" si="126"/>
        <v>0</v>
      </c>
      <c r="AG184" s="100">
        <f t="shared" si="127"/>
        <v>0</v>
      </c>
      <c r="AH184" s="502">
        <f t="shared" si="128"/>
        <v>-214.95688890875047</v>
      </c>
      <c r="AI184" s="502">
        <f t="shared" si="129"/>
        <v>219.68012015332221</v>
      </c>
      <c r="AJ184" s="502">
        <f t="shared" si="130"/>
        <v>7.1745957635812374</v>
      </c>
      <c r="AK184" s="433"/>
    </row>
    <row r="185" spans="2:61">
      <c r="B185" s="1132">
        <f t="shared" si="99"/>
        <v>3.1687500000000006</v>
      </c>
      <c r="C185" s="101">
        <f t="shared" si="131"/>
        <v>0.15000000000000002</v>
      </c>
      <c r="D185" s="99">
        <f t="shared" si="100"/>
        <v>0</v>
      </c>
      <c r="E185" s="99">
        <f t="shared" si="132"/>
        <v>1.4210854715202004E-14</v>
      </c>
      <c r="F185" s="100">
        <f t="shared" si="101"/>
        <v>-229.7538782061585</v>
      </c>
      <c r="G185" s="99">
        <f t="shared" si="102"/>
        <v>0</v>
      </c>
      <c r="H185" s="99">
        <f t="shared" si="103"/>
        <v>0</v>
      </c>
      <c r="I185" s="100">
        <f t="shared" si="104"/>
        <v>-105.62500000000003</v>
      </c>
      <c r="J185" s="99">
        <f>-AM27</f>
        <v>-4.7232312445716893</v>
      </c>
      <c r="K185" s="99">
        <f t="shared" si="105"/>
        <v>14.169693733715093</v>
      </c>
      <c r="L185" s="100">
        <f t="shared" si="106"/>
        <v>-114.74499904781337</v>
      </c>
      <c r="M185" s="99">
        <f t="shared" si="107"/>
        <v>0</v>
      </c>
      <c r="N185" s="99">
        <f t="shared" si="108"/>
        <v>420.46731532835759</v>
      </c>
      <c r="O185" s="100">
        <f t="shared" si="109"/>
        <v>3108.8302127090442</v>
      </c>
      <c r="P185" s="99">
        <f t="shared" si="110"/>
        <v>0</v>
      </c>
      <c r="Q185" s="99">
        <f t="shared" si="111"/>
        <v>0</v>
      </c>
      <c r="R185" s="100">
        <f t="shared" si="112"/>
        <v>0</v>
      </c>
      <c r="S185" s="99">
        <f t="shared" si="113"/>
        <v>0</v>
      </c>
      <c r="T185" s="99">
        <f t="shared" si="114"/>
        <v>7.1054273576010019E-15</v>
      </c>
      <c r="U185" s="100">
        <f t="shared" si="115"/>
        <v>269.4086610287489</v>
      </c>
      <c r="V185" s="99">
        <f t="shared" si="116"/>
        <v>0</v>
      </c>
      <c r="W185" s="99">
        <f t="shared" si="117"/>
        <v>0</v>
      </c>
      <c r="X185" s="100">
        <f t="shared" si="118"/>
        <v>-163.3006137621108</v>
      </c>
      <c r="Y185" s="99">
        <f t="shared" si="119"/>
        <v>0</v>
      </c>
      <c r="Z185" s="99">
        <f t="shared" si="120"/>
        <v>0</v>
      </c>
      <c r="AA185" s="100">
        <f t="shared" si="121"/>
        <v>-102.15942949041639</v>
      </c>
      <c r="AB185" s="99">
        <f t="shared" si="122"/>
        <v>0</v>
      </c>
      <c r="AC185" s="99">
        <f t="shared" si="123"/>
        <v>0</v>
      </c>
      <c r="AD185" s="100">
        <f t="shared" si="124"/>
        <v>-2887.5174843796594</v>
      </c>
      <c r="AE185" s="99">
        <f t="shared" si="125"/>
        <v>0</v>
      </c>
      <c r="AF185" s="99">
        <f t="shared" si="126"/>
        <v>0</v>
      </c>
      <c r="AG185" s="100">
        <f t="shared" si="127"/>
        <v>0</v>
      </c>
      <c r="AH185" s="502">
        <f t="shared" si="128"/>
        <v>-4.7232312445716893</v>
      </c>
      <c r="AI185" s="502">
        <f t="shared" si="129"/>
        <v>434.63700906207271</v>
      </c>
      <c r="AJ185" s="502">
        <f t="shared" si="130"/>
        <v>-224.86253114836518</v>
      </c>
      <c r="AK185" s="433"/>
    </row>
    <row r="186" spans="2:61">
      <c r="B186" s="1132">
        <f t="shared" si="99"/>
        <v>4.2250000000000005</v>
      </c>
      <c r="C186" s="101">
        <f t="shared" si="131"/>
        <v>0.2</v>
      </c>
      <c r="D186" s="99">
        <f t="shared" si="100"/>
        <v>0</v>
      </c>
      <c r="E186" s="99">
        <f t="shared" si="132"/>
        <v>1.4210854715202004E-14</v>
      </c>
      <c r="F186" s="100">
        <f t="shared" si="101"/>
        <v>-229.75387820615853</v>
      </c>
      <c r="G186" s="99">
        <f t="shared" si="102"/>
        <v>0</v>
      </c>
      <c r="H186" s="99">
        <f t="shared" si="103"/>
        <v>0</v>
      </c>
      <c r="I186" s="100">
        <f t="shared" si="104"/>
        <v>-105.62500000000003</v>
      </c>
      <c r="J186" s="99">
        <f>-AM27</f>
        <v>-4.7232312445716893</v>
      </c>
      <c r="K186" s="99">
        <f t="shared" si="105"/>
        <v>18.892924978286782</v>
      </c>
      <c r="L186" s="100">
        <f t="shared" si="106"/>
        <v>-129.71173805404993</v>
      </c>
      <c r="M186" s="99">
        <f t="shared" si="107"/>
        <v>0</v>
      </c>
      <c r="N186" s="99">
        <f t="shared" si="108"/>
        <v>420.46731532835759</v>
      </c>
      <c r="O186" s="100">
        <f t="shared" si="109"/>
        <v>2664.7116108934665</v>
      </c>
      <c r="P186" s="99">
        <f t="shared" si="110"/>
        <v>0</v>
      </c>
      <c r="Q186" s="99">
        <f t="shared" si="111"/>
        <v>0</v>
      </c>
      <c r="R186" s="100">
        <f t="shared" si="112"/>
        <v>0</v>
      </c>
      <c r="S186" s="99">
        <f t="shared" si="113"/>
        <v>0</v>
      </c>
      <c r="T186" s="99">
        <f t="shared" si="114"/>
        <v>7.1054273576010019E-15</v>
      </c>
      <c r="U186" s="100">
        <f t="shared" si="115"/>
        <v>269.4086610287489</v>
      </c>
      <c r="V186" s="99">
        <f t="shared" si="116"/>
        <v>0</v>
      </c>
      <c r="W186" s="99">
        <f t="shared" si="117"/>
        <v>0</v>
      </c>
      <c r="X186" s="100">
        <f t="shared" si="118"/>
        <v>-163.3006137621108</v>
      </c>
      <c r="Y186" s="99">
        <f t="shared" si="119"/>
        <v>0</v>
      </c>
      <c r="Z186" s="99">
        <f t="shared" si="120"/>
        <v>0</v>
      </c>
      <c r="AA186" s="100">
        <f t="shared" si="121"/>
        <v>-102.15942949041639</v>
      </c>
      <c r="AB186" s="99">
        <f t="shared" si="122"/>
        <v>0</v>
      </c>
      <c r="AC186" s="99">
        <f t="shared" si="123"/>
        <v>0</v>
      </c>
      <c r="AD186" s="100">
        <f t="shared" si="124"/>
        <v>-2887.5174843796594</v>
      </c>
      <c r="AE186" s="99">
        <f t="shared" si="125"/>
        <v>0</v>
      </c>
      <c r="AF186" s="99">
        <f t="shared" si="126"/>
        <v>0</v>
      </c>
      <c r="AG186" s="100">
        <f t="shared" si="127"/>
        <v>0</v>
      </c>
      <c r="AH186" s="502">
        <f t="shared" si="128"/>
        <v>-4.7232312445716893</v>
      </c>
      <c r="AI186" s="502">
        <f t="shared" si="129"/>
        <v>439.36024030664436</v>
      </c>
      <c r="AJ186" s="502">
        <f t="shared" si="130"/>
        <v>-683.94787197017968</v>
      </c>
      <c r="AK186" s="433"/>
    </row>
    <row r="187" spans="2:61">
      <c r="B187" s="1132">
        <f t="shared" si="99"/>
        <v>5.28125</v>
      </c>
      <c r="C187" s="101">
        <f t="shared" si="131"/>
        <v>0.25</v>
      </c>
      <c r="D187" s="99">
        <f t="shared" si="100"/>
        <v>0</v>
      </c>
      <c r="E187" s="99">
        <f t="shared" si="132"/>
        <v>1.4210854715202004E-14</v>
      </c>
      <c r="F187" s="100">
        <f t="shared" si="101"/>
        <v>-229.75387820615856</v>
      </c>
      <c r="G187" s="99">
        <f t="shared" si="102"/>
        <v>0</v>
      </c>
      <c r="H187" s="99">
        <f t="shared" si="103"/>
        <v>0</v>
      </c>
      <c r="I187" s="100">
        <f t="shared" si="104"/>
        <v>-105.62500000000003</v>
      </c>
      <c r="J187" s="99">
        <f>-AM27</f>
        <v>-4.7232312445716893</v>
      </c>
      <c r="K187" s="99">
        <f t="shared" si="105"/>
        <v>23.616156222858471</v>
      </c>
      <c r="L187" s="100">
        <f t="shared" si="106"/>
        <v>-149.66739006236534</v>
      </c>
      <c r="M187" s="99">
        <f t="shared" si="107"/>
        <v>0</v>
      </c>
      <c r="N187" s="99">
        <f t="shared" si="108"/>
        <v>420.46731532835759</v>
      </c>
      <c r="O187" s="100">
        <f t="shared" si="109"/>
        <v>2220.5930090778888</v>
      </c>
      <c r="P187" s="99">
        <f t="shared" si="110"/>
        <v>0</v>
      </c>
      <c r="Q187" s="99">
        <f t="shared" si="111"/>
        <v>0</v>
      </c>
      <c r="R187" s="100">
        <f t="shared" si="112"/>
        <v>0</v>
      </c>
      <c r="S187" s="99">
        <f t="shared" si="113"/>
        <v>-25.506145422840127</v>
      </c>
      <c r="T187" s="99">
        <f t="shared" si="114"/>
        <v>7.1054273576010019E-15</v>
      </c>
      <c r="U187" s="100">
        <f t="shared" si="115"/>
        <v>269.4086610287489</v>
      </c>
      <c r="V187" s="99">
        <f t="shared" si="116"/>
        <v>0</v>
      </c>
      <c r="W187" s="99">
        <f t="shared" si="117"/>
        <v>0</v>
      </c>
      <c r="X187" s="100">
        <f t="shared" si="118"/>
        <v>-163.3006137621108</v>
      </c>
      <c r="Y187" s="99">
        <f t="shared" si="119"/>
        <v>0</v>
      </c>
      <c r="Z187" s="99">
        <f t="shared" si="120"/>
        <v>0</v>
      </c>
      <c r="AA187" s="100">
        <f t="shared" si="121"/>
        <v>-102.15942949041639</v>
      </c>
      <c r="AB187" s="99">
        <f t="shared" si="122"/>
        <v>0</v>
      </c>
      <c r="AC187" s="99">
        <f t="shared" si="123"/>
        <v>0</v>
      </c>
      <c r="AD187" s="100">
        <f t="shared" si="124"/>
        <v>-2887.5174843796594</v>
      </c>
      <c r="AE187" s="99">
        <f t="shared" si="125"/>
        <v>0</v>
      </c>
      <c r="AF187" s="99">
        <f t="shared" si="126"/>
        <v>0</v>
      </c>
      <c r="AG187" s="100">
        <f t="shared" si="127"/>
        <v>0</v>
      </c>
      <c r="AH187" s="502">
        <f t="shared" si="128"/>
        <v>-30.229376667411817</v>
      </c>
      <c r="AI187" s="502">
        <f t="shared" si="129"/>
        <v>444.08347155121606</v>
      </c>
      <c r="AJ187" s="502">
        <f t="shared" si="130"/>
        <v>-1148.0221257940727</v>
      </c>
      <c r="AK187" s="433"/>
    </row>
    <row r="188" spans="2:61">
      <c r="B188" s="1132">
        <f t="shared" si="99"/>
        <v>6.3374999999999995</v>
      </c>
      <c r="C188" s="101">
        <f t="shared" si="131"/>
        <v>0.3</v>
      </c>
      <c r="D188" s="99">
        <f t="shared" si="100"/>
        <v>0</v>
      </c>
      <c r="E188" s="99">
        <f t="shared" si="132"/>
        <v>1.4210854715202004E-14</v>
      </c>
      <c r="F188" s="100">
        <f t="shared" si="101"/>
        <v>-229.75387820615859</v>
      </c>
      <c r="G188" s="99">
        <f t="shared" si="102"/>
        <v>0</v>
      </c>
      <c r="H188" s="99">
        <f t="shared" si="103"/>
        <v>0</v>
      </c>
      <c r="I188" s="100">
        <f t="shared" si="104"/>
        <v>-105.62500000000003</v>
      </c>
      <c r="J188" s="99">
        <f>-AM27</f>
        <v>-4.7232312445716893</v>
      </c>
      <c r="K188" s="99">
        <f t="shared" si="105"/>
        <v>28.339387467430161</v>
      </c>
      <c r="L188" s="100">
        <f t="shared" si="106"/>
        <v>-174.6119550727596</v>
      </c>
      <c r="M188" s="99">
        <f t="shared" si="107"/>
        <v>0</v>
      </c>
      <c r="N188" s="99">
        <f t="shared" si="108"/>
        <v>420.46731532835759</v>
      </c>
      <c r="O188" s="100">
        <f t="shared" si="109"/>
        <v>1776.4744072623109</v>
      </c>
      <c r="P188" s="99">
        <f t="shared" si="110"/>
        <v>0</v>
      </c>
      <c r="Q188" s="99">
        <f t="shared" si="111"/>
        <v>0</v>
      </c>
      <c r="R188" s="100">
        <f t="shared" si="112"/>
        <v>0</v>
      </c>
      <c r="S188" s="99">
        <f t="shared" si="113"/>
        <v>-25.506145422840127</v>
      </c>
      <c r="T188" s="99">
        <f t="shared" si="114"/>
        <v>25.506145422840135</v>
      </c>
      <c r="U188" s="100">
        <f t="shared" si="115"/>
        <v>269.4086610287489</v>
      </c>
      <c r="V188" s="99">
        <f t="shared" si="116"/>
        <v>0</v>
      </c>
      <c r="W188" s="99">
        <f t="shared" si="117"/>
        <v>0</v>
      </c>
      <c r="X188" s="100">
        <f t="shared" si="118"/>
        <v>-163.3006137621108</v>
      </c>
      <c r="Y188" s="99">
        <f t="shared" si="119"/>
        <v>0</v>
      </c>
      <c r="Z188" s="99">
        <f t="shared" si="120"/>
        <v>0</v>
      </c>
      <c r="AA188" s="100">
        <f t="shared" si="121"/>
        <v>-102.15942949041639</v>
      </c>
      <c r="AB188" s="99">
        <f t="shared" si="122"/>
        <v>0</v>
      </c>
      <c r="AC188" s="99">
        <f t="shared" si="123"/>
        <v>0</v>
      </c>
      <c r="AD188" s="100">
        <f t="shared" si="124"/>
        <v>-2887.5174843796594</v>
      </c>
      <c r="AE188" s="99">
        <f t="shared" si="125"/>
        <v>0</v>
      </c>
      <c r="AF188" s="99">
        <f t="shared" si="126"/>
        <v>0</v>
      </c>
      <c r="AG188" s="100">
        <f t="shared" si="127"/>
        <v>0</v>
      </c>
      <c r="AH188" s="502">
        <f t="shared" si="128"/>
        <v>-30.229376667411817</v>
      </c>
      <c r="AI188" s="502">
        <f t="shared" si="129"/>
        <v>474.31284821862789</v>
      </c>
      <c r="AJ188" s="502">
        <f t="shared" si="130"/>
        <v>-1617.085292620045</v>
      </c>
      <c r="AK188" s="433"/>
    </row>
    <row r="189" spans="2:61">
      <c r="B189" s="1132">
        <f t="shared" si="99"/>
        <v>7.3937499999999998</v>
      </c>
      <c r="C189" s="101">
        <f t="shared" si="131"/>
        <v>0.35</v>
      </c>
      <c r="D189" s="99">
        <f t="shared" si="100"/>
        <v>0</v>
      </c>
      <c r="E189" s="99">
        <f t="shared" si="132"/>
        <v>1.4210854715202004E-14</v>
      </c>
      <c r="F189" s="100">
        <f t="shared" si="101"/>
        <v>-229.75387820615862</v>
      </c>
      <c r="G189" s="99">
        <f t="shared" si="102"/>
        <v>0</v>
      </c>
      <c r="H189" s="99">
        <f t="shared" si="103"/>
        <v>0</v>
      </c>
      <c r="I189" s="100">
        <f t="shared" si="104"/>
        <v>-105.62500000000003</v>
      </c>
      <c r="J189" s="99">
        <f>-AM27</f>
        <v>-4.7232312445716893</v>
      </c>
      <c r="K189" s="99">
        <f t="shared" si="105"/>
        <v>33.06261871200185</v>
      </c>
      <c r="L189" s="100">
        <f t="shared" si="106"/>
        <v>-204.5454330852327</v>
      </c>
      <c r="M189" s="99">
        <f t="shared" si="107"/>
        <v>0</v>
      </c>
      <c r="N189" s="99">
        <f t="shared" si="108"/>
        <v>420.46731532835759</v>
      </c>
      <c r="O189" s="100">
        <f t="shared" si="109"/>
        <v>1332.3558054467333</v>
      </c>
      <c r="P189" s="99">
        <f t="shared" si="110"/>
        <v>0</v>
      </c>
      <c r="Q189" s="99">
        <f t="shared" si="111"/>
        <v>0</v>
      </c>
      <c r="R189" s="100">
        <f t="shared" si="112"/>
        <v>0</v>
      </c>
      <c r="S189" s="99">
        <f t="shared" si="113"/>
        <v>-25.506145422840127</v>
      </c>
      <c r="T189" s="99">
        <f t="shared" si="114"/>
        <v>51.012290845680262</v>
      </c>
      <c r="U189" s="100">
        <f t="shared" si="115"/>
        <v>242.46779492587402</v>
      </c>
      <c r="V189" s="99">
        <f t="shared" si="116"/>
        <v>0</v>
      </c>
      <c r="W189" s="99">
        <f t="shared" si="117"/>
        <v>0</v>
      </c>
      <c r="X189" s="100">
        <f t="shared" si="118"/>
        <v>-163.3006137621108</v>
      </c>
      <c r="Y189" s="99">
        <f t="shared" si="119"/>
        <v>0</v>
      </c>
      <c r="Z189" s="99">
        <f t="shared" si="120"/>
        <v>0</v>
      </c>
      <c r="AA189" s="100">
        <f t="shared" si="121"/>
        <v>-102.15942949041639</v>
      </c>
      <c r="AB189" s="99">
        <f t="shared" si="122"/>
        <v>0</v>
      </c>
      <c r="AC189" s="99">
        <f t="shared" si="123"/>
        <v>0</v>
      </c>
      <c r="AD189" s="100">
        <f t="shared" si="124"/>
        <v>-2887.5174843796594</v>
      </c>
      <c r="AE189" s="99">
        <f t="shared" si="125"/>
        <v>0</v>
      </c>
      <c r="AF189" s="99">
        <f t="shared" si="126"/>
        <v>0</v>
      </c>
      <c r="AG189" s="100">
        <f t="shared" si="127"/>
        <v>0</v>
      </c>
      <c r="AH189" s="502">
        <f t="shared" si="128"/>
        <v>-30.229376667411817</v>
      </c>
      <c r="AI189" s="502">
        <f t="shared" si="129"/>
        <v>504.54222488603966</v>
      </c>
      <c r="AJ189" s="502">
        <f t="shared" si="130"/>
        <v>-2118.078238550971</v>
      </c>
      <c r="AK189" s="433"/>
    </row>
    <row r="190" spans="2:61">
      <c r="B190" s="1132">
        <f t="shared" si="99"/>
        <v>8.4499999999999993</v>
      </c>
      <c r="C190" s="101">
        <f t="shared" si="131"/>
        <v>0.39999999999999997</v>
      </c>
      <c r="D190" s="99">
        <f t="shared" si="100"/>
        <v>-43.503692914775613</v>
      </c>
      <c r="E190" s="99">
        <f t="shared" si="132"/>
        <v>1.4210854715202004E-14</v>
      </c>
      <c r="F190" s="100">
        <f t="shared" si="101"/>
        <v>-229.75387820615865</v>
      </c>
      <c r="G190" s="99">
        <f t="shared" si="102"/>
        <v>-50</v>
      </c>
      <c r="H190" s="99">
        <f t="shared" si="103"/>
        <v>0</v>
      </c>
      <c r="I190" s="100">
        <f t="shared" si="104"/>
        <v>-105.62500000000003</v>
      </c>
      <c r="J190" s="99">
        <f>-AM27</f>
        <v>-4.7232312445716893</v>
      </c>
      <c r="K190" s="99">
        <f t="shared" si="105"/>
        <v>37.785849956573543</v>
      </c>
      <c r="L190" s="100">
        <f t="shared" si="106"/>
        <v>-239.46782409978465</v>
      </c>
      <c r="M190" s="99">
        <f t="shared" si="107"/>
        <v>0</v>
      </c>
      <c r="N190" s="99">
        <f t="shared" si="108"/>
        <v>420.46731532835759</v>
      </c>
      <c r="O190" s="100">
        <f t="shared" si="109"/>
        <v>888.23720363115547</v>
      </c>
      <c r="P190" s="99">
        <f t="shared" si="110"/>
        <v>0</v>
      </c>
      <c r="Q190" s="99">
        <f t="shared" si="111"/>
        <v>0</v>
      </c>
      <c r="R190" s="100">
        <f t="shared" si="112"/>
        <v>0</v>
      </c>
      <c r="S190" s="99">
        <f t="shared" si="113"/>
        <v>-25.506145422840127</v>
      </c>
      <c r="T190" s="99">
        <f t="shared" si="114"/>
        <v>76.518436268520389</v>
      </c>
      <c r="U190" s="100">
        <f t="shared" si="115"/>
        <v>188.58606272012423</v>
      </c>
      <c r="V190" s="99">
        <f t="shared" si="116"/>
        <v>0</v>
      </c>
      <c r="W190" s="99">
        <f t="shared" si="117"/>
        <v>0</v>
      </c>
      <c r="X190" s="100">
        <f t="shared" si="118"/>
        <v>-163.3006137621108</v>
      </c>
      <c r="Y190" s="99">
        <f t="shared" si="119"/>
        <v>0</v>
      </c>
      <c r="Z190" s="99">
        <f t="shared" si="120"/>
        <v>0</v>
      </c>
      <c r="AA190" s="100">
        <f t="shared" si="121"/>
        <v>-102.15942949041639</v>
      </c>
      <c r="AB190" s="99">
        <f t="shared" si="122"/>
        <v>0</v>
      </c>
      <c r="AC190" s="99">
        <f t="shared" si="123"/>
        <v>0</v>
      </c>
      <c r="AD190" s="100">
        <f t="shared" si="124"/>
        <v>-2887.5174843796594</v>
      </c>
      <c r="AE190" s="99">
        <f t="shared" si="125"/>
        <v>0</v>
      </c>
      <c r="AF190" s="99">
        <f t="shared" si="126"/>
        <v>0</v>
      </c>
      <c r="AG190" s="100">
        <f t="shared" si="127"/>
        <v>0</v>
      </c>
      <c r="AH190" s="502">
        <f t="shared" si="128"/>
        <v>-123.73306958218743</v>
      </c>
      <c r="AI190" s="502">
        <f t="shared" si="129"/>
        <v>534.77160155345155</v>
      </c>
      <c r="AJ190" s="502">
        <f t="shared" si="130"/>
        <v>-2651.0009635868505</v>
      </c>
      <c r="AK190" s="433"/>
    </row>
    <row r="191" spans="2:61">
      <c r="B191" s="1132">
        <f t="shared" si="99"/>
        <v>9.5062499999999996</v>
      </c>
      <c r="C191" s="101">
        <f t="shared" si="131"/>
        <v>0.44999999999999996</v>
      </c>
      <c r="D191" s="99">
        <f t="shared" si="100"/>
        <v>-43.503692914775613</v>
      </c>
      <c r="E191" s="99">
        <f t="shared" si="132"/>
        <v>43.503692914775627</v>
      </c>
      <c r="F191" s="100">
        <f t="shared" si="101"/>
        <v>-229.75387820615867</v>
      </c>
      <c r="G191" s="99">
        <f t="shared" si="102"/>
        <v>-50</v>
      </c>
      <c r="H191" s="99">
        <f t="shared" si="103"/>
        <v>50</v>
      </c>
      <c r="I191" s="100">
        <f t="shared" si="104"/>
        <v>-105.62500000000003</v>
      </c>
      <c r="J191" s="99">
        <f>-AM27</f>
        <v>-4.7232312445716893</v>
      </c>
      <c r="K191" s="99">
        <f t="shared" si="105"/>
        <v>42.509081201145236</v>
      </c>
      <c r="L191" s="100">
        <f t="shared" si="106"/>
        <v>-279.37912811641547</v>
      </c>
      <c r="M191" s="99">
        <f t="shared" si="107"/>
        <v>0</v>
      </c>
      <c r="N191" s="99">
        <f t="shared" si="108"/>
        <v>420.46731532835759</v>
      </c>
      <c r="O191" s="100">
        <f t="shared" si="109"/>
        <v>444.11860181557773</v>
      </c>
      <c r="P191" s="99">
        <f t="shared" si="110"/>
        <v>0</v>
      </c>
      <c r="Q191" s="99">
        <f t="shared" si="111"/>
        <v>0</v>
      </c>
      <c r="R191" s="100">
        <f t="shared" si="112"/>
        <v>0</v>
      </c>
      <c r="S191" s="99">
        <f t="shared" si="113"/>
        <v>-25.506145422840127</v>
      </c>
      <c r="T191" s="99">
        <f t="shared" si="114"/>
        <v>102.02458169136051</v>
      </c>
      <c r="U191" s="100">
        <f t="shared" si="115"/>
        <v>107.76346441149956</v>
      </c>
      <c r="V191" s="99">
        <f t="shared" si="116"/>
        <v>0</v>
      </c>
      <c r="W191" s="99">
        <f t="shared" si="117"/>
        <v>0</v>
      </c>
      <c r="X191" s="100">
        <f t="shared" si="118"/>
        <v>-163.3006137621108</v>
      </c>
      <c r="Y191" s="99">
        <f t="shared" si="119"/>
        <v>0</v>
      </c>
      <c r="Z191" s="99">
        <f t="shared" si="120"/>
        <v>0</v>
      </c>
      <c r="AA191" s="100">
        <f t="shared" si="121"/>
        <v>-102.15942949041639</v>
      </c>
      <c r="AB191" s="99">
        <f t="shared" si="122"/>
        <v>0</v>
      </c>
      <c r="AC191" s="99">
        <f t="shared" si="123"/>
        <v>0</v>
      </c>
      <c r="AD191" s="100">
        <f t="shared" si="124"/>
        <v>-2887.5174843796594</v>
      </c>
      <c r="AE191" s="99">
        <f t="shared" si="125"/>
        <v>0</v>
      </c>
      <c r="AF191" s="99">
        <f t="shared" si="126"/>
        <v>0</v>
      </c>
      <c r="AG191" s="100">
        <f t="shared" si="127"/>
        <v>0</v>
      </c>
      <c r="AH191" s="502">
        <f t="shared" si="128"/>
        <v>-123.73306958218743</v>
      </c>
      <c r="AI191" s="502">
        <f t="shared" si="129"/>
        <v>658.504671135639</v>
      </c>
      <c r="AJ191" s="502">
        <f t="shared" si="130"/>
        <v>-3215.8534677276834</v>
      </c>
      <c r="AK191" s="433"/>
    </row>
    <row r="192" spans="2:61">
      <c r="B192" s="1132">
        <f t="shared" si="99"/>
        <v>10.562499999999998</v>
      </c>
      <c r="C192" s="101">
        <f t="shared" si="131"/>
        <v>0.49999999999999994</v>
      </c>
      <c r="D192" s="99">
        <f t="shared" si="100"/>
        <v>-43.503692914775613</v>
      </c>
      <c r="E192" s="99">
        <f t="shared" si="132"/>
        <v>-130.51107874432682</v>
      </c>
      <c r="F192" s="100">
        <f t="shared" si="101"/>
        <v>-275.70465384739043</v>
      </c>
      <c r="G192" s="99">
        <f t="shared" si="102"/>
        <v>-50</v>
      </c>
      <c r="H192" s="99">
        <f t="shared" si="103"/>
        <v>-100</v>
      </c>
      <c r="I192" s="100">
        <f t="shared" si="104"/>
        <v>-158.43750000000003</v>
      </c>
      <c r="J192" s="99">
        <f>-AM27</f>
        <v>-4.7232312445716893</v>
      </c>
      <c r="K192" s="99">
        <f t="shared" si="105"/>
        <v>-51.955543690288593</v>
      </c>
      <c r="L192" s="100">
        <f t="shared" si="106"/>
        <v>-324.27934513512514</v>
      </c>
      <c r="M192" s="99">
        <f t="shared" si="107"/>
        <v>0</v>
      </c>
      <c r="N192" s="99">
        <f t="shared" si="108"/>
        <v>0</v>
      </c>
      <c r="O192" s="100">
        <f t="shared" si="109"/>
        <v>0</v>
      </c>
      <c r="P192" s="99">
        <f t="shared" si="110"/>
        <v>0</v>
      </c>
      <c r="Q192" s="99">
        <f t="shared" si="111"/>
        <v>0</v>
      </c>
      <c r="R192" s="100">
        <f t="shared" si="112"/>
        <v>0</v>
      </c>
      <c r="S192" s="99">
        <f t="shared" si="113"/>
        <v>0</v>
      </c>
      <c r="T192" s="99">
        <f t="shared" si="114"/>
        <v>0</v>
      </c>
      <c r="U192" s="100">
        <f t="shared" si="115"/>
        <v>0</v>
      </c>
      <c r="V192" s="99">
        <f t="shared" si="116"/>
        <v>0</v>
      </c>
      <c r="W192" s="99">
        <f t="shared" si="117"/>
        <v>-16.713960148368926</v>
      </c>
      <c r="X192" s="100">
        <f t="shared" si="118"/>
        <v>-163.3006137621108</v>
      </c>
      <c r="Y192" s="99">
        <f t="shared" si="119"/>
        <v>0</v>
      </c>
      <c r="Z192" s="99">
        <f t="shared" si="120"/>
        <v>-10.456106648627296</v>
      </c>
      <c r="AA192" s="100">
        <f t="shared" si="121"/>
        <v>-102.15942949041639</v>
      </c>
      <c r="AB192" s="99">
        <f t="shared" si="122"/>
        <v>0</v>
      </c>
      <c r="AC192" s="99">
        <f t="shared" si="123"/>
        <v>-273.37443639097364</v>
      </c>
      <c r="AD192" s="100">
        <f t="shared" si="124"/>
        <v>-2887.5174843796594</v>
      </c>
      <c r="AE192" s="99">
        <f t="shared" si="125"/>
        <v>0</v>
      </c>
      <c r="AF192" s="99">
        <f t="shared" si="126"/>
        <v>0</v>
      </c>
      <c r="AG192" s="100">
        <f t="shared" si="127"/>
        <v>0</v>
      </c>
      <c r="AH192" s="502">
        <f t="shared" si="128"/>
        <v>-98.226924159347305</v>
      </c>
      <c r="AI192" s="502">
        <f t="shared" si="129"/>
        <v>-583.01112562258527</v>
      </c>
      <c r="AJ192" s="502">
        <f t="shared" si="130"/>
        <v>-3911.3990266147021</v>
      </c>
      <c r="AK192" s="433"/>
    </row>
    <row r="193" spans="2:37">
      <c r="B193" s="1132">
        <f t="shared" si="99"/>
        <v>11.618749999999999</v>
      </c>
      <c r="C193" s="101">
        <f t="shared" si="131"/>
        <v>0.54999999999999993</v>
      </c>
      <c r="D193" s="99">
        <f t="shared" si="100"/>
        <v>-43.503692914775613</v>
      </c>
      <c r="E193" s="99">
        <f t="shared" si="132"/>
        <v>-87.007385829551225</v>
      </c>
      <c r="F193" s="100">
        <f t="shared" si="101"/>
        <v>-137.85232692369522</v>
      </c>
      <c r="G193" s="99">
        <f t="shared" si="102"/>
        <v>-50</v>
      </c>
      <c r="H193" s="99">
        <f t="shared" si="103"/>
        <v>-50</v>
      </c>
      <c r="I193" s="100">
        <f t="shared" si="104"/>
        <v>-52.812500000000007</v>
      </c>
      <c r="J193" s="99">
        <f>-AM27</f>
        <v>-4.7232312445716893</v>
      </c>
      <c r="K193" s="99">
        <f t="shared" si="105"/>
        <v>-47.2323124457169</v>
      </c>
      <c r="L193" s="100">
        <f t="shared" si="106"/>
        <v>-269.40130211225778</v>
      </c>
      <c r="M193" s="99">
        <f t="shared" si="107"/>
        <v>0</v>
      </c>
      <c r="N193" s="99">
        <f t="shared" si="108"/>
        <v>0</v>
      </c>
      <c r="O193" s="100">
        <f t="shared" si="109"/>
        <v>0</v>
      </c>
      <c r="P193" s="99">
        <f t="shared" si="110"/>
        <v>0</v>
      </c>
      <c r="Q193" s="99">
        <f t="shared" si="111"/>
        <v>0</v>
      </c>
      <c r="R193" s="100">
        <f t="shared" si="112"/>
        <v>0</v>
      </c>
      <c r="S193" s="99">
        <f t="shared" si="113"/>
        <v>0</v>
      </c>
      <c r="T193" s="99">
        <f t="shared" si="114"/>
        <v>0</v>
      </c>
      <c r="U193" s="100">
        <f t="shared" si="115"/>
        <v>0</v>
      </c>
      <c r="V193" s="99">
        <f t="shared" si="116"/>
        <v>0</v>
      </c>
      <c r="W193" s="99">
        <f t="shared" si="117"/>
        <v>-16.713960148368926</v>
      </c>
      <c r="X193" s="100">
        <f t="shared" si="118"/>
        <v>-145.64649335539613</v>
      </c>
      <c r="Y193" s="99">
        <f t="shared" si="119"/>
        <v>0</v>
      </c>
      <c r="Z193" s="99">
        <f t="shared" si="120"/>
        <v>-10.456106648627296</v>
      </c>
      <c r="AA193" s="100">
        <f t="shared" si="121"/>
        <v>-91.115166842803802</v>
      </c>
      <c r="AB193" s="99">
        <f t="shared" si="122"/>
        <v>0</v>
      </c>
      <c r="AC193" s="99">
        <f t="shared" si="123"/>
        <v>-273.37443639097364</v>
      </c>
      <c r="AD193" s="100">
        <f t="shared" si="124"/>
        <v>-2598.7657359416935</v>
      </c>
      <c r="AE193" s="99">
        <f t="shared" si="125"/>
        <v>0</v>
      </c>
      <c r="AF193" s="99">
        <f t="shared" si="126"/>
        <v>0</v>
      </c>
      <c r="AG193" s="100">
        <f t="shared" si="127"/>
        <v>0</v>
      </c>
      <c r="AH193" s="502">
        <f t="shared" si="128"/>
        <v>-98.226924159347305</v>
      </c>
      <c r="AI193" s="502">
        <f t="shared" si="129"/>
        <v>-484.78420146323799</v>
      </c>
      <c r="AJ193" s="502">
        <f t="shared" si="130"/>
        <v>-3295.5935251758465</v>
      </c>
      <c r="AK193" s="433"/>
    </row>
    <row r="194" spans="2:37">
      <c r="B194" s="1132">
        <f t="shared" si="99"/>
        <v>12.674999999999999</v>
      </c>
      <c r="C194" s="101">
        <f t="shared" si="131"/>
        <v>0.6</v>
      </c>
      <c r="D194" s="99">
        <f t="shared" si="100"/>
        <v>-43.503692914775613</v>
      </c>
      <c r="E194" s="99">
        <f t="shared" si="132"/>
        <v>-43.503692914775613</v>
      </c>
      <c r="F194" s="100">
        <f t="shared" si="101"/>
        <v>-45.950775641231743</v>
      </c>
      <c r="G194" s="99">
        <f t="shared" si="102"/>
        <v>0</v>
      </c>
      <c r="H194" s="99">
        <f t="shared" si="103"/>
        <v>0</v>
      </c>
      <c r="I194" s="100">
        <f t="shared" si="104"/>
        <v>0</v>
      </c>
      <c r="J194" s="99">
        <f>-AM27</f>
        <v>-4.7232312445716893</v>
      </c>
      <c r="K194" s="99">
        <f t="shared" si="105"/>
        <v>-42.509081201145207</v>
      </c>
      <c r="L194" s="100">
        <f t="shared" si="106"/>
        <v>-219.5121720914693</v>
      </c>
      <c r="M194" s="99">
        <f t="shared" si="107"/>
        <v>0</v>
      </c>
      <c r="N194" s="99">
        <f t="shared" si="108"/>
        <v>0</v>
      </c>
      <c r="O194" s="100">
        <f t="shared" si="109"/>
        <v>0</v>
      </c>
      <c r="P194" s="99">
        <f t="shared" si="110"/>
        <v>0</v>
      </c>
      <c r="Q194" s="99">
        <f t="shared" si="111"/>
        <v>0</v>
      </c>
      <c r="R194" s="100">
        <f t="shared" si="112"/>
        <v>0</v>
      </c>
      <c r="S194" s="99">
        <f t="shared" si="113"/>
        <v>0</v>
      </c>
      <c r="T194" s="99">
        <f t="shared" si="114"/>
        <v>0</v>
      </c>
      <c r="U194" s="100">
        <f t="shared" si="115"/>
        <v>0</v>
      </c>
      <c r="V194" s="99">
        <f t="shared" si="116"/>
        <v>0</v>
      </c>
      <c r="W194" s="99">
        <f t="shared" si="117"/>
        <v>-16.713960148368926</v>
      </c>
      <c r="X194" s="100">
        <f t="shared" si="118"/>
        <v>-127.99237294868145</v>
      </c>
      <c r="Y194" s="99">
        <f t="shared" si="119"/>
        <v>0</v>
      </c>
      <c r="Z194" s="99">
        <f t="shared" si="120"/>
        <v>-10.456106648627296</v>
      </c>
      <c r="AA194" s="100">
        <f t="shared" si="121"/>
        <v>-80.070904195191218</v>
      </c>
      <c r="AB194" s="99">
        <f t="shared" si="122"/>
        <v>0</v>
      </c>
      <c r="AC194" s="99">
        <f t="shared" si="123"/>
        <v>-273.37443639097364</v>
      </c>
      <c r="AD194" s="100">
        <f t="shared" si="124"/>
        <v>-2310.0139875037275</v>
      </c>
      <c r="AE194" s="99">
        <f t="shared" si="125"/>
        <v>0</v>
      </c>
      <c r="AF194" s="99">
        <f t="shared" si="126"/>
        <v>0</v>
      </c>
      <c r="AG194" s="100">
        <f t="shared" si="127"/>
        <v>0</v>
      </c>
      <c r="AH194" s="502">
        <f t="shared" si="128"/>
        <v>-48.226924159347305</v>
      </c>
      <c r="AI194" s="502">
        <f t="shared" si="129"/>
        <v>-386.55727730389071</v>
      </c>
      <c r="AJ194" s="502">
        <f t="shared" si="130"/>
        <v>-2783.5402123803015</v>
      </c>
      <c r="AK194" s="433"/>
    </row>
    <row r="195" spans="2:37">
      <c r="B195" s="1132">
        <f t="shared" si="99"/>
        <v>13.731250000000001</v>
      </c>
      <c r="C195" s="101">
        <f t="shared" si="131"/>
        <v>0.65</v>
      </c>
      <c r="D195" s="99">
        <f t="shared" si="100"/>
        <v>0</v>
      </c>
      <c r="E195" s="99">
        <f t="shared" si="132"/>
        <v>0</v>
      </c>
      <c r="F195" s="100">
        <f t="shared" si="101"/>
        <v>0</v>
      </c>
      <c r="G195" s="99">
        <f t="shared" si="102"/>
        <v>0</v>
      </c>
      <c r="H195" s="99">
        <f t="shared" si="103"/>
        <v>0</v>
      </c>
      <c r="I195" s="100">
        <f t="shared" si="104"/>
        <v>0</v>
      </c>
      <c r="J195" s="99">
        <f>-AM27</f>
        <v>-4.7232312445716893</v>
      </c>
      <c r="K195" s="99">
        <f t="shared" si="105"/>
        <v>-37.785849956573514</v>
      </c>
      <c r="L195" s="100">
        <f t="shared" si="106"/>
        <v>-174.61195507275966</v>
      </c>
      <c r="M195" s="99">
        <f t="shared" si="107"/>
        <v>0</v>
      </c>
      <c r="N195" s="99">
        <f t="shared" si="108"/>
        <v>0</v>
      </c>
      <c r="O195" s="100">
        <f t="shared" si="109"/>
        <v>0</v>
      </c>
      <c r="P195" s="99">
        <f t="shared" si="110"/>
        <v>0</v>
      </c>
      <c r="Q195" s="99">
        <f t="shared" si="111"/>
        <v>0</v>
      </c>
      <c r="R195" s="100">
        <f t="shared" si="112"/>
        <v>0</v>
      </c>
      <c r="S195" s="99">
        <f t="shared" si="113"/>
        <v>0</v>
      </c>
      <c r="T195" s="99">
        <f t="shared" si="114"/>
        <v>0</v>
      </c>
      <c r="U195" s="100">
        <f t="shared" si="115"/>
        <v>0</v>
      </c>
      <c r="V195" s="99">
        <f t="shared" si="116"/>
        <v>0</v>
      </c>
      <c r="W195" s="99">
        <f t="shared" si="117"/>
        <v>-16.713960148368926</v>
      </c>
      <c r="X195" s="100">
        <f t="shared" si="118"/>
        <v>-110.33825254196677</v>
      </c>
      <c r="Y195" s="99">
        <f t="shared" si="119"/>
        <v>0</v>
      </c>
      <c r="Z195" s="99">
        <f t="shared" si="120"/>
        <v>-10.456106648627296</v>
      </c>
      <c r="AA195" s="100">
        <f t="shared" si="121"/>
        <v>-69.026641547578635</v>
      </c>
      <c r="AB195" s="99">
        <f t="shared" si="122"/>
        <v>0</v>
      </c>
      <c r="AC195" s="99">
        <f t="shared" si="123"/>
        <v>-273.37443639097364</v>
      </c>
      <c r="AD195" s="100">
        <f t="shared" si="124"/>
        <v>-2021.2622390657616</v>
      </c>
      <c r="AE195" s="99">
        <f t="shared" si="125"/>
        <v>0</v>
      </c>
      <c r="AF195" s="99">
        <f t="shared" si="126"/>
        <v>0</v>
      </c>
      <c r="AG195" s="100">
        <f t="shared" si="127"/>
        <v>0</v>
      </c>
      <c r="AH195" s="502">
        <f t="shared" si="128"/>
        <v>-4.7232312445716893</v>
      </c>
      <c r="AI195" s="502">
        <f t="shared" si="129"/>
        <v>-338.33035314454338</v>
      </c>
      <c r="AJ195" s="502">
        <f t="shared" si="130"/>
        <v>-2375.2390882280665</v>
      </c>
      <c r="AK195" s="433"/>
    </row>
    <row r="196" spans="2:37">
      <c r="B196" s="1132">
        <f t="shared" si="99"/>
        <v>14.787500000000001</v>
      </c>
      <c r="C196" s="101">
        <f t="shared" si="131"/>
        <v>0.70000000000000007</v>
      </c>
      <c r="D196" s="99">
        <f t="shared" si="100"/>
        <v>0</v>
      </c>
      <c r="E196" s="99">
        <f t="shared" si="132"/>
        <v>0</v>
      </c>
      <c r="F196" s="100">
        <f t="shared" si="101"/>
        <v>0</v>
      </c>
      <c r="G196" s="99">
        <f t="shared" si="102"/>
        <v>0</v>
      </c>
      <c r="H196" s="99">
        <f t="shared" si="103"/>
        <v>0</v>
      </c>
      <c r="I196" s="100">
        <f t="shared" si="104"/>
        <v>0</v>
      </c>
      <c r="J196" s="99">
        <f>-AM27</f>
        <v>-4.7232312445716893</v>
      </c>
      <c r="K196" s="99">
        <f t="shared" si="105"/>
        <v>-33.062618712001822</v>
      </c>
      <c r="L196" s="100">
        <f t="shared" si="106"/>
        <v>-134.70065105612889</v>
      </c>
      <c r="M196" s="99">
        <f t="shared" si="107"/>
        <v>0</v>
      </c>
      <c r="N196" s="99">
        <f t="shared" si="108"/>
        <v>0</v>
      </c>
      <c r="O196" s="100">
        <f t="shared" si="109"/>
        <v>0</v>
      </c>
      <c r="P196" s="99">
        <f t="shared" si="110"/>
        <v>0</v>
      </c>
      <c r="Q196" s="99">
        <f t="shared" si="111"/>
        <v>0</v>
      </c>
      <c r="R196" s="100">
        <f t="shared" si="112"/>
        <v>0</v>
      </c>
      <c r="S196" s="99">
        <f t="shared" si="113"/>
        <v>0</v>
      </c>
      <c r="T196" s="99">
        <f t="shared" si="114"/>
        <v>0</v>
      </c>
      <c r="U196" s="100">
        <f t="shared" si="115"/>
        <v>0</v>
      </c>
      <c r="V196" s="99">
        <f t="shared" si="116"/>
        <v>0</v>
      </c>
      <c r="W196" s="99">
        <f t="shared" si="117"/>
        <v>-16.713960148368926</v>
      </c>
      <c r="X196" s="100">
        <f t="shared" si="118"/>
        <v>-92.684132135252085</v>
      </c>
      <c r="Y196" s="99">
        <f t="shared" si="119"/>
        <v>0</v>
      </c>
      <c r="Z196" s="99">
        <f t="shared" si="120"/>
        <v>-10.456106648627296</v>
      </c>
      <c r="AA196" s="100">
        <f t="shared" si="121"/>
        <v>-57.982378899966058</v>
      </c>
      <c r="AB196" s="99">
        <f t="shared" si="122"/>
        <v>0</v>
      </c>
      <c r="AC196" s="99">
        <f t="shared" si="123"/>
        <v>-273.37443639097364</v>
      </c>
      <c r="AD196" s="100">
        <f t="shared" si="124"/>
        <v>-1732.5104906277957</v>
      </c>
      <c r="AE196" s="99">
        <f t="shared" si="125"/>
        <v>0</v>
      </c>
      <c r="AF196" s="99">
        <f t="shared" si="126"/>
        <v>0</v>
      </c>
      <c r="AG196" s="100">
        <f t="shared" si="127"/>
        <v>0</v>
      </c>
      <c r="AH196" s="502">
        <f t="shared" si="128"/>
        <v>-4.7232312445716893</v>
      </c>
      <c r="AI196" s="502">
        <f t="shared" si="129"/>
        <v>-333.60712189997167</v>
      </c>
      <c r="AJ196" s="502">
        <f t="shared" si="130"/>
        <v>-2017.8776527191426</v>
      </c>
      <c r="AK196" s="433"/>
    </row>
    <row r="197" spans="2:37">
      <c r="B197" s="1132">
        <f t="shared" si="99"/>
        <v>15.843750000000002</v>
      </c>
      <c r="C197" s="101">
        <f t="shared" si="131"/>
        <v>0.75000000000000011</v>
      </c>
      <c r="D197" s="99">
        <f t="shared" si="100"/>
        <v>0</v>
      </c>
      <c r="E197" s="99">
        <f t="shared" si="132"/>
        <v>0</v>
      </c>
      <c r="F197" s="100">
        <f t="shared" si="101"/>
        <v>0</v>
      </c>
      <c r="G197" s="99">
        <f t="shared" si="102"/>
        <v>0</v>
      </c>
      <c r="H197" s="99">
        <f t="shared" si="103"/>
        <v>0</v>
      </c>
      <c r="I197" s="100">
        <f t="shared" si="104"/>
        <v>0</v>
      </c>
      <c r="J197" s="99">
        <f>-AM27</f>
        <v>-4.7232312445716893</v>
      </c>
      <c r="K197" s="99">
        <f t="shared" si="105"/>
        <v>-28.339387467430136</v>
      </c>
      <c r="L197" s="100">
        <f t="shared" si="106"/>
        <v>-99.778260041576956</v>
      </c>
      <c r="M197" s="99">
        <f t="shared" si="107"/>
        <v>0</v>
      </c>
      <c r="N197" s="99">
        <f t="shared" si="108"/>
        <v>0</v>
      </c>
      <c r="O197" s="100">
        <f t="shared" si="109"/>
        <v>0</v>
      </c>
      <c r="P197" s="99">
        <f t="shared" si="110"/>
        <v>0</v>
      </c>
      <c r="Q197" s="99">
        <f t="shared" si="111"/>
        <v>0</v>
      </c>
      <c r="R197" s="100">
        <f t="shared" si="112"/>
        <v>0</v>
      </c>
      <c r="S197" s="99">
        <f t="shared" si="113"/>
        <v>0</v>
      </c>
      <c r="T197" s="99">
        <f t="shared" si="114"/>
        <v>0</v>
      </c>
      <c r="U197" s="100">
        <f t="shared" si="115"/>
        <v>0</v>
      </c>
      <c r="V197" s="99">
        <f t="shared" si="116"/>
        <v>0</v>
      </c>
      <c r="W197" s="99">
        <f t="shared" si="117"/>
        <v>-16.713960148368926</v>
      </c>
      <c r="X197" s="100">
        <f t="shared" si="118"/>
        <v>-75.030011728537403</v>
      </c>
      <c r="Y197" s="99">
        <f t="shared" si="119"/>
        <v>0</v>
      </c>
      <c r="Z197" s="99">
        <f t="shared" si="120"/>
        <v>-10.456106648627296</v>
      </c>
      <c r="AA197" s="100">
        <f t="shared" si="121"/>
        <v>-46.938116252353474</v>
      </c>
      <c r="AB197" s="99">
        <f t="shared" si="122"/>
        <v>0</v>
      </c>
      <c r="AC197" s="99">
        <f t="shared" si="123"/>
        <v>-273.37443639097364</v>
      </c>
      <c r="AD197" s="100">
        <f t="shared" si="124"/>
        <v>-1443.7587421898297</v>
      </c>
      <c r="AE197" s="99">
        <f t="shared" si="125"/>
        <v>0</v>
      </c>
      <c r="AF197" s="99">
        <f t="shared" si="126"/>
        <v>0</v>
      </c>
      <c r="AG197" s="100">
        <f t="shared" si="127"/>
        <v>0</v>
      </c>
      <c r="AH197" s="502">
        <f t="shared" si="128"/>
        <v>-4.7232312445716893</v>
      </c>
      <c r="AI197" s="502">
        <f t="shared" si="129"/>
        <v>-328.88389065540002</v>
      </c>
      <c r="AJ197" s="502">
        <f t="shared" si="130"/>
        <v>-1665.5051302122974</v>
      </c>
      <c r="AK197" s="433"/>
    </row>
    <row r="198" spans="2:37">
      <c r="B198" s="1132">
        <f t="shared" si="99"/>
        <v>16.900000000000002</v>
      </c>
      <c r="C198" s="101">
        <f t="shared" si="131"/>
        <v>0.80000000000000016</v>
      </c>
      <c r="D198" s="99">
        <f t="shared" si="100"/>
        <v>0</v>
      </c>
      <c r="E198" s="99">
        <f t="shared" si="132"/>
        <v>0</v>
      </c>
      <c r="F198" s="100">
        <f t="shared" si="101"/>
        <v>0</v>
      </c>
      <c r="G198" s="99">
        <f t="shared" si="102"/>
        <v>0</v>
      </c>
      <c r="H198" s="99">
        <f t="shared" si="103"/>
        <v>0</v>
      </c>
      <c r="I198" s="100">
        <f t="shared" si="104"/>
        <v>0</v>
      </c>
      <c r="J198" s="99">
        <f>-AM27</f>
        <v>-4.7232312445716893</v>
      </c>
      <c r="K198" s="99">
        <f t="shared" si="105"/>
        <v>-23.616156222858447</v>
      </c>
      <c r="L198" s="100">
        <f t="shared" si="106"/>
        <v>-69.844782029103868</v>
      </c>
      <c r="M198" s="99">
        <f t="shared" si="107"/>
        <v>0</v>
      </c>
      <c r="N198" s="99">
        <f t="shared" si="108"/>
        <v>0</v>
      </c>
      <c r="O198" s="100">
        <f t="shared" si="109"/>
        <v>0</v>
      </c>
      <c r="P198" s="99">
        <f t="shared" si="110"/>
        <v>0</v>
      </c>
      <c r="Q198" s="99">
        <f t="shared" si="111"/>
        <v>0</v>
      </c>
      <c r="R198" s="100">
        <f t="shared" si="112"/>
        <v>0</v>
      </c>
      <c r="S198" s="99">
        <f t="shared" si="113"/>
        <v>0</v>
      </c>
      <c r="T198" s="99">
        <f t="shared" si="114"/>
        <v>0</v>
      </c>
      <c r="U198" s="100">
        <f t="shared" si="115"/>
        <v>0</v>
      </c>
      <c r="V198" s="99">
        <f t="shared" si="116"/>
        <v>0</v>
      </c>
      <c r="W198" s="99">
        <f t="shared" si="117"/>
        <v>-16.713960148368926</v>
      </c>
      <c r="X198" s="100">
        <f t="shared" si="118"/>
        <v>-57.375891321822714</v>
      </c>
      <c r="Y198" s="99">
        <f t="shared" si="119"/>
        <v>0</v>
      </c>
      <c r="Z198" s="99">
        <f t="shared" si="120"/>
        <v>-10.456106648627296</v>
      </c>
      <c r="AA198" s="100">
        <f t="shared" si="121"/>
        <v>-35.89385360474089</v>
      </c>
      <c r="AB198" s="99">
        <f t="shared" si="122"/>
        <v>0</v>
      </c>
      <c r="AC198" s="99">
        <f t="shared" si="123"/>
        <v>-273.37443639097364</v>
      </c>
      <c r="AD198" s="100">
        <f t="shared" si="124"/>
        <v>-1155.0069937518638</v>
      </c>
      <c r="AE198" s="99">
        <f t="shared" si="125"/>
        <v>0</v>
      </c>
      <c r="AF198" s="99">
        <f t="shared" si="126"/>
        <v>0</v>
      </c>
      <c r="AG198" s="100">
        <f t="shared" si="127"/>
        <v>0</v>
      </c>
      <c r="AH198" s="502">
        <f t="shared" si="128"/>
        <v>-4.7232312445716893</v>
      </c>
      <c r="AI198" s="502">
        <f t="shared" si="129"/>
        <v>-324.16065941082832</v>
      </c>
      <c r="AJ198" s="502">
        <f t="shared" si="130"/>
        <v>-1318.1215207075313</v>
      </c>
      <c r="AK198" s="433"/>
    </row>
    <row r="199" spans="2:37">
      <c r="B199" s="1132">
        <f t="shared" si="99"/>
        <v>17.956250000000004</v>
      </c>
      <c r="C199" s="101">
        <f t="shared" si="131"/>
        <v>0.8500000000000002</v>
      </c>
      <c r="D199" s="99">
        <f t="shared" si="100"/>
        <v>0</v>
      </c>
      <c r="E199" s="99">
        <f t="shared" si="132"/>
        <v>0</v>
      </c>
      <c r="F199" s="100">
        <f t="shared" si="101"/>
        <v>0</v>
      </c>
      <c r="G199" s="99">
        <f t="shared" si="102"/>
        <v>0</v>
      </c>
      <c r="H199" s="99">
        <f t="shared" si="103"/>
        <v>0</v>
      </c>
      <c r="I199" s="100">
        <f t="shared" si="104"/>
        <v>0</v>
      </c>
      <c r="J199" s="99">
        <f>-AM27</f>
        <v>-4.7232312445716893</v>
      </c>
      <c r="K199" s="99">
        <f t="shared" si="105"/>
        <v>-18.892924978286757</v>
      </c>
      <c r="L199" s="100">
        <f t="shared" si="106"/>
        <v>-44.900217018709625</v>
      </c>
      <c r="M199" s="99">
        <f t="shared" si="107"/>
        <v>0</v>
      </c>
      <c r="N199" s="99">
        <f t="shared" si="108"/>
        <v>0</v>
      </c>
      <c r="O199" s="100">
        <f t="shared" si="109"/>
        <v>0</v>
      </c>
      <c r="P199" s="99">
        <f t="shared" si="110"/>
        <v>0</v>
      </c>
      <c r="Q199" s="99">
        <f t="shared" si="111"/>
        <v>0</v>
      </c>
      <c r="R199" s="100">
        <f t="shared" si="112"/>
        <v>0</v>
      </c>
      <c r="S199" s="99">
        <f t="shared" si="113"/>
        <v>0</v>
      </c>
      <c r="T199" s="99">
        <f t="shared" si="114"/>
        <v>0</v>
      </c>
      <c r="U199" s="100">
        <f t="shared" si="115"/>
        <v>0</v>
      </c>
      <c r="V199" s="99">
        <f t="shared" si="116"/>
        <v>-4.1784900370922315</v>
      </c>
      <c r="W199" s="99">
        <f t="shared" si="117"/>
        <v>-16.713960148368926</v>
      </c>
      <c r="X199" s="100">
        <f t="shared" si="118"/>
        <v>-39.721770915108031</v>
      </c>
      <c r="Y199" s="99">
        <f t="shared" si="119"/>
        <v>-2.614026662156824</v>
      </c>
      <c r="Z199" s="99">
        <f t="shared" si="120"/>
        <v>-10.456106648627296</v>
      </c>
      <c r="AA199" s="100">
        <f t="shared" si="121"/>
        <v>-24.849590957128306</v>
      </c>
      <c r="AB199" s="99">
        <f t="shared" si="122"/>
        <v>0</v>
      </c>
      <c r="AC199" s="99">
        <f t="shared" si="123"/>
        <v>-273.37443639097364</v>
      </c>
      <c r="AD199" s="100">
        <f t="shared" si="124"/>
        <v>-866.25524531389783</v>
      </c>
      <c r="AE199" s="99">
        <f t="shared" si="125"/>
        <v>0</v>
      </c>
      <c r="AF199" s="99">
        <f t="shared" si="126"/>
        <v>0</v>
      </c>
      <c r="AG199" s="100">
        <f t="shared" si="127"/>
        <v>0</v>
      </c>
      <c r="AH199" s="502">
        <f t="shared" si="128"/>
        <v>-11.515747943820745</v>
      </c>
      <c r="AI199" s="502">
        <f t="shared" si="129"/>
        <v>-319.43742816625661</v>
      </c>
      <c r="AJ199" s="502">
        <f t="shared" si="130"/>
        <v>-975.72682420484375</v>
      </c>
      <c r="AK199" s="433"/>
    </row>
    <row r="200" spans="2:37">
      <c r="B200" s="1132">
        <f t="shared" si="99"/>
        <v>19.012500000000006</v>
      </c>
      <c r="C200" s="101">
        <f t="shared" si="131"/>
        <v>0.90000000000000024</v>
      </c>
      <c r="D200" s="99">
        <f t="shared" si="100"/>
        <v>0</v>
      </c>
      <c r="E200" s="99">
        <f t="shared" si="132"/>
        <v>0</v>
      </c>
      <c r="F200" s="100">
        <f t="shared" si="101"/>
        <v>0</v>
      </c>
      <c r="G200" s="99">
        <f t="shared" si="102"/>
        <v>0</v>
      </c>
      <c r="H200" s="99">
        <f t="shared" si="103"/>
        <v>0</v>
      </c>
      <c r="I200" s="100">
        <f t="shared" si="104"/>
        <v>0</v>
      </c>
      <c r="J200" s="99">
        <f>-AM27</f>
        <v>-4.7232312445716893</v>
      </c>
      <c r="K200" s="99">
        <f t="shared" si="105"/>
        <v>-14.169693733715068</v>
      </c>
      <c r="L200" s="100">
        <f t="shared" si="106"/>
        <v>-24.944565010394236</v>
      </c>
      <c r="M200" s="99">
        <f t="shared" si="107"/>
        <v>0</v>
      </c>
      <c r="N200" s="99">
        <f t="shared" si="108"/>
        <v>0</v>
      </c>
      <c r="O200" s="100">
        <f t="shared" si="109"/>
        <v>0</v>
      </c>
      <c r="P200" s="99">
        <f t="shared" si="110"/>
        <v>0</v>
      </c>
      <c r="Q200" s="99">
        <f t="shared" si="111"/>
        <v>0</v>
      </c>
      <c r="R200" s="100">
        <f t="shared" si="112"/>
        <v>0</v>
      </c>
      <c r="S200" s="99">
        <f t="shared" si="113"/>
        <v>0</v>
      </c>
      <c r="T200" s="99">
        <f t="shared" si="114"/>
        <v>0</v>
      </c>
      <c r="U200" s="100">
        <f t="shared" si="115"/>
        <v>0</v>
      </c>
      <c r="V200" s="99">
        <f t="shared" si="116"/>
        <v>-4.1784900370922315</v>
      </c>
      <c r="W200" s="99">
        <f t="shared" si="117"/>
        <v>-12.535470111276695</v>
      </c>
      <c r="X200" s="100">
        <f t="shared" si="118"/>
        <v>-22.067650508393349</v>
      </c>
      <c r="Y200" s="99">
        <f t="shared" si="119"/>
        <v>-2.614026662156824</v>
      </c>
      <c r="Z200" s="99">
        <f t="shared" si="120"/>
        <v>-7.8420799864704716</v>
      </c>
      <c r="AA200" s="100">
        <f t="shared" si="121"/>
        <v>-13.805328309515726</v>
      </c>
      <c r="AB200" s="99">
        <f t="shared" si="122"/>
        <v>0</v>
      </c>
      <c r="AC200" s="99">
        <f t="shared" si="123"/>
        <v>-273.37443639097364</v>
      </c>
      <c r="AD200" s="100">
        <f t="shared" si="124"/>
        <v>-577.50349687593189</v>
      </c>
      <c r="AE200" s="99">
        <f t="shared" si="125"/>
        <v>0</v>
      </c>
      <c r="AF200" s="99">
        <f t="shared" si="126"/>
        <v>0</v>
      </c>
      <c r="AG200" s="100">
        <f t="shared" si="127"/>
        <v>0</v>
      </c>
      <c r="AH200" s="502">
        <f t="shared" si="128"/>
        <v>-11.515747943820745</v>
      </c>
      <c r="AI200" s="502">
        <f t="shared" si="129"/>
        <v>-307.9216802224359</v>
      </c>
      <c r="AJ200" s="502">
        <f t="shared" si="130"/>
        <v>-638.3210407042352</v>
      </c>
      <c r="AK200" s="433"/>
    </row>
    <row r="201" spans="2:37">
      <c r="B201" s="1132">
        <f t="shared" si="99"/>
        <v>20.068750000000005</v>
      </c>
      <c r="C201" s="101">
        <f t="shared" si="131"/>
        <v>0.95000000000000029</v>
      </c>
      <c r="D201" s="99">
        <f t="shared" si="100"/>
        <v>0</v>
      </c>
      <c r="E201" s="99">
        <f t="shared" si="132"/>
        <v>0</v>
      </c>
      <c r="F201" s="100">
        <f t="shared" si="101"/>
        <v>0</v>
      </c>
      <c r="G201" s="99">
        <f t="shared" si="102"/>
        <v>0</v>
      </c>
      <c r="H201" s="99">
        <f t="shared" si="103"/>
        <v>0</v>
      </c>
      <c r="I201" s="100">
        <f t="shared" si="104"/>
        <v>0</v>
      </c>
      <c r="J201" s="99">
        <f>-AM27</f>
        <v>-4.7232312445716893</v>
      </c>
      <c r="K201" s="99">
        <f t="shared" si="105"/>
        <v>-9.4464624891433786</v>
      </c>
      <c r="L201" s="100">
        <f t="shared" si="106"/>
        <v>-9.9778260041576949</v>
      </c>
      <c r="M201" s="99">
        <f t="shared" si="107"/>
        <v>0</v>
      </c>
      <c r="N201" s="99">
        <f t="shared" si="108"/>
        <v>0</v>
      </c>
      <c r="O201" s="100">
        <f t="shared" si="109"/>
        <v>0</v>
      </c>
      <c r="P201" s="99">
        <f t="shared" si="110"/>
        <v>0</v>
      </c>
      <c r="Q201" s="99">
        <f t="shared" si="111"/>
        <v>0</v>
      </c>
      <c r="R201" s="100">
        <f t="shared" si="112"/>
        <v>0</v>
      </c>
      <c r="S201" s="99">
        <f t="shared" si="113"/>
        <v>0</v>
      </c>
      <c r="T201" s="99">
        <f t="shared" si="114"/>
        <v>0</v>
      </c>
      <c r="U201" s="100">
        <f t="shared" si="115"/>
        <v>0</v>
      </c>
      <c r="V201" s="99">
        <f t="shared" si="116"/>
        <v>-4.1784900370922315</v>
      </c>
      <c r="W201" s="99">
        <f t="shared" si="117"/>
        <v>-8.3569800741844631</v>
      </c>
      <c r="X201" s="100">
        <f t="shared" si="118"/>
        <v>-8.8270602033573411</v>
      </c>
      <c r="Y201" s="99">
        <f t="shared" si="119"/>
        <v>-2.614026662156824</v>
      </c>
      <c r="Z201" s="99">
        <f t="shared" si="120"/>
        <v>-5.228053324313648</v>
      </c>
      <c r="AA201" s="100">
        <f t="shared" si="121"/>
        <v>-5.522131323806291</v>
      </c>
      <c r="AB201" s="99">
        <f t="shared" si="122"/>
        <v>-273.37443639097364</v>
      </c>
      <c r="AC201" s="99">
        <f t="shared" si="123"/>
        <v>-273.37443639097364</v>
      </c>
      <c r="AD201" s="100">
        <f t="shared" si="124"/>
        <v>-288.75174843796594</v>
      </c>
      <c r="AE201" s="99">
        <f t="shared" si="125"/>
        <v>0</v>
      </c>
      <c r="AF201" s="99">
        <f t="shared" si="126"/>
        <v>0</v>
      </c>
      <c r="AG201" s="100">
        <f t="shared" si="127"/>
        <v>0</v>
      </c>
      <c r="AH201" s="502">
        <f t="shared" si="128"/>
        <v>-284.89018433479441</v>
      </c>
      <c r="AI201" s="502">
        <f t="shared" si="129"/>
        <v>-296.40593227861513</v>
      </c>
      <c r="AJ201" s="502">
        <f t="shared" si="130"/>
        <v>-313.07876596928725</v>
      </c>
      <c r="AK201" s="433"/>
    </row>
    <row r="202" spans="2:37">
      <c r="B202" s="1132">
        <f t="shared" si="99"/>
        <v>21.125000000000004</v>
      </c>
      <c r="C202" s="101">
        <f t="shared" si="131"/>
        <v>1.0000000000000002</v>
      </c>
      <c r="D202" s="99">
        <f t="shared" si="100"/>
        <v>0</v>
      </c>
      <c r="E202" s="99">
        <f t="shared" si="132"/>
        <v>0</v>
      </c>
      <c r="F202" s="100">
        <v>0</v>
      </c>
      <c r="G202" s="99">
        <f t="shared" si="102"/>
        <v>0</v>
      </c>
      <c r="H202" s="99">
        <f t="shared" si="103"/>
        <v>0</v>
      </c>
      <c r="I202" s="100">
        <v>0</v>
      </c>
      <c r="J202" s="99">
        <f>-AM27</f>
        <v>-4.7232312445716893</v>
      </c>
      <c r="K202" s="99">
        <f t="shared" si="105"/>
        <v>-4.7232312445716893</v>
      </c>
      <c r="L202" s="100">
        <f>0</f>
        <v>0</v>
      </c>
      <c r="M202" s="99">
        <f t="shared" si="107"/>
        <v>0</v>
      </c>
      <c r="N202" s="99">
        <f t="shared" si="108"/>
        <v>0</v>
      </c>
      <c r="O202" s="100">
        <v>0</v>
      </c>
      <c r="P202" s="99">
        <f t="shared" si="110"/>
        <v>0</v>
      </c>
      <c r="Q202" s="99">
        <f t="shared" si="111"/>
        <v>0</v>
      </c>
      <c r="R202" s="100">
        <v>0</v>
      </c>
      <c r="S202" s="99">
        <f t="shared" si="113"/>
        <v>0</v>
      </c>
      <c r="T202" s="99">
        <f t="shared" si="114"/>
        <v>0</v>
      </c>
      <c r="U202" s="100">
        <v>0</v>
      </c>
      <c r="V202" s="99">
        <f t="shared" si="116"/>
        <v>-4.1784900370922315</v>
      </c>
      <c r="W202" s="99">
        <f t="shared" si="117"/>
        <v>-4.1784900370922315</v>
      </c>
      <c r="X202" s="100">
        <v>0</v>
      </c>
      <c r="Y202" s="99">
        <f t="shared" si="119"/>
        <v>-2.614026662156824</v>
      </c>
      <c r="Z202" s="99">
        <f t="shared" si="120"/>
        <v>-2.614026662156824</v>
      </c>
      <c r="AA202" s="100">
        <v>0</v>
      </c>
      <c r="AB202" s="99">
        <f t="shared" si="122"/>
        <v>0</v>
      </c>
      <c r="AC202" s="99">
        <f t="shared" si="123"/>
        <v>0</v>
      </c>
      <c r="AD202" s="100">
        <v>0</v>
      </c>
      <c r="AE202" s="99">
        <f t="shared" si="125"/>
        <v>0</v>
      </c>
      <c r="AF202" s="99">
        <f t="shared" si="126"/>
        <v>0</v>
      </c>
      <c r="AG202" s="100">
        <f>0</f>
        <v>0</v>
      </c>
      <c r="AH202" s="502">
        <f t="shared" si="128"/>
        <v>-11.515747943820745</v>
      </c>
      <c r="AI202" s="502">
        <f t="shared" si="129"/>
        <v>-11.515747943820745</v>
      </c>
      <c r="AJ202" s="502">
        <f t="shared" si="130"/>
        <v>0</v>
      </c>
      <c r="AK202" s="433"/>
    </row>
    <row r="203" spans="2:37">
      <c r="B203" s="1132"/>
      <c r="C203" s="101"/>
      <c r="D203" s="99"/>
      <c r="E203" s="99"/>
      <c r="F203" s="100"/>
      <c r="G203" s="101"/>
      <c r="H203" s="101"/>
      <c r="I203" s="618"/>
      <c r="J203" s="101"/>
      <c r="K203" s="101"/>
      <c r="L203" s="618"/>
      <c r="M203" s="99"/>
      <c r="N203" s="99"/>
      <c r="O203" s="619"/>
      <c r="P203" s="99"/>
      <c r="Q203" s="99"/>
      <c r="R203" s="619"/>
      <c r="S203" s="99"/>
      <c r="T203" s="99"/>
      <c r="U203" s="94"/>
      <c r="V203" s="99"/>
      <c r="W203" s="99"/>
      <c r="X203" s="94"/>
      <c r="Y203" s="99"/>
      <c r="Z203" s="99"/>
      <c r="AA203" s="94"/>
      <c r="AB203" s="99"/>
      <c r="AC203" s="99"/>
      <c r="AD203" s="94"/>
      <c r="AE203" s="101"/>
      <c r="AF203" s="101"/>
      <c r="AG203" s="618"/>
      <c r="AH203" s="94"/>
      <c r="AI203" s="101"/>
      <c r="AJ203" s="618"/>
      <c r="AK203" s="433"/>
    </row>
    <row r="204" spans="2:37">
      <c r="B204" s="1133" t="s">
        <v>146</v>
      </c>
      <c r="C204" s="94"/>
      <c r="D204" s="99">
        <f>SUM(D182:D202)</f>
        <v>-217.51846457387808</v>
      </c>
      <c r="E204" s="101"/>
      <c r="F204" s="101"/>
      <c r="G204" s="101">
        <f>SUM(G182:G202)</f>
        <v>-200</v>
      </c>
      <c r="H204" s="101"/>
      <c r="I204" s="94"/>
      <c r="J204" s="99">
        <f>SUM(J182:J202)</f>
        <v>-99.187856136005522</v>
      </c>
      <c r="K204" s="101"/>
      <c r="L204" s="94"/>
      <c r="M204" s="99">
        <f>SUM(M182:M202)</f>
        <v>-420.46731532835759</v>
      </c>
      <c r="N204" s="99"/>
      <c r="O204" s="619"/>
      <c r="P204" s="99">
        <f>SUM(P182:P202)</f>
        <v>0</v>
      </c>
      <c r="Q204" s="99"/>
      <c r="R204" s="619"/>
      <c r="S204" s="99">
        <f>SUM(S182:S202)</f>
        <v>-127.53072711420063</v>
      </c>
      <c r="T204" s="99"/>
      <c r="U204" s="94"/>
      <c r="V204" s="99">
        <f>SUM(V182:V202)</f>
        <v>-16.713960148368926</v>
      </c>
      <c r="W204" s="99"/>
      <c r="X204" s="94"/>
      <c r="Y204" s="99">
        <f>SUM(Y182:Y202)</f>
        <v>-10.456106648627296</v>
      </c>
      <c r="Z204" s="99"/>
      <c r="AA204" s="94"/>
      <c r="AB204" s="99">
        <f>SUM(AB182:AB202)</f>
        <v>-273.37443639097364</v>
      </c>
      <c r="AC204" s="99"/>
      <c r="AD204" s="94"/>
      <c r="AE204" s="99">
        <f>SUM(AE182:AE202)</f>
        <v>0</v>
      </c>
      <c r="AF204" s="101"/>
      <c r="AG204" s="94"/>
      <c r="AH204" s="94"/>
      <c r="AI204" s="94"/>
      <c r="AJ204" s="94"/>
      <c r="AK204" s="433"/>
    </row>
    <row r="205" spans="2:37">
      <c r="B205" s="246"/>
      <c r="C205" s="223"/>
      <c r="D205" s="223"/>
      <c r="E205" s="223"/>
      <c r="F205" s="223"/>
      <c r="G205" s="223"/>
      <c r="H205" s="223"/>
      <c r="I205" s="223"/>
      <c r="J205" s="223"/>
      <c r="K205" s="223"/>
      <c r="L205" s="223"/>
      <c r="M205" s="223"/>
      <c r="N205" s="223"/>
      <c r="O205" s="223"/>
      <c r="P205" s="223"/>
      <c r="Q205" s="223"/>
      <c r="R205" s="223"/>
      <c r="S205" s="223"/>
      <c r="T205" s="223"/>
      <c r="U205" s="223"/>
      <c r="V205" s="223"/>
      <c r="W205" s="223"/>
      <c r="X205" s="223"/>
      <c r="Y205" s="94"/>
      <c r="Z205" s="94"/>
      <c r="AA205" s="94"/>
      <c r="AB205" s="223"/>
      <c r="AC205" s="223"/>
      <c r="AD205" s="223"/>
      <c r="AE205" s="223"/>
      <c r="AF205" s="223"/>
      <c r="AG205" s="223"/>
      <c r="AH205" s="223"/>
      <c r="AI205" s="223"/>
      <c r="AJ205" s="223"/>
      <c r="AK205" s="433"/>
    </row>
    <row r="206" spans="2:37">
      <c r="B206" s="235"/>
      <c r="C206" s="231"/>
      <c r="D206" s="231"/>
      <c r="E206" s="231"/>
      <c r="F206" s="231"/>
      <c r="G206" s="231"/>
      <c r="H206" s="231"/>
      <c r="I206" s="231"/>
      <c r="J206" s="231"/>
      <c r="K206" s="231"/>
      <c r="L206" s="231"/>
      <c r="M206" s="231"/>
      <c r="N206" s="231"/>
      <c r="O206" s="231"/>
      <c r="P206" s="231"/>
      <c r="Q206" s="231"/>
      <c r="R206" s="231"/>
      <c r="S206" s="231"/>
      <c r="T206" s="231"/>
      <c r="U206" s="231"/>
      <c r="V206" s="231"/>
      <c r="W206" s="231"/>
      <c r="X206" s="231"/>
      <c r="Y206" s="231"/>
      <c r="Z206" s="231"/>
      <c r="AA206" s="231"/>
      <c r="AB206" s="231"/>
      <c r="AC206" s="231"/>
      <c r="AD206" s="231"/>
      <c r="AE206" s="231"/>
      <c r="AF206" s="231"/>
      <c r="AG206" s="231"/>
      <c r="AH206" s="231"/>
      <c r="AI206" s="231"/>
      <c r="AJ206" s="231"/>
      <c r="AK206" s="433"/>
    </row>
    <row r="207" spans="2:37" ht="13.8" thickBot="1">
      <c r="B207" s="254"/>
      <c r="C207" s="255"/>
      <c r="D207" s="255"/>
      <c r="E207" s="255"/>
      <c r="F207" s="1134"/>
      <c r="G207" s="255"/>
      <c r="H207" s="255"/>
      <c r="I207" s="255"/>
      <c r="J207" s="255"/>
      <c r="K207" s="255"/>
      <c r="L207" s="255"/>
      <c r="M207" s="255"/>
      <c r="N207" s="255"/>
      <c r="O207" s="255"/>
      <c r="P207" s="255"/>
      <c r="Q207" s="255"/>
      <c r="R207" s="255"/>
      <c r="S207" s="255"/>
      <c r="T207" s="255"/>
      <c r="U207" s="255"/>
      <c r="V207" s="255"/>
      <c r="W207" s="255"/>
      <c r="X207" s="255"/>
      <c r="Y207" s="255"/>
      <c r="Z207" s="255"/>
      <c r="AA207" s="255"/>
      <c r="AB207" s="255"/>
      <c r="AC207" s="255"/>
      <c r="AD207" s="255"/>
      <c r="AE207" s="255"/>
      <c r="AF207" s="255"/>
      <c r="AG207" s="255"/>
      <c r="AH207" s="255"/>
      <c r="AI207" s="255"/>
      <c r="AJ207" s="255"/>
      <c r="AK207" s="446"/>
    </row>
    <row r="209" spans="2:31" ht="13.8" thickBot="1"/>
    <row r="210" spans="2:31" ht="17.399999999999999">
      <c r="B210" s="1164" t="s">
        <v>1889</v>
      </c>
      <c r="C210" s="229"/>
      <c r="D210" s="229"/>
      <c r="E210" s="229"/>
      <c r="F210" s="229"/>
      <c r="G210" s="229"/>
      <c r="H210" s="229"/>
      <c r="I210" s="229"/>
      <c r="J210" s="229"/>
      <c r="K210" s="229"/>
      <c r="L210" s="229"/>
      <c r="M210" s="229"/>
      <c r="N210" s="229"/>
      <c r="O210" s="229"/>
      <c r="P210" s="229"/>
      <c r="Q210" s="229"/>
      <c r="R210" s="229"/>
      <c r="S210" s="229"/>
      <c r="T210" s="229"/>
      <c r="U210" s="449"/>
      <c r="V210" s="229"/>
      <c r="W210" s="229"/>
      <c r="X210" s="229"/>
      <c r="Y210" s="229"/>
      <c r="Z210" s="1105" t="s">
        <v>314</v>
      </c>
      <c r="AA210" s="229"/>
      <c r="AB210" s="229"/>
      <c r="AC210" s="229"/>
      <c r="AD210" s="229"/>
      <c r="AE210" s="430"/>
    </row>
    <row r="211" spans="2:31">
      <c r="B211" s="249" t="s">
        <v>1892</v>
      </c>
      <c r="C211" s="239">
        <v>0</v>
      </c>
      <c r="D211" s="239">
        <v>0</v>
      </c>
      <c r="E211" s="239"/>
      <c r="F211" s="239"/>
      <c r="G211" s="239"/>
      <c r="H211" s="239"/>
      <c r="I211" s="239"/>
      <c r="J211" s="239"/>
      <c r="K211" s="239"/>
      <c r="L211" s="239"/>
      <c r="M211" s="239"/>
      <c r="N211" s="239"/>
      <c r="O211" s="231"/>
      <c r="P211" s="231"/>
      <c r="Q211" s="231"/>
      <c r="R211" s="231"/>
      <c r="S211" s="231"/>
      <c r="T211" s="231"/>
      <c r="U211" s="231"/>
      <c r="V211" s="231"/>
      <c r="W211" s="231"/>
      <c r="X211" s="231"/>
      <c r="Y211" s="231"/>
      <c r="Z211" s="223" t="s">
        <v>1893</v>
      </c>
      <c r="AA211" s="231"/>
      <c r="AB211" s="231"/>
      <c r="AC211" s="223" t="s">
        <v>1894</v>
      </c>
      <c r="AD211" s="231"/>
      <c r="AE211" s="433"/>
    </row>
    <row r="212" spans="2:31">
      <c r="B212" s="249" t="s">
        <v>1896</v>
      </c>
      <c r="C212" s="94" t="s">
        <v>196</v>
      </c>
      <c r="D212" s="94" t="s">
        <v>197</v>
      </c>
      <c r="E212" s="94" t="s">
        <v>196</v>
      </c>
      <c r="F212" s="94" t="s">
        <v>197</v>
      </c>
      <c r="G212" s="94" t="s">
        <v>196</v>
      </c>
      <c r="H212" s="94" t="s">
        <v>197</v>
      </c>
      <c r="I212" s="94" t="s">
        <v>196</v>
      </c>
      <c r="J212" s="94" t="s">
        <v>197</v>
      </c>
      <c r="K212" s="94" t="s">
        <v>196</v>
      </c>
      <c r="L212" s="94" t="s">
        <v>197</v>
      </c>
      <c r="M212" s="94" t="s">
        <v>196</v>
      </c>
      <c r="N212" s="94" t="s">
        <v>197</v>
      </c>
      <c r="O212" s="231"/>
      <c r="P212" s="223" t="s">
        <v>196</v>
      </c>
      <c r="Q212" s="223" t="s">
        <v>327</v>
      </c>
      <c r="R212" s="223" t="s">
        <v>328</v>
      </c>
      <c r="S212" s="223" t="s">
        <v>196</v>
      </c>
      <c r="T212" s="223" t="s">
        <v>327</v>
      </c>
      <c r="U212" s="223" t="s">
        <v>328</v>
      </c>
      <c r="V212" s="223" t="s">
        <v>196</v>
      </c>
      <c r="W212" s="223" t="s">
        <v>327</v>
      </c>
      <c r="X212" s="223" t="s">
        <v>328</v>
      </c>
      <c r="Y212" s="231"/>
      <c r="Z212" s="223" t="s">
        <v>196</v>
      </c>
      <c r="AA212" s="223" t="s">
        <v>197</v>
      </c>
      <c r="AB212" s="231"/>
      <c r="AC212" s="223" t="s">
        <v>196</v>
      </c>
      <c r="AD212" s="223" t="s">
        <v>197</v>
      </c>
      <c r="AE212" s="460" t="s">
        <v>196</v>
      </c>
    </row>
    <row r="213" spans="2:31">
      <c r="B213" s="238">
        <v>1</v>
      </c>
      <c r="C213" s="334">
        <f>C211</f>
        <v>0</v>
      </c>
      <c r="D213" s="334">
        <f>D211</f>
        <v>0</v>
      </c>
      <c r="E213" s="334">
        <f>C211</f>
        <v>0</v>
      </c>
      <c r="F213" s="334">
        <f>D213</f>
        <v>0</v>
      </c>
      <c r="G213" s="334">
        <f>C211</f>
        <v>0</v>
      </c>
      <c r="H213" s="334">
        <f>F213</f>
        <v>0</v>
      </c>
      <c r="I213" s="334">
        <f>C211</f>
        <v>0</v>
      </c>
      <c r="J213" s="334">
        <f>H213</f>
        <v>0</v>
      </c>
      <c r="K213" s="334">
        <f>I213+((BC44-BC48)/2)</f>
        <v>0.10499999999999998</v>
      </c>
      <c r="L213" s="334">
        <f>J213+((BC45-BC47)/2)</f>
        <v>0.20999999999999996</v>
      </c>
      <c r="M213" s="334">
        <f>C211</f>
        <v>0</v>
      </c>
      <c r="N213" s="334">
        <f>J213</f>
        <v>0</v>
      </c>
      <c r="O213" s="231"/>
      <c r="P213" s="227">
        <f>C211</f>
        <v>0</v>
      </c>
      <c r="Q213" s="437">
        <f t="shared" ref="Q213:Q222" si="133">(D$211+(BC$49/2)) + ((((BC$49/2)^2)-((P213-(P$213+(BC$49/2)))^2))^0.5)</f>
        <v>0.57499999999999996</v>
      </c>
      <c r="R213" s="437">
        <f t="shared" ref="R213:R222" si="134">(D$211+(BC$49/2)) - ((((BC$49/2)^2)-((P213-(P$213+(BC$49/2)))^2))^0.5)</f>
        <v>0.57499999999999996</v>
      </c>
      <c r="S213" s="251">
        <f>M213</f>
        <v>0</v>
      </c>
      <c r="T213" s="437">
        <f t="shared" ref="T213:T222" si="135">(D$211+(BC$50/2)) + ((((BC$50/2)^2)-((S213-(S$213+(BC$50/2)))^2))^0.5)</f>
        <v>0.57499999999999996</v>
      </c>
      <c r="U213" s="437">
        <f t="shared" ref="U213:U222" si="136">(D$211+(BC$50/2)) - ((((BC$50/2)^2)-((S213-(S$213+(BC$50/2)))^2))^0.5)</f>
        <v>0.57499999999999996</v>
      </c>
      <c r="V213" s="251">
        <f>S213+((BC50-BC51)/2)</f>
        <v>-0.39</v>
      </c>
      <c r="W213" s="437">
        <f t="shared" ref="W213:W222" si="137">(D$211+((BC$50-BC$51)/2)+(BC$51/2)) + ((((BC$51/2)^2)-((V213-(V$213+(BC$51/2)))^2))^0.5)</f>
        <v>0.57499999999999996</v>
      </c>
      <c r="X213" s="437">
        <f t="shared" ref="X213:X222" si="138">(D$211+((BC$50-BC$51)/2)+(BC$51/2)) - ((((BC$51/2)^2)-((V213-(V$213+(BC$51/2)))^2))^0.5)</f>
        <v>0.57499999999999996</v>
      </c>
      <c r="Y213" s="231"/>
      <c r="Z213" s="231">
        <v>0</v>
      </c>
      <c r="AA213" s="251">
        <f>BC$10</f>
        <v>4</v>
      </c>
      <c r="AB213" s="231"/>
      <c r="AC213" s="231">
        <f t="shared" ref="AC213:AC234" si="139">IF($BC$42=1,C213,IF($BC$42=2,E213,IF($BC$42=3,G213,IF($BC$42=4,I213,IF($BC$42=5,M213,IF($BC$42=6,P213,S213))))))</f>
        <v>0</v>
      </c>
      <c r="AD213" s="231">
        <f t="shared" ref="AD213:AD234" si="140">IF($BC$42=1,D213,IF($BC$42=2,F213,IF($BC$42=3,H213,IF($BC$42=4,J213,IF($BC$42=5,N213,IF($BC$42=6,Q213,T213))))))</f>
        <v>0</v>
      </c>
      <c r="AE213" s="433">
        <f t="shared" ref="AE213:AE234" si="141">IF($BC$42=1,0,IF($BC$42=2,0,IF($BC$42=3,0,IF($BC$42=4,K213,IF($BC$42=5,0,IF($BC$42=6,0,V213))))))</f>
        <v>0</v>
      </c>
    </row>
    <row r="214" spans="2:31">
      <c r="B214" s="238">
        <f t="shared" ref="B214:B234" si="142">B213+1</f>
        <v>2</v>
      </c>
      <c r="C214" s="334">
        <f>C211</f>
        <v>0</v>
      </c>
      <c r="D214" s="334">
        <f>BC45+D211</f>
        <v>1.1499999999999999</v>
      </c>
      <c r="E214" s="334">
        <f>E213</f>
        <v>0</v>
      </c>
      <c r="F214" s="334">
        <f>F213+((BC45-BC47)/2)</f>
        <v>0.20999999999999996</v>
      </c>
      <c r="G214" s="334">
        <f>G213</f>
        <v>0</v>
      </c>
      <c r="H214" s="334">
        <f>H213+BC45</f>
        <v>1.1499999999999999</v>
      </c>
      <c r="I214" s="334">
        <f>I213</f>
        <v>0</v>
      </c>
      <c r="J214" s="334">
        <f>J213+BC45</f>
        <v>1.1499999999999999</v>
      </c>
      <c r="K214" s="334">
        <f>K213</f>
        <v>0.10499999999999998</v>
      </c>
      <c r="L214" s="334">
        <f>L213+BC47</f>
        <v>0.94</v>
      </c>
      <c r="M214" s="334">
        <f>M213</f>
        <v>0</v>
      </c>
      <c r="N214" s="334">
        <f>N213+BC45</f>
        <v>1.1499999999999999</v>
      </c>
      <c r="O214" s="231"/>
      <c r="P214" s="231">
        <f t="shared" ref="P214:P223" si="143">P213+(BC$49/10)</f>
        <v>0.11499999999999999</v>
      </c>
      <c r="Q214" s="437">
        <f t="shared" si="133"/>
        <v>0.91999999999999993</v>
      </c>
      <c r="R214" s="437">
        <f t="shared" si="134"/>
        <v>0.22999999999999998</v>
      </c>
      <c r="S214" s="251">
        <f t="shared" ref="S214:S223" si="144">S213+(BC$50/10)</f>
        <v>0.11499999999999999</v>
      </c>
      <c r="T214" s="437">
        <f t="shared" si="135"/>
        <v>0.91999999999999993</v>
      </c>
      <c r="U214" s="437">
        <f t="shared" si="136"/>
        <v>0.22999999999999998</v>
      </c>
      <c r="V214" s="251">
        <f t="shared" ref="V214:V223" si="145">V213+(BC$51/10)</f>
        <v>-0.19700000000000001</v>
      </c>
      <c r="W214" s="437">
        <f t="shared" si="137"/>
        <v>1.1539999999999999</v>
      </c>
      <c r="X214" s="437">
        <f t="shared" si="138"/>
        <v>-4.0000000000000036E-3</v>
      </c>
      <c r="Y214" s="231"/>
      <c r="Z214" s="251">
        <f>BC44+0.1</f>
        <v>1.25</v>
      </c>
      <c r="AA214" s="251">
        <f>BC$10</f>
        <v>4</v>
      </c>
      <c r="AB214" s="231"/>
      <c r="AC214" s="231">
        <f t="shared" si="139"/>
        <v>0</v>
      </c>
      <c r="AD214" s="231">
        <f t="shared" si="140"/>
        <v>1.1499999999999999</v>
      </c>
      <c r="AE214" s="433">
        <f t="shared" si="141"/>
        <v>0</v>
      </c>
    </row>
    <row r="215" spans="2:31">
      <c r="B215" s="238">
        <f t="shared" si="142"/>
        <v>3</v>
      </c>
      <c r="C215" s="334">
        <f>BC44+C211</f>
        <v>1.1499999999999999</v>
      </c>
      <c r="D215" s="334">
        <f>BC45+D211</f>
        <v>1.1499999999999999</v>
      </c>
      <c r="E215" s="334">
        <f>E214+(BC48/2)</f>
        <v>0.47</v>
      </c>
      <c r="F215" s="334">
        <f>F214</f>
        <v>0.20999999999999996</v>
      </c>
      <c r="G215" s="334">
        <f>G214+BC44</f>
        <v>1.1499999999999999</v>
      </c>
      <c r="H215" s="334">
        <f>H214</f>
        <v>1.1499999999999999</v>
      </c>
      <c r="I215" s="334">
        <f>I214+BC44</f>
        <v>1.1499999999999999</v>
      </c>
      <c r="J215" s="334">
        <f>J214</f>
        <v>1.1499999999999999</v>
      </c>
      <c r="K215" s="334">
        <f>K214+BC48</f>
        <v>1.0449999999999999</v>
      </c>
      <c r="L215" s="334">
        <f>L214</f>
        <v>0.94</v>
      </c>
      <c r="M215" s="334">
        <f>M214+BC44</f>
        <v>1.1499999999999999</v>
      </c>
      <c r="N215" s="334">
        <f>N214</f>
        <v>1.1499999999999999</v>
      </c>
      <c r="O215" s="231"/>
      <c r="P215" s="231">
        <f t="shared" si="143"/>
        <v>0.22999999999999998</v>
      </c>
      <c r="Q215" s="437">
        <f t="shared" si="133"/>
        <v>1.0349999999999999</v>
      </c>
      <c r="R215" s="437">
        <f t="shared" si="134"/>
        <v>0.11499999999999999</v>
      </c>
      <c r="S215" s="251">
        <f t="shared" si="144"/>
        <v>0.22999999999999998</v>
      </c>
      <c r="T215" s="437">
        <f t="shared" si="135"/>
        <v>1.0349999999999999</v>
      </c>
      <c r="U215" s="437">
        <f t="shared" si="136"/>
        <v>0.11499999999999999</v>
      </c>
      <c r="V215" s="251">
        <f t="shared" si="145"/>
        <v>-4.0000000000000036E-3</v>
      </c>
      <c r="W215" s="437">
        <f t="shared" si="137"/>
        <v>1.347</v>
      </c>
      <c r="X215" s="437">
        <f t="shared" si="138"/>
        <v>-0.19700000000000006</v>
      </c>
      <c r="Y215" s="231"/>
      <c r="Z215" s="231"/>
      <c r="AA215" s="231"/>
      <c r="AB215" s="231"/>
      <c r="AC215" s="231">
        <f t="shared" si="139"/>
        <v>1.1499999999999999</v>
      </c>
      <c r="AD215" s="231">
        <f t="shared" si="140"/>
        <v>1.1499999999999999</v>
      </c>
      <c r="AE215" s="433">
        <f t="shared" si="141"/>
        <v>0</v>
      </c>
    </row>
    <row r="216" spans="2:31">
      <c r="B216" s="238">
        <f t="shared" si="142"/>
        <v>4</v>
      </c>
      <c r="C216" s="334">
        <f>BC44+C211</f>
        <v>1.1499999999999999</v>
      </c>
      <c r="D216" s="334">
        <f>D211</f>
        <v>0</v>
      </c>
      <c r="E216" s="334">
        <f>E215</f>
        <v>0.47</v>
      </c>
      <c r="F216" s="334">
        <f>F215+BC47</f>
        <v>0.94</v>
      </c>
      <c r="G216" s="334">
        <f>G215</f>
        <v>1.1499999999999999</v>
      </c>
      <c r="H216" s="334">
        <f>H215-((BC45-BC47)/2)</f>
        <v>0.94</v>
      </c>
      <c r="I216" s="334">
        <f>I215</f>
        <v>1.1499999999999999</v>
      </c>
      <c r="J216" s="334">
        <f>J213</f>
        <v>0</v>
      </c>
      <c r="K216" s="334">
        <f>K215</f>
        <v>1.0449999999999999</v>
      </c>
      <c r="L216" s="334">
        <f>L215-BC47</f>
        <v>0.20999999999999996</v>
      </c>
      <c r="M216" s="334">
        <f>M215</f>
        <v>1.1499999999999999</v>
      </c>
      <c r="N216" s="334">
        <f>N215-BC45</f>
        <v>0</v>
      </c>
      <c r="O216" s="231"/>
      <c r="P216" s="231">
        <f t="shared" si="143"/>
        <v>0.34499999999999997</v>
      </c>
      <c r="Q216" s="437">
        <f t="shared" si="133"/>
        <v>1.1019962049199215</v>
      </c>
      <c r="R216" s="437">
        <f t="shared" si="134"/>
        <v>4.800379508007846E-2</v>
      </c>
      <c r="S216" s="251">
        <f t="shared" si="144"/>
        <v>0.34499999999999997</v>
      </c>
      <c r="T216" s="437">
        <f t="shared" si="135"/>
        <v>1.1019962049199215</v>
      </c>
      <c r="U216" s="437">
        <f t="shared" si="136"/>
        <v>4.800379508007846E-2</v>
      </c>
      <c r="V216" s="251">
        <f t="shared" si="145"/>
        <v>0.189</v>
      </c>
      <c r="W216" s="437">
        <f t="shared" si="137"/>
        <v>1.4594371091264771</v>
      </c>
      <c r="X216" s="437">
        <f t="shared" si="138"/>
        <v>-0.30943710912647715</v>
      </c>
      <c r="Y216" s="231"/>
      <c r="Z216" s="223"/>
      <c r="AA216" s="231"/>
      <c r="AB216" s="231"/>
      <c r="AC216" s="231">
        <f t="shared" si="139"/>
        <v>1.1499999999999999</v>
      </c>
      <c r="AD216" s="231">
        <f t="shared" si="140"/>
        <v>0.94</v>
      </c>
      <c r="AE216" s="433">
        <f t="shared" si="141"/>
        <v>0</v>
      </c>
    </row>
    <row r="217" spans="2:31">
      <c r="B217" s="238">
        <f t="shared" si="142"/>
        <v>5</v>
      </c>
      <c r="C217" s="334">
        <f>C211</f>
        <v>0</v>
      </c>
      <c r="D217" s="334">
        <f>D211</f>
        <v>0</v>
      </c>
      <c r="E217" s="334">
        <f>E214</f>
        <v>0</v>
      </c>
      <c r="F217" s="334">
        <f>F216</f>
        <v>0.94</v>
      </c>
      <c r="G217" s="334">
        <f>G216-BC48</f>
        <v>0.20999999999999996</v>
      </c>
      <c r="H217" s="334">
        <f>H216</f>
        <v>0.94</v>
      </c>
      <c r="I217" s="334">
        <f>I213</f>
        <v>0</v>
      </c>
      <c r="J217" s="334">
        <f>J213</f>
        <v>0</v>
      </c>
      <c r="K217" s="334">
        <f>K213</f>
        <v>0.10499999999999998</v>
      </c>
      <c r="L217" s="334">
        <f>L213</f>
        <v>0.20999999999999996</v>
      </c>
      <c r="M217" s="334">
        <f>M216-((BC44-BC48)/2)</f>
        <v>1.0449999999999999</v>
      </c>
      <c r="N217" s="334">
        <f>N216</f>
        <v>0</v>
      </c>
      <c r="O217" s="239"/>
      <c r="P217" s="231">
        <f t="shared" si="143"/>
        <v>0.45999999999999996</v>
      </c>
      <c r="Q217" s="437">
        <f t="shared" si="133"/>
        <v>1.1383826408401307</v>
      </c>
      <c r="R217" s="437">
        <f t="shared" si="134"/>
        <v>1.1617359159869056E-2</v>
      </c>
      <c r="S217" s="251">
        <f t="shared" si="144"/>
        <v>0.45999999999999996</v>
      </c>
      <c r="T217" s="437">
        <f t="shared" si="135"/>
        <v>1.1383826408401307</v>
      </c>
      <c r="U217" s="437">
        <f t="shared" si="136"/>
        <v>1.1617359159869056E-2</v>
      </c>
      <c r="V217" s="251">
        <f t="shared" si="145"/>
        <v>0.38200000000000001</v>
      </c>
      <c r="W217" s="437">
        <f t="shared" si="137"/>
        <v>1.5205030407143068</v>
      </c>
      <c r="X217" s="437">
        <f t="shared" si="138"/>
        <v>-0.37050304071430684</v>
      </c>
      <c r="Y217" s="239"/>
      <c r="Z217" s="223"/>
      <c r="AA217" s="231"/>
      <c r="AB217" s="239"/>
      <c r="AC217" s="231">
        <f t="shared" si="139"/>
        <v>0.20999999999999996</v>
      </c>
      <c r="AD217" s="231">
        <f t="shared" si="140"/>
        <v>0.94</v>
      </c>
      <c r="AE217" s="433">
        <f t="shared" si="141"/>
        <v>0</v>
      </c>
    </row>
    <row r="218" spans="2:31">
      <c r="B218" s="238">
        <f t="shared" si="142"/>
        <v>6</v>
      </c>
      <c r="C218" s="239"/>
      <c r="D218" s="239"/>
      <c r="E218" s="334">
        <f>E217</f>
        <v>0</v>
      </c>
      <c r="F218" s="334">
        <f>F213+BC45</f>
        <v>1.1499999999999999</v>
      </c>
      <c r="G218" s="334">
        <f>G217</f>
        <v>0.20999999999999996</v>
      </c>
      <c r="H218" s="334">
        <f>H217-BC47</f>
        <v>0.20999999999999996</v>
      </c>
      <c r="I218" s="239"/>
      <c r="J218" s="239"/>
      <c r="K218" s="239"/>
      <c r="L218" s="239"/>
      <c r="M218" s="334">
        <f>M217</f>
        <v>1.0449999999999999</v>
      </c>
      <c r="N218" s="334">
        <f>N217+BC47</f>
        <v>0.73</v>
      </c>
      <c r="O218" s="239"/>
      <c r="P218" s="231">
        <f t="shared" si="143"/>
        <v>0.57499999999999996</v>
      </c>
      <c r="Q218" s="437">
        <f t="shared" si="133"/>
        <v>1.1499999999999999</v>
      </c>
      <c r="R218" s="437">
        <f t="shared" si="134"/>
        <v>0</v>
      </c>
      <c r="S218" s="251">
        <f t="shared" si="144"/>
        <v>0.57499999999999996</v>
      </c>
      <c r="T218" s="437">
        <f t="shared" si="135"/>
        <v>1.1499999999999999</v>
      </c>
      <c r="U218" s="437">
        <f t="shared" si="136"/>
        <v>0</v>
      </c>
      <c r="V218" s="251">
        <f t="shared" si="145"/>
        <v>0.57499999999999996</v>
      </c>
      <c r="W218" s="437">
        <f t="shared" si="137"/>
        <v>1.54</v>
      </c>
      <c r="X218" s="437">
        <f t="shared" si="138"/>
        <v>-0.39</v>
      </c>
      <c r="Y218" s="239"/>
      <c r="Z218" s="223"/>
      <c r="AA218" s="223"/>
      <c r="AB218" s="239"/>
      <c r="AC218" s="231">
        <f t="shared" si="139"/>
        <v>0.20999999999999996</v>
      </c>
      <c r="AD218" s="231">
        <f t="shared" si="140"/>
        <v>0.20999999999999996</v>
      </c>
      <c r="AE218" s="433">
        <f t="shared" si="141"/>
        <v>0</v>
      </c>
    </row>
    <row r="219" spans="2:31">
      <c r="B219" s="238">
        <f t="shared" si="142"/>
        <v>7</v>
      </c>
      <c r="C219" s="239"/>
      <c r="D219" s="239"/>
      <c r="E219" s="334">
        <f>E218+BC44</f>
        <v>1.1499999999999999</v>
      </c>
      <c r="F219" s="334">
        <f>F218</f>
        <v>1.1499999999999999</v>
      </c>
      <c r="G219" s="334">
        <f>G218+BC48</f>
        <v>1.1499999999999999</v>
      </c>
      <c r="H219" s="334">
        <f>H218</f>
        <v>0.20999999999999996</v>
      </c>
      <c r="I219" s="239"/>
      <c r="J219" s="239"/>
      <c r="K219" s="239"/>
      <c r="L219" s="239"/>
      <c r="M219" s="334">
        <f>M218-BC48</f>
        <v>0.10499999999999998</v>
      </c>
      <c r="N219" s="334">
        <f>N218</f>
        <v>0.73</v>
      </c>
      <c r="O219" s="239"/>
      <c r="P219" s="231">
        <f t="shared" si="143"/>
        <v>0.69</v>
      </c>
      <c r="Q219" s="437">
        <f t="shared" si="133"/>
        <v>1.1383826408401307</v>
      </c>
      <c r="R219" s="437">
        <f t="shared" si="134"/>
        <v>1.1617359159869056E-2</v>
      </c>
      <c r="S219" s="251">
        <f t="shared" si="144"/>
        <v>0.69</v>
      </c>
      <c r="T219" s="437">
        <f t="shared" si="135"/>
        <v>1.1383826408401307</v>
      </c>
      <c r="U219" s="437">
        <f t="shared" si="136"/>
        <v>1.1617359159869056E-2</v>
      </c>
      <c r="V219" s="251">
        <f t="shared" si="145"/>
        <v>0.76800000000000002</v>
      </c>
      <c r="W219" s="437">
        <f t="shared" si="137"/>
        <v>1.5205030407143068</v>
      </c>
      <c r="X219" s="437">
        <f t="shared" si="138"/>
        <v>-0.37050304071430684</v>
      </c>
      <c r="Y219" s="239"/>
      <c r="Z219" s="239"/>
      <c r="AA219" s="239"/>
      <c r="AB219" s="239"/>
      <c r="AC219" s="231">
        <f t="shared" si="139"/>
        <v>1.1499999999999999</v>
      </c>
      <c r="AD219" s="231">
        <f t="shared" si="140"/>
        <v>0.20999999999999996</v>
      </c>
      <c r="AE219" s="433">
        <f t="shared" si="141"/>
        <v>0</v>
      </c>
    </row>
    <row r="220" spans="2:31">
      <c r="B220" s="238">
        <f t="shared" si="142"/>
        <v>8</v>
      </c>
      <c r="C220" s="239"/>
      <c r="D220" s="239"/>
      <c r="E220" s="334">
        <f>E219</f>
        <v>1.1499999999999999</v>
      </c>
      <c r="F220" s="334">
        <f>F217</f>
        <v>0.94</v>
      </c>
      <c r="G220" s="334">
        <f>G219</f>
        <v>1.1499999999999999</v>
      </c>
      <c r="H220" s="334">
        <f>H213</f>
        <v>0</v>
      </c>
      <c r="I220" s="239"/>
      <c r="J220" s="239"/>
      <c r="K220" s="239"/>
      <c r="L220" s="239"/>
      <c r="M220" s="334">
        <f>M219</f>
        <v>0.10499999999999998</v>
      </c>
      <c r="N220" s="334">
        <f>N219-BC47</f>
        <v>0</v>
      </c>
      <c r="O220" s="239"/>
      <c r="P220" s="231">
        <f t="shared" si="143"/>
        <v>0.80499999999999994</v>
      </c>
      <c r="Q220" s="437">
        <f t="shared" si="133"/>
        <v>1.1019962049199215</v>
      </c>
      <c r="R220" s="437">
        <f t="shared" si="134"/>
        <v>4.800379508007846E-2</v>
      </c>
      <c r="S220" s="251">
        <f t="shared" si="144"/>
        <v>0.80499999999999994</v>
      </c>
      <c r="T220" s="437">
        <f t="shared" si="135"/>
        <v>1.1019962049199215</v>
      </c>
      <c r="U220" s="437">
        <f t="shared" si="136"/>
        <v>4.800379508007846E-2</v>
      </c>
      <c r="V220" s="251">
        <f t="shared" si="145"/>
        <v>0.96100000000000008</v>
      </c>
      <c r="W220" s="437">
        <f t="shared" si="137"/>
        <v>1.4594371091264771</v>
      </c>
      <c r="X220" s="437">
        <f t="shared" si="138"/>
        <v>-0.30943710912647704</v>
      </c>
      <c r="Y220" s="239"/>
      <c r="Z220" s="239"/>
      <c r="AA220" s="239"/>
      <c r="AB220" s="239"/>
      <c r="AC220" s="231">
        <f t="shared" si="139"/>
        <v>1.1499999999999999</v>
      </c>
      <c r="AD220" s="231">
        <f t="shared" si="140"/>
        <v>0</v>
      </c>
      <c r="AE220" s="433">
        <f t="shared" si="141"/>
        <v>0</v>
      </c>
    </row>
    <row r="221" spans="2:31">
      <c r="B221" s="238">
        <f t="shared" si="142"/>
        <v>9</v>
      </c>
      <c r="C221" s="239"/>
      <c r="D221" s="239"/>
      <c r="E221" s="334">
        <f>E220-(BC48/2)</f>
        <v>0.67999999999999994</v>
      </c>
      <c r="F221" s="334">
        <f>F220</f>
        <v>0.94</v>
      </c>
      <c r="G221" s="334">
        <f>G213</f>
        <v>0</v>
      </c>
      <c r="H221" s="334">
        <f>H213</f>
        <v>0</v>
      </c>
      <c r="I221" s="239"/>
      <c r="J221" s="239"/>
      <c r="K221" s="239"/>
      <c r="L221" s="239"/>
      <c r="M221" s="334">
        <f>M213</f>
        <v>0</v>
      </c>
      <c r="N221" s="334">
        <f>N213</f>
        <v>0</v>
      </c>
      <c r="O221" s="239"/>
      <c r="P221" s="231">
        <f t="shared" si="143"/>
        <v>0.91999999999999993</v>
      </c>
      <c r="Q221" s="437">
        <f t="shared" si="133"/>
        <v>1.0349999999999999</v>
      </c>
      <c r="R221" s="437">
        <f t="shared" si="134"/>
        <v>0.11499999999999999</v>
      </c>
      <c r="S221" s="251">
        <f t="shared" si="144"/>
        <v>0.91999999999999993</v>
      </c>
      <c r="T221" s="437">
        <f t="shared" si="135"/>
        <v>1.0349999999999999</v>
      </c>
      <c r="U221" s="437">
        <f t="shared" si="136"/>
        <v>0.11499999999999999</v>
      </c>
      <c r="V221" s="251">
        <f t="shared" si="145"/>
        <v>1.1540000000000001</v>
      </c>
      <c r="W221" s="437">
        <f t="shared" si="137"/>
        <v>1.3469999999999998</v>
      </c>
      <c r="X221" s="437">
        <f t="shared" si="138"/>
        <v>-0.19699999999999984</v>
      </c>
      <c r="Y221" s="239"/>
      <c r="Z221" s="239"/>
      <c r="AA221" s="239"/>
      <c r="AB221" s="239"/>
      <c r="AC221" s="231">
        <f t="shared" si="139"/>
        <v>0</v>
      </c>
      <c r="AD221" s="231">
        <f t="shared" si="140"/>
        <v>0</v>
      </c>
      <c r="AE221" s="433">
        <f t="shared" si="141"/>
        <v>0</v>
      </c>
    </row>
    <row r="222" spans="2:31">
      <c r="B222" s="238">
        <f t="shared" si="142"/>
        <v>10</v>
      </c>
      <c r="C222" s="239"/>
      <c r="D222" s="239"/>
      <c r="E222" s="334">
        <f>E221</f>
        <v>0.67999999999999994</v>
      </c>
      <c r="F222" s="334">
        <f>F221-BC47</f>
        <v>0.20999999999999996</v>
      </c>
      <c r="G222" s="239"/>
      <c r="H222" s="239"/>
      <c r="I222" s="239"/>
      <c r="J222" s="239"/>
      <c r="K222" s="239"/>
      <c r="L222" s="239"/>
      <c r="M222" s="239"/>
      <c r="N222" s="239"/>
      <c r="O222" s="239"/>
      <c r="P222" s="231">
        <f t="shared" si="143"/>
        <v>1.0349999999999999</v>
      </c>
      <c r="Q222" s="437">
        <f t="shared" si="133"/>
        <v>0.91999999999999993</v>
      </c>
      <c r="R222" s="437">
        <f t="shared" si="134"/>
        <v>0.22999999999999998</v>
      </c>
      <c r="S222" s="251">
        <f t="shared" si="144"/>
        <v>1.0349999999999999</v>
      </c>
      <c r="T222" s="437">
        <f t="shared" si="135"/>
        <v>0.91999999999999993</v>
      </c>
      <c r="U222" s="437">
        <f t="shared" si="136"/>
        <v>0.22999999999999998</v>
      </c>
      <c r="V222" s="251">
        <f t="shared" si="145"/>
        <v>1.3470000000000002</v>
      </c>
      <c r="W222" s="437">
        <f t="shared" si="137"/>
        <v>1.1539999999999995</v>
      </c>
      <c r="X222" s="437">
        <f t="shared" si="138"/>
        <v>-3.9999999999996705E-3</v>
      </c>
      <c r="Y222" s="239"/>
      <c r="Z222" s="239"/>
      <c r="AA222" s="239"/>
      <c r="AB222" s="239"/>
      <c r="AC222" s="231">
        <f t="shared" si="139"/>
        <v>0</v>
      </c>
      <c r="AD222" s="231">
        <f t="shared" si="140"/>
        <v>0</v>
      </c>
      <c r="AE222" s="433">
        <f t="shared" si="141"/>
        <v>0</v>
      </c>
    </row>
    <row r="223" spans="2:31">
      <c r="B223" s="238">
        <f t="shared" si="142"/>
        <v>11</v>
      </c>
      <c r="C223" s="239"/>
      <c r="D223" s="239"/>
      <c r="E223" s="334">
        <f>E222+(BC48/2)</f>
        <v>1.1499999999999999</v>
      </c>
      <c r="F223" s="334">
        <f>F222</f>
        <v>0.20999999999999996</v>
      </c>
      <c r="G223" s="239"/>
      <c r="H223" s="239"/>
      <c r="I223" s="239"/>
      <c r="J223" s="239"/>
      <c r="K223" s="239"/>
      <c r="L223" s="239"/>
      <c r="M223" s="239"/>
      <c r="N223" s="239"/>
      <c r="O223" s="239"/>
      <c r="P223" s="231">
        <f t="shared" si="143"/>
        <v>1.1499999999999999</v>
      </c>
      <c r="Q223" s="437">
        <f>Q213</f>
        <v>0.57499999999999996</v>
      </c>
      <c r="R223" s="437">
        <f>R213</f>
        <v>0.57499999999999996</v>
      </c>
      <c r="S223" s="251">
        <f t="shared" si="144"/>
        <v>1.1499999999999999</v>
      </c>
      <c r="T223" s="437">
        <f>T213</f>
        <v>0.57499999999999996</v>
      </c>
      <c r="U223" s="437">
        <f>U213</f>
        <v>0.57499999999999996</v>
      </c>
      <c r="V223" s="251">
        <f t="shared" si="145"/>
        <v>1.5400000000000003</v>
      </c>
      <c r="W223" s="437">
        <f>W213</f>
        <v>0.57499999999999996</v>
      </c>
      <c r="X223" s="437">
        <f>X213</f>
        <v>0.57499999999999996</v>
      </c>
      <c r="Y223" s="239"/>
      <c r="Z223" s="239"/>
      <c r="AA223" s="239"/>
      <c r="AB223" s="239"/>
      <c r="AC223" s="231">
        <f t="shared" si="139"/>
        <v>0</v>
      </c>
      <c r="AD223" s="231">
        <f t="shared" si="140"/>
        <v>0</v>
      </c>
      <c r="AE223" s="433">
        <f t="shared" si="141"/>
        <v>0</v>
      </c>
    </row>
    <row r="224" spans="2:31">
      <c r="B224" s="238">
        <f t="shared" si="142"/>
        <v>12</v>
      </c>
      <c r="C224" s="239"/>
      <c r="D224" s="239"/>
      <c r="E224" s="334">
        <f>E223</f>
        <v>1.1499999999999999</v>
      </c>
      <c r="F224" s="334">
        <f>F213</f>
        <v>0</v>
      </c>
      <c r="G224" s="239"/>
      <c r="H224" s="239"/>
      <c r="I224" s="239"/>
      <c r="J224" s="239"/>
      <c r="K224" s="239"/>
      <c r="L224" s="239"/>
      <c r="M224" s="239"/>
      <c r="N224" s="239"/>
      <c r="O224" s="239"/>
      <c r="P224" s="227">
        <f t="shared" ref="P224:P234" si="146">P213</f>
        <v>0</v>
      </c>
      <c r="Q224" s="334">
        <f t="shared" ref="Q224:Q234" si="147">R213</f>
        <v>0.57499999999999996</v>
      </c>
      <c r="R224" s="334"/>
      <c r="S224" s="309">
        <f t="shared" ref="S224:S234" si="148">S213</f>
        <v>0</v>
      </c>
      <c r="T224" s="334">
        <f t="shared" ref="T224:T234" si="149">U213</f>
        <v>0.57499999999999996</v>
      </c>
      <c r="U224" s="334"/>
      <c r="V224" s="309">
        <f t="shared" ref="V224:V234" si="150">V213</f>
        <v>-0.39</v>
      </c>
      <c r="W224" s="334">
        <f t="shared" ref="W224:W234" si="151">X213</f>
        <v>0.57499999999999996</v>
      </c>
      <c r="X224" s="239"/>
      <c r="Y224" s="239"/>
      <c r="Z224" s="239"/>
      <c r="AA224" s="239"/>
      <c r="AB224" s="239"/>
      <c r="AC224" s="231">
        <f t="shared" si="139"/>
        <v>0</v>
      </c>
      <c r="AD224" s="231">
        <f t="shared" si="140"/>
        <v>0</v>
      </c>
      <c r="AE224" s="433">
        <f t="shared" si="141"/>
        <v>0</v>
      </c>
    </row>
    <row r="225" spans="2:31">
      <c r="B225" s="238">
        <f t="shared" si="142"/>
        <v>13</v>
      </c>
      <c r="C225" s="239"/>
      <c r="D225" s="239"/>
      <c r="E225" s="334">
        <f>E213</f>
        <v>0</v>
      </c>
      <c r="F225" s="334">
        <f>F213</f>
        <v>0</v>
      </c>
      <c r="G225" s="239"/>
      <c r="H225" s="239"/>
      <c r="I225" s="239"/>
      <c r="J225" s="239"/>
      <c r="K225" s="239"/>
      <c r="L225" s="239"/>
      <c r="M225" s="239"/>
      <c r="N225" s="239"/>
      <c r="O225" s="239"/>
      <c r="P225" s="227">
        <f t="shared" si="146"/>
        <v>0.11499999999999999</v>
      </c>
      <c r="Q225" s="334">
        <f t="shared" si="147"/>
        <v>0.22999999999999998</v>
      </c>
      <c r="R225" s="239"/>
      <c r="S225" s="309">
        <f t="shared" si="148"/>
        <v>0.11499999999999999</v>
      </c>
      <c r="T225" s="334">
        <f t="shared" si="149"/>
        <v>0.22999999999999998</v>
      </c>
      <c r="U225" s="239"/>
      <c r="V225" s="309">
        <f t="shared" si="150"/>
        <v>-0.19700000000000001</v>
      </c>
      <c r="W225" s="334">
        <f t="shared" si="151"/>
        <v>-4.0000000000000036E-3</v>
      </c>
      <c r="X225" s="239"/>
      <c r="Y225" s="239"/>
      <c r="Z225" s="239"/>
      <c r="AA225" s="239"/>
      <c r="AB225" s="239"/>
      <c r="AC225" s="231">
        <f t="shared" si="139"/>
        <v>0</v>
      </c>
      <c r="AD225" s="231">
        <f t="shared" si="140"/>
        <v>0</v>
      </c>
      <c r="AE225" s="433">
        <f t="shared" si="141"/>
        <v>0</v>
      </c>
    </row>
    <row r="226" spans="2:31">
      <c r="B226" s="238">
        <f t="shared" si="142"/>
        <v>14</v>
      </c>
      <c r="C226" s="239"/>
      <c r="D226" s="239"/>
      <c r="E226" s="334"/>
      <c r="F226" s="334"/>
      <c r="G226" s="239"/>
      <c r="H226" s="239"/>
      <c r="I226" s="239"/>
      <c r="J226" s="239"/>
      <c r="K226" s="239"/>
      <c r="L226" s="239"/>
      <c r="M226" s="239"/>
      <c r="N226" s="239"/>
      <c r="O226" s="239"/>
      <c r="P226" s="227">
        <f t="shared" si="146"/>
        <v>0.22999999999999998</v>
      </c>
      <c r="Q226" s="334">
        <f t="shared" si="147"/>
        <v>0.11499999999999999</v>
      </c>
      <c r="R226" s="239"/>
      <c r="S226" s="309">
        <f t="shared" si="148"/>
        <v>0.22999999999999998</v>
      </c>
      <c r="T226" s="334">
        <f t="shared" si="149"/>
        <v>0.11499999999999999</v>
      </c>
      <c r="U226" s="239"/>
      <c r="V226" s="309">
        <f t="shared" si="150"/>
        <v>-4.0000000000000036E-3</v>
      </c>
      <c r="W226" s="334">
        <f t="shared" si="151"/>
        <v>-0.19700000000000006</v>
      </c>
      <c r="X226" s="239"/>
      <c r="Y226" s="239"/>
      <c r="Z226" s="239"/>
      <c r="AA226" s="239"/>
      <c r="AB226" s="239"/>
      <c r="AC226" s="231">
        <f t="shared" si="139"/>
        <v>0</v>
      </c>
      <c r="AD226" s="231">
        <f t="shared" si="140"/>
        <v>0</v>
      </c>
      <c r="AE226" s="433">
        <f t="shared" si="141"/>
        <v>0</v>
      </c>
    </row>
    <row r="227" spans="2:31">
      <c r="B227" s="238">
        <f t="shared" si="142"/>
        <v>15</v>
      </c>
      <c r="C227" s="239"/>
      <c r="D227" s="239"/>
      <c r="E227" s="334"/>
      <c r="F227" s="334"/>
      <c r="G227" s="239"/>
      <c r="H227" s="239"/>
      <c r="I227" s="239"/>
      <c r="J227" s="239"/>
      <c r="K227" s="239"/>
      <c r="L227" s="239"/>
      <c r="M227" s="239"/>
      <c r="N227" s="239"/>
      <c r="O227" s="239"/>
      <c r="P227" s="227">
        <f t="shared" si="146"/>
        <v>0.34499999999999997</v>
      </c>
      <c r="Q227" s="334">
        <f t="shared" si="147"/>
        <v>4.800379508007846E-2</v>
      </c>
      <c r="R227" s="239"/>
      <c r="S227" s="309">
        <f t="shared" si="148"/>
        <v>0.34499999999999997</v>
      </c>
      <c r="T227" s="334">
        <f t="shared" si="149"/>
        <v>4.800379508007846E-2</v>
      </c>
      <c r="U227" s="239"/>
      <c r="V227" s="309">
        <f t="shared" si="150"/>
        <v>0.189</v>
      </c>
      <c r="W227" s="334">
        <f t="shared" si="151"/>
        <v>-0.30943710912647715</v>
      </c>
      <c r="X227" s="239"/>
      <c r="Y227" s="239"/>
      <c r="Z227" s="239"/>
      <c r="AA227" s="239"/>
      <c r="AB227" s="309"/>
      <c r="AC227" s="231">
        <f t="shared" si="139"/>
        <v>0</v>
      </c>
      <c r="AD227" s="231">
        <f t="shared" si="140"/>
        <v>0</v>
      </c>
      <c r="AE227" s="433">
        <f t="shared" si="141"/>
        <v>0</v>
      </c>
    </row>
    <row r="228" spans="2:31">
      <c r="B228" s="238">
        <f t="shared" si="142"/>
        <v>16</v>
      </c>
      <c r="C228" s="239"/>
      <c r="D228" s="239"/>
      <c r="E228" s="334"/>
      <c r="F228" s="334"/>
      <c r="G228" s="239"/>
      <c r="H228" s="239"/>
      <c r="I228" s="239"/>
      <c r="J228" s="239"/>
      <c r="K228" s="239"/>
      <c r="L228" s="239"/>
      <c r="M228" s="239"/>
      <c r="N228" s="239"/>
      <c r="O228" s="239"/>
      <c r="P228" s="227">
        <f t="shared" si="146"/>
        <v>0.45999999999999996</v>
      </c>
      <c r="Q228" s="334">
        <f t="shared" si="147"/>
        <v>1.1617359159869056E-2</v>
      </c>
      <c r="R228" s="239"/>
      <c r="S228" s="309">
        <f t="shared" si="148"/>
        <v>0.45999999999999996</v>
      </c>
      <c r="T228" s="334">
        <f t="shared" si="149"/>
        <v>1.1617359159869056E-2</v>
      </c>
      <c r="U228" s="239"/>
      <c r="V228" s="309">
        <f t="shared" si="150"/>
        <v>0.38200000000000001</v>
      </c>
      <c r="W228" s="334">
        <f t="shared" si="151"/>
        <v>-0.37050304071430684</v>
      </c>
      <c r="X228" s="239"/>
      <c r="Y228" s="239"/>
      <c r="Z228" s="239"/>
      <c r="AA228" s="239"/>
      <c r="AB228" s="309"/>
      <c r="AC228" s="231">
        <f t="shared" si="139"/>
        <v>0</v>
      </c>
      <c r="AD228" s="231">
        <f t="shared" si="140"/>
        <v>0</v>
      </c>
      <c r="AE228" s="433">
        <f t="shared" si="141"/>
        <v>0</v>
      </c>
    </row>
    <row r="229" spans="2:31">
      <c r="B229" s="238">
        <f t="shared" si="142"/>
        <v>17</v>
      </c>
      <c r="C229" s="239"/>
      <c r="D229" s="239"/>
      <c r="E229" s="334"/>
      <c r="F229" s="334"/>
      <c r="G229" s="239"/>
      <c r="H229" s="239"/>
      <c r="I229" s="239"/>
      <c r="J229" s="239"/>
      <c r="K229" s="239"/>
      <c r="L229" s="239"/>
      <c r="M229" s="239"/>
      <c r="N229" s="239"/>
      <c r="O229" s="239"/>
      <c r="P229" s="227">
        <f t="shared" si="146"/>
        <v>0.57499999999999996</v>
      </c>
      <c r="Q229" s="334">
        <f t="shared" si="147"/>
        <v>0</v>
      </c>
      <c r="R229" s="239"/>
      <c r="S229" s="309">
        <f t="shared" si="148"/>
        <v>0.57499999999999996</v>
      </c>
      <c r="T229" s="334">
        <f t="shared" si="149"/>
        <v>0</v>
      </c>
      <c r="U229" s="239"/>
      <c r="V229" s="309">
        <f t="shared" si="150"/>
        <v>0.57499999999999996</v>
      </c>
      <c r="W229" s="334">
        <f t="shared" si="151"/>
        <v>-0.39</v>
      </c>
      <c r="X229" s="239"/>
      <c r="Y229" s="239"/>
      <c r="Z229" s="239"/>
      <c r="AA229" s="239"/>
      <c r="AB229" s="309"/>
      <c r="AC229" s="231">
        <f t="shared" si="139"/>
        <v>0</v>
      </c>
      <c r="AD229" s="231">
        <f t="shared" si="140"/>
        <v>0</v>
      </c>
      <c r="AE229" s="433">
        <f t="shared" si="141"/>
        <v>0</v>
      </c>
    </row>
    <row r="230" spans="2:31">
      <c r="B230" s="238">
        <f t="shared" si="142"/>
        <v>18</v>
      </c>
      <c r="C230" s="239"/>
      <c r="D230" s="239"/>
      <c r="E230" s="334"/>
      <c r="F230" s="334"/>
      <c r="G230" s="239"/>
      <c r="H230" s="239"/>
      <c r="I230" s="239"/>
      <c r="J230" s="239"/>
      <c r="K230" s="239"/>
      <c r="L230" s="239"/>
      <c r="M230" s="239"/>
      <c r="N230" s="239"/>
      <c r="O230" s="239"/>
      <c r="P230" s="227">
        <f t="shared" si="146"/>
        <v>0.69</v>
      </c>
      <c r="Q230" s="334">
        <f t="shared" si="147"/>
        <v>1.1617359159869056E-2</v>
      </c>
      <c r="R230" s="239"/>
      <c r="S230" s="309">
        <f t="shared" si="148"/>
        <v>0.69</v>
      </c>
      <c r="T230" s="334">
        <f t="shared" si="149"/>
        <v>1.1617359159869056E-2</v>
      </c>
      <c r="U230" s="239"/>
      <c r="V230" s="309">
        <f t="shared" si="150"/>
        <v>0.76800000000000002</v>
      </c>
      <c r="W230" s="334">
        <f t="shared" si="151"/>
        <v>-0.37050304071430684</v>
      </c>
      <c r="X230" s="239"/>
      <c r="Y230" s="239"/>
      <c r="Z230" s="239"/>
      <c r="AA230" s="239"/>
      <c r="AB230" s="239"/>
      <c r="AC230" s="231">
        <f t="shared" si="139"/>
        <v>0</v>
      </c>
      <c r="AD230" s="231">
        <f t="shared" si="140"/>
        <v>0</v>
      </c>
      <c r="AE230" s="433">
        <f t="shared" si="141"/>
        <v>0</v>
      </c>
    </row>
    <row r="231" spans="2:31">
      <c r="B231" s="238">
        <f t="shared" si="142"/>
        <v>19</v>
      </c>
      <c r="C231" s="239"/>
      <c r="D231" s="239"/>
      <c r="E231" s="334"/>
      <c r="F231" s="334"/>
      <c r="G231" s="239"/>
      <c r="H231" s="239"/>
      <c r="I231" s="239"/>
      <c r="J231" s="239"/>
      <c r="K231" s="239"/>
      <c r="L231" s="239"/>
      <c r="M231" s="239"/>
      <c r="N231" s="239"/>
      <c r="O231" s="239"/>
      <c r="P231" s="227">
        <f t="shared" si="146"/>
        <v>0.80499999999999994</v>
      </c>
      <c r="Q231" s="334">
        <f t="shared" si="147"/>
        <v>4.800379508007846E-2</v>
      </c>
      <c r="R231" s="239"/>
      <c r="S231" s="309">
        <f t="shared" si="148"/>
        <v>0.80499999999999994</v>
      </c>
      <c r="T231" s="334">
        <f t="shared" si="149"/>
        <v>4.800379508007846E-2</v>
      </c>
      <c r="U231" s="239"/>
      <c r="V231" s="309">
        <f t="shared" si="150"/>
        <v>0.96100000000000008</v>
      </c>
      <c r="W231" s="334">
        <f t="shared" si="151"/>
        <v>-0.30943710912647704</v>
      </c>
      <c r="X231" s="239"/>
      <c r="Y231" s="239"/>
      <c r="Z231" s="239"/>
      <c r="AA231" s="239"/>
      <c r="AB231" s="227"/>
      <c r="AC231" s="231">
        <f t="shared" si="139"/>
        <v>0</v>
      </c>
      <c r="AD231" s="231">
        <f t="shared" si="140"/>
        <v>0</v>
      </c>
      <c r="AE231" s="433">
        <f t="shared" si="141"/>
        <v>0</v>
      </c>
    </row>
    <row r="232" spans="2:31">
      <c r="B232" s="238">
        <f t="shared" si="142"/>
        <v>20</v>
      </c>
      <c r="C232" s="239"/>
      <c r="D232" s="239"/>
      <c r="E232" s="334"/>
      <c r="F232" s="334"/>
      <c r="G232" s="239"/>
      <c r="H232" s="239"/>
      <c r="I232" s="239"/>
      <c r="J232" s="239"/>
      <c r="K232" s="239"/>
      <c r="L232" s="239"/>
      <c r="M232" s="239"/>
      <c r="N232" s="239"/>
      <c r="O232" s="239"/>
      <c r="P232" s="227">
        <f t="shared" si="146"/>
        <v>0.91999999999999993</v>
      </c>
      <c r="Q232" s="334">
        <f t="shared" si="147"/>
        <v>0.11499999999999999</v>
      </c>
      <c r="R232" s="239"/>
      <c r="S232" s="309">
        <f t="shared" si="148"/>
        <v>0.91999999999999993</v>
      </c>
      <c r="T232" s="334">
        <f t="shared" si="149"/>
        <v>0.11499999999999999</v>
      </c>
      <c r="U232" s="239"/>
      <c r="V232" s="309">
        <f t="shared" si="150"/>
        <v>1.1540000000000001</v>
      </c>
      <c r="W232" s="334">
        <f t="shared" si="151"/>
        <v>-0.19699999999999984</v>
      </c>
      <c r="X232" s="239"/>
      <c r="Y232" s="239"/>
      <c r="Z232" s="239"/>
      <c r="AA232" s="239"/>
      <c r="AB232" s="227"/>
      <c r="AC232" s="231">
        <f t="shared" si="139"/>
        <v>0</v>
      </c>
      <c r="AD232" s="231">
        <f t="shared" si="140"/>
        <v>0</v>
      </c>
      <c r="AE232" s="433">
        <f t="shared" si="141"/>
        <v>0</v>
      </c>
    </row>
    <row r="233" spans="2:31">
      <c r="B233" s="238">
        <f t="shared" si="142"/>
        <v>21</v>
      </c>
      <c r="C233" s="239"/>
      <c r="D233" s="239"/>
      <c r="E233" s="334"/>
      <c r="F233" s="334"/>
      <c r="G233" s="239"/>
      <c r="H233" s="239"/>
      <c r="I233" s="239"/>
      <c r="J233" s="239"/>
      <c r="K233" s="239"/>
      <c r="L233" s="239"/>
      <c r="M233" s="239"/>
      <c r="N233" s="239"/>
      <c r="O233" s="239"/>
      <c r="P233" s="227">
        <f t="shared" si="146"/>
        <v>1.0349999999999999</v>
      </c>
      <c r="Q233" s="334">
        <f t="shared" si="147"/>
        <v>0.22999999999999998</v>
      </c>
      <c r="R233" s="239"/>
      <c r="S233" s="309">
        <f t="shared" si="148"/>
        <v>1.0349999999999999</v>
      </c>
      <c r="T233" s="334">
        <f t="shared" si="149"/>
        <v>0.22999999999999998</v>
      </c>
      <c r="U233" s="239"/>
      <c r="V233" s="309">
        <f t="shared" si="150"/>
        <v>1.3470000000000002</v>
      </c>
      <c r="W233" s="334">
        <f t="shared" si="151"/>
        <v>-3.9999999999996705E-3</v>
      </c>
      <c r="X233" s="239"/>
      <c r="Y233" s="239"/>
      <c r="Z233" s="239"/>
      <c r="AA233" s="239"/>
      <c r="AB233" s="227"/>
      <c r="AC233" s="231">
        <f t="shared" si="139"/>
        <v>0</v>
      </c>
      <c r="AD233" s="231">
        <f t="shared" si="140"/>
        <v>0</v>
      </c>
      <c r="AE233" s="433">
        <f t="shared" si="141"/>
        <v>0</v>
      </c>
    </row>
    <row r="234" spans="2:31" ht="13.8" thickBot="1">
      <c r="B234" s="444">
        <f t="shared" si="142"/>
        <v>22</v>
      </c>
      <c r="C234" s="445"/>
      <c r="D234" s="445"/>
      <c r="E234" s="1165"/>
      <c r="F234" s="1165"/>
      <c r="G234" s="445"/>
      <c r="H234" s="445"/>
      <c r="I234" s="445"/>
      <c r="J234" s="445"/>
      <c r="K234" s="445"/>
      <c r="L234" s="445"/>
      <c r="M234" s="445"/>
      <c r="N234" s="445"/>
      <c r="O234" s="445"/>
      <c r="P234" s="748">
        <f t="shared" si="146"/>
        <v>1.1499999999999999</v>
      </c>
      <c r="Q234" s="1165">
        <f t="shared" si="147"/>
        <v>0.57499999999999996</v>
      </c>
      <c r="R234" s="445"/>
      <c r="S234" s="1166">
        <f t="shared" si="148"/>
        <v>1.1499999999999999</v>
      </c>
      <c r="T234" s="1165">
        <f t="shared" si="149"/>
        <v>0.57499999999999996</v>
      </c>
      <c r="U234" s="445"/>
      <c r="V234" s="1166">
        <f t="shared" si="150"/>
        <v>1.5400000000000003</v>
      </c>
      <c r="W234" s="1165">
        <f t="shared" si="151"/>
        <v>0.57499999999999996</v>
      </c>
      <c r="X234" s="445"/>
      <c r="Y234" s="445"/>
      <c r="Z234" s="445"/>
      <c r="AA234" s="445"/>
      <c r="AB234" s="748"/>
      <c r="AC234" s="255">
        <f t="shared" si="139"/>
        <v>0</v>
      </c>
      <c r="AD234" s="255">
        <f t="shared" si="140"/>
        <v>0</v>
      </c>
      <c r="AE234" s="446">
        <f t="shared" si="141"/>
        <v>0</v>
      </c>
    </row>
    <row r="235" spans="2:31">
      <c r="B235" s="239"/>
      <c r="C235" s="239"/>
      <c r="D235" s="239"/>
      <c r="E235" s="334"/>
      <c r="F235" s="334"/>
      <c r="G235" s="239"/>
      <c r="H235" s="239"/>
      <c r="I235" s="239"/>
      <c r="J235" s="239"/>
      <c r="K235" s="239"/>
      <c r="L235" s="239"/>
      <c r="M235" s="239"/>
      <c r="N235" s="239"/>
      <c r="O235" s="239"/>
      <c r="P235" s="227"/>
      <c r="Q235" s="334"/>
      <c r="R235" s="239"/>
      <c r="S235" s="239"/>
      <c r="T235" s="239"/>
      <c r="U235" s="239"/>
      <c r="V235" s="239"/>
      <c r="W235" s="239"/>
      <c r="X235" s="239"/>
      <c r="Y235" s="239"/>
      <c r="Z235" s="239"/>
      <c r="AA235" s="239"/>
      <c r="AB235" s="227"/>
      <c r="AC235" s="231"/>
      <c r="AD235" s="231"/>
      <c r="AE235" s="231"/>
    </row>
    <row r="236" spans="2:31" ht="13.8" thickBot="1">
      <c r="B236" s="239"/>
      <c r="C236" s="239"/>
      <c r="D236" s="239"/>
      <c r="E236" s="334"/>
      <c r="F236" s="334"/>
      <c r="G236" s="239"/>
      <c r="H236" s="239"/>
      <c r="I236" s="239"/>
      <c r="J236" s="239"/>
      <c r="K236" s="239"/>
      <c r="L236" s="239"/>
      <c r="M236" s="239"/>
      <c r="N236" s="239"/>
      <c r="O236" s="239"/>
      <c r="P236" s="239"/>
      <c r="Q236" s="239"/>
      <c r="R236" s="239"/>
      <c r="S236" s="239"/>
      <c r="T236" s="239"/>
      <c r="U236" s="239"/>
      <c r="V236" s="239"/>
      <c r="W236" s="239"/>
      <c r="X236" s="239"/>
      <c r="Y236" s="239"/>
      <c r="Z236" s="239"/>
      <c r="AA236" s="239"/>
      <c r="AB236" s="227"/>
      <c r="AC236" s="231"/>
      <c r="AD236" s="231"/>
      <c r="AE236" s="231"/>
    </row>
    <row r="237" spans="2:31" ht="17.399999999999999">
      <c r="B237" s="1164" t="s">
        <v>1943</v>
      </c>
      <c r="C237" s="229"/>
      <c r="D237" s="229"/>
      <c r="E237" s="229"/>
      <c r="F237" s="229"/>
      <c r="G237" s="229"/>
      <c r="H237" s="229"/>
      <c r="I237" s="229"/>
      <c r="J237" s="229"/>
      <c r="K237" s="229"/>
      <c r="L237" s="229"/>
      <c r="M237" s="229"/>
      <c r="N237" s="229"/>
      <c r="O237" s="229"/>
      <c r="P237" s="229"/>
      <c r="Q237" s="229"/>
      <c r="R237" s="229"/>
      <c r="S237" s="229"/>
      <c r="T237" s="229"/>
      <c r="U237" s="229"/>
      <c r="V237" s="229"/>
      <c r="W237" s="229"/>
      <c r="X237" s="229"/>
      <c r="Y237" s="229"/>
      <c r="Z237" s="1105" t="s">
        <v>1944</v>
      </c>
      <c r="AA237" s="229"/>
      <c r="AB237" s="716"/>
      <c r="AC237" s="229"/>
      <c r="AD237" s="229"/>
      <c r="AE237" s="430"/>
    </row>
    <row r="238" spans="2:31">
      <c r="B238" s="249" t="s">
        <v>1892</v>
      </c>
      <c r="C238" s="239">
        <v>0</v>
      </c>
      <c r="D238" s="239">
        <v>0</v>
      </c>
      <c r="E238" s="239"/>
      <c r="F238" s="239"/>
      <c r="G238" s="239"/>
      <c r="H238" s="239"/>
      <c r="I238" s="239"/>
      <c r="J238" s="239"/>
      <c r="K238" s="239"/>
      <c r="L238" s="239"/>
      <c r="M238" s="239"/>
      <c r="N238" s="239"/>
      <c r="O238" s="231"/>
      <c r="P238" s="231"/>
      <c r="Q238" s="231"/>
      <c r="R238" s="231"/>
      <c r="S238" s="231"/>
      <c r="T238" s="231"/>
      <c r="U238" s="231"/>
      <c r="V238" s="231"/>
      <c r="W238" s="231"/>
      <c r="X238" s="231"/>
      <c r="Y238" s="231"/>
      <c r="Z238" s="223" t="s">
        <v>1946</v>
      </c>
      <c r="AA238" s="231"/>
      <c r="AB238" s="227"/>
      <c r="AC238" s="231"/>
      <c r="AD238" s="231"/>
      <c r="AE238" s="433"/>
    </row>
    <row r="239" spans="2:31">
      <c r="B239" s="249" t="s">
        <v>1896</v>
      </c>
      <c r="C239" s="94" t="s">
        <v>196</v>
      </c>
      <c r="D239" s="94" t="s">
        <v>197</v>
      </c>
      <c r="E239" s="94" t="s">
        <v>196</v>
      </c>
      <c r="F239" s="94" t="s">
        <v>197</v>
      </c>
      <c r="G239" s="94" t="s">
        <v>196</v>
      </c>
      <c r="H239" s="94" t="s">
        <v>197</v>
      </c>
      <c r="I239" s="94" t="s">
        <v>196</v>
      </c>
      <c r="J239" s="94" t="s">
        <v>197</v>
      </c>
      <c r="K239" s="94" t="s">
        <v>196</v>
      </c>
      <c r="L239" s="94" t="s">
        <v>197</v>
      </c>
      <c r="M239" s="94" t="s">
        <v>196</v>
      </c>
      <c r="N239" s="94" t="s">
        <v>197</v>
      </c>
      <c r="O239" s="231"/>
      <c r="P239" s="223" t="s">
        <v>196</v>
      </c>
      <c r="Q239" s="223" t="s">
        <v>327</v>
      </c>
      <c r="R239" s="223" t="s">
        <v>328</v>
      </c>
      <c r="S239" s="223" t="s">
        <v>196</v>
      </c>
      <c r="T239" s="223" t="s">
        <v>327</v>
      </c>
      <c r="U239" s="223" t="s">
        <v>328</v>
      </c>
      <c r="V239" s="223" t="s">
        <v>196</v>
      </c>
      <c r="W239" s="223" t="s">
        <v>327</v>
      </c>
      <c r="X239" s="223" t="s">
        <v>328</v>
      </c>
      <c r="Y239" s="231"/>
      <c r="Z239" s="223" t="s">
        <v>196</v>
      </c>
      <c r="AA239" s="223" t="s">
        <v>197</v>
      </c>
      <c r="AB239" s="227"/>
      <c r="AC239" s="223" t="s">
        <v>196</v>
      </c>
      <c r="AD239" s="223" t="s">
        <v>197</v>
      </c>
      <c r="AE239" s="460" t="s">
        <v>196</v>
      </c>
    </row>
    <row r="240" spans="2:31">
      <c r="B240" s="238">
        <v>1</v>
      </c>
      <c r="C240" s="334">
        <f>C238</f>
        <v>0</v>
      </c>
      <c r="D240" s="334">
        <f>D238</f>
        <v>0</v>
      </c>
      <c r="E240" s="334">
        <f>C238</f>
        <v>0</v>
      </c>
      <c r="F240" s="334">
        <f>D240</f>
        <v>0</v>
      </c>
      <c r="G240" s="334">
        <f>E240</f>
        <v>0</v>
      </c>
      <c r="H240" s="334">
        <f>F240</f>
        <v>0</v>
      </c>
      <c r="I240" s="334">
        <f>G240</f>
        <v>0</v>
      </c>
      <c r="J240" s="334">
        <f>H240</f>
        <v>0</v>
      </c>
      <c r="K240" s="334">
        <f>I240+((BB44-BB48)/2)</f>
        <v>0.22500000000000009</v>
      </c>
      <c r="L240" s="334">
        <f>J240+((BB45-BB47)/2)</f>
        <v>0.44999999999999996</v>
      </c>
      <c r="M240" s="334">
        <f>C238</f>
        <v>0</v>
      </c>
      <c r="N240" s="334">
        <f>J240</f>
        <v>0</v>
      </c>
      <c r="O240" s="231"/>
      <c r="P240" s="227">
        <f>C238</f>
        <v>0</v>
      </c>
      <c r="Q240" s="437">
        <f t="shared" ref="Q240:Q249" si="152">(D$240+(BB$49/2)) + ((((BB$49/2)^2)-((P240-(P$240+(BB$49/2)))^2))^0.5)</f>
        <v>1.5</v>
      </c>
      <c r="R240" s="437">
        <f t="shared" ref="R240:R249" si="153">(D$240+(BB$49/2)) - ((((BB$49/2)^2)-((P240-(P$240+(BB$49/2)))^2))^0.5)</f>
        <v>1.5</v>
      </c>
      <c r="S240" s="251">
        <f>C238</f>
        <v>0</v>
      </c>
      <c r="T240" s="437">
        <f t="shared" ref="T240:T249" si="154">(D$240+(BB$50/2)) + ((((BB$50/2)^2)-((S240-(S$240+(BB$50/2)))^2))^0.5)</f>
        <v>1.5</v>
      </c>
      <c r="U240" s="437">
        <f t="shared" ref="U240:U249" si="155">(D$240+(BB$50/2)) - ((((BB$50/2)^2)-((S240-(S$240+(BB$50/2)))^2))^0.5)</f>
        <v>1.5</v>
      </c>
      <c r="V240" s="251">
        <f>S240+((BB50-BB51)/2)</f>
        <v>-1</v>
      </c>
      <c r="W240" s="437">
        <f t="shared" ref="W240:W249" si="156">(D$240+((BB$50-BB$51)/2)+(BB$51/2)) + ((((BB$51/2)^2)-((V240-(V$240+(BB$51/2)))^2))^0.5)</f>
        <v>1.5</v>
      </c>
      <c r="X240" s="437">
        <f t="shared" ref="X240:X249" si="157">(D$240+((BB$50-BB$51)/2)+(BB$51/2)) - ((((BB$51/2)^2)-((V240-(V$240+(BB$51/2)))^2))^0.5)</f>
        <v>1.5</v>
      </c>
      <c r="Y240" s="231"/>
      <c r="Z240" s="231">
        <v>0</v>
      </c>
      <c r="AA240" s="251">
        <f>BB11*BB13*12</f>
        <v>11.052570961245319</v>
      </c>
      <c r="AB240" s="227"/>
      <c r="AC240" s="231">
        <f t="shared" ref="AC240:AC261" si="158">IF($BB$42=1,C240,IF($BB$42=2,E240,IF($BB$42=3,G240,IF($BB$42=4,I240,IF($BB$42=5,M240,IF($BB$42=6,P240,S240))))))</f>
        <v>0</v>
      </c>
      <c r="AD240" s="231">
        <f t="shared" ref="AD240:AD261" si="159">IF($BB$42=1,D240,IF($BB$42=2,F240,IF($BB$42=3,H240,IF($BB$42=4,J240,IF($BB$42=5,N240,IF($BB$42=6,Q240,T240))))))</f>
        <v>0</v>
      </c>
      <c r="AE240" s="433">
        <f t="shared" ref="AE240:AE261" si="160">IF($BB$42=1,0,IF($BB$42=2,0,IF($BB$42=3,0,IF($BB$42=4,K240,IF($BB$42=5,0,IF($BB$42=6,0,V240))))))</f>
        <v>0</v>
      </c>
    </row>
    <row r="241" spans="2:31">
      <c r="B241" s="238">
        <f t="shared" ref="B241:B261" si="161">B240+1</f>
        <v>2</v>
      </c>
      <c r="C241" s="334">
        <f>C238</f>
        <v>0</v>
      </c>
      <c r="D241" s="334">
        <f>BB45+D238</f>
        <v>3</v>
      </c>
      <c r="E241" s="334">
        <f>E240</f>
        <v>0</v>
      </c>
      <c r="F241" s="334">
        <f>F240+((BB45-BB47)/2)</f>
        <v>0.44999999999999996</v>
      </c>
      <c r="G241" s="334">
        <f>G240</f>
        <v>0</v>
      </c>
      <c r="H241" s="334">
        <f>H240+BB45</f>
        <v>3</v>
      </c>
      <c r="I241" s="334">
        <f>I240</f>
        <v>0</v>
      </c>
      <c r="J241" s="334">
        <f>J240+BB45</f>
        <v>3</v>
      </c>
      <c r="K241" s="334">
        <f>K240</f>
        <v>0.22500000000000009</v>
      </c>
      <c r="L241" s="334">
        <f>L240+BB47</f>
        <v>2.5499999999999998</v>
      </c>
      <c r="M241" s="334">
        <f>M240</f>
        <v>0</v>
      </c>
      <c r="N241" s="334">
        <f>N240+BB45</f>
        <v>3</v>
      </c>
      <c r="O241" s="231"/>
      <c r="P241" s="231">
        <f t="shared" ref="P241:P250" si="162">P240+(BB$49/10)</f>
        <v>0.3</v>
      </c>
      <c r="Q241" s="437">
        <f t="shared" si="152"/>
        <v>2.4</v>
      </c>
      <c r="R241" s="437">
        <f t="shared" si="153"/>
        <v>0.6</v>
      </c>
      <c r="S241" s="251">
        <f t="shared" ref="S241:S250" si="163">S240+(BB$50/10)</f>
        <v>0.3</v>
      </c>
      <c r="T241" s="437">
        <f t="shared" si="154"/>
        <v>2.4</v>
      </c>
      <c r="U241" s="437">
        <f t="shared" si="155"/>
        <v>0.6</v>
      </c>
      <c r="V241" s="251">
        <f t="shared" ref="V241:V250" si="164">V240+(BB$51/10)</f>
        <v>-0.5</v>
      </c>
      <c r="W241" s="437">
        <f t="shared" si="156"/>
        <v>3</v>
      </c>
      <c r="X241" s="437">
        <f t="shared" si="157"/>
        <v>0</v>
      </c>
      <c r="Y241" s="231"/>
      <c r="Z241" s="251">
        <f>MAX(BB44,BB49,BB50)+0.5</f>
        <v>3.5</v>
      </c>
      <c r="AA241" s="251">
        <f>AA240</f>
        <v>11.052570961245319</v>
      </c>
      <c r="AB241" s="227"/>
      <c r="AC241" s="231">
        <f t="shared" si="158"/>
        <v>0</v>
      </c>
      <c r="AD241" s="231">
        <f t="shared" si="159"/>
        <v>0.44999999999999996</v>
      </c>
      <c r="AE241" s="433">
        <f t="shared" si="160"/>
        <v>0</v>
      </c>
    </row>
    <row r="242" spans="2:31">
      <c r="B242" s="238">
        <f t="shared" si="161"/>
        <v>3</v>
      </c>
      <c r="C242" s="334">
        <f>BB44+C238</f>
        <v>3</v>
      </c>
      <c r="D242" s="334">
        <f>BB45+D238</f>
        <v>3</v>
      </c>
      <c r="E242" s="334">
        <f>E241+(BB48/2)</f>
        <v>1.2749999999999999</v>
      </c>
      <c r="F242" s="334">
        <f>F241</f>
        <v>0.44999999999999996</v>
      </c>
      <c r="G242" s="334">
        <f>G241+BB44</f>
        <v>3</v>
      </c>
      <c r="H242" s="334">
        <f>H241</f>
        <v>3</v>
      </c>
      <c r="I242" s="334">
        <f>I241+BB44</f>
        <v>3</v>
      </c>
      <c r="J242" s="334">
        <f>J241</f>
        <v>3</v>
      </c>
      <c r="K242" s="334">
        <f>K241+BB48</f>
        <v>2.7749999999999999</v>
      </c>
      <c r="L242" s="334">
        <f>L241</f>
        <v>2.5499999999999998</v>
      </c>
      <c r="M242" s="334">
        <f>M241+BB44</f>
        <v>3</v>
      </c>
      <c r="N242" s="334">
        <f>N241</f>
        <v>3</v>
      </c>
      <c r="O242" s="231"/>
      <c r="P242" s="231">
        <f t="shared" si="162"/>
        <v>0.6</v>
      </c>
      <c r="Q242" s="437">
        <f t="shared" si="152"/>
        <v>2.7</v>
      </c>
      <c r="R242" s="437">
        <f t="shared" si="153"/>
        <v>0.30000000000000004</v>
      </c>
      <c r="S242" s="251">
        <f t="shared" si="163"/>
        <v>0.6</v>
      </c>
      <c r="T242" s="437">
        <f t="shared" si="154"/>
        <v>2.7</v>
      </c>
      <c r="U242" s="437">
        <f t="shared" si="155"/>
        <v>0.30000000000000004</v>
      </c>
      <c r="V242" s="251">
        <f t="shared" si="164"/>
        <v>0</v>
      </c>
      <c r="W242" s="437">
        <f t="shared" si="156"/>
        <v>3.5</v>
      </c>
      <c r="X242" s="437">
        <f t="shared" si="157"/>
        <v>-0.5</v>
      </c>
      <c r="Y242" s="231"/>
      <c r="Z242" s="231"/>
      <c r="AA242" s="231"/>
      <c r="AB242" s="231"/>
      <c r="AC242" s="231">
        <f t="shared" si="158"/>
        <v>1.2749999999999999</v>
      </c>
      <c r="AD242" s="231">
        <f t="shared" si="159"/>
        <v>0.44999999999999996</v>
      </c>
      <c r="AE242" s="433">
        <f t="shared" si="160"/>
        <v>0</v>
      </c>
    </row>
    <row r="243" spans="2:31">
      <c r="B243" s="238">
        <f t="shared" si="161"/>
        <v>4</v>
      </c>
      <c r="C243" s="334">
        <f>BB44+C238</f>
        <v>3</v>
      </c>
      <c r="D243" s="334">
        <f>D238</f>
        <v>0</v>
      </c>
      <c r="E243" s="334">
        <f>E242</f>
        <v>1.2749999999999999</v>
      </c>
      <c r="F243" s="334">
        <f>F242+BB47</f>
        <v>2.5499999999999998</v>
      </c>
      <c r="G243" s="334">
        <f>G242</f>
        <v>3</v>
      </c>
      <c r="H243" s="334">
        <f>H242-((BB45-BB47)/2)</f>
        <v>2.5499999999999998</v>
      </c>
      <c r="I243" s="334">
        <f>I242</f>
        <v>3</v>
      </c>
      <c r="J243" s="334">
        <f>J240</f>
        <v>0</v>
      </c>
      <c r="K243" s="334">
        <f>K242</f>
        <v>2.7749999999999999</v>
      </c>
      <c r="L243" s="334">
        <f>L242-BB47</f>
        <v>0.44999999999999973</v>
      </c>
      <c r="M243" s="334">
        <f>M242</f>
        <v>3</v>
      </c>
      <c r="N243" s="334">
        <f>N242-BB45</f>
        <v>0</v>
      </c>
      <c r="O243" s="231"/>
      <c r="P243" s="231">
        <f t="shared" si="162"/>
        <v>0.89999999999999991</v>
      </c>
      <c r="Q243" s="437">
        <f t="shared" si="152"/>
        <v>2.874772708486752</v>
      </c>
      <c r="R243" s="437">
        <f t="shared" si="153"/>
        <v>0.12522729151324796</v>
      </c>
      <c r="S243" s="251">
        <f t="shared" si="163"/>
        <v>0.89999999999999991</v>
      </c>
      <c r="T243" s="437">
        <f t="shared" si="154"/>
        <v>2.874772708486752</v>
      </c>
      <c r="U243" s="437">
        <f t="shared" si="155"/>
        <v>0.12522729151324796</v>
      </c>
      <c r="V243" s="251">
        <f t="shared" si="164"/>
        <v>0.5</v>
      </c>
      <c r="W243" s="437">
        <f t="shared" si="156"/>
        <v>3.7912878474779199</v>
      </c>
      <c r="X243" s="437">
        <f t="shared" si="157"/>
        <v>-0.79128784747791991</v>
      </c>
      <c r="Y243" s="231"/>
      <c r="Z243" s="223"/>
      <c r="AA243" s="231"/>
      <c r="AB243" s="231"/>
      <c r="AC243" s="231">
        <f t="shared" si="158"/>
        <v>1.2749999999999999</v>
      </c>
      <c r="AD243" s="231">
        <f t="shared" si="159"/>
        <v>2.5499999999999998</v>
      </c>
      <c r="AE243" s="433">
        <f t="shared" si="160"/>
        <v>0</v>
      </c>
    </row>
    <row r="244" spans="2:31">
      <c r="B244" s="238">
        <f t="shared" si="161"/>
        <v>5</v>
      </c>
      <c r="C244" s="334">
        <f>C238</f>
        <v>0</v>
      </c>
      <c r="D244" s="334">
        <f>D238</f>
        <v>0</v>
      </c>
      <c r="E244" s="334">
        <f>E241</f>
        <v>0</v>
      </c>
      <c r="F244" s="334">
        <f>F243</f>
        <v>2.5499999999999998</v>
      </c>
      <c r="G244" s="334">
        <f>G243-BB48</f>
        <v>0.45000000000000018</v>
      </c>
      <c r="H244" s="334">
        <f>H243</f>
        <v>2.5499999999999998</v>
      </c>
      <c r="I244" s="334">
        <f>I240</f>
        <v>0</v>
      </c>
      <c r="J244" s="334">
        <f>J240</f>
        <v>0</v>
      </c>
      <c r="K244" s="334">
        <f>K240</f>
        <v>0.22500000000000009</v>
      </c>
      <c r="L244" s="334">
        <f>L240</f>
        <v>0.44999999999999996</v>
      </c>
      <c r="M244" s="334">
        <f>M243-((BB44-BB48)/2)</f>
        <v>2.7749999999999999</v>
      </c>
      <c r="N244" s="334">
        <f>N243</f>
        <v>0</v>
      </c>
      <c r="O244" s="239"/>
      <c r="P244" s="231">
        <f t="shared" si="162"/>
        <v>1.2</v>
      </c>
      <c r="Q244" s="437">
        <f t="shared" si="152"/>
        <v>2.9696938456699069</v>
      </c>
      <c r="R244" s="437">
        <f t="shared" si="153"/>
        <v>3.0306154330093094E-2</v>
      </c>
      <c r="S244" s="251">
        <f t="shared" si="163"/>
        <v>1.2</v>
      </c>
      <c r="T244" s="437">
        <f t="shared" si="154"/>
        <v>2.9696938456699069</v>
      </c>
      <c r="U244" s="437">
        <f t="shared" si="155"/>
        <v>3.0306154330093094E-2</v>
      </c>
      <c r="V244" s="251">
        <f t="shared" si="164"/>
        <v>1</v>
      </c>
      <c r="W244" s="437">
        <f t="shared" si="156"/>
        <v>3.9494897427831779</v>
      </c>
      <c r="X244" s="437">
        <f t="shared" si="157"/>
        <v>-0.94948974278317788</v>
      </c>
      <c r="Y244" s="239"/>
      <c r="Z244" s="223"/>
      <c r="AA244" s="231"/>
      <c r="AB244" s="231"/>
      <c r="AC244" s="231">
        <f t="shared" si="158"/>
        <v>0</v>
      </c>
      <c r="AD244" s="231">
        <f t="shared" si="159"/>
        <v>2.5499999999999998</v>
      </c>
      <c r="AE244" s="433">
        <f t="shared" si="160"/>
        <v>0</v>
      </c>
    </row>
    <row r="245" spans="2:31">
      <c r="B245" s="238">
        <f t="shared" si="161"/>
        <v>6</v>
      </c>
      <c r="C245" s="239"/>
      <c r="D245" s="239"/>
      <c r="E245" s="334">
        <f>E244</f>
        <v>0</v>
      </c>
      <c r="F245" s="334">
        <f>F240+BB45</f>
        <v>3</v>
      </c>
      <c r="G245" s="334">
        <f>G244</f>
        <v>0.45000000000000018</v>
      </c>
      <c r="H245" s="334">
        <f>H244-BB47</f>
        <v>0.44999999999999973</v>
      </c>
      <c r="I245" s="239"/>
      <c r="J245" s="239"/>
      <c r="K245" s="239"/>
      <c r="L245" s="239"/>
      <c r="M245" s="334">
        <f>M244</f>
        <v>2.7749999999999999</v>
      </c>
      <c r="N245" s="334">
        <f>N244+BB47</f>
        <v>2.1</v>
      </c>
      <c r="O245" s="239"/>
      <c r="P245" s="231">
        <f t="shared" si="162"/>
        <v>1.5</v>
      </c>
      <c r="Q245" s="437">
        <f t="shared" si="152"/>
        <v>3</v>
      </c>
      <c r="R245" s="437">
        <f t="shared" si="153"/>
        <v>0</v>
      </c>
      <c r="S245" s="251">
        <f t="shared" si="163"/>
        <v>1.5</v>
      </c>
      <c r="T245" s="437">
        <f t="shared" si="154"/>
        <v>3</v>
      </c>
      <c r="U245" s="437">
        <f t="shared" si="155"/>
        <v>0</v>
      </c>
      <c r="V245" s="251">
        <f t="shared" si="164"/>
        <v>1.5</v>
      </c>
      <c r="W245" s="437">
        <f t="shared" si="156"/>
        <v>4</v>
      </c>
      <c r="X245" s="437">
        <f t="shared" si="157"/>
        <v>-1</v>
      </c>
      <c r="Y245" s="239"/>
      <c r="Z245" s="223"/>
      <c r="AA245" s="223"/>
      <c r="AB245" s="231"/>
      <c r="AC245" s="231">
        <f t="shared" si="158"/>
        <v>0</v>
      </c>
      <c r="AD245" s="231">
        <f t="shared" si="159"/>
        <v>3</v>
      </c>
      <c r="AE245" s="433">
        <f t="shared" si="160"/>
        <v>0</v>
      </c>
    </row>
    <row r="246" spans="2:31">
      <c r="B246" s="238">
        <f t="shared" si="161"/>
        <v>7</v>
      </c>
      <c r="C246" s="239"/>
      <c r="D246" s="239"/>
      <c r="E246" s="334">
        <f>E245+BB44</f>
        <v>3</v>
      </c>
      <c r="F246" s="334">
        <f>F245</f>
        <v>3</v>
      </c>
      <c r="G246" s="334">
        <f>G245+BB48</f>
        <v>3</v>
      </c>
      <c r="H246" s="334">
        <f>H245</f>
        <v>0.44999999999999973</v>
      </c>
      <c r="I246" s="239"/>
      <c r="J246" s="239"/>
      <c r="K246" s="239"/>
      <c r="L246" s="239"/>
      <c r="M246" s="334">
        <f>M245-BB48</f>
        <v>0.22500000000000009</v>
      </c>
      <c r="N246" s="334">
        <f>N245</f>
        <v>2.1</v>
      </c>
      <c r="O246" s="239"/>
      <c r="P246" s="231">
        <f t="shared" si="162"/>
        <v>1.8</v>
      </c>
      <c r="Q246" s="437">
        <f t="shared" si="152"/>
        <v>2.9696938456699069</v>
      </c>
      <c r="R246" s="437">
        <f t="shared" si="153"/>
        <v>3.0306154330093094E-2</v>
      </c>
      <c r="S246" s="251">
        <f t="shared" si="163"/>
        <v>1.8</v>
      </c>
      <c r="T246" s="437">
        <f t="shared" si="154"/>
        <v>2.9696938456699069</v>
      </c>
      <c r="U246" s="437">
        <f t="shared" si="155"/>
        <v>3.0306154330093094E-2</v>
      </c>
      <c r="V246" s="251">
        <f t="shared" si="164"/>
        <v>2</v>
      </c>
      <c r="W246" s="437">
        <f t="shared" si="156"/>
        <v>3.9494897427831779</v>
      </c>
      <c r="X246" s="437">
        <f t="shared" si="157"/>
        <v>-0.94948974278317788</v>
      </c>
      <c r="Y246" s="239"/>
      <c r="Z246" s="239"/>
      <c r="AA246" s="239"/>
      <c r="AB246" s="239"/>
      <c r="AC246" s="231">
        <f t="shared" si="158"/>
        <v>3</v>
      </c>
      <c r="AD246" s="231">
        <f t="shared" si="159"/>
        <v>3</v>
      </c>
      <c r="AE246" s="433">
        <f t="shared" si="160"/>
        <v>0</v>
      </c>
    </row>
    <row r="247" spans="2:31">
      <c r="B247" s="238">
        <f t="shared" si="161"/>
        <v>8</v>
      </c>
      <c r="C247" s="239"/>
      <c r="D247" s="239"/>
      <c r="E247" s="334">
        <f>E246</f>
        <v>3</v>
      </c>
      <c r="F247" s="334">
        <f>F244</f>
        <v>2.5499999999999998</v>
      </c>
      <c r="G247" s="334">
        <f>G246</f>
        <v>3</v>
      </c>
      <c r="H247" s="334">
        <f>H240</f>
        <v>0</v>
      </c>
      <c r="I247" s="239"/>
      <c r="J247" s="239"/>
      <c r="K247" s="239"/>
      <c r="L247" s="239"/>
      <c r="M247" s="334">
        <f>M246</f>
        <v>0.22500000000000009</v>
      </c>
      <c r="N247" s="334">
        <f>N246-BB47</f>
        <v>0</v>
      </c>
      <c r="O247" s="239"/>
      <c r="P247" s="231">
        <f t="shared" si="162"/>
        <v>2.1</v>
      </c>
      <c r="Q247" s="437">
        <f t="shared" si="152"/>
        <v>2.874772708486752</v>
      </c>
      <c r="R247" s="437">
        <f t="shared" si="153"/>
        <v>0.12522729151324796</v>
      </c>
      <c r="S247" s="251">
        <f t="shared" si="163"/>
        <v>2.1</v>
      </c>
      <c r="T247" s="437">
        <f t="shared" si="154"/>
        <v>2.874772708486752</v>
      </c>
      <c r="U247" s="437">
        <f t="shared" si="155"/>
        <v>0.12522729151324796</v>
      </c>
      <c r="V247" s="251">
        <f t="shared" si="164"/>
        <v>2.5</v>
      </c>
      <c r="W247" s="437">
        <f t="shared" si="156"/>
        <v>3.7912878474779199</v>
      </c>
      <c r="X247" s="437">
        <f t="shared" si="157"/>
        <v>-0.79128784747791991</v>
      </c>
      <c r="Y247" s="239"/>
      <c r="Z247" s="239"/>
      <c r="AA247" s="239"/>
      <c r="AB247" s="239"/>
      <c r="AC247" s="231">
        <f t="shared" si="158"/>
        <v>3</v>
      </c>
      <c r="AD247" s="231">
        <f t="shared" si="159"/>
        <v>2.5499999999999998</v>
      </c>
      <c r="AE247" s="433">
        <f t="shared" si="160"/>
        <v>0</v>
      </c>
    </row>
    <row r="248" spans="2:31">
      <c r="B248" s="238">
        <f t="shared" si="161"/>
        <v>9</v>
      </c>
      <c r="C248" s="239"/>
      <c r="D248" s="239"/>
      <c r="E248" s="334">
        <f>E247-(BB48/2)</f>
        <v>1.7250000000000001</v>
      </c>
      <c r="F248" s="334">
        <f>F247</f>
        <v>2.5499999999999998</v>
      </c>
      <c r="G248" s="334">
        <f>G240</f>
        <v>0</v>
      </c>
      <c r="H248" s="334">
        <f>H240</f>
        <v>0</v>
      </c>
      <c r="I248" s="239"/>
      <c r="J248" s="239"/>
      <c r="K248" s="239"/>
      <c r="L248" s="239"/>
      <c r="M248" s="334">
        <f>M240</f>
        <v>0</v>
      </c>
      <c r="N248" s="334">
        <f>N240</f>
        <v>0</v>
      </c>
      <c r="O248" s="239"/>
      <c r="P248" s="231">
        <f t="shared" si="162"/>
        <v>2.4</v>
      </c>
      <c r="Q248" s="437">
        <f t="shared" si="152"/>
        <v>2.7</v>
      </c>
      <c r="R248" s="437">
        <f t="shared" si="153"/>
        <v>0.29999999999999982</v>
      </c>
      <c r="S248" s="251">
        <f t="shared" si="163"/>
        <v>2.4</v>
      </c>
      <c r="T248" s="437">
        <f t="shared" si="154"/>
        <v>2.7</v>
      </c>
      <c r="U248" s="437">
        <f t="shared" si="155"/>
        <v>0.29999999999999982</v>
      </c>
      <c r="V248" s="251">
        <f t="shared" si="164"/>
        <v>3</v>
      </c>
      <c r="W248" s="437">
        <f t="shared" si="156"/>
        <v>3.5</v>
      </c>
      <c r="X248" s="437">
        <f t="shared" si="157"/>
        <v>-0.5</v>
      </c>
      <c r="Y248" s="239"/>
      <c r="Z248" s="239"/>
      <c r="AA248" s="239"/>
      <c r="AB248" s="239"/>
      <c r="AC248" s="231">
        <f t="shared" si="158"/>
        <v>1.7250000000000001</v>
      </c>
      <c r="AD248" s="231">
        <f t="shared" si="159"/>
        <v>2.5499999999999998</v>
      </c>
      <c r="AE248" s="433">
        <f t="shared" si="160"/>
        <v>0</v>
      </c>
    </row>
    <row r="249" spans="2:31">
      <c r="B249" s="238">
        <f t="shared" si="161"/>
        <v>10</v>
      </c>
      <c r="C249" s="239"/>
      <c r="D249" s="239"/>
      <c r="E249" s="334">
        <f>E248</f>
        <v>1.7250000000000001</v>
      </c>
      <c r="F249" s="334">
        <f>F248-BB47</f>
        <v>0.44999999999999973</v>
      </c>
      <c r="G249" s="239"/>
      <c r="H249" s="239"/>
      <c r="I249" s="239"/>
      <c r="J249" s="239"/>
      <c r="K249" s="239"/>
      <c r="L249" s="239"/>
      <c r="M249" s="239"/>
      <c r="N249" s="239"/>
      <c r="O249" s="239"/>
      <c r="P249" s="231">
        <f t="shared" si="162"/>
        <v>2.6999999999999997</v>
      </c>
      <c r="Q249" s="437">
        <f t="shared" si="152"/>
        <v>2.4000000000000004</v>
      </c>
      <c r="R249" s="437">
        <f t="shared" si="153"/>
        <v>0.59999999999999964</v>
      </c>
      <c r="S249" s="251">
        <f t="shared" si="163"/>
        <v>2.6999999999999997</v>
      </c>
      <c r="T249" s="437">
        <f t="shared" si="154"/>
        <v>2.4000000000000004</v>
      </c>
      <c r="U249" s="437">
        <f t="shared" si="155"/>
        <v>0.59999999999999964</v>
      </c>
      <c r="V249" s="251">
        <f t="shared" si="164"/>
        <v>3.5</v>
      </c>
      <c r="W249" s="437">
        <f t="shared" si="156"/>
        <v>3</v>
      </c>
      <c r="X249" s="437">
        <f t="shared" si="157"/>
        <v>0</v>
      </c>
      <c r="Y249" s="239"/>
      <c r="Z249" s="239"/>
      <c r="AA249" s="239"/>
      <c r="AB249" s="239"/>
      <c r="AC249" s="231">
        <f t="shared" si="158"/>
        <v>1.7250000000000001</v>
      </c>
      <c r="AD249" s="231">
        <f t="shared" si="159"/>
        <v>0.44999999999999973</v>
      </c>
      <c r="AE249" s="433">
        <f t="shared" si="160"/>
        <v>0</v>
      </c>
    </row>
    <row r="250" spans="2:31">
      <c r="B250" s="238">
        <f t="shared" si="161"/>
        <v>11</v>
      </c>
      <c r="C250" s="239"/>
      <c r="D250" s="239"/>
      <c r="E250" s="334">
        <f>E249+(BB48/2)</f>
        <v>3</v>
      </c>
      <c r="F250" s="334">
        <f>F249</f>
        <v>0.44999999999999973</v>
      </c>
      <c r="G250" s="239"/>
      <c r="H250" s="239"/>
      <c r="I250" s="239"/>
      <c r="J250" s="239"/>
      <c r="K250" s="239"/>
      <c r="L250" s="239"/>
      <c r="M250" s="239"/>
      <c r="N250" s="239"/>
      <c r="O250" s="239"/>
      <c r="P250" s="231">
        <f t="shared" si="162"/>
        <v>2.9999999999999996</v>
      </c>
      <c r="Q250" s="437">
        <f>Q240</f>
        <v>1.5</v>
      </c>
      <c r="R250" s="437">
        <f>R240</f>
        <v>1.5</v>
      </c>
      <c r="S250" s="251">
        <f t="shared" si="163"/>
        <v>2.9999999999999996</v>
      </c>
      <c r="T250" s="437">
        <f>T240</f>
        <v>1.5</v>
      </c>
      <c r="U250" s="437">
        <f>U240</f>
        <v>1.5</v>
      </c>
      <c r="V250" s="251">
        <f t="shared" si="164"/>
        <v>4</v>
      </c>
      <c r="W250" s="437">
        <f>W240</f>
        <v>1.5</v>
      </c>
      <c r="X250" s="437">
        <f>X240</f>
        <v>1.5</v>
      </c>
      <c r="Y250" s="239"/>
      <c r="Z250" s="239"/>
      <c r="AA250" s="239"/>
      <c r="AB250" s="231"/>
      <c r="AC250" s="231">
        <f t="shared" si="158"/>
        <v>3</v>
      </c>
      <c r="AD250" s="231">
        <f t="shared" si="159"/>
        <v>0.44999999999999973</v>
      </c>
      <c r="AE250" s="433">
        <f t="shared" si="160"/>
        <v>0</v>
      </c>
    </row>
    <row r="251" spans="2:31">
      <c r="B251" s="238">
        <f t="shared" si="161"/>
        <v>12</v>
      </c>
      <c r="C251" s="239"/>
      <c r="D251" s="239"/>
      <c r="E251" s="334">
        <f>E250</f>
        <v>3</v>
      </c>
      <c r="F251" s="334">
        <f>F240</f>
        <v>0</v>
      </c>
      <c r="G251" s="239"/>
      <c r="H251" s="239"/>
      <c r="I251" s="239"/>
      <c r="J251" s="239"/>
      <c r="K251" s="239"/>
      <c r="L251" s="239"/>
      <c r="M251" s="239"/>
      <c r="N251" s="239"/>
      <c r="O251" s="239"/>
      <c r="P251" s="227">
        <f t="shared" ref="P251:P261" si="165">P240</f>
        <v>0</v>
      </c>
      <c r="Q251" s="334">
        <f t="shared" ref="Q251:Q261" si="166">R240</f>
        <v>1.5</v>
      </c>
      <c r="R251" s="334"/>
      <c r="S251" s="309">
        <f t="shared" ref="S251:S261" si="167">S240</f>
        <v>0</v>
      </c>
      <c r="T251" s="334">
        <f t="shared" ref="T251:T261" si="168">U240</f>
        <v>1.5</v>
      </c>
      <c r="U251" s="334"/>
      <c r="V251" s="309">
        <f t="shared" ref="V251:V261" si="169">V240</f>
        <v>-1</v>
      </c>
      <c r="W251" s="334">
        <f t="shared" ref="W251:W261" si="170">X240</f>
        <v>1.5</v>
      </c>
      <c r="X251" s="239"/>
      <c r="Y251" s="239"/>
      <c r="Z251" s="239"/>
      <c r="AA251" s="239"/>
      <c r="AB251" s="231"/>
      <c r="AC251" s="231">
        <f t="shared" si="158"/>
        <v>3</v>
      </c>
      <c r="AD251" s="231">
        <f t="shared" si="159"/>
        <v>0</v>
      </c>
      <c r="AE251" s="433">
        <f t="shared" si="160"/>
        <v>0</v>
      </c>
    </row>
    <row r="252" spans="2:31">
      <c r="B252" s="238">
        <f t="shared" si="161"/>
        <v>13</v>
      </c>
      <c r="C252" s="239"/>
      <c r="D252" s="239"/>
      <c r="E252" s="334">
        <f>E240</f>
        <v>0</v>
      </c>
      <c r="F252" s="334">
        <f>F240</f>
        <v>0</v>
      </c>
      <c r="G252" s="239"/>
      <c r="H252" s="239"/>
      <c r="I252" s="239"/>
      <c r="J252" s="239"/>
      <c r="K252" s="239"/>
      <c r="L252" s="239"/>
      <c r="M252" s="239"/>
      <c r="N252" s="239"/>
      <c r="O252" s="239"/>
      <c r="P252" s="227">
        <f t="shared" si="165"/>
        <v>0.3</v>
      </c>
      <c r="Q252" s="334">
        <f t="shared" si="166"/>
        <v>0.6</v>
      </c>
      <c r="R252" s="239"/>
      <c r="S252" s="309">
        <f t="shared" si="167"/>
        <v>0.3</v>
      </c>
      <c r="T252" s="334">
        <f t="shared" si="168"/>
        <v>0.6</v>
      </c>
      <c r="U252" s="239"/>
      <c r="V252" s="309">
        <f t="shared" si="169"/>
        <v>-0.5</v>
      </c>
      <c r="W252" s="334">
        <f t="shared" si="170"/>
        <v>0</v>
      </c>
      <c r="X252" s="239"/>
      <c r="Y252" s="239"/>
      <c r="Z252" s="239"/>
      <c r="AA252" s="239"/>
      <c r="AB252" s="231"/>
      <c r="AC252" s="231">
        <f t="shared" si="158"/>
        <v>0</v>
      </c>
      <c r="AD252" s="231">
        <f t="shared" si="159"/>
        <v>0</v>
      </c>
      <c r="AE252" s="433">
        <f t="shared" si="160"/>
        <v>0</v>
      </c>
    </row>
    <row r="253" spans="2:31">
      <c r="B253" s="238">
        <f t="shared" si="161"/>
        <v>14</v>
      </c>
      <c r="C253" s="239"/>
      <c r="D253" s="239"/>
      <c r="E253" s="334"/>
      <c r="F253" s="334"/>
      <c r="G253" s="239"/>
      <c r="H253" s="239"/>
      <c r="I253" s="239"/>
      <c r="J253" s="239"/>
      <c r="K253" s="239"/>
      <c r="L253" s="239"/>
      <c r="M253" s="239"/>
      <c r="N253" s="239"/>
      <c r="O253" s="239"/>
      <c r="P253" s="227">
        <f t="shared" si="165"/>
        <v>0.6</v>
      </c>
      <c r="Q253" s="334">
        <f t="shared" si="166"/>
        <v>0.30000000000000004</v>
      </c>
      <c r="R253" s="239"/>
      <c r="S253" s="309">
        <f t="shared" si="167"/>
        <v>0.6</v>
      </c>
      <c r="T253" s="334">
        <f t="shared" si="168"/>
        <v>0.30000000000000004</v>
      </c>
      <c r="U253" s="239"/>
      <c r="V253" s="309">
        <f t="shared" si="169"/>
        <v>0</v>
      </c>
      <c r="W253" s="334">
        <f t="shared" si="170"/>
        <v>-0.5</v>
      </c>
      <c r="X253" s="239"/>
      <c r="Y253" s="239"/>
      <c r="Z253" s="239"/>
      <c r="AA253" s="239"/>
      <c r="AB253" s="231"/>
      <c r="AC253" s="231">
        <f t="shared" si="158"/>
        <v>0</v>
      </c>
      <c r="AD253" s="231">
        <f t="shared" si="159"/>
        <v>0</v>
      </c>
      <c r="AE253" s="433">
        <f t="shared" si="160"/>
        <v>0</v>
      </c>
    </row>
    <row r="254" spans="2:31">
      <c r="B254" s="238">
        <f t="shared" si="161"/>
        <v>15</v>
      </c>
      <c r="C254" s="239"/>
      <c r="D254" s="239"/>
      <c r="E254" s="334"/>
      <c r="F254" s="334"/>
      <c r="G254" s="239"/>
      <c r="H254" s="239"/>
      <c r="I254" s="239"/>
      <c r="J254" s="239"/>
      <c r="K254" s="239"/>
      <c r="L254" s="239"/>
      <c r="M254" s="239"/>
      <c r="N254" s="239"/>
      <c r="O254" s="239"/>
      <c r="P254" s="227">
        <f t="shared" si="165"/>
        <v>0.89999999999999991</v>
      </c>
      <c r="Q254" s="334">
        <f t="shared" si="166"/>
        <v>0.12522729151324796</v>
      </c>
      <c r="R254" s="239"/>
      <c r="S254" s="309">
        <f t="shared" si="167"/>
        <v>0.89999999999999991</v>
      </c>
      <c r="T254" s="334">
        <f t="shared" si="168"/>
        <v>0.12522729151324796</v>
      </c>
      <c r="U254" s="239"/>
      <c r="V254" s="309">
        <f t="shared" si="169"/>
        <v>0.5</v>
      </c>
      <c r="W254" s="334">
        <f t="shared" si="170"/>
        <v>-0.79128784747791991</v>
      </c>
      <c r="X254" s="239"/>
      <c r="Y254" s="239"/>
      <c r="Z254" s="239"/>
      <c r="AA254" s="239"/>
      <c r="AB254" s="231"/>
      <c r="AC254" s="231">
        <f t="shared" si="158"/>
        <v>0</v>
      </c>
      <c r="AD254" s="231">
        <f t="shared" si="159"/>
        <v>0</v>
      </c>
      <c r="AE254" s="433">
        <f t="shared" si="160"/>
        <v>0</v>
      </c>
    </row>
    <row r="255" spans="2:31">
      <c r="B255" s="238">
        <f t="shared" si="161"/>
        <v>16</v>
      </c>
      <c r="C255" s="239"/>
      <c r="D255" s="239"/>
      <c r="E255" s="334"/>
      <c r="F255" s="334"/>
      <c r="G255" s="239"/>
      <c r="H255" s="239"/>
      <c r="I255" s="239"/>
      <c r="J255" s="239"/>
      <c r="K255" s="239"/>
      <c r="L255" s="239"/>
      <c r="M255" s="239"/>
      <c r="N255" s="239"/>
      <c r="O255" s="239"/>
      <c r="P255" s="227">
        <f t="shared" si="165"/>
        <v>1.2</v>
      </c>
      <c r="Q255" s="334">
        <f t="shared" si="166"/>
        <v>3.0306154330093094E-2</v>
      </c>
      <c r="R255" s="239"/>
      <c r="S255" s="309">
        <f t="shared" si="167"/>
        <v>1.2</v>
      </c>
      <c r="T255" s="334">
        <f t="shared" si="168"/>
        <v>3.0306154330093094E-2</v>
      </c>
      <c r="U255" s="239"/>
      <c r="V255" s="309">
        <f t="shared" si="169"/>
        <v>1</v>
      </c>
      <c r="W255" s="334">
        <f t="shared" si="170"/>
        <v>-0.94948974278317788</v>
      </c>
      <c r="X255" s="239"/>
      <c r="Y255" s="239"/>
      <c r="Z255" s="239"/>
      <c r="AA255" s="239"/>
      <c r="AB255" s="231"/>
      <c r="AC255" s="231">
        <f t="shared" si="158"/>
        <v>0</v>
      </c>
      <c r="AD255" s="231">
        <f t="shared" si="159"/>
        <v>0</v>
      </c>
      <c r="AE255" s="433">
        <f t="shared" si="160"/>
        <v>0</v>
      </c>
    </row>
    <row r="256" spans="2:31">
      <c r="B256" s="238">
        <f t="shared" si="161"/>
        <v>17</v>
      </c>
      <c r="C256" s="239"/>
      <c r="D256" s="239"/>
      <c r="E256" s="334"/>
      <c r="F256" s="334"/>
      <c r="G256" s="239"/>
      <c r="H256" s="239"/>
      <c r="I256" s="239"/>
      <c r="J256" s="239"/>
      <c r="K256" s="239"/>
      <c r="L256" s="239"/>
      <c r="M256" s="239"/>
      <c r="N256" s="239"/>
      <c r="O256" s="239"/>
      <c r="P256" s="227">
        <f t="shared" si="165"/>
        <v>1.5</v>
      </c>
      <c r="Q256" s="334">
        <f t="shared" si="166"/>
        <v>0</v>
      </c>
      <c r="R256" s="239"/>
      <c r="S256" s="309">
        <f t="shared" si="167"/>
        <v>1.5</v>
      </c>
      <c r="T256" s="334">
        <f t="shared" si="168"/>
        <v>0</v>
      </c>
      <c r="U256" s="239"/>
      <c r="V256" s="309">
        <f t="shared" si="169"/>
        <v>1.5</v>
      </c>
      <c r="W256" s="334">
        <f t="shared" si="170"/>
        <v>-1</v>
      </c>
      <c r="X256" s="239"/>
      <c r="Y256" s="239"/>
      <c r="Z256" s="239"/>
      <c r="AA256" s="239"/>
      <c r="AB256" s="231"/>
      <c r="AC256" s="231">
        <f t="shared" si="158"/>
        <v>0</v>
      </c>
      <c r="AD256" s="231">
        <f t="shared" si="159"/>
        <v>0</v>
      </c>
      <c r="AE256" s="433">
        <f t="shared" si="160"/>
        <v>0</v>
      </c>
    </row>
    <row r="257" spans="2:31">
      <c r="B257" s="238">
        <f t="shared" si="161"/>
        <v>18</v>
      </c>
      <c r="C257" s="239"/>
      <c r="D257" s="239"/>
      <c r="E257" s="334"/>
      <c r="F257" s="334"/>
      <c r="G257" s="239"/>
      <c r="H257" s="239"/>
      <c r="I257" s="239"/>
      <c r="J257" s="239"/>
      <c r="K257" s="239"/>
      <c r="L257" s="239"/>
      <c r="M257" s="239"/>
      <c r="N257" s="239"/>
      <c r="O257" s="239"/>
      <c r="P257" s="227">
        <f t="shared" si="165"/>
        <v>1.8</v>
      </c>
      <c r="Q257" s="334">
        <f t="shared" si="166"/>
        <v>3.0306154330093094E-2</v>
      </c>
      <c r="R257" s="239"/>
      <c r="S257" s="309">
        <f t="shared" si="167"/>
        <v>1.8</v>
      </c>
      <c r="T257" s="334">
        <f t="shared" si="168"/>
        <v>3.0306154330093094E-2</v>
      </c>
      <c r="U257" s="239"/>
      <c r="V257" s="309">
        <f t="shared" si="169"/>
        <v>2</v>
      </c>
      <c r="W257" s="334">
        <f t="shared" si="170"/>
        <v>-0.94948974278317788</v>
      </c>
      <c r="X257" s="239"/>
      <c r="Y257" s="239"/>
      <c r="Z257" s="239"/>
      <c r="AA257" s="239"/>
      <c r="AB257" s="231"/>
      <c r="AC257" s="231">
        <f t="shared" si="158"/>
        <v>0</v>
      </c>
      <c r="AD257" s="231">
        <f t="shared" si="159"/>
        <v>0</v>
      </c>
      <c r="AE257" s="433">
        <f t="shared" si="160"/>
        <v>0</v>
      </c>
    </row>
    <row r="258" spans="2:31">
      <c r="B258" s="238">
        <f t="shared" si="161"/>
        <v>19</v>
      </c>
      <c r="C258" s="239"/>
      <c r="D258" s="239"/>
      <c r="E258" s="334"/>
      <c r="F258" s="334"/>
      <c r="G258" s="239"/>
      <c r="H258" s="239"/>
      <c r="I258" s="239"/>
      <c r="J258" s="239"/>
      <c r="K258" s="239"/>
      <c r="L258" s="239"/>
      <c r="M258" s="239"/>
      <c r="N258" s="239"/>
      <c r="O258" s="239"/>
      <c r="P258" s="227">
        <f t="shared" si="165"/>
        <v>2.1</v>
      </c>
      <c r="Q258" s="334">
        <f t="shared" si="166"/>
        <v>0.12522729151324796</v>
      </c>
      <c r="R258" s="239"/>
      <c r="S258" s="309">
        <f t="shared" si="167"/>
        <v>2.1</v>
      </c>
      <c r="T258" s="334">
        <f t="shared" si="168"/>
        <v>0.12522729151324796</v>
      </c>
      <c r="U258" s="239"/>
      <c r="V258" s="309">
        <f t="shared" si="169"/>
        <v>2.5</v>
      </c>
      <c r="W258" s="334">
        <f t="shared" si="170"/>
        <v>-0.79128784747791991</v>
      </c>
      <c r="X258" s="239"/>
      <c r="Y258" s="239"/>
      <c r="Z258" s="239"/>
      <c r="AA258" s="239"/>
      <c r="AB258" s="231"/>
      <c r="AC258" s="231">
        <f t="shared" si="158"/>
        <v>0</v>
      </c>
      <c r="AD258" s="231">
        <f t="shared" si="159"/>
        <v>0</v>
      </c>
      <c r="AE258" s="433">
        <f t="shared" si="160"/>
        <v>0</v>
      </c>
    </row>
    <row r="259" spans="2:31">
      <c r="B259" s="238">
        <f t="shared" si="161"/>
        <v>20</v>
      </c>
      <c r="C259" s="239"/>
      <c r="D259" s="239"/>
      <c r="E259" s="334"/>
      <c r="F259" s="334"/>
      <c r="G259" s="239"/>
      <c r="H259" s="239"/>
      <c r="I259" s="239"/>
      <c r="J259" s="239"/>
      <c r="K259" s="239"/>
      <c r="L259" s="239"/>
      <c r="M259" s="239"/>
      <c r="N259" s="239"/>
      <c r="O259" s="239"/>
      <c r="P259" s="227">
        <f t="shared" si="165"/>
        <v>2.4</v>
      </c>
      <c r="Q259" s="334">
        <f t="shared" si="166"/>
        <v>0.29999999999999982</v>
      </c>
      <c r="R259" s="239"/>
      <c r="S259" s="309">
        <f t="shared" si="167"/>
        <v>2.4</v>
      </c>
      <c r="T259" s="334">
        <f t="shared" si="168"/>
        <v>0.29999999999999982</v>
      </c>
      <c r="U259" s="239"/>
      <c r="V259" s="309">
        <f t="shared" si="169"/>
        <v>3</v>
      </c>
      <c r="W259" s="334">
        <f t="shared" si="170"/>
        <v>-0.5</v>
      </c>
      <c r="X259" s="239"/>
      <c r="Y259" s="239"/>
      <c r="Z259" s="239"/>
      <c r="AA259" s="239"/>
      <c r="AB259" s="231"/>
      <c r="AC259" s="231">
        <f t="shared" si="158"/>
        <v>0</v>
      </c>
      <c r="AD259" s="231">
        <f t="shared" si="159"/>
        <v>0</v>
      </c>
      <c r="AE259" s="433">
        <f t="shared" si="160"/>
        <v>0</v>
      </c>
    </row>
    <row r="260" spans="2:31">
      <c r="B260" s="238">
        <f t="shared" si="161"/>
        <v>21</v>
      </c>
      <c r="C260" s="239"/>
      <c r="D260" s="239"/>
      <c r="E260" s="334"/>
      <c r="F260" s="334"/>
      <c r="G260" s="239"/>
      <c r="H260" s="239"/>
      <c r="I260" s="239"/>
      <c r="J260" s="239"/>
      <c r="K260" s="239"/>
      <c r="L260" s="239"/>
      <c r="M260" s="239"/>
      <c r="N260" s="239"/>
      <c r="O260" s="239"/>
      <c r="P260" s="227">
        <f t="shared" si="165"/>
        <v>2.6999999999999997</v>
      </c>
      <c r="Q260" s="334">
        <f t="shared" si="166"/>
        <v>0.59999999999999964</v>
      </c>
      <c r="R260" s="239"/>
      <c r="S260" s="309">
        <f t="shared" si="167"/>
        <v>2.6999999999999997</v>
      </c>
      <c r="T260" s="334">
        <f t="shared" si="168"/>
        <v>0.59999999999999964</v>
      </c>
      <c r="U260" s="239"/>
      <c r="V260" s="309">
        <f t="shared" si="169"/>
        <v>3.5</v>
      </c>
      <c r="W260" s="334">
        <f t="shared" si="170"/>
        <v>0</v>
      </c>
      <c r="X260" s="239"/>
      <c r="Y260" s="239"/>
      <c r="Z260" s="239"/>
      <c r="AA260" s="239"/>
      <c r="AB260" s="231"/>
      <c r="AC260" s="231">
        <f t="shared" si="158"/>
        <v>0</v>
      </c>
      <c r="AD260" s="231">
        <f t="shared" si="159"/>
        <v>0</v>
      </c>
      <c r="AE260" s="433">
        <f t="shared" si="160"/>
        <v>0</v>
      </c>
    </row>
    <row r="261" spans="2:31" ht="13.8" thickBot="1">
      <c r="B261" s="444">
        <f t="shared" si="161"/>
        <v>22</v>
      </c>
      <c r="C261" s="445"/>
      <c r="D261" s="445"/>
      <c r="E261" s="1165"/>
      <c r="F261" s="1165"/>
      <c r="G261" s="445"/>
      <c r="H261" s="445"/>
      <c r="I261" s="445"/>
      <c r="J261" s="445"/>
      <c r="K261" s="445"/>
      <c r="L261" s="445"/>
      <c r="M261" s="445"/>
      <c r="N261" s="445"/>
      <c r="O261" s="445"/>
      <c r="P261" s="748">
        <f t="shared" si="165"/>
        <v>2.9999999999999996</v>
      </c>
      <c r="Q261" s="1165">
        <f t="shared" si="166"/>
        <v>1.5</v>
      </c>
      <c r="R261" s="445"/>
      <c r="S261" s="1166">
        <f t="shared" si="167"/>
        <v>2.9999999999999996</v>
      </c>
      <c r="T261" s="1165">
        <f t="shared" si="168"/>
        <v>1.5</v>
      </c>
      <c r="U261" s="445"/>
      <c r="V261" s="1166">
        <f t="shared" si="169"/>
        <v>4</v>
      </c>
      <c r="W261" s="1165">
        <f t="shared" si="170"/>
        <v>1.5</v>
      </c>
      <c r="X261" s="445"/>
      <c r="Y261" s="445"/>
      <c r="Z261" s="445"/>
      <c r="AA261" s="445"/>
      <c r="AB261" s="255"/>
      <c r="AC261" s="255">
        <f t="shared" si="158"/>
        <v>0</v>
      </c>
      <c r="AD261" s="255">
        <f t="shared" si="159"/>
        <v>0</v>
      </c>
      <c r="AE261" s="446">
        <f t="shared" si="160"/>
        <v>0</v>
      </c>
    </row>
    <row r="263" spans="2:31" ht="13.8" thickBot="1"/>
    <row r="264" spans="2:31" ht="17.399999999999999">
      <c r="B264" s="1164" t="s">
        <v>1994</v>
      </c>
      <c r="C264" s="229"/>
      <c r="D264" s="229"/>
      <c r="E264" s="229"/>
      <c r="F264" s="229"/>
      <c r="G264" s="229"/>
      <c r="H264" s="229"/>
      <c r="I264" s="229"/>
      <c r="J264" s="229"/>
      <c r="K264" s="229"/>
      <c r="L264" s="229"/>
      <c r="M264" s="229"/>
      <c r="N264" s="717"/>
      <c r="O264" s="239"/>
      <c r="P264" s="239"/>
    </row>
    <row r="265" spans="2:31">
      <c r="B265" s="235"/>
      <c r="C265" s="231"/>
      <c r="D265" s="231"/>
      <c r="E265" s="231"/>
      <c r="F265" s="231"/>
      <c r="G265" s="231"/>
      <c r="H265" s="231"/>
      <c r="I265" s="231"/>
      <c r="J265" s="231"/>
      <c r="K265" s="231"/>
      <c r="L265" s="231"/>
      <c r="M265" s="231"/>
      <c r="N265" s="693"/>
      <c r="O265" s="239"/>
      <c r="P265" s="239"/>
    </row>
    <row r="266" spans="2:31">
      <c r="B266" s="235"/>
      <c r="C266" s="231"/>
      <c r="D266" s="569" t="s">
        <v>249</v>
      </c>
      <c r="E266" s="569" t="s">
        <v>249</v>
      </c>
      <c r="F266" s="569" t="s">
        <v>249</v>
      </c>
      <c r="G266" s="569" t="s">
        <v>249</v>
      </c>
      <c r="H266" s="569" t="s">
        <v>249</v>
      </c>
      <c r="I266" s="569" t="s">
        <v>249</v>
      </c>
      <c r="J266" s="569" t="s">
        <v>249</v>
      </c>
      <c r="K266" s="569" t="s">
        <v>249</v>
      </c>
      <c r="L266" s="569" t="s">
        <v>249</v>
      </c>
      <c r="M266" s="569" t="s">
        <v>249</v>
      </c>
      <c r="N266" s="433"/>
      <c r="O266" s="239"/>
      <c r="P266" s="239"/>
    </row>
    <row r="267" spans="2:31" ht="19.8">
      <c r="B267" s="1167" t="s">
        <v>788</v>
      </c>
      <c r="C267" s="1019" t="s">
        <v>1995</v>
      </c>
      <c r="D267" s="1149" t="s">
        <v>2003</v>
      </c>
      <c r="E267" s="1149" t="s">
        <v>2004</v>
      </c>
      <c r="F267" s="1149" t="s">
        <v>2005</v>
      </c>
      <c r="G267" s="1149" t="s">
        <v>2006</v>
      </c>
      <c r="H267" s="1149" t="s">
        <v>2007</v>
      </c>
      <c r="I267" s="1149" t="s">
        <v>2008</v>
      </c>
      <c r="J267" s="1149" t="s">
        <v>2009</v>
      </c>
      <c r="K267" s="1149" t="s">
        <v>2010</v>
      </c>
      <c r="L267" s="1149" t="s">
        <v>2011</v>
      </c>
      <c r="M267" s="1149" t="s">
        <v>2012</v>
      </c>
      <c r="N267" s="1168" t="s">
        <v>1996</v>
      </c>
      <c r="O267" s="239"/>
      <c r="P267" s="239"/>
    </row>
    <row r="268" spans="2:31">
      <c r="B268" s="238">
        <v>4</v>
      </c>
      <c r="C268" s="1150">
        <f t="shared" ref="C268:C277" si="171">B268/4</f>
        <v>1</v>
      </c>
      <c r="D268" s="251">
        <f t="shared" ref="D268:D277" si="172">90/C268</f>
        <v>90</v>
      </c>
      <c r="E268" s="239"/>
      <c r="F268" s="239"/>
      <c r="G268" s="239"/>
      <c r="H268" s="239"/>
      <c r="I268" s="239"/>
      <c r="J268" s="239"/>
      <c r="K268" s="239"/>
      <c r="L268" s="239"/>
      <c r="M268" s="239"/>
      <c r="N268" s="1169">
        <v>0</v>
      </c>
      <c r="O268" s="231"/>
      <c r="P268" s="239"/>
    </row>
    <row r="269" spans="2:31">
      <c r="B269" s="238">
        <f t="shared" ref="B269:B277" si="173">B268+4</f>
        <v>8</v>
      </c>
      <c r="C269" s="1150">
        <f t="shared" si="171"/>
        <v>2</v>
      </c>
      <c r="D269" s="251">
        <f t="shared" si="172"/>
        <v>45</v>
      </c>
      <c r="E269" s="309">
        <f t="shared" ref="E269:E277" si="174">2*D269</f>
        <v>90</v>
      </c>
      <c r="F269" s="239"/>
      <c r="G269" s="239"/>
      <c r="H269" s="239"/>
      <c r="I269" s="239"/>
      <c r="J269" s="239"/>
      <c r="K269" s="239"/>
      <c r="L269" s="239"/>
      <c r="M269" s="239"/>
      <c r="N269" s="1169">
        <f>((COS(D269*PI()/180))^2)+((COS(E269*PI()/180))^2)</f>
        <v>0.50000000000000011</v>
      </c>
      <c r="O269" s="231"/>
      <c r="P269" s="239"/>
    </row>
    <row r="270" spans="2:31">
      <c r="B270" s="238">
        <f t="shared" si="173"/>
        <v>12</v>
      </c>
      <c r="C270" s="1150">
        <f t="shared" si="171"/>
        <v>3</v>
      </c>
      <c r="D270" s="251">
        <f t="shared" si="172"/>
        <v>30</v>
      </c>
      <c r="E270" s="309">
        <f t="shared" si="174"/>
        <v>60</v>
      </c>
      <c r="F270" s="309">
        <f t="shared" ref="F270:F277" si="175">3*D270</f>
        <v>90</v>
      </c>
      <c r="G270" s="239"/>
      <c r="H270" s="239"/>
      <c r="I270" s="239"/>
      <c r="J270" s="239"/>
      <c r="K270" s="239"/>
      <c r="L270" s="239"/>
      <c r="M270" s="239"/>
      <c r="N270" s="1169">
        <f>((COS(D270*PI()/180))^2)+((COS(E270*PI()/180))^2)+((COS(F270*PI()/180))^2)</f>
        <v>1.0000000000000002</v>
      </c>
      <c r="O270" s="231"/>
      <c r="P270" s="239"/>
    </row>
    <row r="271" spans="2:31">
      <c r="B271" s="238">
        <f t="shared" si="173"/>
        <v>16</v>
      </c>
      <c r="C271" s="1150">
        <f t="shared" si="171"/>
        <v>4</v>
      </c>
      <c r="D271" s="251">
        <f t="shared" si="172"/>
        <v>22.5</v>
      </c>
      <c r="E271" s="309">
        <f t="shared" si="174"/>
        <v>45</v>
      </c>
      <c r="F271" s="309">
        <f t="shared" si="175"/>
        <v>67.5</v>
      </c>
      <c r="G271" s="309">
        <f t="shared" ref="G271:G277" si="176">4*D271</f>
        <v>90</v>
      </c>
      <c r="H271" s="239"/>
      <c r="I271" s="239"/>
      <c r="J271" s="239"/>
      <c r="K271" s="239"/>
      <c r="L271" s="239"/>
      <c r="M271" s="239"/>
      <c r="N271" s="1169">
        <f>((COS(D271*PI()/180))^2)+((COS(E271*PI()/180))^2)+((COS(F271*PI()/180))^2)+((COS(G271*PI()/180))^2)</f>
        <v>1.5000000000000002</v>
      </c>
      <c r="O271" s="231"/>
      <c r="P271" s="239"/>
    </row>
    <row r="272" spans="2:31">
      <c r="B272" s="238">
        <f t="shared" si="173"/>
        <v>20</v>
      </c>
      <c r="C272" s="1150">
        <f t="shared" si="171"/>
        <v>5</v>
      </c>
      <c r="D272" s="251">
        <f t="shared" si="172"/>
        <v>18</v>
      </c>
      <c r="E272" s="309">
        <f t="shared" si="174"/>
        <v>36</v>
      </c>
      <c r="F272" s="309">
        <f t="shared" si="175"/>
        <v>54</v>
      </c>
      <c r="G272" s="309">
        <f t="shared" si="176"/>
        <v>72</v>
      </c>
      <c r="H272" s="309">
        <f t="shared" ref="H272:H277" si="177">5*D272</f>
        <v>90</v>
      </c>
      <c r="I272" s="239"/>
      <c r="J272" s="239"/>
      <c r="K272" s="239"/>
      <c r="L272" s="239"/>
      <c r="M272" s="239"/>
      <c r="N272" s="1169">
        <f>((COS(D272*PI()/180))^2)+((COS(E272*PI()/180))^2)+((COS(F272*PI()/180))^2)+((COS(G272*PI()/180))^2)+((COS(H272*PI()/180))^2)</f>
        <v>2</v>
      </c>
      <c r="O272" s="231"/>
      <c r="P272" s="94"/>
    </row>
    <row r="273" spans="2:16">
      <c r="B273" s="238">
        <f t="shared" si="173"/>
        <v>24</v>
      </c>
      <c r="C273" s="1150">
        <f t="shared" si="171"/>
        <v>6</v>
      </c>
      <c r="D273" s="251">
        <f t="shared" si="172"/>
        <v>15</v>
      </c>
      <c r="E273" s="309">
        <f t="shared" si="174"/>
        <v>30</v>
      </c>
      <c r="F273" s="309">
        <f t="shared" si="175"/>
        <v>45</v>
      </c>
      <c r="G273" s="309">
        <f t="shared" si="176"/>
        <v>60</v>
      </c>
      <c r="H273" s="309">
        <f t="shared" si="177"/>
        <v>75</v>
      </c>
      <c r="I273" s="309">
        <f>6*D273</f>
        <v>90</v>
      </c>
      <c r="J273" s="239"/>
      <c r="K273" s="239"/>
      <c r="L273" s="239"/>
      <c r="M273" s="239"/>
      <c r="N273" s="1169">
        <f>((COS(D273*PI()/180))^2)+((COS(E273*PI()/180))^2)+((COS(F273*PI()/180))^2)+((COS(G273*PI()/180))^2)+((COS(H273*PI()/180))^2)+((COS(I273*PI()/180))^2)</f>
        <v>2.5000000000000004</v>
      </c>
      <c r="O273" s="231"/>
      <c r="P273" s="239"/>
    </row>
    <row r="274" spans="2:16">
      <c r="B274" s="238">
        <f t="shared" si="173"/>
        <v>28</v>
      </c>
      <c r="C274" s="1150">
        <f t="shared" si="171"/>
        <v>7</v>
      </c>
      <c r="D274" s="251">
        <f t="shared" si="172"/>
        <v>12.857142857142858</v>
      </c>
      <c r="E274" s="309">
        <f t="shared" si="174"/>
        <v>25.714285714285715</v>
      </c>
      <c r="F274" s="309">
        <f t="shared" si="175"/>
        <v>38.571428571428569</v>
      </c>
      <c r="G274" s="309">
        <f t="shared" si="176"/>
        <v>51.428571428571431</v>
      </c>
      <c r="H274" s="309">
        <f t="shared" si="177"/>
        <v>64.285714285714292</v>
      </c>
      <c r="I274" s="309">
        <f>6*D274</f>
        <v>77.142857142857139</v>
      </c>
      <c r="J274" s="309">
        <f>7*D274</f>
        <v>90</v>
      </c>
      <c r="K274" s="239"/>
      <c r="L274" s="239"/>
      <c r="M274" s="239"/>
      <c r="N274" s="1169">
        <f>((COS(D274*PI()/180))^2)+((COS(E274*PI()/180))^2)+((COS(F274*PI()/180))^2)+((COS(G274*PI()/180))^2)+((COS(H274*PI()/180))^2)+((COS(I274*PI()/180))^2)+((COS(J274*PI()/180))^2)</f>
        <v>3</v>
      </c>
      <c r="O274" s="231"/>
      <c r="P274" s="239"/>
    </row>
    <row r="275" spans="2:16">
      <c r="B275" s="238">
        <f t="shared" si="173"/>
        <v>32</v>
      </c>
      <c r="C275" s="1150">
        <f t="shared" si="171"/>
        <v>8</v>
      </c>
      <c r="D275" s="251">
        <f t="shared" si="172"/>
        <v>11.25</v>
      </c>
      <c r="E275" s="309">
        <f t="shared" si="174"/>
        <v>22.5</v>
      </c>
      <c r="F275" s="309">
        <f t="shared" si="175"/>
        <v>33.75</v>
      </c>
      <c r="G275" s="309">
        <f t="shared" si="176"/>
        <v>45</v>
      </c>
      <c r="H275" s="309">
        <f t="shared" si="177"/>
        <v>56.25</v>
      </c>
      <c r="I275" s="309">
        <f>6*D275</f>
        <v>67.5</v>
      </c>
      <c r="J275" s="309">
        <f>7*D275</f>
        <v>78.75</v>
      </c>
      <c r="K275" s="309">
        <f>8*D275</f>
        <v>90</v>
      </c>
      <c r="L275" s="239"/>
      <c r="M275" s="239"/>
      <c r="N275" s="1169">
        <f>((COS(D275*PI()/180))^2)+((COS(E275*PI()/180))^2)+((COS(F275*PI()/180))^2)+((COS(G275*PI()/180))^2)+((COS(H275*PI()/180))^2)+((COS(I275*PI()/180))^2)+((COS(J275*PI()/180))^2)+(COS(K275*PI()/180))^2</f>
        <v>3.5</v>
      </c>
      <c r="O275" s="231"/>
      <c r="P275" s="239"/>
    </row>
    <row r="276" spans="2:16">
      <c r="B276" s="238">
        <f t="shared" si="173"/>
        <v>36</v>
      </c>
      <c r="C276" s="1150">
        <f t="shared" si="171"/>
        <v>9</v>
      </c>
      <c r="D276" s="251">
        <f t="shared" si="172"/>
        <v>10</v>
      </c>
      <c r="E276" s="309">
        <f t="shared" si="174"/>
        <v>20</v>
      </c>
      <c r="F276" s="309">
        <f t="shared" si="175"/>
        <v>30</v>
      </c>
      <c r="G276" s="309">
        <f t="shared" si="176"/>
        <v>40</v>
      </c>
      <c r="H276" s="309">
        <f t="shared" si="177"/>
        <v>50</v>
      </c>
      <c r="I276" s="309">
        <f>6*D276</f>
        <v>60</v>
      </c>
      <c r="J276" s="309">
        <f>7*D276</f>
        <v>70</v>
      </c>
      <c r="K276" s="309">
        <f>8*D276</f>
        <v>80</v>
      </c>
      <c r="L276" s="309">
        <f>9*D276</f>
        <v>90</v>
      </c>
      <c r="M276" s="239"/>
      <c r="N276" s="1169">
        <f>((COS(D276*PI()/180))^2)+((COS(E276*PI()/180))^2)+((COS(F276*PI()/180))^2)+((COS(G276*PI()/180))^2)+((COS(H276*PI()/180))^2)+((COS(I276*PI()/180))^2)+((COS(J276*PI()/180))^2)+((COS(K276*PI()/180))^2)+((COS(L276*PI()/180))^2)</f>
        <v>4</v>
      </c>
      <c r="O276" s="231"/>
      <c r="P276" s="239"/>
    </row>
    <row r="277" spans="2:16" ht="13.8" thickBot="1">
      <c r="B277" s="444">
        <f t="shared" si="173"/>
        <v>40</v>
      </c>
      <c r="C277" s="1170">
        <f t="shared" si="171"/>
        <v>10</v>
      </c>
      <c r="D277" s="1171">
        <f t="shared" si="172"/>
        <v>9</v>
      </c>
      <c r="E277" s="1166">
        <f t="shared" si="174"/>
        <v>18</v>
      </c>
      <c r="F277" s="1166">
        <f t="shared" si="175"/>
        <v>27</v>
      </c>
      <c r="G277" s="1166">
        <f t="shared" si="176"/>
        <v>36</v>
      </c>
      <c r="H277" s="1166">
        <f t="shared" si="177"/>
        <v>45</v>
      </c>
      <c r="I277" s="1166">
        <f>6*D277</f>
        <v>54</v>
      </c>
      <c r="J277" s="1166">
        <f>7*D277</f>
        <v>63</v>
      </c>
      <c r="K277" s="1166">
        <f>8*D277</f>
        <v>72</v>
      </c>
      <c r="L277" s="1166">
        <f>9*D277</f>
        <v>81</v>
      </c>
      <c r="M277" s="1166">
        <f>10*D277</f>
        <v>90</v>
      </c>
      <c r="N277" s="1172">
        <f>((COS(D277*PI()/180))^2)+((COS(E277*PI()/180))^2)+((COS(F277*PI()/180))^2)+((COS(G277*PI()/180))^2)+((COS(H277*PI()/180))^2)+((COS(I277*PI()/180))^2)+((COS(J277*PI()/180))^2)+((COS(K277*PI()/180))^2)+((COS(L277*PI()/180))^2)+((COS(M277*PI()/180))^2)</f>
        <v>4.5</v>
      </c>
      <c r="O277" s="231"/>
      <c r="P277" s="239"/>
    </row>
    <row r="278" spans="2:16" ht="13.8" thickBot="1">
      <c r="B278" s="231"/>
      <c r="C278" s="231"/>
      <c r="D278" s="231"/>
      <c r="E278" s="231"/>
      <c r="F278" s="231"/>
      <c r="G278" s="231"/>
      <c r="H278" s="231"/>
      <c r="I278" s="231"/>
      <c r="J278" s="231"/>
      <c r="K278" s="231"/>
      <c r="L278" s="231"/>
      <c r="M278" s="231"/>
      <c r="N278" s="231"/>
      <c r="O278" s="231"/>
      <c r="P278" s="239"/>
    </row>
    <row r="279" spans="2:16" ht="17.399999999999999">
      <c r="B279" s="1054" t="s">
        <v>2048</v>
      </c>
      <c r="C279" s="229"/>
      <c r="D279" s="229"/>
      <c r="E279" s="229"/>
      <c r="F279" s="229"/>
      <c r="G279" s="1105" t="s">
        <v>2044</v>
      </c>
      <c r="H279" s="1105" t="s">
        <v>2045</v>
      </c>
      <c r="I279" s="229"/>
      <c r="J279" s="1105" t="s">
        <v>2046</v>
      </c>
      <c r="K279" s="229"/>
      <c r="L279" s="229"/>
      <c r="M279" s="229"/>
      <c r="N279" s="430"/>
      <c r="O279" s="231"/>
      <c r="P279" s="231"/>
    </row>
    <row r="280" spans="2:16">
      <c r="B280" s="235"/>
      <c r="C280" s="94"/>
      <c r="D280" s="94"/>
      <c r="E280" s="1153"/>
      <c r="F280" s="233" t="s">
        <v>1890</v>
      </c>
      <c r="G280" s="233" t="s">
        <v>1891</v>
      </c>
      <c r="H280" s="233" t="s">
        <v>1891</v>
      </c>
      <c r="I280" s="231"/>
      <c r="J280" s="233" t="s">
        <v>2049</v>
      </c>
      <c r="K280" s="233" t="s">
        <v>2050</v>
      </c>
      <c r="L280" s="233" t="s">
        <v>2051</v>
      </c>
      <c r="M280" s="233" t="s">
        <v>2052</v>
      </c>
      <c r="N280" s="433"/>
      <c r="O280" s="231"/>
      <c r="P280" s="231"/>
    </row>
    <row r="281" spans="2:16">
      <c r="B281" s="235"/>
      <c r="C281" s="223" t="s">
        <v>2054</v>
      </c>
      <c r="D281" s="223" t="s">
        <v>93</v>
      </c>
      <c r="E281" s="223" t="s">
        <v>188</v>
      </c>
      <c r="F281" s="1154">
        <f>BB13/2</f>
        <v>2.1929704288185157</v>
      </c>
      <c r="G281" s="1154">
        <f>BC8/2</f>
        <v>1.5</v>
      </c>
      <c r="H281" s="1154"/>
      <c r="I281" s="251"/>
      <c r="J281" s="231"/>
      <c r="K281" s="231"/>
      <c r="L281" s="231"/>
      <c r="M281" s="231"/>
      <c r="N281" s="433"/>
      <c r="O281" s="231"/>
      <c r="P281" s="231"/>
    </row>
    <row r="282" spans="2:16">
      <c r="B282" s="235"/>
      <c r="C282" s="223" t="s">
        <v>2056</v>
      </c>
      <c r="D282" s="223" t="s">
        <v>498</v>
      </c>
      <c r="E282" s="223" t="s">
        <v>188</v>
      </c>
      <c r="F282" s="1154">
        <f>BB11*BB13/2</f>
        <v>0.46052379005188826</v>
      </c>
      <c r="G282" s="1154">
        <f>BC9/2</f>
        <v>1.75</v>
      </c>
      <c r="H282" s="1154"/>
      <c r="I282" s="251"/>
      <c r="J282" s="231"/>
      <c r="K282" s="231"/>
      <c r="L282" s="231"/>
      <c r="M282" s="231"/>
      <c r="N282" s="433"/>
      <c r="O282" s="231"/>
      <c r="P282" s="231"/>
    </row>
    <row r="283" spans="2:16">
      <c r="B283" s="235">
        <v>1</v>
      </c>
      <c r="C283" s="94" t="s">
        <v>2059</v>
      </c>
      <c r="D283" s="94" t="s">
        <v>2060</v>
      </c>
      <c r="E283" s="94" t="s">
        <v>1951</v>
      </c>
      <c r="F283" s="1155">
        <f>(BB44*(BB45^3)/12)*(1/(12^4))</f>
        <v>3.2552083333333332E-4</v>
      </c>
      <c r="G283" s="1155">
        <f>(BC44*(BC45^3)/12)*(1/(12^4))</f>
        <v>7.02886385191615E-6</v>
      </c>
      <c r="H283" s="437"/>
      <c r="I283" s="231"/>
      <c r="J283" s="437">
        <f>BB44*BB45</f>
        <v>9</v>
      </c>
      <c r="K283" s="437">
        <f>BC44*BC45</f>
        <v>1.3224999999999998</v>
      </c>
      <c r="L283" s="437">
        <f t="shared" ref="L283:M289" si="178">J283/144</f>
        <v>6.25E-2</v>
      </c>
      <c r="M283" s="248">
        <f t="shared" si="178"/>
        <v>9.1840277777777771E-3</v>
      </c>
      <c r="N283" s="433"/>
      <c r="O283" s="231"/>
      <c r="P283" s="231"/>
    </row>
    <row r="284" spans="2:16">
      <c r="B284" s="235">
        <v>2</v>
      </c>
      <c r="C284" s="94" t="s">
        <v>2062</v>
      </c>
      <c r="D284" s="94" t="s">
        <v>2063</v>
      </c>
      <c r="E284" s="94" t="s">
        <v>1951</v>
      </c>
      <c r="F284" s="1155">
        <f t="shared" ref="F284:G286" si="179">(1/12)*((BB$44*(BB$45^3))-(BB$48*(BB$47^3)))*(1/(12^4))</f>
        <v>2.3061523437499997E-4</v>
      </c>
      <c r="G284" s="1155">
        <f t="shared" si="179"/>
        <v>5.5592941020447507E-6</v>
      </c>
      <c r="H284" s="437"/>
      <c r="I284" s="231"/>
      <c r="J284" s="437">
        <f>BB44*BB45-(BB48*BB47)</f>
        <v>3.6450000000000005</v>
      </c>
      <c r="K284" s="437">
        <f>BC44*BC45-(BC48*BC47)</f>
        <v>0.63629999999999987</v>
      </c>
      <c r="L284" s="437">
        <f t="shared" si="178"/>
        <v>2.5312500000000002E-2</v>
      </c>
      <c r="M284" s="248">
        <f t="shared" si="178"/>
        <v>4.4187499999999991E-3</v>
      </c>
      <c r="N284" s="433"/>
      <c r="O284" s="231"/>
      <c r="P284" s="231"/>
    </row>
    <row r="285" spans="2:16">
      <c r="B285" s="235">
        <v>3</v>
      </c>
      <c r="C285" s="94" t="s">
        <v>2065</v>
      </c>
      <c r="D285" s="94" t="s">
        <v>2066</v>
      </c>
      <c r="E285" s="94" t="s">
        <v>1951</v>
      </c>
      <c r="F285" s="1155">
        <f t="shared" si="179"/>
        <v>2.3061523437499997E-4</v>
      </c>
      <c r="G285" s="1155">
        <f t="shared" si="179"/>
        <v>5.5592941020447507E-6</v>
      </c>
      <c r="H285" s="437"/>
      <c r="I285" s="231"/>
      <c r="J285" s="437">
        <f t="shared" ref="J285:K287" si="180">J284</f>
        <v>3.6450000000000005</v>
      </c>
      <c r="K285" s="437">
        <f t="shared" si="180"/>
        <v>0.63629999999999987</v>
      </c>
      <c r="L285" s="437">
        <f t="shared" si="178"/>
        <v>2.5312500000000002E-2</v>
      </c>
      <c r="M285" s="248">
        <f t="shared" si="178"/>
        <v>4.4187499999999991E-3</v>
      </c>
      <c r="N285" s="433"/>
      <c r="O285" s="231"/>
      <c r="P285" s="231"/>
    </row>
    <row r="286" spans="2:16">
      <c r="B286" s="235">
        <v>4</v>
      </c>
      <c r="C286" s="94" t="s">
        <v>2068</v>
      </c>
      <c r="D286" s="94" t="s">
        <v>2069</v>
      </c>
      <c r="E286" s="94" t="s">
        <v>1951</v>
      </c>
      <c r="F286" s="1155">
        <f t="shared" si="179"/>
        <v>2.3061523437499997E-4</v>
      </c>
      <c r="G286" s="1155">
        <f t="shared" si="179"/>
        <v>5.5592941020447507E-6</v>
      </c>
      <c r="H286" s="437"/>
      <c r="I286" s="231"/>
      <c r="J286" s="437">
        <f t="shared" si="180"/>
        <v>3.6450000000000005</v>
      </c>
      <c r="K286" s="437">
        <f t="shared" si="180"/>
        <v>0.63629999999999987</v>
      </c>
      <c r="L286" s="437">
        <f t="shared" si="178"/>
        <v>2.5312500000000002E-2</v>
      </c>
      <c r="M286" s="248">
        <f t="shared" si="178"/>
        <v>4.4187499999999991E-3</v>
      </c>
      <c r="N286" s="433"/>
      <c r="O286" s="231"/>
      <c r="P286" s="231"/>
    </row>
    <row r="287" spans="2:16">
      <c r="B287" s="235">
        <v>5</v>
      </c>
      <c r="C287" s="94" t="s">
        <v>2072</v>
      </c>
      <c r="D287" s="94" t="s">
        <v>2073</v>
      </c>
      <c r="E287" s="94" t="s">
        <v>1951</v>
      </c>
      <c r="F287" s="1155">
        <f>(((1/3)*((BB44*(BB45^3))-(BB48*(BB47^3))))-((((BB44*(BB45^2))-(BB48*(BB47^2)))^2)/(4*((BB44*BB45)-(BB48*BB47)))))*(1/(12^4))</f>
        <v>1.0149197048611106E-4</v>
      </c>
      <c r="G287" s="1155">
        <f>(((1/3)*((BC44*(BC45^3))-(BC48*(BC47^3))))-((((BC44*(BC45^2))-(BC48*(BC47^2)))^2)/(4*((BC44*BC45)-(BC48*BC47)))))*(1/(12^4))</f>
        <v>2.5261148509599265E-6</v>
      </c>
      <c r="H287" s="437"/>
      <c r="I287" s="231"/>
      <c r="J287" s="437">
        <f t="shared" si="180"/>
        <v>3.6450000000000005</v>
      </c>
      <c r="K287" s="437">
        <f t="shared" si="180"/>
        <v>0.63629999999999987</v>
      </c>
      <c r="L287" s="437">
        <f t="shared" si="178"/>
        <v>2.5312500000000002E-2</v>
      </c>
      <c r="M287" s="248">
        <f t="shared" si="178"/>
        <v>4.4187499999999991E-3</v>
      </c>
      <c r="N287" s="433"/>
      <c r="O287" s="231"/>
      <c r="P287" s="231"/>
    </row>
    <row r="288" spans="2:16">
      <c r="B288" s="235">
        <v>6</v>
      </c>
      <c r="C288" s="94" t="s">
        <v>2075</v>
      </c>
      <c r="D288" s="94" t="s">
        <v>2076</v>
      </c>
      <c r="E288" s="94" t="s">
        <v>1951</v>
      </c>
      <c r="F288" s="1155">
        <f>(PI()*(BB49^4)/64)*(1/(12^4))</f>
        <v>1.9174759848570512E-4</v>
      </c>
      <c r="G288" s="1155">
        <f>(PI()*(BC49^4)/64)*(1/(12^4))</f>
        <v>4.1403425700492431E-6</v>
      </c>
      <c r="H288" s="437"/>
      <c r="I288" s="231"/>
      <c r="J288" s="437">
        <f>PI()*BB49^2/4</f>
        <v>7.0685834705770345</v>
      </c>
      <c r="K288" s="437">
        <f>PI()*BC49^2/4</f>
        <v>1.0386890710931251</v>
      </c>
      <c r="L288" s="437">
        <f t="shared" si="178"/>
        <v>4.9087385212340517E-2</v>
      </c>
      <c r="M288" s="248">
        <f t="shared" si="178"/>
        <v>7.2131185492578138E-3</v>
      </c>
      <c r="N288" s="433"/>
      <c r="O288" s="231"/>
      <c r="P288" s="231"/>
    </row>
    <row r="289" spans="2:16">
      <c r="B289" s="235">
        <v>7</v>
      </c>
      <c r="C289" s="94" t="s">
        <v>2078</v>
      </c>
      <c r="D289" s="94" t="s">
        <v>2079</v>
      </c>
      <c r="E289" s="94" t="s">
        <v>1951</v>
      </c>
      <c r="F289" s="1156">
        <f>(PI()*((BB50^4)-(BB51^4))/64)*(1/(12^4))</f>
        <v>-1.2877863404472049E-3</v>
      </c>
      <c r="G289" s="1156">
        <f>(PI()*((BC50^4)-(BC51^4))/64)*(1/(12^4))</f>
        <v>-2.8705026827417624E-5</v>
      </c>
      <c r="H289" s="437"/>
      <c r="I289" s="231"/>
      <c r="J289" s="437">
        <f>PI()/4*((BB50^2)-(BB51^2))</f>
        <v>-12.566370614359172</v>
      </c>
      <c r="K289" s="437">
        <f>PI()/4*((BC50^2)-(BC51^2))</f>
        <v>-1.8868405477460297</v>
      </c>
      <c r="L289" s="437">
        <f t="shared" si="178"/>
        <v>-8.7266462599716474E-2</v>
      </c>
      <c r="M289" s="248">
        <f t="shared" si="178"/>
        <v>-1.3103059359347429E-2</v>
      </c>
      <c r="N289" s="433"/>
      <c r="O289" s="231"/>
      <c r="P289" s="231"/>
    </row>
    <row r="290" spans="2:16">
      <c r="B290" s="235"/>
      <c r="C290" s="231"/>
      <c r="D290" s="231"/>
      <c r="E290" s="231"/>
      <c r="F290" s="231"/>
      <c r="G290" s="231"/>
      <c r="H290" s="231"/>
      <c r="I290" s="231"/>
      <c r="J290" s="231"/>
      <c r="K290" s="231"/>
      <c r="L290" s="231"/>
      <c r="M290" s="231"/>
      <c r="N290" s="433"/>
      <c r="O290" s="231"/>
      <c r="P290" s="231"/>
    </row>
    <row r="291" spans="2:16" ht="13.8" thickBot="1">
      <c r="B291" s="254"/>
      <c r="C291" s="654" t="s">
        <v>2082</v>
      </c>
      <c r="D291" s="654" t="s">
        <v>2083</v>
      </c>
      <c r="E291" s="654" t="s">
        <v>1951</v>
      </c>
      <c r="F291" s="1173"/>
      <c r="G291" s="1173">
        <f>IF(BC42=1,G283,(IF(BC42=2,G284,(IF(BC42=3,G285,(IF(BC42=4,G286,(IF(BC42=5,G287,IF(BC42=6,G288,G289))))))))))</f>
        <v>5.5592941020447507E-6</v>
      </c>
      <c r="H291" s="1173"/>
      <c r="I291" s="255"/>
      <c r="J291" s="255"/>
      <c r="K291" s="255"/>
      <c r="L291" s="255"/>
      <c r="M291" s="255"/>
      <c r="N291" s="446"/>
      <c r="O291" s="231"/>
      <c r="P291" s="231"/>
    </row>
  </sheetData>
  <printOptions gridLines="1" gridLinesSet="0"/>
  <pageMargins left="0.75" right="0.75" top="1" bottom="1" header="0.5" footer="0.5"/>
  <pageSetup orientation="portrait" horizontalDpi="4294967292"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1:AU332"/>
  <sheetViews>
    <sheetView topLeftCell="L1" zoomScale="70" zoomScaleNormal="70" workbookViewId="0">
      <selection activeCell="U42" sqref="U42"/>
    </sheetView>
  </sheetViews>
  <sheetFormatPr defaultColWidth="9.109375" defaultRowHeight="13.2"/>
  <cols>
    <col min="1" max="1" width="9.109375" style="974"/>
    <col min="2" max="2" width="49.6640625" style="974" customWidth="1"/>
    <col min="3" max="11" width="9.109375" style="974"/>
    <col min="12" max="12" width="27.6640625" style="974" customWidth="1"/>
    <col min="13" max="17" width="9.109375" style="974"/>
    <col min="18" max="18" width="47.44140625" style="974" customWidth="1"/>
    <col min="19" max="19" width="14.44140625" style="974" customWidth="1"/>
    <col min="20" max="20" width="9.109375" style="974"/>
    <col min="21" max="21" width="11" style="974" customWidth="1"/>
    <col min="22" max="22" width="11.109375" style="974" customWidth="1"/>
    <col min="23" max="23" width="15.77734375" style="974" customWidth="1"/>
    <col min="24" max="24" width="12.44140625" style="974" customWidth="1"/>
    <col min="25" max="25" width="9.6640625" style="974" customWidth="1"/>
    <col min="26" max="26" width="9.77734375" style="974" customWidth="1"/>
    <col min="27" max="27" width="9.6640625" style="974" customWidth="1"/>
    <col min="28" max="28" width="11.44140625" style="974" customWidth="1"/>
    <col min="29" max="29" width="33.44140625" style="974" customWidth="1"/>
    <col min="30" max="30" width="10.109375" style="974" customWidth="1"/>
    <col min="31" max="31" width="9.77734375" style="974" customWidth="1"/>
    <col min="32" max="32" width="8" style="974" customWidth="1"/>
    <col min="33" max="33" width="8.77734375" style="974" customWidth="1"/>
    <col min="34" max="34" width="32.6640625" style="974" customWidth="1"/>
    <col min="35" max="35" width="9.33203125" style="974" customWidth="1"/>
    <col min="36" max="36" width="6.44140625" style="974" customWidth="1"/>
    <col min="37" max="37" width="12.44140625" style="974" customWidth="1"/>
    <col min="38" max="38" width="10.44140625" style="974" customWidth="1"/>
    <col min="39" max="16384" width="9.109375" style="974"/>
  </cols>
  <sheetData>
    <row r="1" spans="2:39" ht="13.8" thickBot="1"/>
    <row r="2" spans="2:39" ht="17.399999999999999">
      <c r="B2" s="971" t="s">
        <v>948</v>
      </c>
      <c r="C2" s="975"/>
      <c r="D2" s="975"/>
      <c r="E2" s="975"/>
      <c r="F2" s="976"/>
      <c r="G2" s="976"/>
      <c r="H2" s="976"/>
      <c r="I2" s="976"/>
      <c r="J2" s="976"/>
      <c r="K2" s="976"/>
      <c r="L2" s="976"/>
      <c r="M2" s="976"/>
      <c r="N2" s="976"/>
      <c r="O2" s="976"/>
      <c r="P2" s="977"/>
      <c r="R2" s="971" t="s">
        <v>2578</v>
      </c>
      <c r="S2" s="229"/>
      <c r="T2" s="229"/>
      <c r="U2" s="229"/>
      <c r="V2" s="229"/>
      <c r="W2" s="229"/>
      <c r="X2" s="449"/>
      <c r="Y2" s="229"/>
      <c r="Z2" s="229"/>
      <c r="AA2" s="449"/>
      <c r="AB2" s="449"/>
      <c r="AC2" s="229"/>
      <c r="AD2" s="229"/>
      <c r="AE2" s="229"/>
      <c r="AF2" s="229"/>
      <c r="AG2" s="229"/>
      <c r="AH2" s="1105"/>
      <c r="AI2" s="229"/>
      <c r="AJ2" s="229"/>
      <c r="AK2" s="229"/>
      <c r="AL2" s="229"/>
      <c r="AM2" s="430"/>
    </row>
    <row r="3" spans="2:39" ht="15">
      <c r="B3" s="230" t="s">
        <v>795</v>
      </c>
      <c r="C3" s="978"/>
      <c r="D3" s="978"/>
      <c r="E3" s="978"/>
      <c r="F3" s="267"/>
      <c r="G3" s="267"/>
      <c r="H3" s="267"/>
      <c r="I3" s="267"/>
      <c r="J3" s="267"/>
      <c r="K3" s="267"/>
      <c r="L3" s="267"/>
      <c r="M3" s="267"/>
      <c r="N3" s="267"/>
      <c r="O3" s="267"/>
      <c r="P3" s="979"/>
      <c r="R3" s="1195" t="s">
        <v>2100</v>
      </c>
      <c r="S3" s="231"/>
      <c r="T3" s="231"/>
      <c r="U3" s="231"/>
      <c r="V3" s="231"/>
      <c r="W3" s="231"/>
      <c r="X3" s="239"/>
      <c r="Y3" s="231"/>
      <c r="Z3" s="231"/>
      <c r="AA3" s="239"/>
      <c r="AB3" s="239"/>
      <c r="AC3" s="231"/>
      <c r="AD3" s="231"/>
      <c r="AE3" s="231"/>
      <c r="AF3" s="231"/>
      <c r="AG3" s="231"/>
      <c r="AH3" s="223"/>
      <c r="AI3" s="231"/>
      <c r="AJ3" s="231"/>
      <c r="AK3" s="231"/>
      <c r="AL3" s="231"/>
      <c r="AM3" s="433"/>
    </row>
    <row r="4" spans="2:39" ht="15">
      <c r="B4" s="972"/>
      <c r="C4" s="267"/>
      <c r="D4" s="267"/>
      <c r="E4" s="267"/>
      <c r="F4" s="267"/>
      <c r="G4" s="267"/>
      <c r="H4" s="267"/>
      <c r="I4" s="267"/>
      <c r="J4" s="267"/>
      <c r="K4" s="267"/>
      <c r="L4" s="267"/>
      <c r="M4" s="267"/>
      <c r="N4" s="267"/>
      <c r="O4" s="267"/>
      <c r="P4" s="979"/>
      <c r="R4" s="1195"/>
      <c r="S4" s="231"/>
      <c r="T4" s="231"/>
      <c r="U4" s="231"/>
      <c r="V4" s="231"/>
      <c r="W4" s="231"/>
      <c r="X4" s="239"/>
      <c r="Y4" s="231"/>
      <c r="Z4" s="231"/>
      <c r="AA4" s="239"/>
      <c r="AB4" s="239"/>
      <c r="AC4" s="231"/>
      <c r="AD4" s="231"/>
      <c r="AE4" s="231"/>
      <c r="AF4" s="231"/>
      <c r="AG4" s="231"/>
      <c r="AH4" s="223"/>
      <c r="AI4" s="231"/>
      <c r="AJ4" s="231"/>
      <c r="AK4" s="231"/>
      <c r="AL4" s="231"/>
      <c r="AM4" s="433"/>
    </row>
    <row r="5" spans="2:39" ht="16.2" thickBot="1">
      <c r="B5" s="972"/>
      <c r="C5" s="267"/>
      <c r="D5" s="267"/>
      <c r="E5" s="267"/>
      <c r="F5" s="267"/>
      <c r="G5" s="267"/>
      <c r="H5" s="267"/>
      <c r="I5" s="267"/>
      <c r="J5" s="267"/>
      <c r="K5" s="267"/>
      <c r="L5" s="267"/>
      <c r="M5" s="267"/>
      <c r="N5" s="267"/>
      <c r="O5" s="267"/>
      <c r="P5" s="979"/>
      <c r="R5" s="1196" t="s">
        <v>2101</v>
      </c>
      <c r="S5" s="231"/>
      <c r="T5" s="231"/>
      <c r="U5" s="231"/>
      <c r="V5" s="231"/>
      <c r="W5" s="231"/>
      <c r="X5" s="239"/>
      <c r="Y5" s="231"/>
      <c r="Z5" s="231"/>
      <c r="AA5" s="96" t="s">
        <v>2611</v>
      </c>
      <c r="AB5" s="239"/>
      <c r="AC5" s="231"/>
      <c r="AD5" s="231"/>
      <c r="AE5" s="231"/>
      <c r="AF5" s="231"/>
      <c r="AG5" s="231"/>
      <c r="AH5" s="223"/>
      <c r="AI5" s="231"/>
      <c r="AJ5" s="231"/>
      <c r="AK5" s="231"/>
      <c r="AL5" s="231"/>
      <c r="AM5" s="433"/>
    </row>
    <row r="6" spans="2:39" ht="17.399999999999999">
      <c r="B6" s="973" t="s">
        <v>796</v>
      </c>
      <c r="C6" s="267"/>
      <c r="D6" s="267"/>
      <c r="E6" s="267"/>
      <c r="F6" s="267"/>
      <c r="G6" s="267"/>
      <c r="H6" s="267"/>
      <c r="I6" s="267"/>
      <c r="J6" s="267"/>
      <c r="K6" s="267"/>
      <c r="L6" s="1202" t="s">
        <v>797</v>
      </c>
      <c r="M6" s="1203"/>
      <c r="N6" s="1204"/>
      <c r="O6" s="1205"/>
      <c r="P6" s="1206"/>
      <c r="R6" s="691"/>
      <c r="S6" s="231"/>
      <c r="T6" s="231"/>
      <c r="U6" s="253" t="s">
        <v>56</v>
      </c>
      <c r="V6" s="253" t="s">
        <v>549</v>
      </c>
      <c r="W6" s="231"/>
      <c r="X6" s="239"/>
      <c r="Y6" s="231"/>
      <c r="Z6" s="231"/>
      <c r="AA6" s="96" t="s">
        <v>2109</v>
      </c>
      <c r="AB6" s="239"/>
      <c r="AC6" s="401" t="s">
        <v>2102</v>
      </c>
      <c r="AD6" s="402"/>
      <c r="AE6" s="402"/>
      <c r="AF6" s="402"/>
      <c r="AG6" s="402"/>
      <c r="AH6" s="592"/>
      <c r="AI6" s="239"/>
      <c r="AJ6" s="231"/>
      <c r="AK6" s="231"/>
      <c r="AL6" s="231"/>
      <c r="AM6" s="433"/>
    </row>
    <row r="7" spans="2:39">
      <c r="B7" s="980"/>
      <c r="C7" s="978"/>
      <c r="D7" s="978"/>
      <c r="E7" s="978"/>
      <c r="F7" s="267"/>
      <c r="G7" s="267"/>
      <c r="H7" s="267"/>
      <c r="I7" s="267"/>
      <c r="J7" s="267" t="s">
        <v>798</v>
      </c>
      <c r="K7" s="267"/>
      <c r="L7" s="1207"/>
      <c r="M7" s="981"/>
      <c r="N7" s="272"/>
      <c r="O7" s="272"/>
      <c r="P7" s="13" t="s">
        <v>798</v>
      </c>
      <c r="R7" s="980" t="s">
        <v>2103</v>
      </c>
      <c r="S7" s="98" t="s">
        <v>89</v>
      </c>
      <c r="T7" s="98" t="s">
        <v>90</v>
      </c>
      <c r="U7" s="571" t="s">
        <v>91</v>
      </c>
      <c r="V7" s="571" t="s">
        <v>91</v>
      </c>
      <c r="W7" s="98" t="s">
        <v>352</v>
      </c>
      <c r="X7" s="98"/>
      <c r="Y7" s="231"/>
      <c r="Z7" s="231"/>
      <c r="AA7" s="96" t="s">
        <v>2610</v>
      </c>
      <c r="AB7" s="96"/>
      <c r="AC7" s="216"/>
      <c r="AD7" s="217"/>
      <c r="AE7" s="217"/>
      <c r="AF7" s="217"/>
      <c r="AG7" s="217"/>
      <c r="AH7" s="215"/>
      <c r="AI7" s="239"/>
      <c r="AJ7" s="231"/>
      <c r="AK7" s="231"/>
      <c r="AL7" s="231"/>
      <c r="AM7" s="433"/>
    </row>
    <row r="8" spans="2:39">
      <c r="B8" s="982" t="s">
        <v>641</v>
      </c>
      <c r="C8" s="983" t="s">
        <v>89</v>
      </c>
      <c r="D8" s="983" t="s">
        <v>90</v>
      </c>
      <c r="E8" s="983" t="s">
        <v>91</v>
      </c>
      <c r="F8" s="267"/>
      <c r="G8" s="267"/>
      <c r="H8" s="984" t="s">
        <v>799</v>
      </c>
      <c r="I8" s="984" t="s">
        <v>800</v>
      </c>
      <c r="J8" s="984" t="s">
        <v>801</v>
      </c>
      <c r="K8" s="267"/>
      <c r="L8" s="1208" t="s">
        <v>802</v>
      </c>
      <c r="M8" s="985" t="s">
        <v>89</v>
      </c>
      <c r="N8" s="273" t="s">
        <v>799</v>
      </c>
      <c r="O8" s="273" t="s">
        <v>800</v>
      </c>
      <c r="P8" s="277" t="s">
        <v>801</v>
      </c>
      <c r="R8" s="725" t="s">
        <v>2104</v>
      </c>
      <c r="S8" s="319" t="s">
        <v>1530</v>
      </c>
      <c r="T8" s="319" t="s">
        <v>221</v>
      </c>
      <c r="U8" s="833">
        <f>'3'!E44</f>
        <v>113.49521551947018</v>
      </c>
      <c r="V8" s="834">
        <f>'6'!M23</f>
        <v>27.490991086801998</v>
      </c>
      <c r="W8" s="231" t="s">
        <v>2105</v>
      </c>
      <c r="X8" s="239"/>
      <c r="Y8" s="231"/>
      <c r="Z8" s="231"/>
      <c r="AA8" s="434">
        <v>-0.15</v>
      </c>
      <c r="AB8" s="239"/>
      <c r="AC8" s="216"/>
      <c r="AD8" s="1371" t="s">
        <v>2106</v>
      </c>
      <c r="AE8" s="1371"/>
      <c r="AF8" s="1371" t="s">
        <v>2107</v>
      </c>
      <c r="AG8" s="1371"/>
      <c r="AH8" s="215"/>
      <c r="AI8" s="239"/>
      <c r="AJ8" s="231"/>
      <c r="AK8" s="231"/>
      <c r="AL8" s="231"/>
      <c r="AM8" s="433"/>
    </row>
    <row r="9" spans="2:39" ht="13.8" thickBot="1">
      <c r="B9" s="986" t="s">
        <v>803</v>
      </c>
      <c r="C9" s="987" t="s">
        <v>93</v>
      </c>
      <c r="D9" s="267" t="s">
        <v>87</v>
      </c>
      <c r="E9" s="988">
        <f>'2'!F9</f>
        <v>5.9</v>
      </c>
      <c r="F9" s="267"/>
      <c r="G9" s="72" t="s">
        <v>804</v>
      </c>
      <c r="H9" s="989">
        <v>1.03E-2</v>
      </c>
      <c r="I9" s="989">
        <v>5.1000000000000004E-3</v>
      </c>
      <c r="J9" s="989">
        <v>8.9999999999999993E-3</v>
      </c>
      <c r="K9" s="267"/>
      <c r="L9" s="1209" t="s">
        <v>56</v>
      </c>
      <c r="M9" s="990" t="s">
        <v>805</v>
      </c>
      <c r="N9" s="991">
        <f>'2'!F31*H9*H10*H11*E18^H12*E12^H13*E14^H14*E9^H15*E17^H16*(H17+E21)^H18*(COS(E20*PI()/180))^H19*E16^H20*E13^H21*E19^H22</f>
        <v>159.03487663088757</v>
      </c>
      <c r="O9" s="991">
        <f>'2'!F31*I9*I10*I11*E18^I12*E12^I13*E14^I14*E9^I15*E17^I16*(I17+E21)^I18*(COS(E20*PI()/180))^I19*E16^I20*E13^I21*E19^I22</f>
        <v>124.08376948773663</v>
      </c>
      <c r="P9" s="992">
        <f>'2'!F31*J9*J10*J11*E18^J12*E12^J13*E14^J14*E9^J15*E17^J16*(J17+E21)^J18*(COS(E20*PI()/180))^J19*E16^J20*E13^J21*E19^J22</f>
        <v>127.53072711420064</v>
      </c>
      <c r="R9" s="725" t="s">
        <v>0</v>
      </c>
      <c r="S9" s="319" t="s">
        <v>93</v>
      </c>
      <c r="T9" s="319" t="s">
        <v>87</v>
      </c>
      <c r="U9" s="833">
        <f>'2'!F9</f>
        <v>5.9</v>
      </c>
      <c r="V9" s="835">
        <f>'6'!M12</f>
        <v>3.5</v>
      </c>
      <c r="W9" s="231" t="s">
        <v>2108</v>
      </c>
      <c r="X9" s="239"/>
      <c r="Y9" s="231"/>
      <c r="Z9" s="231"/>
      <c r="AA9" s="434">
        <v>-0.05</v>
      </c>
      <c r="AB9" s="239"/>
      <c r="AC9" s="404" t="s">
        <v>2109</v>
      </c>
      <c r="AD9" s="594" t="s">
        <v>2110</v>
      </c>
      <c r="AE9" s="594" t="s">
        <v>2111</v>
      </c>
      <c r="AF9" s="594" t="s">
        <v>2110</v>
      </c>
      <c r="AG9" s="594" t="s">
        <v>2111</v>
      </c>
      <c r="AH9" s="665" t="s">
        <v>2112</v>
      </c>
      <c r="AI9" s="239"/>
      <c r="AJ9" s="231"/>
      <c r="AK9" s="231"/>
      <c r="AL9" s="231"/>
      <c r="AM9" s="433"/>
    </row>
    <row r="10" spans="2:39" ht="13.8" thickBot="1">
      <c r="B10" s="972" t="s">
        <v>806</v>
      </c>
      <c r="C10" s="987" t="s">
        <v>807</v>
      </c>
      <c r="D10" s="267" t="s">
        <v>87</v>
      </c>
      <c r="E10" s="993">
        <v>1</v>
      </c>
      <c r="F10" s="267"/>
      <c r="G10" s="72" t="s">
        <v>808</v>
      </c>
      <c r="H10" s="989">
        <f>E10</f>
        <v>1</v>
      </c>
      <c r="I10" s="989">
        <v>1</v>
      </c>
      <c r="J10" s="989">
        <v>1</v>
      </c>
      <c r="K10" s="267"/>
      <c r="L10" s="1209" t="s">
        <v>809</v>
      </c>
      <c r="M10" s="990" t="s">
        <v>810</v>
      </c>
      <c r="N10" s="991">
        <f>'2'!F31*H28*(1+(E30/E29))^H29*E37^H30*E33^H31*E35^H32*E32^H33*E31^H34*(COS(E38*PI()/180))^H35*E28^H36*E36^H37*E39^H38*E34^H39</f>
        <v>69.180235816792944</v>
      </c>
      <c r="O10" s="991">
        <f>'2'!F31*I28*(1+(E30/E29))^I29*E37^I30*E33^I31*E35^I32*E32^I33*E31^I34*(COS(E38*PI()/180))^I35*E28^I36*E36^I37*E39^I38*E34^I39</f>
        <v>10.589005385389555</v>
      </c>
      <c r="P10" s="992">
        <f>'2'!F31*J28*(1+(E30/E29))^J29*E37^J30*E33^J31*E35^J32*E32^J33*E31^J34*(COS(E38*PI()/180))^J35*E28^J36*E36^J37*E39^J38*E34^J39</f>
        <v>16.713960148368926</v>
      </c>
      <c r="R10" s="725" t="s">
        <v>2113</v>
      </c>
      <c r="S10" s="319" t="s">
        <v>94</v>
      </c>
      <c r="T10" s="319"/>
      <c r="U10" s="836">
        <f>'3'!Q13</f>
        <v>0.96454164658384733</v>
      </c>
      <c r="V10" s="667">
        <v>0.8</v>
      </c>
      <c r="W10" s="231" t="s">
        <v>2105</v>
      </c>
      <c r="X10" s="239"/>
      <c r="Y10" s="231"/>
      <c r="Z10" s="231"/>
      <c r="AA10" s="434">
        <v>0</v>
      </c>
      <c r="AB10" s="239"/>
      <c r="AC10" s="216" t="s">
        <v>2114</v>
      </c>
      <c r="AD10" s="668">
        <v>0.45</v>
      </c>
      <c r="AE10" s="450">
        <f>AD10</f>
        <v>0.45</v>
      </c>
      <c r="AF10" s="217"/>
      <c r="AG10" s="217"/>
      <c r="AH10" s="215"/>
      <c r="AI10" s="239"/>
      <c r="AJ10" s="231"/>
      <c r="AK10" s="231"/>
      <c r="AL10" s="231"/>
      <c r="AM10" s="433"/>
    </row>
    <row r="11" spans="2:39">
      <c r="B11" s="972" t="s">
        <v>811</v>
      </c>
      <c r="C11" s="987" t="s">
        <v>812</v>
      </c>
      <c r="D11" s="267" t="s">
        <v>87</v>
      </c>
      <c r="E11" s="993">
        <v>1</v>
      </c>
      <c r="F11" s="267"/>
      <c r="G11" s="72" t="s">
        <v>813</v>
      </c>
      <c r="H11" s="989">
        <f>E11</f>
        <v>1</v>
      </c>
      <c r="I11" s="989">
        <v>1</v>
      </c>
      <c r="J11" s="989">
        <v>1</v>
      </c>
      <c r="K11" s="267"/>
      <c r="L11" s="1209" t="s">
        <v>814</v>
      </c>
      <c r="M11" s="990" t="s">
        <v>815</v>
      </c>
      <c r="N11" s="991">
        <f>'2'!F31*H45*E49*(1+H46*(E46/E47))^H47*E58^H48*E52^H49*E56^H50*E51^H51*E50^H52*(1+(E55/E56))^H53*E45^H54*(H55+E60)^H56*(COS(E59*PI()/180))^H57*E57^H58*E48^H59*E53^H60</f>
        <v>16.531672938538314</v>
      </c>
      <c r="O11" s="991">
        <f>'2'!F31*I45*E49*(1+I46*(E46/E47))^I47*E58^I48*E52^I49*E56^I50*E51^I51*E50^I52*(1+(E55/E56))^I53*E45^I54*(I55+E60)^I56*(COS(E59*PI()/180))^I57*E57^I58*E48^I59*E53^I60</f>
        <v>11.281605785260854</v>
      </c>
      <c r="P11" s="992">
        <f>'2'!F31*J45*E49*(1+J46*(E46/E47))^J47*E58^J48*E52^J49*E56^J50*E51^J51*E50^J52*(1+(E55/E56))^J53*E45^J54*(J55+E60)^J56*(COS(E59*PI()/180))^J57*E57^J58*E48^J59*E53^J60</f>
        <v>10.456106648627296</v>
      </c>
      <c r="R11" s="725" t="s">
        <v>2115</v>
      </c>
      <c r="S11" s="319" t="s">
        <v>2116</v>
      </c>
      <c r="T11" s="319" t="s">
        <v>87</v>
      </c>
      <c r="U11" s="666">
        <v>0</v>
      </c>
      <c r="V11" s="666">
        <v>0</v>
      </c>
      <c r="W11" s="231" t="s">
        <v>2117</v>
      </c>
      <c r="X11" s="239"/>
      <c r="Y11" s="231"/>
      <c r="Z11" s="231"/>
      <c r="AA11" s="434">
        <v>0.05</v>
      </c>
      <c r="AB11" s="239"/>
      <c r="AC11" s="216" t="s">
        <v>2120</v>
      </c>
      <c r="AD11" s="669">
        <f>((INDEX(LINEST($T$93:$T$99,$R$93:$R$99^{1,2,3}),1,1))*(AD10^3))+((INDEX(LINEST($T$93:$T$99,$R$93:$R$99^{1,2,3}),1,2))*(AD10^2))+((INDEX(LINEST($T$93:$T$99,$R$93:R$99^{1,2,3}),1,3))*(AD10^1))+(INDEX(LINEST($T$93:$T$99,$R$93:R$99^{1,2,3}),1,4))</f>
        <v>0.39492325687900465</v>
      </c>
      <c r="AE11" s="669">
        <f>((INDEX(LINEST($T$103:$T$109,$R$103:$R$109^{1,2,3}),1,1))*(AE10^3))+((INDEX(LINEST($T$103:$T$109,$R$103:$R$109^{1,2,3}),1,2))*(AE10^2))+((INDEX(LINEST($T$103:$T$109,$R$103:$R$109^{1,2,3}),1,3))*(AE10^1))+(INDEX(LINEST($T$103:$T$109,$R$103:$R$109^{1,2,3}),1,4))</f>
        <v>0.70562163370319531</v>
      </c>
      <c r="AF11" s="670" t="str">
        <f>IF(AD11&gt;0,"Pass","Fail")</f>
        <v>Pass</v>
      </c>
      <c r="AG11" s="670" t="str">
        <f>IF(AE11&gt;0,"Pass","Fail")</f>
        <v>Pass</v>
      </c>
      <c r="AH11" s="215" t="s">
        <v>2121</v>
      </c>
      <c r="AI11" s="239"/>
      <c r="AJ11" s="231"/>
      <c r="AK11" s="231"/>
      <c r="AL11" s="231"/>
      <c r="AM11" s="433"/>
    </row>
    <row r="12" spans="2:39">
      <c r="B12" s="972" t="s">
        <v>949</v>
      </c>
      <c r="C12" s="987" t="s">
        <v>214</v>
      </c>
      <c r="D12" s="267" t="s">
        <v>87</v>
      </c>
      <c r="E12" s="994">
        <f>'10'!K19</f>
        <v>9</v>
      </c>
      <c r="F12" s="267"/>
      <c r="G12" s="72" t="s">
        <v>817</v>
      </c>
      <c r="H12" s="989">
        <v>0.5</v>
      </c>
      <c r="I12" s="989">
        <v>0.55700000000000005</v>
      </c>
      <c r="J12" s="989">
        <v>0.49</v>
      </c>
      <c r="K12" s="267"/>
      <c r="L12" s="1209" t="s">
        <v>314</v>
      </c>
      <c r="M12" s="990" t="s">
        <v>818</v>
      </c>
      <c r="N12" s="991">
        <f>'2'!F31*H66*H67*H68*E82^H69*E74^H70*E72^H71*E73^H72*E67^H73*E76^H74*E78^H75*(1+E68)^H76*E75^H77+H78</f>
        <v>245.45427289975666</v>
      </c>
      <c r="O12" s="991">
        <f>'2'!F31*I66*I67*I68*E82^I69*E74^I70*E72^I71*E73^I72*E67^I73*E76^I74*E78^I75*(1+E68)^I76*E75^I77+I78</f>
        <v>402.10813086534341</v>
      </c>
      <c r="P12" s="992">
        <f>'2'!F31*J66*J67*J68*E82^J69*E74^J70*E72^J71*E73^J72*E67^J73*E76^J74*E78^J75*(1+E68)^J76*E75^J77+J78</f>
        <v>99.187856136005479</v>
      </c>
      <c r="R12" s="725" t="s">
        <v>2118</v>
      </c>
      <c r="S12" s="319" t="s">
        <v>2119</v>
      </c>
      <c r="T12" s="319" t="s">
        <v>165</v>
      </c>
      <c r="U12" s="836">
        <f>'4'!E9</f>
        <v>0</v>
      </c>
      <c r="V12" s="836">
        <f>'6'!E9</f>
        <v>0</v>
      </c>
      <c r="W12" s="231" t="s">
        <v>2105</v>
      </c>
      <c r="X12" s="239"/>
      <c r="Y12" s="231"/>
      <c r="Z12" s="231"/>
      <c r="AA12" s="434">
        <v>0.15</v>
      </c>
      <c r="AB12" s="239"/>
      <c r="AC12" s="216" t="s">
        <v>2123</v>
      </c>
      <c r="AD12" s="854">
        <f>((INDEX(LINEST($X$93:$X$99,$R$93:$R$99^{1,2,3}),1,1))*(AD10^3))+((INDEX(LINEST($X$93:$X$99,$R$93:$R$99^{1,2,3}),1,2))*(AD10^2))+((INDEX(LINEST($X$93:$X$99,$R$93:R$99^{1,2,3}),1,3))*(AD10^1))+(INDEX(LINEST($X$93:$X$99,$R$93:R$99^{1,2,3}),1,4))</f>
        <v>2.9363083161065839E-3</v>
      </c>
      <c r="AE12" s="854">
        <f>((INDEX(LINEST($X$103:$X$109,$R$103:$R$109^{1,2,3}),1,1))*(AE10^3))+((INDEX(LINEST($X$103:$X$109,$R$103:$R$109^{1,2,3}),1,2))*(AE10^2))+((INDEX(LINEST($X$103:$X$109,$R$103:$R$109^{1,2,3}),1,3))*(AE10^1))+(INDEX(LINEST($X$103:$X$109,$R$103:$R$109^{1,2,3}),1,4))</f>
        <v>5.8716314845799755E-3</v>
      </c>
      <c r="AF12" s="670" t="str">
        <f>IF(AD12&lt;0.1, "Pass","Fail")</f>
        <v>Pass</v>
      </c>
      <c r="AG12" s="670" t="str">
        <f>IF(AE12&lt;0.1, "Pass","Fail")</f>
        <v>Pass</v>
      </c>
      <c r="AH12" s="215" t="s">
        <v>2124</v>
      </c>
      <c r="AI12" s="239"/>
      <c r="AJ12" s="231"/>
      <c r="AK12" s="231"/>
      <c r="AL12" s="231"/>
      <c r="AM12" s="433"/>
    </row>
    <row r="13" spans="2:39">
      <c r="B13" s="972" t="s">
        <v>819</v>
      </c>
      <c r="C13" s="987" t="s">
        <v>47</v>
      </c>
      <c r="D13" s="987" t="s">
        <v>820</v>
      </c>
      <c r="E13" s="995">
        <f>'2'!K46</f>
        <v>29.211934415292436</v>
      </c>
      <c r="F13" s="267"/>
      <c r="G13" s="72" t="s">
        <v>821</v>
      </c>
      <c r="H13" s="989">
        <v>0.5</v>
      </c>
      <c r="I13" s="989">
        <v>0.57699999999999996</v>
      </c>
      <c r="J13" s="989">
        <v>0.49</v>
      </c>
      <c r="K13" s="267"/>
      <c r="L13" s="1209" t="s">
        <v>822</v>
      </c>
      <c r="M13" s="990" t="s">
        <v>823</v>
      </c>
      <c r="N13" s="991">
        <f>'2'!F31*H90*H91*H92*E98^H93*E94^H94*E93^H95*E95^H96*E96^H97*E97^H98</f>
        <v>167.31451431280595</v>
      </c>
      <c r="O13" s="991">
        <f>'2'!F31*I90*I91*I92*E98^I93*E94^I94*E93^I95*E95^I96*E96^I97*E97^I98</f>
        <v>32.423753453611944</v>
      </c>
      <c r="P13" s="992">
        <f>'2'!F31*J90*J91*J92*E98^J93*E94^J94*E93^J95*E95^J96*E96^J97*E97^J98</f>
        <v>62.982495856352926</v>
      </c>
      <c r="R13" s="725" t="s">
        <v>1649</v>
      </c>
      <c r="S13" s="319" t="s">
        <v>2122</v>
      </c>
      <c r="T13" s="319" t="s">
        <v>1021</v>
      </c>
      <c r="U13" s="836">
        <f>'4'!M37</f>
        <v>7.9311218823565927E-2</v>
      </c>
      <c r="V13" s="1200">
        <f>(PI()/180)*2*PI()*V9/(2+SQRT(4+(V9^2)*(((1-(('2'!E46*COS('6'!D17*PI()/180))^2))^0.5)^2)*(1+((TAN('6'!D20*PI()/180))^2)/(((1-(('2'!E46*COS('6'!D17*PI()/180))^2))^0.5)^2))))</f>
        <v>6.3984771291584308E-2</v>
      </c>
      <c r="W13" s="231" t="s">
        <v>2105</v>
      </c>
      <c r="X13" s="239"/>
      <c r="Y13" s="231">
        <f>(((1-(('2'!E46*COS('6'!D17*PI()/180))^2))^0.5)^2)</f>
        <v>0.97443118015667418</v>
      </c>
      <c r="Z13" s="231"/>
      <c r="AA13" s="434">
        <v>0.25</v>
      </c>
      <c r="AB13" s="239"/>
      <c r="AC13" s="216"/>
      <c r="AD13" s="217"/>
      <c r="AE13" s="217"/>
      <c r="AF13" s="217"/>
      <c r="AG13" s="217"/>
      <c r="AH13" s="215"/>
      <c r="AI13" s="239"/>
      <c r="AJ13" s="231"/>
      <c r="AK13" s="231"/>
      <c r="AL13" s="231"/>
      <c r="AM13" s="433"/>
    </row>
    <row r="14" spans="2:39">
      <c r="B14" s="972" t="s">
        <v>824</v>
      </c>
      <c r="C14" s="987" t="s">
        <v>825</v>
      </c>
      <c r="D14" s="987" t="s">
        <v>826</v>
      </c>
      <c r="E14" s="995">
        <f>'4'!L15</f>
        <v>113.49521551947018</v>
      </c>
      <c r="F14" s="267"/>
      <c r="G14" s="72" t="s">
        <v>827</v>
      </c>
      <c r="H14" s="989">
        <v>0.622</v>
      </c>
      <c r="I14" s="989">
        <v>0.64900000000000002</v>
      </c>
      <c r="J14" s="989">
        <v>0.75800000000000001</v>
      </c>
      <c r="K14" s="267"/>
      <c r="L14" s="1209" t="s">
        <v>828</v>
      </c>
      <c r="M14" s="990" t="s">
        <v>829</v>
      </c>
      <c r="N14" s="991">
        <f>'2'!F31*H104*H105*E108^H106*E106^H107*E105^H108*E107^H109</f>
        <v>37.550242488689015</v>
      </c>
      <c r="O14" s="991">
        <f>'2'!F31*I104*I105*E108^I106*E106^I107*E105^I108*E107^I109</f>
        <v>13.776205620485094</v>
      </c>
      <c r="P14" s="992">
        <f>'2'!F31*J104*J105*E108^J106*E106^J107*E105^J108*E107^J109</f>
        <v>14.645895025599174</v>
      </c>
      <c r="R14" s="725" t="s">
        <v>2125</v>
      </c>
      <c r="S14" s="319" t="s">
        <v>191</v>
      </c>
      <c r="T14" s="319"/>
      <c r="U14" s="671">
        <f>1/(PI()*U9*U10)</f>
        <v>5.5934161430793383E-2</v>
      </c>
      <c r="V14" s="671">
        <f>1/(PI()*V9*V10)</f>
        <v>0.11368210220849667</v>
      </c>
      <c r="W14" s="231"/>
      <c r="X14" s="239"/>
      <c r="Y14" s="231"/>
      <c r="Z14" s="231"/>
      <c r="AA14" s="434">
        <v>0.5</v>
      </c>
      <c r="AB14" s="239"/>
      <c r="AC14" s="404" t="s">
        <v>2128</v>
      </c>
      <c r="AD14" s="217"/>
      <c r="AE14" s="217"/>
      <c r="AF14" s="217"/>
      <c r="AG14" s="217"/>
      <c r="AH14" s="215"/>
      <c r="AI14" s="239"/>
      <c r="AJ14" s="231"/>
      <c r="AK14" s="231"/>
      <c r="AL14" s="231"/>
      <c r="AM14" s="433"/>
    </row>
    <row r="15" spans="2:39">
      <c r="B15" s="972" t="s">
        <v>950</v>
      </c>
      <c r="C15" s="987" t="s">
        <v>830</v>
      </c>
      <c r="D15" s="267" t="s">
        <v>87</v>
      </c>
      <c r="E15" s="994">
        <f>'9'!C25</f>
        <v>0.36</v>
      </c>
      <c r="F15" s="267"/>
      <c r="G15" s="72" t="s">
        <v>831</v>
      </c>
      <c r="H15" s="989">
        <v>0.78500000000000003</v>
      </c>
      <c r="I15" s="989">
        <v>0.5</v>
      </c>
      <c r="J15" s="989">
        <v>0.6</v>
      </c>
      <c r="K15" s="267"/>
      <c r="L15" s="1209" t="s">
        <v>2579</v>
      </c>
      <c r="M15" s="990" t="s">
        <v>2715</v>
      </c>
      <c r="N15" s="996">
        <f>'2'!F31*E114*H114</f>
        <v>390.43393566204639</v>
      </c>
      <c r="O15" s="996">
        <f>'2'!F31*E114*I114</f>
        <v>390.43393566204639</v>
      </c>
      <c r="P15" s="997">
        <f>'2'!F31*E114*J114</f>
        <v>420.46731532835759</v>
      </c>
      <c r="R15" s="725" t="s">
        <v>2126</v>
      </c>
      <c r="S15" s="319" t="s">
        <v>86</v>
      </c>
      <c r="T15" s="319" t="s">
        <v>87</v>
      </c>
      <c r="U15" s="837">
        <f>'3'!AX17</f>
        <v>4.836327512640852E-2</v>
      </c>
      <c r="V15" s="672" t="s">
        <v>569</v>
      </c>
      <c r="W15" s="231" t="s">
        <v>2127</v>
      </c>
      <c r="X15" s="239"/>
      <c r="Y15" s="231"/>
      <c r="Z15" s="231"/>
      <c r="AA15" s="239"/>
      <c r="AB15" s="239"/>
      <c r="AC15" s="216" t="s">
        <v>2129</v>
      </c>
      <c r="AD15" s="450">
        <f>((INDEX(LINEST($Y$93:$Y$99,$R$93:$R$99^{1,2,3}),1,1))*(AD10^3))+((INDEX(LINEST($Y$93:$Y$99,$R$93:$R$99^{1,2,3}),1,2))*(AD10^2))+((INDEX(LINEST($Y$93:$Y$99,$R$93:R$99^{1,2,3}),1,3))*(AD10^1))+(INDEX(LINEST($Y$93:$Y$99,$R$93:$R$99^{1,2,3}),1,4))</f>
        <v>-0.27330898623755928</v>
      </c>
      <c r="AE15" s="450">
        <f>((INDEX(LINEST($Y$103:$Y$109,$R$103:$R$109^{1,2,3}),1,1))*(AE10^3))+((INDEX(LINEST($Y$103:$Y$109,$R$103:$R$109^{1,2,3}),1,2))*(AE10^2))+((INDEX(LINEST($Y$103:$Y$109,$R$103:$R$109^{1,2,3}),1,3))*(AE10^1))+(INDEX(LINEST($Y$103:$Y$109,$R$103:$R$109^{1,2,3}),1,4))</f>
        <v>-1.4724655305448611</v>
      </c>
      <c r="AF15" s="670" t="str">
        <f>IF(AD15&gt;-1.5,(IF(AD15&lt;-0.16,"Pass","Fail")),"Fail")</f>
        <v>Pass</v>
      </c>
      <c r="AG15" s="670" t="str">
        <f>IF(AE15&gt;-1.5,(IF(AE15&lt;-0.16,"Pass","Fail")),"Fail")</f>
        <v>Pass</v>
      </c>
      <c r="AH15" s="215" t="s">
        <v>2130</v>
      </c>
      <c r="AI15" s="239"/>
      <c r="AJ15" s="231"/>
      <c r="AK15" s="231"/>
      <c r="AL15" s="231"/>
      <c r="AM15" s="433"/>
    </row>
    <row r="16" spans="2:39">
      <c r="B16" s="972" t="s">
        <v>832</v>
      </c>
      <c r="C16" s="987" t="s">
        <v>833</v>
      </c>
      <c r="D16" s="987" t="s">
        <v>826</v>
      </c>
      <c r="E16" s="988">
        <f>E15*E14</f>
        <v>40.858277587009262</v>
      </c>
      <c r="F16" s="267"/>
      <c r="G16" s="72" t="s">
        <v>834</v>
      </c>
      <c r="H16" s="989">
        <v>-0.4</v>
      </c>
      <c r="I16" s="989">
        <v>-0.4</v>
      </c>
      <c r="J16" s="989">
        <v>-0.3</v>
      </c>
      <c r="K16" s="267"/>
      <c r="L16" s="1209" t="s">
        <v>835</v>
      </c>
      <c r="M16" s="990" t="s">
        <v>836</v>
      </c>
      <c r="N16" s="996">
        <f>'2'!F31*H115*$E18</f>
        <v>180.40064500271595</v>
      </c>
      <c r="O16" s="996">
        <f>'2'!F31*I115*$E18</f>
        <v>180.40064500271595</v>
      </c>
      <c r="P16" s="997">
        <f>'2'!F31*J115*$E18</f>
        <v>74.282618530530087</v>
      </c>
      <c r="R16" s="725" t="s">
        <v>184</v>
      </c>
      <c r="S16" s="673" t="s">
        <v>182</v>
      </c>
      <c r="T16" s="319" t="s">
        <v>87</v>
      </c>
      <c r="U16" s="833">
        <f>'4'!L8</f>
        <v>1</v>
      </c>
      <c r="V16" s="835">
        <f>'6'!M9</f>
        <v>0.6</v>
      </c>
      <c r="W16" s="231" t="s">
        <v>2105</v>
      </c>
      <c r="X16" s="94"/>
      <c r="Y16" s="231"/>
      <c r="Z16" s="231"/>
      <c r="AA16" s="239"/>
      <c r="AB16" s="239"/>
      <c r="AC16" s="216" t="s">
        <v>2131</v>
      </c>
      <c r="AD16" s="450">
        <f>Z93</f>
        <v>0.1200119646821427</v>
      </c>
      <c r="AE16" s="450">
        <f>Z103</f>
        <v>0.13257217020803741</v>
      </c>
      <c r="AF16" s="670" t="str">
        <f>IF(AD16&gt;0.08,(IF(AD16&lt;0.28,"Pass","Fail")),"Fail")</f>
        <v>Pass</v>
      </c>
      <c r="AG16" s="670" t="str">
        <f>IF(AE16&gt;0.08,(IF(AE16&lt;0.28,"Pass","Fail")),"Fail")</f>
        <v>Pass</v>
      </c>
      <c r="AH16" s="131" t="s">
        <v>2132</v>
      </c>
      <c r="AI16" s="239"/>
      <c r="AJ16" s="231"/>
      <c r="AK16" s="231"/>
      <c r="AL16" s="231"/>
      <c r="AM16" s="433"/>
    </row>
    <row r="17" spans="2:39">
      <c r="B17" s="972" t="s">
        <v>837</v>
      </c>
      <c r="C17" s="987" t="s">
        <v>838</v>
      </c>
      <c r="D17" s="987" t="s">
        <v>87</v>
      </c>
      <c r="E17" s="988">
        <f>'4'!L10</f>
        <v>0.21</v>
      </c>
      <c r="F17" s="267"/>
      <c r="G17" s="72" t="s">
        <v>839</v>
      </c>
      <c r="H17" s="989">
        <v>1</v>
      </c>
      <c r="I17" s="989">
        <v>1</v>
      </c>
      <c r="J17" s="989">
        <v>0</v>
      </c>
      <c r="K17" s="267"/>
      <c r="L17" s="1210" t="s">
        <v>840</v>
      </c>
      <c r="M17" s="998" t="s">
        <v>126</v>
      </c>
      <c r="N17" s="999">
        <f>'2'!$F31*SUM(N9:N16)</f>
        <v>1076.0153363893978</v>
      </c>
      <c r="O17" s="999">
        <f>'2'!$F31*SUM(O9:O16)</f>
        <v>990.33249357320142</v>
      </c>
      <c r="P17" s="1000">
        <f>SUM(P9:P16)</f>
        <v>826.26697478804215</v>
      </c>
      <c r="R17" s="725" t="s">
        <v>204</v>
      </c>
      <c r="S17" s="342" t="s">
        <v>189</v>
      </c>
      <c r="T17" s="319" t="s">
        <v>188</v>
      </c>
      <c r="U17" s="674">
        <f>SQRT(U8*U9)</f>
        <v>25.877051060058488</v>
      </c>
      <c r="V17" s="674">
        <f>SQRT(V8*V9)</f>
        <v>9.8091013249842103</v>
      </c>
      <c r="W17" s="94"/>
      <c r="X17" s="94"/>
      <c r="Y17" s="231"/>
      <c r="Z17" s="231"/>
      <c r="AA17" s="239"/>
      <c r="AB17" s="239"/>
      <c r="AC17" s="216" t="s">
        <v>2134</v>
      </c>
      <c r="AD17" s="450">
        <f>AA93</f>
        <v>-0.1200119646821427</v>
      </c>
      <c r="AE17" s="450">
        <f>AA103</f>
        <v>-0.13257217020803741</v>
      </c>
      <c r="AF17" s="670" t="str">
        <f>IF(AD17&gt;-0.28,(IF(AD17&lt;-0.08,"Pass","Fail")),"Fail")</f>
        <v>Pass</v>
      </c>
      <c r="AG17" s="670" t="str">
        <f>IF(AE17&gt;-0.28,(IF(AE17&lt;-0.08,"Pass","Fail")),"Fail")</f>
        <v>Pass</v>
      </c>
      <c r="AH17" s="131" t="s">
        <v>2135</v>
      </c>
      <c r="AI17" s="239"/>
      <c r="AJ17" s="231"/>
      <c r="AK17" s="231"/>
      <c r="AL17" s="231"/>
      <c r="AM17" s="433"/>
    </row>
    <row r="18" spans="2:39">
      <c r="B18" s="972" t="s">
        <v>507</v>
      </c>
      <c r="C18" s="987" t="s">
        <v>841</v>
      </c>
      <c r="D18" s="987" t="s">
        <v>508</v>
      </c>
      <c r="E18" s="995">
        <f>'2'!S21</f>
        <v>1248.4473702610098</v>
      </c>
      <c r="F18" s="267"/>
      <c r="G18" s="72" t="s">
        <v>842</v>
      </c>
      <c r="H18" s="989">
        <v>0.05</v>
      </c>
      <c r="I18" s="989">
        <v>0.1</v>
      </c>
      <c r="J18" s="989">
        <v>4.0000000000000001E-3</v>
      </c>
      <c r="K18" s="267"/>
      <c r="L18" s="1209" t="s">
        <v>507</v>
      </c>
      <c r="M18" s="981" t="s">
        <v>140</v>
      </c>
      <c r="N18" s="996">
        <f>$E18</f>
        <v>1248.4473702610098</v>
      </c>
      <c r="O18" s="996">
        <f>$E18</f>
        <v>1248.4473702610098</v>
      </c>
      <c r="P18" s="997">
        <f>$E18</f>
        <v>1248.4473702610098</v>
      </c>
      <c r="R18" s="725" t="s">
        <v>2133</v>
      </c>
      <c r="S18" s="319" t="s">
        <v>1737</v>
      </c>
      <c r="T18" s="319" t="s">
        <v>188</v>
      </c>
      <c r="U18" s="674">
        <f>U17/2</f>
        <v>12.938525530029244</v>
      </c>
      <c r="V18" s="674">
        <f>V17/2</f>
        <v>4.9045506624921051</v>
      </c>
      <c r="W18" s="94"/>
      <c r="X18" s="94"/>
      <c r="Y18" s="231"/>
      <c r="Z18" s="231"/>
      <c r="AA18" s="239"/>
      <c r="AB18" s="239"/>
      <c r="AC18" s="216"/>
      <c r="AD18" s="217"/>
      <c r="AE18" s="217"/>
      <c r="AF18" s="217"/>
      <c r="AG18" s="664"/>
      <c r="AH18" s="215"/>
      <c r="AI18" s="239"/>
      <c r="AJ18" s="231"/>
      <c r="AK18" s="231"/>
      <c r="AL18" s="231"/>
      <c r="AM18" s="433"/>
    </row>
    <row r="19" spans="2:39" ht="13.8" thickBot="1">
      <c r="B19" s="972" t="s">
        <v>843</v>
      </c>
      <c r="C19" s="987" t="s">
        <v>844</v>
      </c>
      <c r="D19" s="987" t="s">
        <v>508</v>
      </c>
      <c r="E19" s="995">
        <f>'5'!D84*'5'!D70</f>
        <v>24.168718285986447</v>
      </c>
      <c r="F19" s="267"/>
      <c r="G19" s="72" t="s">
        <v>845</v>
      </c>
      <c r="H19" s="989">
        <v>-1</v>
      </c>
      <c r="I19" s="989">
        <v>-1</v>
      </c>
      <c r="J19" s="989">
        <v>0.3</v>
      </c>
      <c r="K19" s="267"/>
      <c r="L19" s="1211" t="s">
        <v>846</v>
      </c>
      <c r="M19" s="1212" t="s">
        <v>120</v>
      </c>
      <c r="N19" s="1213">
        <f>N17/N18</f>
        <v>0.86188281702610969</v>
      </c>
      <c r="O19" s="1213">
        <f>O17/O18</f>
        <v>0.79325129529982108</v>
      </c>
      <c r="P19" s="1214">
        <f>P17/P18</f>
        <v>0.66183564839845554</v>
      </c>
      <c r="R19" s="725" t="s">
        <v>205</v>
      </c>
      <c r="S19" s="342" t="s">
        <v>219</v>
      </c>
      <c r="T19" s="319" t="s">
        <v>188</v>
      </c>
      <c r="U19" s="674">
        <f>2*U17/(U9*(1+U16))</f>
        <v>4.3859408576370313</v>
      </c>
      <c r="V19" s="674">
        <f>2*V17/(V9*(1+V16))</f>
        <v>3.503250473208646</v>
      </c>
      <c r="W19" s="94"/>
      <c r="X19" s="94"/>
      <c r="Y19" s="231"/>
      <c r="Z19" s="231"/>
      <c r="AA19" s="239"/>
      <c r="AB19" s="239"/>
      <c r="AC19" s="404" t="s">
        <v>2136</v>
      </c>
      <c r="AD19" s="675"/>
      <c r="AE19" s="217"/>
      <c r="AF19" s="217"/>
      <c r="AG19" s="664"/>
      <c r="AH19" s="215"/>
      <c r="AI19" s="239"/>
      <c r="AJ19" s="231"/>
      <c r="AK19" s="231"/>
      <c r="AL19" s="231"/>
      <c r="AM19" s="433"/>
    </row>
    <row r="20" spans="2:39" ht="13.8" thickBot="1">
      <c r="B20" s="972" t="s">
        <v>847</v>
      </c>
      <c r="C20" s="1001" t="s">
        <v>670</v>
      </c>
      <c r="D20" s="987" t="s">
        <v>165</v>
      </c>
      <c r="E20" s="995">
        <f>'4'!E19</f>
        <v>0</v>
      </c>
      <c r="F20" s="267"/>
      <c r="G20" s="72" t="s">
        <v>848</v>
      </c>
      <c r="H20" s="989">
        <v>0.04</v>
      </c>
      <c r="I20" s="989">
        <v>0.1</v>
      </c>
      <c r="J20" s="989">
        <v>0</v>
      </c>
      <c r="K20" s="267"/>
      <c r="L20" s="267"/>
      <c r="M20" s="267"/>
      <c r="N20" s="267"/>
      <c r="O20" s="267"/>
      <c r="P20" s="979"/>
      <c r="R20" s="725" t="s">
        <v>206</v>
      </c>
      <c r="S20" s="342" t="s">
        <v>67</v>
      </c>
      <c r="T20" s="319" t="s">
        <v>188</v>
      </c>
      <c r="U20" s="674">
        <f>U19*U16</f>
        <v>4.3859408576370313</v>
      </c>
      <c r="V20" s="674">
        <f>V19*V16</f>
        <v>2.1019502839251873</v>
      </c>
      <c r="W20" s="94"/>
      <c r="X20" s="94"/>
      <c r="Y20" s="231"/>
      <c r="Z20" s="231"/>
      <c r="AA20" s="239"/>
      <c r="AB20" s="239"/>
      <c r="AC20" s="224" t="s">
        <v>2138</v>
      </c>
      <c r="AD20" s="677">
        <f>U178</f>
        <v>-6.6543982252264851</v>
      </c>
      <c r="AE20" s="225"/>
      <c r="AF20" s="614" t="str">
        <f>IF(AD20&gt;-12.5,(IF(AD20&lt;12.5,"Pass","Fail")),"Fail")</f>
        <v>Pass</v>
      </c>
      <c r="AG20" s="137"/>
      <c r="AH20" s="678" t="s">
        <v>2139</v>
      </c>
      <c r="AI20" s="451"/>
      <c r="AJ20" s="451"/>
      <c r="AK20" s="231"/>
      <c r="AL20" s="231"/>
      <c r="AM20" s="433"/>
    </row>
    <row r="21" spans="2:39">
      <c r="B21" s="972" t="s">
        <v>849</v>
      </c>
      <c r="C21" s="1001" t="s">
        <v>182</v>
      </c>
      <c r="D21" s="987" t="s">
        <v>87</v>
      </c>
      <c r="E21" s="988">
        <f>'4'!L8</f>
        <v>1</v>
      </c>
      <c r="F21" s="267"/>
      <c r="G21" s="72" t="s">
        <v>850</v>
      </c>
      <c r="H21" s="989">
        <v>0</v>
      </c>
      <c r="I21" s="989">
        <v>0</v>
      </c>
      <c r="J21" s="989">
        <v>6.0000000000000001E-3</v>
      </c>
      <c r="K21" s="267"/>
      <c r="L21" s="267"/>
      <c r="M21" s="267"/>
      <c r="N21" s="267"/>
      <c r="O21" s="267"/>
      <c r="P21" s="979"/>
      <c r="R21" s="725" t="s">
        <v>1738</v>
      </c>
      <c r="S21" s="319" t="s">
        <v>2137</v>
      </c>
      <c r="T21" s="676" t="s">
        <v>188</v>
      </c>
      <c r="U21" s="674">
        <f>(2*U19/3)*(1+U16+U16^2)/(1+U16)</f>
        <v>4.3859408576370313</v>
      </c>
      <c r="V21" s="674">
        <f>(2*V19/3)*(1+V16+V16^2)/(1+V16)</f>
        <v>2.8609878864537275</v>
      </c>
      <c r="W21" s="94"/>
      <c r="X21" s="94"/>
      <c r="Y21" s="231"/>
      <c r="Z21" s="231"/>
      <c r="AA21" s="239"/>
      <c r="AB21" s="239"/>
      <c r="AC21" s="231"/>
      <c r="AD21" s="231"/>
      <c r="AE21" s="231"/>
      <c r="AF21" s="231"/>
      <c r="AG21" s="231"/>
      <c r="AH21" s="223"/>
      <c r="AI21" s="451"/>
      <c r="AJ21" s="451"/>
      <c r="AK21" s="231"/>
      <c r="AL21" s="231"/>
      <c r="AM21" s="433"/>
    </row>
    <row r="22" spans="2:39">
      <c r="B22" s="972"/>
      <c r="C22" s="267"/>
      <c r="D22" s="267"/>
      <c r="E22" s="267"/>
      <c r="F22" s="267"/>
      <c r="G22" s="72" t="s">
        <v>851</v>
      </c>
      <c r="H22" s="989">
        <v>0</v>
      </c>
      <c r="I22" s="989">
        <v>0</v>
      </c>
      <c r="J22" s="989">
        <v>3.5000000000000001E-3</v>
      </c>
      <c r="K22" s="267"/>
      <c r="N22" s="267"/>
      <c r="O22" s="267"/>
      <c r="P22" s="979"/>
      <c r="R22" s="725" t="s">
        <v>994</v>
      </c>
      <c r="S22" s="319" t="s">
        <v>337</v>
      </c>
      <c r="T22" s="319" t="s">
        <v>188</v>
      </c>
      <c r="U22" s="833">
        <f>'5'!T15</f>
        <v>21.125</v>
      </c>
      <c r="V22" s="319"/>
      <c r="W22" s="94" t="s">
        <v>1814</v>
      </c>
      <c r="X22" s="94"/>
      <c r="Y22" s="231"/>
      <c r="Z22" s="231"/>
      <c r="AA22" s="239"/>
      <c r="AB22" s="239"/>
      <c r="AC22" s="231"/>
      <c r="AD22" s="231"/>
      <c r="AE22" s="94"/>
      <c r="AF22" s="239"/>
      <c r="AG22" s="94"/>
      <c r="AH22" s="223"/>
      <c r="AI22" s="231"/>
      <c r="AJ22" s="231"/>
      <c r="AK22" s="231"/>
      <c r="AL22" s="231"/>
      <c r="AM22" s="433"/>
    </row>
    <row r="23" spans="2:39">
      <c r="B23" s="972"/>
      <c r="C23" s="267"/>
      <c r="D23" s="267"/>
      <c r="E23" s="267"/>
      <c r="F23" s="267"/>
      <c r="G23" s="267"/>
      <c r="H23" s="267"/>
      <c r="I23" s="267"/>
      <c r="J23" s="267"/>
      <c r="K23" s="267"/>
      <c r="N23" s="267"/>
      <c r="O23" s="267"/>
      <c r="P23" s="979"/>
      <c r="R23" s="691"/>
      <c r="S23" s="231"/>
      <c r="T23" s="231"/>
      <c r="U23" s="231"/>
      <c r="V23" s="231"/>
      <c r="W23" s="94"/>
      <c r="X23" s="94"/>
      <c r="Y23" s="231"/>
      <c r="Z23" s="231"/>
      <c r="AA23" s="239"/>
      <c r="AB23" s="239"/>
      <c r="AC23" s="231"/>
      <c r="AD23" s="231"/>
      <c r="AE23" s="231"/>
      <c r="AF23" s="239"/>
      <c r="AG23" s="94"/>
      <c r="AH23" s="223"/>
      <c r="AI23" s="231"/>
      <c r="AJ23" s="231"/>
      <c r="AK23" s="231"/>
      <c r="AL23" s="231"/>
      <c r="AM23" s="433"/>
    </row>
    <row r="24" spans="2:39">
      <c r="B24" s="972"/>
      <c r="C24" s="267"/>
      <c r="D24" s="267"/>
      <c r="E24" s="267"/>
      <c r="F24" s="267"/>
      <c r="G24" s="267"/>
      <c r="H24" s="267"/>
      <c r="I24" s="267"/>
      <c r="J24" s="267"/>
      <c r="K24" s="267"/>
      <c r="N24" s="267"/>
      <c r="O24" s="267"/>
      <c r="P24" s="979"/>
      <c r="R24" s="725" t="s">
        <v>2140</v>
      </c>
      <c r="S24" s="319" t="s">
        <v>2141</v>
      </c>
      <c r="T24" s="319" t="s">
        <v>87</v>
      </c>
      <c r="U24" s="679">
        <v>3</v>
      </c>
      <c r="V24" s="94"/>
      <c r="W24" s="94"/>
      <c r="X24" s="94"/>
      <c r="Y24" s="231"/>
      <c r="Z24" s="231"/>
      <c r="AA24" s="239"/>
      <c r="AB24" s="239"/>
      <c r="AC24" s="94"/>
      <c r="AD24" s="231"/>
      <c r="AE24" s="231"/>
      <c r="AF24" s="239"/>
      <c r="AG24" s="94"/>
      <c r="AH24" s="223"/>
      <c r="AI24" s="231"/>
      <c r="AJ24" s="231"/>
      <c r="AK24" s="231"/>
      <c r="AL24" s="231"/>
      <c r="AM24" s="433"/>
    </row>
    <row r="25" spans="2:39" ht="17.399999999999999">
      <c r="B25" s="973" t="s">
        <v>852</v>
      </c>
      <c r="C25" s="267"/>
      <c r="D25" s="267"/>
      <c r="E25" s="267"/>
      <c r="F25" s="267"/>
      <c r="G25" s="267"/>
      <c r="H25" s="267"/>
      <c r="I25" s="267"/>
      <c r="J25" s="267"/>
      <c r="K25" s="267"/>
      <c r="L25" s="267" t="s">
        <v>2576</v>
      </c>
      <c r="M25" s="267"/>
      <c r="N25" s="1011"/>
      <c r="O25" s="1011"/>
      <c r="P25" s="1012"/>
      <c r="R25" s="725" t="s">
        <v>2142</v>
      </c>
      <c r="S25" s="319" t="s">
        <v>2143</v>
      </c>
      <c r="T25" s="319" t="s">
        <v>188</v>
      </c>
      <c r="U25" s="842">
        <v>0</v>
      </c>
      <c r="V25" s="94"/>
      <c r="W25" s="94" t="s">
        <v>2144</v>
      </c>
      <c r="X25" s="94"/>
      <c r="Y25" s="94"/>
      <c r="Z25" s="94"/>
      <c r="AA25" s="94"/>
      <c r="AB25" s="94"/>
      <c r="AC25" s="94"/>
      <c r="AD25" s="231"/>
      <c r="AE25" s="231"/>
      <c r="AF25" s="523"/>
      <c r="AG25" s="94"/>
      <c r="AH25" s="223"/>
      <c r="AI25" s="231"/>
      <c r="AJ25" s="231"/>
      <c r="AK25" s="231"/>
      <c r="AL25" s="231"/>
      <c r="AM25" s="433"/>
    </row>
    <row r="26" spans="2:39">
      <c r="B26" s="980"/>
      <c r="C26" s="978"/>
      <c r="D26" s="978"/>
      <c r="E26" s="978"/>
      <c r="F26" s="267"/>
      <c r="G26" s="267"/>
      <c r="H26" s="267"/>
      <c r="I26" s="267"/>
      <c r="J26" s="267" t="s">
        <v>798</v>
      </c>
      <c r="K26" s="267"/>
      <c r="L26" s="1011" t="s">
        <v>2577</v>
      </c>
      <c r="M26" s="1011"/>
      <c r="N26" s="1011"/>
      <c r="O26" s="1011"/>
      <c r="P26" s="1012"/>
      <c r="R26" s="725" t="s">
        <v>2145</v>
      </c>
      <c r="S26" s="319" t="s">
        <v>2146</v>
      </c>
      <c r="T26" s="319" t="s">
        <v>188</v>
      </c>
      <c r="U26" s="841">
        <f>IF('5'!T5=1,((-1)*MAX('5'!W9:W19)/2),(-1)*'5'!T6/2)</f>
        <v>-1.5</v>
      </c>
      <c r="V26" s="94"/>
      <c r="W26" s="94" t="s">
        <v>2481</v>
      </c>
      <c r="X26" s="94"/>
      <c r="Y26" s="94"/>
      <c r="Z26" s="94"/>
      <c r="AA26" s="94"/>
      <c r="AB26" s="94"/>
      <c r="AC26" s="94"/>
      <c r="AD26" s="231"/>
      <c r="AE26" s="231"/>
      <c r="AF26" s="523"/>
      <c r="AG26" s="94"/>
      <c r="AH26" s="223"/>
      <c r="AI26" s="231"/>
      <c r="AJ26" s="231"/>
      <c r="AK26" s="231"/>
      <c r="AL26" s="231"/>
      <c r="AM26" s="433"/>
    </row>
    <row r="27" spans="2:39">
      <c r="B27" s="982" t="s">
        <v>641</v>
      </c>
      <c r="C27" s="983" t="s">
        <v>89</v>
      </c>
      <c r="D27" s="983" t="s">
        <v>90</v>
      </c>
      <c r="E27" s="983" t="s">
        <v>91</v>
      </c>
      <c r="F27" s="267"/>
      <c r="G27" s="267"/>
      <c r="H27" s="984" t="s">
        <v>799</v>
      </c>
      <c r="I27" s="984" t="s">
        <v>800</v>
      </c>
      <c r="J27" s="984" t="s">
        <v>801</v>
      </c>
      <c r="K27" s="267"/>
      <c r="L27" s="267" t="s">
        <v>2480</v>
      </c>
      <c r="M27" s="1002">
        <v>3</v>
      </c>
      <c r="N27" s="267"/>
      <c r="O27" s="267"/>
      <c r="P27" s="979"/>
      <c r="R27" s="724" t="s">
        <v>947</v>
      </c>
      <c r="S27" s="314" t="s">
        <v>587</v>
      </c>
      <c r="T27" s="314" t="s">
        <v>87</v>
      </c>
      <c r="U27" s="840">
        <f>'3'!J22</f>
        <v>1</v>
      </c>
      <c r="V27" s="231"/>
      <c r="W27" s="94"/>
      <c r="X27" s="94"/>
      <c r="Y27" s="94"/>
      <c r="Z27" s="94"/>
      <c r="AA27" s="94"/>
      <c r="AB27" s="94"/>
      <c r="AC27" s="94"/>
      <c r="AD27" s="239"/>
      <c r="AE27" s="239"/>
      <c r="AF27" s="523"/>
      <c r="AG27" s="94"/>
      <c r="AH27" s="94"/>
      <c r="AI27" s="239"/>
      <c r="AJ27" s="239"/>
      <c r="AK27" s="239"/>
      <c r="AL27" s="239"/>
      <c r="AM27" s="693"/>
    </row>
    <row r="28" spans="2:39">
      <c r="B28" s="986" t="s">
        <v>853</v>
      </c>
      <c r="C28" s="987" t="s">
        <v>854</v>
      </c>
      <c r="D28" s="267" t="s">
        <v>87</v>
      </c>
      <c r="E28" s="1003">
        <f>'6'!M12</f>
        <v>3.5</v>
      </c>
      <c r="F28" s="267"/>
      <c r="G28" s="72" t="s">
        <v>804</v>
      </c>
      <c r="H28" s="989">
        <v>0.55030000000000001</v>
      </c>
      <c r="I28" s="989">
        <v>3.7900000000000003E-2</v>
      </c>
      <c r="J28" s="989">
        <v>9.1999999999999998E-3</v>
      </c>
      <c r="K28" s="267"/>
      <c r="L28" s="267"/>
      <c r="M28" s="267"/>
      <c r="N28" s="267"/>
      <c r="O28" s="267"/>
      <c r="P28" s="979"/>
      <c r="R28" s="724" t="s">
        <v>2147</v>
      </c>
      <c r="S28" s="314" t="s">
        <v>2148</v>
      </c>
      <c r="T28" s="314" t="s">
        <v>188</v>
      </c>
      <c r="U28" s="839">
        <f>IF('2'!F21=1,'7a'!Q22/12,IF('2'!F21=2,'7b'!Q22/12,IF('2'!F21=3,'7a'!Q22/12,IF('2'!F21=4,'7b'!Q22/12,IF('2'!F21=5,'7a'!Q22/12,'7b'!Q22/12)))))</f>
        <v>3.2782467881210557</v>
      </c>
      <c r="V28" s="231"/>
      <c r="W28" s="239" t="s">
        <v>477</v>
      </c>
      <c r="X28" s="94"/>
      <c r="Y28" s="94"/>
      <c r="Z28" s="94"/>
      <c r="AA28" s="94"/>
      <c r="AB28" s="94"/>
      <c r="AC28" s="231"/>
      <c r="AD28" s="239"/>
      <c r="AE28" s="239"/>
      <c r="AF28" s="523"/>
      <c r="AG28" s="94"/>
      <c r="AH28" s="94"/>
      <c r="AI28" s="239"/>
      <c r="AJ28" s="239"/>
      <c r="AK28" s="239"/>
      <c r="AL28" s="239"/>
      <c r="AM28" s="693"/>
    </row>
    <row r="29" spans="2:39">
      <c r="B29" s="972" t="s">
        <v>855</v>
      </c>
      <c r="C29" s="987" t="s">
        <v>856</v>
      </c>
      <c r="D29" s="987" t="s">
        <v>188</v>
      </c>
      <c r="E29" s="1003">
        <f>'6'!M25</f>
        <v>9.8091013249842103</v>
      </c>
      <c r="F29" s="267"/>
      <c r="G29" s="72" t="s">
        <v>808</v>
      </c>
      <c r="H29" s="989">
        <v>-2</v>
      </c>
      <c r="I29" s="989">
        <v>-0.25</v>
      </c>
      <c r="J29" s="989">
        <v>0</v>
      </c>
      <c r="K29" s="267"/>
      <c r="L29" s="267"/>
      <c r="M29" s="267"/>
      <c r="N29" s="267"/>
      <c r="O29" s="267"/>
      <c r="P29" s="979"/>
      <c r="R29" s="724" t="s">
        <v>2149</v>
      </c>
      <c r="S29" s="314" t="s">
        <v>498</v>
      </c>
      <c r="T29" s="314" t="s">
        <v>165</v>
      </c>
      <c r="U29" s="306">
        <v>20</v>
      </c>
      <c r="V29" s="231"/>
      <c r="W29" s="94"/>
      <c r="X29" s="94"/>
      <c r="Y29" s="94"/>
      <c r="Z29" s="94"/>
      <c r="AA29" s="94"/>
      <c r="AB29" s="94"/>
      <c r="AC29" s="239"/>
      <c r="AD29" s="239"/>
      <c r="AE29" s="239"/>
      <c r="AF29" s="523"/>
      <c r="AG29" s="94"/>
      <c r="AH29" s="94"/>
      <c r="AI29" s="239"/>
      <c r="AJ29" s="239"/>
      <c r="AK29" s="239"/>
      <c r="AL29" s="239"/>
      <c r="AM29" s="693"/>
    </row>
    <row r="30" spans="2:39">
      <c r="B30" s="972" t="s">
        <v>951</v>
      </c>
      <c r="C30" s="987" t="s">
        <v>857</v>
      </c>
      <c r="D30" s="987" t="s">
        <v>188</v>
      </c>
      <c r="E30" s="1004">
        <v>0.5</v>
      </c>
      <c r="F30" s="267"/>
      <c r="G30" s="72" t="s">
        <v>813</v>
      </c>
      <c r="H30" s="989">
        <v>0.26</v>
      </c>
      <c r="I30" s="989">
        <v>0.63900000000000001</v>
      </c>
      <c r="J30" s="989">
        <v>0.41399999999999998</v>
      </c>
      <c r="K30" s="267"/>
      <c r="L30" s="267"/>
      <c r="M30" s="267"/>
      <c r="N30" s="267"/>
      <c r="O30" s="267"/>
      <c r="P30" s="979"/>
      <c r="R30" s="1197"/>
      <c r="S30" s="239"/>
      <c r="T30" s="239"/>
      <c r="U30" s="239"/>
      <c r="V30" s="239"/>
      <c r="W30" s="94"/>
      <c r="X30" s="94"/>
      <c r="Y30" s="94"/>
      <c r="Z30" s="94"/>
      <c r="AA30" s="94"/>
      <c r="AB30" s="94"/>
      <c r="AC30" s="239"/>
      <c r="AD30" s="239"/>
      <c r="AE30" s="239"/>
      <c r="AF30" s="523"/>
      <c r="AG30" s="94"/>
      <c r="AH30" s="94"/>
      <c r="AI30" s="239"/>
      <c r="AJ30" s="239"/>
      <c r="AK30" s="239"/>
      <c r="AL30" s="239"/>
      <c r="AM30" s="693"/>
    </row>
    <row r="31" spans="2:39">
      <c r="B31" s="972" t="s">
        <v>858</v>
      </c>
      <c r="C31" s="987" t="s">
        <v>859</v>
      </c>
      <c r="D31" s="987" t="s">
        <v>188</v>
      </c>
      <c r="E31" s="1003">
        <f>0.3*E32</f>
        <v>3.8024999999999993</v>
      </c>
      <c r="F31" s="267"/>
      <c r="G31" s="72" t="s">
        <v>817</v>
      </c>
      <c r="H31" s="989">
        <v>0.26</v>
      </c>
      <c r="I31" s="989">
        <v>0.1</v>
      </c>
      <c r="J31" s="989">
        <v>0.41399999999999998</v>
      </c>
      <c r="K31" s="267"/>
      <c r="L31" s="267"/>
      <c r="M31" s="267"/>
      <c r="N31" s="267"/>
      <c r="O31" s="267"/>
      <c r="P31" s="979"/>
      <c r="R31" s="700" t="s">
        <v>2150</v>
      </c>
      <c r="S31" s="681"/>
      <c r="T31" s="681"/>
      <c r="U31" s="231"/>
      <c r="V31" s="239"/>
      <c r="W31" s="94"/>
      <c r="X31" s="94"/>
      <c r="Y31" s="94"/>
      <c r="Z31" s="94"/>
      <c r="AA31" s="94"/>
      <c r="AB31" s="94"/>
      <c r="AC31" s="239"/>
      <c r="AD31" s="239"/>
      <c r="AE31" s="239"/>
      <c r="AF31" s="523"/>
      <c r="AG31" s="94"/>
      <c r="AH31" s="94"/>
      <c r="AI31" s="239"/>
      <c r="AJ31" s="239"/>
      <c r="AK31" s="239"/>
      <c r="AL31" s="239"/>
      <c r="AM31" s="693"/>
    </row>
    <row r="32" spans="2:39">
      <c r="B32" s="972" t="s">
        <v>860</v>
      </c>
      <c r="C32" s="987" t="s">
        <v>861</v>
      </c>
      <c r="D32" s="987" t="s">
        <v>188</v>
      </c>
      <c r="E32" s="1003">
        <f>ABS('6'!M14*'5'!T15)</f>
        <v>12.674999999999999</v>
      </c>
      <c r="F32" s="267"/>
      <c r="G32" s="72" t="s">
        <v>821</v>
      </c>
      <c r="H32" s="989">
        <v>0.80600000000000005</v>
      </c>
      <c r="I32" s="989">
        <v>0.75</v>
      </c>
      <c r="J32" s="989">
        <v>0.89600000000000002</v>
      </c>
      <c r="K32" s="267"/>
      <c r="L32" s="267"/>
      <c r="M32" s="267"/>
      <c r="N32" s="267"/>
      <c r="O32" s="267"/>
      <c r="P32" s="979"/>
      <c r="R32" s="721" t="s">
        <v>2151</v>
      </c>
      <c r="S32" s="315"/>
      <c r="T32" s="314" t="s">
        <v>188</v>
      </c>
      <c r="U32" s="843">
        <f>'2'!D46</f>
        <v>7000</v>
      </c>
      <c r="V32" s="239"/>
      <c r="W32" s="94" t="s">
        <v>2152</v>
      </c>
      <c r="X32" s="94"/>
      <c r="Y32" s="94"/>
      <c r="Z32" s="94"/>
      <c r="AA32" s="94"/>
      <c r="AB32" s="94"/>
      <c r="AC32" s="239"/>
      <c r="AD32" s="239"/>
      <c r="AE32" s="239"/>
      <c r="AF32" s="523"/>
      <c r="AG32" s="94"/>
      <c r="AH32" s="94"/>
      <c r="AI32" s="239"/>
      <c r="AJ32" s="239"/>
      <c r="AK32" s="239"/>
      <c r="AL32" s="239"/>
      <c r="AM32" s="693"/>
    </row>
    <row r="33" spans="2:39">
      <c r="B33" s="972" t="s">
        <v>816</v>
      </c>
      <c r="C33" s="987" t="s">
        <v>214</v>
      </c>
      <c r="D33" s="987" t="s">
        <v>87</v>
      </c>
      <c r="E33" s="1003">
        <f>E12</f>
        <v>9</v>
      </c>
      <c r="F33" s="267"/>
      <c r="G33" s="72" t="s">
        <v>827</v>
      </c>
      <c r="H33" s="989">
        <v>0</v>
      </c>
      <c r="I33" s="989">
        <v>-1</v>
      </c>
      <c r="J33" s="989">
        <v>0</v>
      </c>
      <c r="K33" s="267"/>
      <c r="L33" s="267"/>
      <c r="M33" s="267"/>
      <c r="N33" s="267"/>
      <c r="O33" s="267"/>
      <c r="P33" s="979"/>
      <c r="R33" s="721" t="s">
        <v>884</v>
      </c>
      <c r="S33" s="314"/>
      <c r="T33" s="315" t="s">
        <v>87</v>
      </c>
      <c r="U33" s="845">
        <f>'2'!E46</f>
        <v>0.16</v>
      </c>
      <c r="V33" s="239"/>
      <c r="W33" s="94" t="s">
        <v>2152</v>
      </c>
      <c r="X33" s="94"/>
      <c r="Y33" s="94"/>
      <c r="Z33" s="94"/>
      <c r="AA33" s="94"/>
      <c r="AB33" s="94"/>
      <c r="AC33" s="239"/>
      <c r="AD33" s="239"/>
      <c r="AE33" s="239"/>
      <c r="AF33" s="523"/>
      <c r="AG33" s="94"/>
      <c r="AH33" s="94"/>
      <c r="AI33" s="239"/>
      <c r="AJ33" s="239"/>
      <c r="AK33" s="239"/>
      <c r="AL33" s="239"/>
      <c r="AM33" s="693"/>
    </row>
    <row r="34" spans="2:39">
      <c r="B34" s="972" t="s">
        <v>819</v>
      </c>
      <c r="C34" s="987" t="s">
        <v>47</v>
      </c>
      <c r="D34" s="987" t="s">
        <v>862</v>
      </c>
      <c r="E34" s="1003">
        <f>E13</f>
        <v>29.211934415292436</v>
      </c>
      <c r="F34" s="267"/>
      <c r="G34" s="72" t="s">
        <v>831</v>
      </c>
      <c r="H34" s="989">
        <v>0</v>
      </c>
      <c r="I34" s="989">
        <v>0.70399999999999996</v>
      </c>
      <c r="J34" s="989">
        <v>0</v>
      </c>
      <c r="K34" s="267"/>
      <c r="L34" s="267"/>
      <c r="M34" s="267"/>
      <c r="N34" s="267"/>
      <c r="O34" s="267"/>
      <c r="P34" s="979"/>
      <c r="R34" s="721" t="s">
        <v>2153</v>
      </c>
      <c r="S34" s="314"/>
      <c r="T34" s="315" t="s">
        <v>414</v>
      </c>
      <c r="U34" s="512">
        <f>U33*U39/1.689</f>
        <v>103.18988629105978</v>
      </c>
      <c r="V34" s="239"/>
      <c r="W34" s="94"/>
      <c r="X34" s="94"/>
      <c r="Y34" s="94"/>
      <c r="Z34" s="94"/>
      <c r="AA34" s="94"/>
      <c r="AB34" s="94"/>
      <c r="AC34" s="239"/>
      <c r="AD34" s="239"/>
      <c r="AE34" s="239"/>
      <c r="AF34" s="523"/>
      <c r="AG34" s="94"/>
      <c r="AH34" s="94"/>
      <c r="AI34" s="239"/>
      <c r="AJ34" s="239"/>
      <c r="AK34" s="239"/>
      <c r="AL34" s="239"/>
      <c r="AM34" s="693"/>
    </row>
    <row r="35" spans="2:39">
      <c r="B35" s="972" t="s">
        <v>863</v>
      </c>
      <c r="C35" s="987" t="s">
        <v>864</v>
      </c>
      <c r="D35" s="987" t="s">
        <v>826</v>
      </c>
      <c r="E35" s="1003">
        <f>'6'!M23</f>
        <v>27.490991086801998</v>
      </c>
      <c r="F35" s="267"/>
      <c r="G35" s="72" t="s">
        <v>834</v>
      </c>
      <c r="H35" s="989">
        <v>0</v>
      </c>
      <c r="I35" s="989">
        <v>-1</v>
      </c>
      <c r="J35" s="989">
        <v>3.4000000000000002E-2</v>
      </c>
      <c r="K35" s="267"/>
      <c r="L35" s="267"/>
      <c r="M35" s="267"/>
      <c r="N35" s="267"/>
      <c r="O35" s="267"/>
      <c r="P35" s="979"/>
      <c r="R35" s="724" t="s">
        <v>1670</v>
      </c>
      <c r="S35" s="314"/>
      <c r="T35" s="314" t="s">
        <v>2154</v>
      </c>
      <c r="U35" s="530">
        <f>0.5*(0.00238*U38)*((U34*1.689)^2)</f>
        <v>29.211934415292436</v>
      </c>
      <c r="V35" s="239"/>
      <c r="W35" s="94"/>
      <c r="X35" s="94"/>
      <c r="Y35" s="94"/>
      <c r="Z35" s="94"/>
      <c r="AA35" s="94"/>
      <c r="AB35" s="94"/>
      <c r="AC35" s="239"/>
      <c r="AD35" s="239"/>
      <c r="AE35" s="239"/>
      <c r="AF35" s="523"/>
      <c r="AG35" s="94"/>
      <c r="AH35" s="94"/>
      <c r="AI35" s="239"/>
      <c r="AJ35" s="239"/>
      <c r="AK35" s="239"/>
      <c r="AL35" s="239"/>
      <c r="AM35" s="693"/>
    </row>
    <row r="36" spans="2:39">
      <c r="B36" s="972" t="s">
        <v>865</v>
      </c>
      <c r="C36" s="987" t="s">
        <v>866</v>
      </c>
      <c r="D36" s="987" t="s">
        <v>87</v>
      </c>
      <c r="E36" s="1003">
        <f>'6'!M11</f>
        <v>0.18</v>
      </c>
      <c r="F36" s="267"/>
      <c r="G36" s="72" t="s">
        <v>839</v>
      </c>
      <c r="H36" s="989">
        <v>0</v>
      </c>
      <c r="I36" s="989">
        <v>0.11600000000000001</v>
      </c>
      <c r="J36" s="989">
        <v>4.2999999999999997E-2</v>
      </c>
      <c r="K36" s="267"/>
      <c r="L36" s="267"/>
      <c r="M36" s="267"/>
      <c r="N36" s="267"/>
      <c r="O36" s="267"/>
      <c r="P36" s="979"/>
      <c r="R36" s="721" t="s">
        <v>671</v>
      </c>
      <c r="S36" s="314"/>
      <c r="T36" s="315" t="s">
        <v>1369</v>
      </c>
      <c r="U36" s="846">
        <f>'2'!G46+459.67</f>
        <v>493.64120900000006</v>
      </c>
      <c r="V36" s="239"/>
      <c r="W36" s="94"/>
      <c r="X36" s="94"/>
      <c r="Y36" s="94"/>
      <c r="Z36" s="94"/>
      <c r="AA36" s="94"/>
      <c r="AB36" s="94"/>
      <c r="AC36" s="239"/>
      <c r="AD36" s="239"/>
      <c r="AE36" s="239"/>
      <c r="AF36" s="523"/>
      <c r="AG36" s="94"/>
      <c r="AH36" s="94"/>
      <c r="AI36" s="239"/>
      <c r="AJ36" s="239"/>
      <c r="AK36" s="239"/>
      <c r="AL36" s="239"/>
      <c r="AM36" s="693"/>
    </row>
    <row r="37" spans="2:39">
      <c r="B37" s="972" t="s">
        <v>507</v>
      </c>
      <c r="C37" s="987" t="s">
        <v>841</v>
      </c>
      <c r="D37" s="987" t="s">
        <v>508</v>
      </c>
      <c r="E37" s="1003">
        <f>E18</f>
        <v>1248.4473702610098</v>
      </c>
      <c r="F37" s="267"/>
      <c r="G37" s="72" t="s">
        <v>842</v>
      </c>
      <c r="H37" s="989">
        <v>0</v>
      </c>
      <c r="I37" s="989">
        <v>0</v>
      </c>
      <c r="J37" s="989">
        <v>-0.12</v>
      </c>
      <c r="K37" s="267"/>
      <c r="L37" s="267"/>
      <c r="M37" s="267"/>
      <c r="N37" s="267"/>
      <c r="O37" s="267"/>
      <c r="P37" s="979"/>
      <c r="R37" s="721" t="s">
        <v>1376</v>
      </c>
      <c r="S37" s="314"/>
      <c r="T37" s="315" t="s">
        <v>2155</v>
      </c>
      <c r="U37" s="848">
        <f>U41*2116</f>
        <v>1627.480262289208</v>
      </c>
      <c r="V37" s="239"/>
      <c r="W37" s="94"/>
      <c r="X37" s="94"/>
      <c r="Y37" s="94"/>
      <c r="Z37" s="94"/>
      <c r="AA37" s="94"/>
      <c r="AB37" s="94"/>
      <c r="AC37" s="239"/>
      <c r="AD37" s="239"/>
      <c r="AE37" s="239"/>
      <c r="AF37" s="523"/>
      <c r="AG37" s="94"/>
      <c r="AH37" s="94"/>
      <c r="AI37" s="239"/>
      <c r="AJ37" s="239"/>
      <c r="AK37" s="239"/>
      <c r="AL37" s="239"/>
      <c r="AM37" s="693"/>
    </row>
    <row r="38" spans="2:39">
      <c r="B38" s="972" t="s">
        <v>867</v>
      </c>
      <c r="C38" s="1001" t="s">
        <v>868</v>
      </c>
      <c r="D38" s="987" t="s">
        <v>165</v>
      </c>
      <c r="E38" s="1003">
        <f>'6'!M10</f>
        <v>2</v>
      </c>
      <c r="F38" s="267"/>
      <c r="G38" s="72" t="s">
        <v>845</v>
      </c>
      <c r="H38" s="989">
        <v>0</v>
      </c>
      <c r="I38" s="989">
        <v>0</v>
      </c>
      <c r="J38" s="989">
        <v>-0.02</v>
      </c>
      <c r="K38" s="987"/>
      <c r="L38" s="267"/>
      <c r="M38" s="267"/>
      <c r="N38" s="267"/>
      <c r="O38" s="267"/>
      <c r="P38" s="979"/>
      <c r="R38" s="721" t="s">
        <v>2156</v>
      </c>
      <c r="S38" s="314"/>
      <c r="T38" s="315" t="s">
        <v>87</v>
      </c>
      <c r="U38" s="844">
        <f>'2'!H46/0.00238</f>
        <v>0.80812731925008385</v>
      </c>
      <c r="V38" s="239"/>
      <c r="W38" s="94"/>
      <c r="X38" s="94"/>
      <c r="Y38" s="94"/>
      <c r="Z38" s="94"/>
      <c r="AA38" s="94"/>
      <c r="AB38" s="94"/>
      <c r="AC38" s="239"/>
      <c r="AD38" s="239"/>
      <c r="AE38" s="239"/>
      <c r="AF38" s="523"/>
      <c r="AG38" s="94"/>
      <c r="AH38" s="94"/>
      <c r="AI38" s="239"/>
      <c r="AJ38" s="239"/>
      <c r="AK38" s="239"/>
      <c r="AL38" s="239"/>
      <c r="AM38" s="693"/>
    </row>
    <row r="39" spans="2:39">
      <c r="B39" s="972" t="s">
        <v>869</v>
      </c>
      <c r="C39" s="1001" t="s">
        <v>870</v>
      </c>
      <c r="D39" s="987" t="s">
        <v>87</v>
      </c>
      <c r="E39" s="1003">
        <f>'6'!M9</f>
        <v>0.6</v>
      </c>
      <c r="F39" s="267"/>
      <c r="G39" s="72" t="s">
        <v>848</v>
      </c>
      <c r="H39" s="989">
        <v>0</v>
      </c>
      <c r="I39" s="989">
        <v>0</v>
      </c>
      <c r="J39" s="989">
        <v>0.16800000000000001</v>
      </c>
      <c r="K39" s="987" t="s">
        <v>152</v>
      </c>
      <c r="L39" s="267"/>
      <c r="M39" s="267"/>
      <c r="N39" s="267"/>
      <c r="O39" s="267"/>
      <c r="P39" s="979"/>
      <c r="R39" s="721" t="s">
        <v>678</v>
      </c>
      <c r="S39" s="314"/>
      <c r="T39" s="315" t="s">
        <v>2157</v>
      </c>
      <c r="U39" s="838">
        <f>((IF('2'!D45&lt;37000,((-0.00409890612*'2'!D45)+1117.99058),IF('2'!D45&gt;65000,((0.000671182239*'2'!D45)+924.11991),968.076)))/(((IF('2'!D45&lt;37000,((-0.003553013*'2'!D45)+518.5123),IF('2'!D45&gt;65000,((0.0005471149*'2'!D45)+354.1052),389.97)))/('2'!G45+459.67))^0.5))</f>
        <v>1089.2982371599999</v>
      </c>
      <c r="V39" s="239"/>
      <c r="W39" s="94"/>
      <c r="X39" s="94"/>
      <c r="Y39" s="94"/>
      <c r="Z39" s="94"/>
      <c r="AA39" s="94"/>
      <c r="AB39" s="94"/>
      <c r="AC39" s="239"/>
      <c r="AD39" s="239"/>
      <c r="AE39" s="239"/>
      <c r="AF39" s="523"/>
      <c r="AG39" s="94"/>
      <c r="AH39" s="94"/>
      <c r="AI39" s="239"/>
      <c r="AJ39" s="239"/>
      <c r="AK39" s="239"/>
      <c r="AL39" s="239"/>
      <c r="AM39" s="693"/>
    </row>
    <row r="40" spans="2:39" ht="15.6">
      <c r="B40" s="972"/>
      <c r="C40" s="267"/>
      <c r="D40" s="267"/>
      <c r="E40" s="987"/>
      <c r="F40" s="267"/>
      <c r="G40" s="72"/>
      <c r="H40" s="267"/>
      <c r="I40" s="267"/>
      <c r="J40" s="267"/>
      <c r="K40" s="987"/>
      <c r="L40" s="267"/>
      <c r="M40" s="267"/>
      <c r="N40" s="267"/>
      <c r="O40" s="267"/>
      <c r="P40" s="979"/>
      <c r="R40" s="1198" t="s">
        <v>2158</v>
      </c>
      <c r="S40" s="314"/>
      <c r="T40" s="315" t="s">
        <v>87</v>
      </c>
      <c r="U40" s="516">
        <f>U36/518.67</f>
        <v>0.9517442863477743</v>
      </c>
      <c r="V40" s="239"/>
      <c r="W40" s="94"/>
      <c r="X40" s="94"/>
      <c r="Y40" s="94"/>
      <c r="Z40" s="94"/>
      <c r="AA40" s="94"/>
      <c r="AB40" s="94"/>
      <c r="AC40" s="239"/>
      <c r="AD40" s="239"/>
      <c r="AE40" s="239"/>
      <c r="AF40" s="523"/>
      <c r="AG40" s="94"/>
      <c r="AH40" s="94"/>
      <c r="AI40" s="239"/>
      <c r="AJ40" s="239"/>
      <c r="AK40" s="239"/>
      <c r="AL40" s="239"/>
      <c r="AM40" s="693"/>
    </row>
    <row r="41" spans="2:39" ht="15.6">
      <c r="B41" s="972"/>
      <c r="C41" s="267"/>
      <c r="D41" s="267"/>
      <c r="E41" s="267"/>
      <c r="F41" s="267"/>
      <c r="G41" s="72"/>
      <c r="H41" s="987"/>
      <c r="I41" s="267"/>
      <c r="J41" s="987"/>
      <c r="K41" s="267"/>
      <c r="L41" s="267"/>
      <c r="M41" s="267"/>
      <c r="N41" s="267"/>
      <c r="O41" s="267"/>
      <c r="P41" s="979"/>
      <c r="R41" s="724" t="s">
        <v>2159</v>
      </c>
      <c r="S41" s="314"/>
      <c r="T41" s="315" t="s">
        <v>87</v>
      </c>
      <c r="U41" s="516">
        <f>U40*U38</f>
        <v>0.769130558737811</v>
      </c>
      <c r="V41" s="239"/>
      <c r="W41" s="94"/>
      <c r="X41" s="94"/>
      <c r="Y41" s="94"/>
      <c r="Z41" s="94"/>
      <c r="AA41" s="94"/>
      <c r="AB41" s="94"/>
      <c r="AC41" s="239"/>
      <c r="AD41" s="239"/>
      <c r="AE41" s="231"/>
      <c r="AF41" s="231"/>
      <c r="AG41" s="231"/>
      <c r="AH41" s="223"/>
      <c r="AI41" s="231"/>
      <c r="AJ41" s="231"/>
      <c r="AK41" s="231"/>
      <c r="AL41" s="231"/>
      <c r="AM41" s="433"/>
    </row>
    <row r="42" spans="2:39" ht="17.399999999999999">
      <c r="B42" s="973" t="s">
        <v>871</v>
      </c>
      <c r="C42" s="267"/>
      <c r="D42" s="267"/>
      <c r="E42" s="267"/>
      <c r="F42" s="267"/>
      <c r="G42" s="267"/>
      <c r="H42" s="267"/>
      <c r="I42" s="267"/>
      <c r="J42" s="267"/>
      <c r="K42" s="267"/>
      <c r="L42" s="267"/>
      <c r="M42" s="267"/>
      <c r="N42" s="267"/>
      <c r="O42" s="267"/>
      <c r="P42" s="979"/>
      <c r="R42" s="724" t="s">
        <v>2160</v>
      </c>
      <c r="S42" s="314"/>
      <c r="T42" s="314" t="s">
        <v>673</v>
      </c>
      <c r="U42" s="682">
        <f>0.00238*U38</f>
        <v>1.9233430198151997E-3</v>
      </c>
      <c r="V42" s="239"/>
      <c r="W42" s="94"/>
      <c r="X42" s="94"/>
      <c r="Y42" s="94"/>
      <c r="Z42" s="94"/>
      <c r="AA42" s="94"/>
      <c r="AB42" s="94"/>
      <c r="AC42" s="239"/>
      <c r="AD42" s="239"/>
      <c r="AE42" s="683"/>
      <c r="AF42" s="683"/>
      <c r="AG42" s="683"/>
      <c r="AH42" s="683"/>
      <c r="AI42" s="239"/>
      <c r="AJ42" s="231"/>
      <c r="AK42" s="231"/>
      <c r="AL42" s="231"/>
      <c r="AM42" s="433"/>
    </row>
    <row r="43" spans="2:39" ht="13.8" thickBot="1">
      <c r="B43" s="980"/>
      <c r="C43" s="978"/>
      <c r="D43" s="978"/>
      <c r="E43" s="978"/>
      <c r="F43" s="267"/>
      <c r="G43" s="267"/>
      <c r="H43" s="267"/>
      <c r="I43" s="267"/>
      <c r="J43" s="267" t="s">
        <v>798</v>
      </c>
      <c r="K43" s="267"/>
      <c r="L43" s="267"/>
      <c r="M43" s="267"/>
      <c r="N43" s="267"/>
      <c r="O43" s="267"/>
      <c r="P43" s="979"/>
      <c r="R43" s="1197"/>
      <c r="S43" s="239"/>
      <c r="T43" s="239"/>
      <c r="U43" s="239"/>
      <c r="V43" s="239"/>
      <c r="W43" s="94"/>
      <c r="X43" s="94"/>
      <c r="Y43" s="94"/>
      <c r="Z43" s="94"/>
      <c r="AA43" s="94"/>
      <c r="AB43" s="94"/>
      <c r="AC43" s="231"/>
      <c r="AD43" s="239"/>
      <c r="AE43" s="683"/>
      <c r="AF43" s="683"/>
      <c r="AG43" s="683"/>
      <c r="AH43" s="683"/>
      <c r="AI43" s="239"/>
      <c r="AJ43" s="231"/>
      <c r="AK43" s="231"/>
      <c r="AL43" s="231"/>
      <c r="AM43" s="433"/>
    </row>
    <row r="44" spans="2:39">
      <c r="B44" s="982" t="s">
        <v>641</v>
      </c>
      <c r="C44" s="983" t="s">
        <v>89</v>
      </c>
      <c r="D44" s="983" t="s">
        <v>90</v>
      </c>
      <c r="E44" s="983" t="s">
        <v>91</v>
      </c>
      <c r="F44" s="267"/>
      <c r="G44" s="267"/>
      <c r="H44" s="984" t="s">
        <v>799</v>
      </c>
      <c r="I44" s="984" t="s">
        <v>800</v>
      </c>
      <c r="J44" s="984" t="s">
        <v>801</v>
      </c>
      <c r="K44" s="267"/>
      <c r="L44" s="267"/>
      <c r="M44" s="267"/>
      <c r="N44" s="267"/>
      <c r="O44" s="267"/>
      <c r="P44" s="979"/>
      <c r="R44" s="684" t="s">
        <v>2161</v>
      </c>
      <c r="S44" s="685"/>
      <c r="T44" s="274"/>
      <c r="U44" s="274"/>
      <c r="V44" s="274"/>
      <c r="W44" s="686"/>
      <c r="X44" s="686"/>
      <c r="Y44" s="229"/>
      <c r="Z44" s="274"/>
      <c r="AA44" s="687"/>
      <c r="AB44" s="94"/>
      <c r="AC44" s="231"/>
      <c r="AD44" s="239"/>
      <c r="AE44" s="683"/>
      <c r="AF44" s="683"/>
      <c r="AG44" s="683"/>
      <c r="AH44" s="99"/>
      <c r="AI44" s="239"/>
      <c r="AJ44" s="231"/>
      <c r="AK44" s="231"/>
      <c r="AL44" s="231"/>
      <c r="AM44" s="433"/>
    </row>
    <row r="45" spans="2:39">
      <c r="B45" s="986" t="s">
        <v>872</v>
      </c>
      <c r="C45" s="987" t="s">
        <v>873</v>
      </c>
      <c r="D45" s="267" t="s">
        <v>87</v>
      </c>
      <c r="E45" s="1005">
        <f>'6'!N12</f>
        <v>1.3</v>
      </c>
      <c r="F45" s="267"/>
      <c r="G45" s="72" t="s">
        <v>804</v>
      </c>
      <c r="H45" s="989">
        <v>0.45200000000000001</v>
      </c>
      <c r="I45" s="989">
        <v>2.5999999999999999E-3</v>
      </c>
      <c r="J45" s="989">
        <v>7.6E-3</v>
      </c>
      <c r="K45" s="267"/>
      <c r="L45" s="267"/>
      <c r="M45" s="267"/>
      <c r="N45" s="267"/>
      <c r="O45" s="267"/>
      <c r="P45" s="979"/>
      <c r="R45" s="688"/>
      <c r="S45" s="231"/>
      <c r="T45" s="231"/>
      <c r="U45" s="231"/>
      <c r="V45" s="94"/>
      <c r="W45" s="617" t="s">
        <v>1820</v>
      </c>
      <c r="X45" s="617" t="s">
        <v>1739</v>
      </c>
      <c r="Y45" s="231"/>
      <c r="Z45" s="94"/>
      <c r="AA45" s="651"/>
      <c r="AB45" s="94"/>
      <c r="AC45" s="231"/>
      <c r="AD45" s="231"/>
      <c r="AE45" s="683"/>
      <c r="AF45" s="683"/>
      <c r="AG45" s="683"/>
      <c r="AH45" s="99"/>
      <c r="AI45" s="239"/>
      <c r="AJ45" s="231"/>
      <c r="AK45" s="231"/>
      <c r="AL45" s="231"/>
      <c r="AM45" s="433"/>
    </row>
    <row r="46" spans="2:39">
      <c r="B46" s="972" t="s">
        <v>874</v>
      </c>
      <c r="C46" s="987" t="s">
        <v>875</v>
      </c>
      <c r="D46" s="987" t="s">
        <v>188</v>
      </c>
      <c r="E46" s="1005">
        <f>'6'!M16</f>
        <v>0</v>
      </c>
      <c r="F46" s="267"/>
      <c r="G46" s="72" t="s">
        <v>808</v>
      </c>
      <c r="H46" s="989">
        <v>1</v>
      </c>
      <c r="I46" s="989">
        <v>1</v>
      </c>
      <c r="J46" s="989">
        <v>0.2</v>
      </c>
      <c r="K46" s="267"/>
      <c r="L46" s="267"/>
      <c r="M46" s="267"/>
      <c r="N46" s="267"/>
      <c r="O46" s="267"/>
      <c r="P46" s="979"/>
      <c r="R46" s="235"/>
      <c r="S46" s="231"/>
      <c r="T46" s="94"/>
      <c r="U46" s="94"/>
      <c r="V46" s="94"/>
      <c r="W46" s="617" t="s">
        <v>1770</v>
      </c>
      <c r="X46" s="617" t="s">
        <v>1740</v>
      </c>
      <c r="Y46" s="231"/>
      <c r="Z46" s="94"/>
      <c r="AA46" s="651"/>
      <c r="AB46" s="94"/>
      <c r="AC46" s="231"/>
      <c r="AD46" s="231"/>
      <c r="AE46" s="683"/>
      <c r="AF46" s="689"/>
      <c r="AG46" s="683"/>
      <c r="AH46" s="690"/>
      <c r="AI46" s="239"/>
      <c r="AJ46" s="231"/>
      <c r="AK46" s="231"/>
      <c r="AL46" s="231"/>
      <c r="AM46" s="433"/>
    </row>
    <row r="47" spans="2:39">
      <c r="B47" s="972" t="s">
        <v>876</v>
      </c>
      <c r="C47" s="987" t="s">
        <v>877</v>
      </c>
      <c r="D47" s="987" t="s">
        <v>188</v>
      </c>
      <c r="E47" s="1005">
        <f>'6'!N25</f>
        <v>4.908952773229994</v>
      </c>
      <c r="F47" s="267"/>
      <c r="G47" s="72" t="s">
        <v>813</v>
      </c>
      <c r="H47" s="989">
        <v>0.5</v>
      </c>
      <c r="I47" s="989">
        <v>0.22500000000000001</v>
      </c>
      <c r="J47" s="989">
        <v>1</v>
      </c>
      <c r="K47" s="267"/>
      <c r="L47" s="267"/>
      <c r="M47" s="267"/>
      <c r="N47" s="267"/>
      <c r="O47" s="267"/>
      <c r="P47" s="979"/>
      <c r="R47" s="691"/>
      <c r="S47" s="617" t="s">
        <v>1821</v>
      </c>
      <c r="T47" s="94" t="s">
        <v>2162</v>
      </c>
      <c r="U47" s="94" t="s">
        <v>2163</v>
      </c>
      <c r="V47" s="617" t="s">
        <v>1823</v>
      </c>
      <c r="W47" s="617" t="s">
        <v>1824</v>
      </c>
      <c r="X47" s="692" t="s">
        <v>1743</v>
      </c>
      <c r="Y47" s="231"/>
      <c r="Z47" s="231"/>
      <c r="AA47" s="693"/>
      <c r="AB47" s="239"/>
      <c r="AC47" s="231"/>
      <c r="AD47" s="231"/>
      <c r="AE47" s="683"/>
      <c r="AF47" s="683"/>
      <c r="AG47" s="683"/>
      <c r="AH47" s="195"/>
      <c r="AI47" s="239"/>
      <c r="AJ47" s="231"/>
      <c r="AK47" s="231"/>
      <c r="AL47" s="231"/>
      <c r="AM47" s="433"/>
    </row>
    <row r="48" spans="2:39">
      <c r="B48" s="972" t="s">
        <v>878</v>
      </c>
      <c r="C48" s="987" t="s">
        <v>879</v>
      </c>
      <c r="D48" s="987" t="s">
        <v>188</v>
      </c>
      <c r="E48" s="1005">
        <f>E50</f>
        <v>12.674999999999999</v>
      </c>
      <c r="F48" s="267"/>
      <c r="G48" s="72" t="s">
        <v>817</v>
      </c>
      <c r="H48" s="989">
        <v>0.48799999999999999</v>
      </c>
      <c r="I48" s="989">
        <v>0.55600000000000005</v>
      </c>
      <c r="J48" s="989">
        <v>0.376</v>
      </c>
      <c r="K48" s="267"/>
      <c r="L48" s="267"/>
      <c r="M48" s="267"/>
      <c r="N48" s="267"/>
      <c r="O48" s="267"/>
      <c r="P48" s="979"/>
      <c r="R48" s="275" t="s">
        <v>2164</v>
      </c>
      <c r="S48" s="571" t="s">
        <v>1745</v>
      </c>
      <c r="T48" s="98" t="s">
        <v>1811</v>
      </c>
      <c r="U48" s="98" t="s">
        <v>1811</v>
      </c>
      <c r="V48" s="571" t="s">
        <v>1827</v>
      </c>
      <c r="W48" s="571" t="s">
        <v>2165</v>
      </c>
      <c r="X48" s="571" t="s">
        <v>1742</v>
      </c>
      <c r="Y48" s="231"/>
      <c r="Z48" s="231"/>
      <c r="AA48" s="693"/>
      <c r="AB48" s="239"/>
      <c r="AC48" s="231"/>
      <c r="AD48" s="462"/>
      <c r="AE48" s="683"/>
      <c r="AF48" s="689"/>
      <c r="AG48" s="683"/>
      <c r="AH48" s="191"/>
      <c r="AI48" s="239"/>
      <c r="AJ48" s="231"/>
      <c r="AK48" s="231"/>
      <c r="AL48" s="231"/>
      <c r="AM48" s="433"/>
    </row>
    <row r="49" spans="2:39">
      <c r="B49" s="972" t="s">
        <v>880</v>
      </c>
      <c r="C49" s="987" t="s">
        <v>881</v>
      </c>
      <c r="D49" s="987" t="s">
        <v>87</v>
      </c>
      <c r="E49" s="1006">
        <v>1</v>
      </c>
      <c r="F49" s="267"/>
      <c r="G49" s="72" t="s">
        <v>821</v>
      </c>
      <c r="H49" s="989">
        <v>0.48799999999999999</v>
      </c>
      <c r="I49" s="989">
        <v>0.53600000000000003</v>
      </c>
      <c r="J49" s="989">
        <v>0.376</v>
      </c>
      <c r="K49" s="267"/>
      <c r="L49" s="267"/>
      <c r="M49" s="267"/>
      <c r="N49" s="267"/>
      <c r="O49" s="267"/>
      <c r="P49" s="979"/>
      <c r="R49" s="691" t="s">
        <v>2780</v>
      </c>
      <c r="S49" s="849">
        <v>0</v>
      </c>
      <c r="T49" s="602">
        <v>0.4</v>
      </c>
      <c r="U49" s="602">
        <v>0.6</v>
      </c>
      <c r="V49" s="191">
        <f t="shared" ref="V49:V56" si="0">0.5*(U49-T49) + T49</f>
        <v>0.5</v>
      </c>
      <c r="W49" s="100">
        <f t="shared" ref="W49:W56" si="1">S49*(V$57-V49)*U$22</f>
        <v>0</v>
      </c>
      <c r="X49" s="100">
        <f t="shared" ref="X49:X56" si="2">S49/(1+(U49-T49)/0.05)</f>
        <v>0</v>
      </c>
      <c r="Y49" s="231"/>
      <c r="AA49" s="695"/>
      <c r="AB49" s="312"/>
      <c r="AC49" s="231"/>
      <c r="AD49" s="462"/>
      <c r="AE49" s="683"/>
      <c r="AF49" s="683"/>
      <c r="AG49" s="683"/>
      <c r="AH49" s="94"/>
      <c r="AI49" s="239"/>
      <c r="AJ49" s="231"/>
      <c r="AK49" s="231"/>
      <c r="AL49" s="231"/>
      <c r="AM49" s="433"/>
    </row>
    <row r="50" spans="2:39">
      <c r="B50" s="972" t="s">
        <v>882</v>
      </c>
      <c r="C50" s="987" t="s">
        <v>883</v>
      </c>
      <c r="D50" s="987" t="s">
        <v>188</v>
      </c>
      <c r="E50" s="1005">
        <f>ABS('6'!N14*'5'!T15)</f>
        <v>12.674999999999999</v>
      </c>
      <c r="F50" s="267"/>
      <c r="G50" s="72" t="s">
        <v>827</v>
      </c>
      <c r="H50" s="989">
        <v>0.71799999999999997</v>
      </c>
      <c r="I50" s="989">
        <v>0.5</v>
      </c>
      <c r="J50" s="989">
        <v>0.873</v>
      </c>
      <c r="K50" s="267"/>
      <c r="L50" s="267"/>
      <c r="M50" s="267"/>
      <c r="N50" s="267"/>
      <c r="O50" s="267"/>
      <c r="P50" s="979"/>
      <c r="R50" s="691" t="s">
        <v>1829</v>
      </c>
      <c r="S50" s="849">
        <v>0</v>
      </c>
      <c r="T50" s="602">
        <v>0.4</v>
      </c>
      <c r="U50" s="602">
        <v>0.55000000000000004</v>
      </c>
      <c r="V50" s="191">
        <f t="shared" si="0"/>
        <v>0.47500000000000003</v>
      </c>
      <c r="W50" s="100">
        <f t="shared" si="1"/>
        <v>0</v>
      </c>
      <c r="X50" s="100">
        <f t="shared" si="2"/>
        <v>0</v>
      </c>
      <c r="Y50" s="231"/>
      <c r="AA50" s="695"/>
      <c r="AB50" s="312"/>
      <c r="AC50" s="251"/>
      <c r="AD50" s="231"/>
      <c r="AE50" s="683"/>
      <c r="AF50" s="689"/>
      <c r="AG50" s="683"/>
      <c r="AH50" s="690"/>
      <c r="AI50" s="239"/>
      <c r="AJ50" s="231"/>
      <c r="AK50" s="231"/>
      <c r="AL50" s="231"/>
      <c r="AM50" s="433"/>
    </row>
    <row r="51" spans="2:39">
      <c r="B51" s="972" t="s">
        <v>884</v>
      </c>
      <c r="C51" s="987" t="s">
        <v>51</v>
      </c>
      <c r="D51" s="987" t="s">
        <v>87</v>
      </c>
      <c r="E51" s="1005">
        <f>'2'!E46</f>
        <v>0.16</v>
      </c>
      <c r="F51" s="267"/>
      <c r="G51" s="72" t="s">
        <v>831</v>
      </c>
      <c r="H51" s="989">
        <v>0.34100000000000003</v>
      </c>
      <c r="I51" s="989">
        <v>0</v>
      </c>
      <c r="J51" s="989">
        <v>0</v>
      </c>
      <c r="K51" s="267"/>
      <c r="L51" s="267"/>
      <c r="M51" s="267"/>
      <c r="N51" s="267"/>
      <c r="O51" s="267"/>
      <c r="P51" s="979"/>
      <c r="R51" s="278" t="s">
        <v>1830</v>
      </c>
      <c r="S51" s="849">
        <f>IF('11'!M27=1,((-1)*'11'!N12),IF('11'!M27=2,((-1)*'11'!O12),((-1)*'11'!P12)))</f>
        <v>-99.187856136005479</v>
      </c>
      <c r="T51" s="602">
        <v>0</v>
      </c>
      <c r="U51" s="602">
        <v>1</v>
      </c>
      <c r="V51" s="191">
        <f t="shared" si="0"/>
        <v>0.5</v>
      </c>
      <c r="W51" s="100">
        <f t="shared" si="1"/>
        <v>411.73521356071456</v>
      </c>
      <c r="X51" s="100">
        <f t="shared" si="2"/>
        <v>-4.7232312445716893</v>
      </c>
      <c r="Y51" s="231"/>
      <c r="Z51" s="231"/>
      <c r="AA51" s="693"/>
      <c r="AB51" s="239"/>
      <c r="AC51" s="251"/>
      <c r="AD51" s="231"/>
      <c r="AE51" s="683"/>
      <c r="AF51" s="683"/>
      <c r="AG51" s="683"/>
      <c r="AH51" s="696"/>
      <c r="AI51" s="239"/>
      <c r="AJ51" s="231"/>
      <c r="AK51" s="231"/>
      <c r="AL51" s="231"/>
      <c r="AM51" s="433"/>
    </row>
    <row r="52" spans="2:39">
      <c r="B52" s="972" t="s">
        <v>816</v>
      </c>
      <c r="C52" s="987" t="s">
        <v>214</v>
      </c>
      <c r="D52" s="987" t="s">
        <v>87</v>
      </c>
      <c r="E52" s="1005">
        <f>E12</f>
        <v>9</v>
      </c>
      <c r="F52" s="267"/>
      <c r="G52" s="72" t="s">
        <v>834</v>
      </c>
      <c r="H52" s="989">
        <v>-1</v>
      </c>
      <c r="I52" s="989">
        <v>-0.5</v>
      </c>
      <c r="J52" s="989">
        <v>0</v>
      </c>
      <c r="K52" s="267"/>
      <c r="L52" s="267"/>
      <c r="M52" s="267"/>
      <c r="N52" s="267"/>
      <c r="O52" s="267"/>
      <c r="P52" s="979"/>
      <c r="R52" s="278" t="s">
        <v>2166</v>
      </c>
      <c r="S52" s="849">
        <f>IF('11'!M27=1,((-1)*'11'!N15),IF('11'!M27=2,((-1)*'11'!O15),((-1)*'11'!P15)))</f>
        <v>-420.46731532835759</v>
      </c>
      <c r="T52" s="602">
        <v>0.05</v>
      </c>
      <c r="U52" s="602">
        <v>0.1</v>
      </c>
      <c r="V52" s="191">
        <f t="shared" si="0"/>
        <v>7.5000000000000011E-2</v>
      </c>
      <c r="W52" s="100">
        <f t="shared" si="1"/>
        <v>-2029.6210628617873</v>
      </c>
      <c r="X52" s="100">
        <f t="shared" si="2"/>
        <v>-210.23365766417879</v>
      </c>
      <c r="Y52" s="231"/>
      <c r="Z52" s="231"/>
      <c r="AA52" s="693"/>
      <c r="AB52" s="239"/>
      <c r="AC52" s="251"/>
      <c r="AD52" s="451"/>
      <c r="AE52" s="683"/>
      <c r="AF52" s="683"/>
      <c r="AG52" s="683"/>
      <c r="AH52" s="683"/>
      <c r="AI52" s="239"/>
      <c r="AJ52" s="231"/>
      <c r="AK52" s="231"/>
      <c r="AL52" s="231"/>
      <c r="AM52" s="433"/>
    </row>
    <row r="53" spans="2:39">
      <c r="B53" s="972" t="s">
        <v>819</v>
      </c>
      <c r="C53" s="987" t="s">
        <v>47</v>
      </c>
      <c r="D53" s="987" t="s">
        <v>862</v>
      </c>
      <c r="E53" s="1005">
        <f>E13</f>
        <v>29.211934415292436</v>
      </c>
      <c r="F53" s="267"/>
      <c r="G53" s="72" t="s">
        <v>839</v>
      </c>
      <c r="H53" s="989">
        <v>0.34799999999999998</v>
      </c>
      <c r="I53" s="989">
        <v>0</v>
      </c>
      <c r="J53" s="989">
        <v>0</v>
      </c>
      <c r="K53" s="267"/>
      <c r="L53" s="267"/>
      <c r="M53" s="267"/>
      <c r="N53" s="267"/>
      <c r="O53" s="267"/>
      <c r="P53" s="979"/>
      <c r="R53" s="278" t="s">
        <v>1833</v>
      </c>
      <c r="S53" s="849">
        <f>IF('11'!M27=1,((-1)*'11'!N9),IF('11'!M27=2,((-1)*'11'!O9),((-1)*'11'!P9)))</f>
        <v>-127.53072711420064</v>
      </c>
      <c r="T53" s="1359">
        <f>'3-view'!K46</f>
        <v>0.39809537446583393</v>
      </c>
      <c r="U53" s="1359">
        <f>'3-view'!L46</f>
        <v>0.60571387660249809</v>
      </c>
      <c r="V53" s="191">
        <f t="shared" si="0"/>
        <v>0.50190462553416604</v>
      </c>
      <c r="W53" s="100">
        <f t="shared" si="1"/>
        <v>534.5195324345957</v>
      </c>
      <c r="X53" s="100">
        <f t="shared" si="2"/>
        <v>-24.751857117495934</v>
      </c>
      <c r="Y53" s="231"/>
      <c r="Z53" s="231"/>
      <c r="AA53" s="693"/>
      <c r="AB53" s="239"/>
      <c r="AC53" s="251"/>
      <c r="AD53" s="451"/>
      <c r="AE53" s="683"/>
      <c r="AF53" s="683"/>
      <c r="AG53" s="683"/>
      <c r="AH53" s="696"/>
      <c r="AI53" s="239"/>
      <c r="AJ53" s="231"/>
      <c r="AK53" s="231"/>
      <c r="AL53" s="231"/>
      <c r="AM53" s="433"/>
    </row>
    <row r="54" spans="2:39">
      <c r="B54" s="972" t="s">
        <v>952</v>
      </c>
      <c r="C54" s="987" t="s">
        <v>885</v>
      </c>
      <c r="D54" s="987" t="s">
        <v>87</v>
      </c>
      <c r="E54" s="1007">
        <v>0.3</v>
      </c>
      <c r="F54" s="267"/>
      <c r="G54" s="72" t="s">
        <v>842</v>
      </c>
      <c r="H54" s="989">
        <v>0.223</v>
      </c>
      <c r="I54" s="989">
        <v>0.35</v>
      </c>
      <c r="J54" s="989">
        <v>0.35699999999999998</v>
      </c>
      <c r="K54" s="267"/>
      <c r="L54" s="267"/>
      <c r="M54" s="267"/>
      <c r="N54" s="267"/>
      <c r="O54" s="267"/>
      <c r="P54" s="979"/>
      <c r="R54" s="278" t="s">
        <v>1834</v>
      </c>
      <c r="S54" s="849">
        <f>IF('11'!M27=1,((-1)*'11'!N10),IF('11'!M27=2,((-1)*'11'!O10),((-1)*'11'!P10)))</f>
        <v>-16.713960148368926</v>
      </c>
      <c r="T54" s="1359">
        <f>'3-view'!K47</f>
        <v>1.0124262232084364</v>
      </c>
      <c r="U54" s="1359">
        <f>'3-view'!L47</f>
        <v>1.1782605651354729</v>
      </c>
      <c r="V54" s="191">
        <f t="shared" si="0"/>
        <v>1.0953433941719548</v>
      </c>
      <c r="W54" s="100">
        <f>S54*(V$57-V54)*U$22</f>
        <v>279.58601014088981</v>
      </c>
      <c r="X54" s="100">
        <f t="shared" si="2"/>
        <v>-3.8719417862656758</v>
      </c>
      <c r="Y54" s="231"/>
      <c r="Z54" s="231"/>
      <c r="AA54" s="693"/>
      <c r="AB54" s="239"/>
      <c r="AC54" s="251"/>
      <c r="AD54" s="451"/>
      <c r="AE54" s="683"/>
      <c r="AF54" s="683"/>
      <c r="AG54" s="683"/>
      <c r="AH54" s="94"/>
      <c r="AI54" s="239"/>
      <c r="AJ54" s="231"/>
      <c r="AK54" s="231"/>
      <c r="AL54" s="231"/>
      <c r="AM54" s="433"/>
    </row>
    <row r="55" spans="2:39">
      <c r="B55" s="972" t="s">
        <v>886</v>
      </c>
      <c r="C55" s="987" t="s">
        <v>887</v>
      </c>
      <c r="D55" s="987" t="s">
        <v>826</v>
      </c>
      <c r="E55" s="1005">
        <f>E54*E56</f>
        <v>5.561034768415948</v>
      </c>
      <c r="F55" s="267"/>
      <c r="G55" s="72" t="s">
        <v>845</v>
      </c>
      <c r="H55" s="989">
        <v>1</v>
      </c>
      <c r="I55" s="989">
        <v>0</v>
      </c>
      <c r="J55" s="989">
        <v>0</v>
      </c>
      <c r="K55" s="267"/>
      <c r="L55" s="267"/>
      <c r="M55" s="267"/>
      <c r="N55" s="267"/>
      <c r="O55" s="267"/>
      <c r="P55" s="979"/>
      <c r="R55" s="278" t="s">
        <v>1835</v>
      </c>
      <c r="S55" s="849">
        <f>IF('11'!M27=1,((-1)*'11'!N11),IF('11'!M27=2,((-1)*'11'!O11),((-1)*'11'!P11)))</f>
        <v>-10.456106648627296</v>
      </c>
      <c r="T55" s="1359">
        <f>'3-view'!K48</f>
        <v>0.9758430590909003</v>
      </c>
      <c r="U55" s="1359">
        <f>'3-view'!L48</f>
        <v>1.1992819654736948</v>
      </c>
      <c r="V55" s="191">
        <f t="shared" si="0"/>
        <v>1.0875625122822976</v>
      </c>
      <c r="W55" s="100">
        <f t="shared" si="1"/>
        <v>173.18786991650882</v>
      </c>
      <c r="X55" s="100">
        <f t="shared" si="2"/>
        <v>-1.9119639532915464</v>
      </c>
      <c r="Y55" s="231"/>
      <c r="Z55" s="231"/>
      <c r="AA55" s="693"/>
      <c r="AB55" s="239"/>
      <c r="AC55" s="251"/>
      <c r="AD55" s="451"/>
      <c r="AE55" s="312"/>
      <c r="AF55" s="312"/>
      <c r="AG55" s="312"/>
      <c r="AH55" s="94"/>
      <c r="AI55" s="239"/>
      <c r="AJ55" s="231"/>
      <c r="AK55" s="231"/>
      <c r="AL55" s="231"/>
      <c r="AM55" s="433"/>
    </row>
    <row r="56" spans="2:39">
      <c r="B56" s="972" t="s">
        <v>888</v>
      </c>
      <c r="C56" s="987" t="s">
        <v>889</v>
      </c>
      <c r="D56" s="987" t="s">
        <v>826</v>
      </c>
      <c r="E56" s="1005">
        <f>'6'!N23</f>
        <v>18.536782561386495</v>
      </c>
      <c r="F56" s="267"/>
      <c r="G56" s="72" t="s">
        <v>848</v>
      </c>
      <c r="H56" s="989">
        <v>0.25</v>
      </c>
      <c r="I56" s="989">
        <v>0</v>
      </c>
      <c r="J56" s="989">
        <v>3.9E-2</v>
      </c>
      <c r="K56" s="267"/>
      <c r="L56" s="267"/>
      <c r="M56" s="267"/>
      <c r="N56" s="267"/>
      <c r="O56" s="267"/>
      <c r="P56" s="979"/>
      <c r="R56" s="278" t="s">
        <v>1836</v>
      </c>
      <c r="S56" s="849">
        <f>IF('11'!M27=1,((-1)*('11'!N13+'11'!N14+'11'!N16)),IF('11'!M27=2,((-1)*('11'!O13+'11'!O14+'11'!O16)),((-1)*('11'!P13+'11'!P14+'11'!P16))))</f>
        <v>-151.9110094124822</v>
      </c>
      <c r="T56" s="602">
        <v>0</v>
      </c>
      <c r="U56" s="602">
        <v>1</v>
      </c>
      <c r="V56" s="191">
        <f t="shared" si="0"/>
        <v>0.5</v>
      </c>
      <c r="W56" s="100">
        <f t="shared" si="1"/>
        <v>630.59243680907923</v>
      </c>
      <c r="X56" s="100">
        <f t="shared" si="2"/>
        <v>-7.2338575910705813</v>
      </c>
      <c r="Y56" s="231"/>
      <c r="Z56" s="231"/>
      <c r="AA56" s="693"/>
      <c r="AB56" s="239"/>
      <c r="AC56" s="231"/>
      <c r="AD56" s="451"/>
      <c r="AE56" s="231"/>
      <c r="AF56" s="231"/>
      <c r="AG56" s="231"/>
      <c r="AH56" s="223"/>
      <c r="AI56" s="231"/>
      <c r="AJ56" s="231"/>
      <c r="AK56" s="231"/>
      <c r="AL56" s="231"/>
      <c r="AM56" s="433"/>
    </row>
    <row r="57" spans="2:39">
      <c r="B57" s="972" t="s">
        <v>890</v>
      </c>
      <c r="C57" s="987" t="s">
        <v>891</v>
      </c>
      <c r="D57" s="987" t="s">
        <v>87</v>
      </c>
      <c r="E57" s="989">
        <f>'6'!N11</f>
        <v>0.18</v>
      </c>
      <c r="F57" s="267"/>
      <c r="G57" s="72" t="s">
        <v>850</v>
      </c>
      <c r="H57" s="989">
        <v>-0.32300000000000001</v>
      </c>
      <c r="I57" s="989">
        <v>-1</v>
      </c>
      <c r="J57" s="989">
        <v>-0.224</v>
      </c>
      <c r="K57" s="267"/>
      <c r="L57" s="267"/>
      <c r="M57" s="267"/>
      <c r="N57" s="267"/>
      <c r="O57" s="267"/>
      <c r="P57" s="979"/>
      <c r="R57" s="697" t="s">
        <v>2167</v>
      </c>
      <c r="S57" s="100">
        <f>SUM(S49:S56)</f>
        <v>-826.26697478804226</v>
      </c>
      <c r="T57" s="231"/>
      <c r="U57" s="94"/>
      <c r="V57" s="435">
        <v>0.30349989333531641</v>
      </c>
      <c r="W57" s="698">
        <f>SUM(W49:W56)</f>
        <v>0</v>
      </c>
      <c r="X57" s="501"/>
      <c r="Y57" s="231"/>
      <c r="Z57" s="231"/>
      <c r="AA57" s="693"/>
      <c r="AB57" s="239"/>
      <c r="AC57" s="231"/>
      <c r="AD57" s="451"/>
      <c r="AE57" s="231"/>
      <c r="AF57" s="231"/>
      <c r="AG57" s="231"/>
      <c r="AH57" s="223"/>
      <c r="AI57" s="231"/>
      <c r="AJ57" s="231"/>
      <c r="AK57" s="231"/>
      <c r="AL57" s="231"/>
      <c r="AM57" s="433"/>
    </row>
    <row r="58" spans="2:39">
      <c r="B58" s="972" t="s">
        <v>507</v>
      </c>
      <c r="C58" s="987" t="s">
        <v>841</v>
      </c>
      <c r="D58" s="987" t="s">
        <v>508</v>
      </c>
      <c r="E58" s="1005">
        <f>E18</f>
        <v>1248.4473702610098</v>
      </c>
      <c r="F58" s="267"/>
      <c r="G58" s="72" t="s">
        <v>851</v>
      </c>
      <c r="H58" s="989">
        <v>0</v>
      </c>
      <c r="I58" s="989">
        <v>-0.5</v>
      </c>
      <c r="J58" s="989">
        <v>-0.49</v>
      </c>
      <c r="K58" s="267"/>
      <c r="L58" s="267"/>
      <c r="M58" s="267"/>
      <c r="N58" s="267"/>
      <c r="O58" s="267"/>
      <c r="P58" s="979"/>
      <c r="R58" s="275" t="s">
        <v>2168</v>
      </c>
      <c r="S58" s="100"/>
      <c r="T58" s="231"/>
      <c r="U58" s="94"/>
      <c r="V58" s="571"/>
      <c r="W58" s="501"/>
      <c r="X58" s="501"/>
      <c r="Y58" s="231"/>
      <c r="Z58" s="231"/>
      <c r="AA58" s="693"/>
      <c r="AB58" s="239"/>
      <c r="AC58" s="437"/>
      <c r="AD58" s="451"/>
      <c r="AE58" s="231"/>
      <c r="AF58" s="451"/>
      <c r="AG58" s="451"/>
      <c r="AH58" s="223"/>
      <c r="AI58" s="231"/>
      <c r="AJ58" s="231"/>
      <c r="AK58" s="231"/>
      <c r="AL58" s="231"/>
      <c r="AM58" s="433"/>
    </row>
    <row r="59" spans="2:39">
      <c r="B59" s="972" t="s">
        <v>892</v>
      </c>
      <c r="C59" s="1001" t="s">
        <v>893</v>
      </c>
      <c r="D59" s="987" t="s">
        <v>165</v>
      </c>
      <c r="E59" s="1005">
        <f>'6'!N10</f>
        <v>15</v>
      </c>
      <c r="F59" s="267"/>
      <c r="G59" s="72" t="s">
        <v>894</v>
      </c>
      <c r="H59" s="989">
        <v>0</v>
      </c>
      <c r="I59" s="989">
        <v>0.875</v>
      </c>
      <c r="J59" s="989">
        <v>0</v>
      </c>
      <c r="K59" s="267"/>
      <c r="L59" s="267"/>
      <c r="M59" s="267"/>
      <c r="N59" s="267"/>
      <c r="O59" s="267"/>
      <c r="P59" s="979"/>
      <c r="R59" s="278" t="s">
        <v>2169</v>
      </c>
      <c r="S59" s="694">
        <v>685.57683923083039</v>
      </c>
      <c r="T59" s="231"/>
      <c r="U59" s="94"/>
      <c r="V59" s="699">
        <v>0.40730914440364852</v>
      </c>
      <c r="W59" s="100">
        <f>S59*(V$57-V59)*U$22</f>
        <v>-1503.4497351160767</v>
      </c>
      <c r="X59" s="501"/>
      <c r="Y59" s="231"/>
      <c r="Z59" s="231"/>
      <c r="AA59" s="693"/>
      <c r="AB59" s="239"/>
      <c r="AC59" s="437"/>
      <c r="AD59" s="451"/>
      <c r="AE59" s="231"/>
      <c r="AF59" s="451"/>
      <c r="AG59" s="451"/>
      <c r="AH59" s="223"/>
      <c r="AI59" s="231"/>
      <c r="AJ59" s="231"/>
      <c r="AK59" s="231"/>
      <c r="AL59" s="231"/>
      <c r="AM59" s="433"/>
    </row>
    <row r="60" spans="2:39">
      <c r="B60" s="972" t="s">
        <v>895</v>
      </c>
      <c r="C60" s="1001" t="s">
        <v>896</v>
      </c>
      <c r="D60" s="987" t="s">
        <v>87</v>
      </c>
      <c r="E60" s="989">
        <f>'6'!N9</f>
        <v>0.6</v>
      </c>
      <c r="F60" s="267"/>
      <c r="G60" s="72" t="s">
        <v>897</v>
      </c>
      <c r="H60" s="989">
        <v>0</v>
      </c>
      <c r="I60" s="989">
        <v>0</v>
      </c>
      <c r="J60" s="989">
        <v>0.122</v>
      </c>
      <c r="K60" s="267"/>
      <c r="L60" s="267"/>
      <c r="M60" s="267"/>
      <c r="N60" s="267"/>
      <c r="O60" s="267"/>
      <c r="P60" s="979"/>
      <c r="R60" s="278" t="s">
        <v>2170</v>
      </c>
      <c r="S60" s="694">
        <v>-38.795356879489923</v>
      </c>
      <c r="T60" s="231"/>
      <c r="U60" s="94"/>
      <c r="V60" s="191">
        <f>V54</f>
        <v>1.0953433941719548</v>
      </c>
      <c r="W60" s="100">
        <f>S60*(V$57-V60)*U$22</f>
        <v>648.95685676186122</v>
      </c>
      <c r="X60" s="501"/>
      <c r="Y60" s="231"/>
      <c r="Z60" s="231"/>
      <c r="AA60" s="693"/>
      <c r="AB60" s="239"/>
      <c r="AC60" s="437"/>
      <c r="AD60" s="231"/>
      <c r="AE60" s="231"/>
      <c r="AF60" s="451"/>
      <c r="AG60" s="451"/>
      <c r="AH60" s="223"/>
      <c r="AI60" s="231"/>
      <c r="AJ60" s="231"/>
      <c r="AK60" s="231"/>
      <c r="AL60" s="231"/>
      <c r="AM60" s="433"/>
    </row>
    <row r="61" spans="2:39">
      <c r="B61" s="972"/>
      <c r="C61" s="267"/>
      <c r="D61" s="267"/>
      <c r="E61" s="267"/>
      <c r="F61" s="267"/>
      <c r="G61" s="267"/>
      <c r="H61" s="267"/>
      <c r="I61" s="267"/>
      <c r="J61" s="267"/>
      <c r="K61" s="267"/>
      <c r="L61" s="267"/>
      <c r="M61" s="267"/>
      <c r="N61" s="267"/>
      <c r="O61" s="267"/>
      <c r="P61" s="979"/>
      <c r="R61" s="278" t="s">
        <v>2171</v>
      </c>
      <c r="S61" s="100">
        <f>$U42*((U34*1.689)^2)*(PI()/4)*($U28^2)*TAN($U29*PI()/180)</f>
        <v>179.48549243670158</v>
      </c>
      <c r="T61" s="94"/>
      <c r="U61" s="94"/>
      <c r="V61" s="606"/>
      <c r="W61" s="100">
        <f>S61*(V57-V52)*U22</f>
        <v>866.38728540211184</v>
      </c>
      <c r="X61" s="501"/>
      <c r="Y61" s="231"/>
      <c r="Z61" s="231"/>
      <c r="AA61" s="693"/>
      <c r="AB61" s="239"/>
      <c r="AC61" s="437"/>
      <c r="AD61" s="231"/>
      <c r="AE61" s="231"/>
      <c r="AF61" s="451"/>
      <c r="AG61" s="451"/>
      <c r="AH61" s="223"/>
      <c r="AI61" s="231"/>
      <c r="AJ61" s="231"/>
      <c r="AK61" s="231"/>
      <c r="AL61" s="231"/>
      <c r="AM61" s="433"/>
    </row>
    <row r="62" spans="2:39">
      <c r="B62" s="972"/>
      <c r="C62" s="267"/>
      <c r="D62" s="987"/>
      <c r="E62" s="267"/>
      <c r="F62" s="267"/>
      <c r="G62" s="267"/>
      <c r="H62" s="267"/>
      <c r="I62" s="267"/>
      <c r="J62" s="267"/>
      <c r="K62" s="267"/>
      <c r="L62" s="267"/>
      <c r="M62" s="267"/>
      <c r="N62" s="267"/>
      <c r="O62" s="267"/>
      <c r="P62" s="979"/>
      <c r="R62" s="278" t="s">
        <v>2172</v>
      </c>
      <c r="S62" s="100"/>
      <c r="T62" s="94"/>
      <c r="U62" s="94"/>
      <c r="V62" s="606"/>
      <c r="W62" s="100">
        <f>U11*U35*U8*U21</f>
        <v>0</v>
      </c>
      <c r="X62" s="501"/>
      <c r="Y62" s="501"/>
      <c r="Z62" s="231"/>
      <c r="AA62" s="693"/>
      <c r="AB62" s="239"/>
      <c r="AC62" s="437"/>
      <c r="AD62" s="231"/>
      <c r="AE62" s="231"/>
      <c r="AF62" s="451"/>
      <c r="AG62" s="451"/>
      <c r="AH62" s="223"/>
      <c r="AI62" s="231"/>
      <c r="AJ62" s="231"/>
      <c r="AK62" s="231"/>
      <c r="AL62" s="231"/>
      <c r="AM62" s="433"/>
    </row>
    <row r="63" spans="2:39" ht="17.399999999999999">
      <c r="B63" s="973" t="s">
        <v>898</v>
      </c>
      <c r="C63" s="267"/>
      <c r="D63" s="267"/>
      <c r="E63" s="267"/>
      <c r="F63" s="267"/>
      <c r="G63" s="267"/>
      <c r="H63" s="267"/>
      <c r="I63" s="267"/>
      <c r="J63" s="267"/>
      <c r="K63" s="267"/>
      <c r="L63" s="267"/>
      <c r="M63" s="267"/>
      <c r="N63" s="267"/>
      <c r="O63" s="267"/>
      <c r="P63" s="979"/>
      <c r="R63" s="278" t="s">
        <v>2173</v>
      </c>
      <c r="S63" s="100"/>
      <c r="T63" s="94"/>
      <c r="U63" s="94"/>
      <c r="V63" s="606"/>
      <c r="W63" s="100">
        <f>V11*U35*V8*V21</f>
        <v>0</v>
      </c>
      <c r="X63" s="501"/>
      <c r="Y63" s="501"/>
      <c r="Z63" s="231"/>
      <c r="AA63" s="693"/>
      <c r="AB63" s="239"/>
      <c r="AC63" s="231"/>
      <c r="AD63" s="231"/>
      <c r="AE63" s="231"/>
      <c r="AF63" s="231"/>
      <c r="AG63" s="231"/>
      <c r="AH63" s="223"/>
      <c r="AI63" s="231"/>
      <c r="AJ63" s="231"/>
      <c r="AK63" s="231"/>
      <c r="AL63" s="231"/>
      <c r="AM63" s="433"/>
    </row>
    <row r="64" spans="2:39">
      <c r="B64" s="980"/>
      <c r="C64" s="978"/>
      <c r="D64" s="978"/>
      <c r="E64" s="978"/>
      <c r="F64" s="267"/>
      <c r="G64" s="267"/>
      <c r="H64" s="267"/>
      <c r="I64" s="267"/>
      <c r="J64" s="267" t="s">
        <v>798</v>
      </c>
      <c r="K64" s="267"/>
      <c r="L64" s="267"/>
      <c r="M64" s="267"/>
      <c r="N64" s="267"/>
      <c r="O64" s="267"/>
      <c r="P64" s="979"/>
      <c r="R64" s="697" t="s">
        <v>2174</v>
      </c>
      <c r="S64" s="100">
        <f>SUM(S59:S61)</f>
        <v>826.26697478804203</v>
      </c>
      <c r="T64" s="94"/>
      <c r="U64" s="94"/>
      <c r="V64" s="606" t="s">
        <v>1838</v>
      </c>
      <c r="W64" s="100">
        <f>SUM(W59:W63)</f>
        <v>11.894407047896379</v>
      </c>
      <c r="X64" s="501"/>
      <c r="Y64" s="501"/>
      <c r="Z64" s="231"/>
      <c r="AA64" s="693"/>
      <c r="AB64" s="239"/>
      <c r="AC64" s="231"/>
      <c r="AD64" s="231"/>
      <c r="AE64" s="239"/>
      <c r="AF64" s="239"/>
      <c r="AG64" s="239"/>
      <c r="AH64" s="94"/>
      <c r="AI64" s="239"/>
      <c r="AJ64" s="239"/>
      <c r="AK64" s="239"/>
      <c r="AL64" s="239"/>
      <c r="AM64" s="693"/>
    </row>
    <row r="65" spans="2:39">
      <c r="B65" s="982" t="s">
        <v>641</v>
      </c>
      <c r="C65" s="983" t="s">
        <v>89</v>
      </c>
      <c r="D65" s="983" t="s">
        <v>90</v>
      </c>
      <c r="E65" s="983" t="s">
        <v>91</v>
      </c>
      <c r="F65" s="267"/>
      <c r="G65" s="267"/>
      <c r="H65" s="984" t="s">
        <v>799</v>
      </c>
      <c r="I65" s="984" t="s">
        <v>800</v>
      </c>
      <c r="J65" s="984" t="s">
        <v>801</v>
      </c>
      <c r="K65" s="267"/>
      <c r="L65" s="267"/>
      <c r="M65" s="267"/>
      <c r="N65" s="267"/>
      <c r="O65" s="267"/>
      <c r="P65" s="979"/>
      <c r="R65" s="275" t="s">
        <v>2175</v>
      </c>
      <c r="S65" s="462"/>
      <c r="T65" s="231"/>
      <c r="U65" s="231"/>
      <c r="V65" s="231"/>
      <c r="W65" s="462"/>
      <c r="X65" s="239"/>
      <c r="Y65" s="501"/>
      <c r="Z65" s="231"/>
      <c r="AA65" s="693"/>
      <c r="AB65" s="239"/>
      <c r="AC65" s="231"/>
      <c r="AD65" s="231"/>
      <c r="AE65" s="231"/>
      <c r="AF65" s="231"/>
      <c r="AG65" s="231"/>
      <c r="AH65" s="223"/>
      <c r="AI65" s="231"/>
      <c r="AJ65" s="231"/>
      <c r="AK65" s="231"/>
      <c r="AL65" s="231"/>
      <c r="AM65" s="433"/>
    </row>
    <row r="66" spans="2:39">
      <c r="B66" s="986" t="s">
        <v>899</v>
      </c>
      <c r="C66" s="987" t="s">
        <v>900</v>
      </c>
      <c r="D66" s="987" t="s">
        <v>188</v>
      </c>
      <c r="E66" s="1005">
        <f>'4'!L17</f>
        <v>25.877051060058488</v>
      </c>
      <c r="F66" s="267"/>
      <c r="G66" s="72" t="s">
        <v>804</v>
      </c>
      <c r="H66" s="989">
        <v>0.499</v>
      </c>
      <c r="I66" s="989">
        <v>0.32800000000000001</v>
      </c>
      <c r="J66" s="989">
        <v>5.1999999999999998E-2</v>
      </c>
      <c r="K66" s="267"/>
      <c r="L66" s="267"/>
      <c r="M66" s="267"/>
      <c r="N66" s="267"/>
      <c r="O66" s="267"/>
      <c r="P66" s="979"/>
      <c r="R66" s="278" t="s">
        <v>2176</v>
      </c>
      <c r="S66" s="849">
        <f>'3'!BC17</f>
        <v>185.02244139783605</v>
      </c>
      <c r="T66" s="94"/>
      <c r="U66" s="94"/>
      <c r="V66" s="101"/>
      <c r="W66" s="100">
        <f>S66*U25</f>
        <v>0</v>
      </c>
      <c r="X66" s="501"/>
      <c r="Y66" s="501"/>
      <c r="Z66" s="231"/>
      <c r="AA66" s="693"/>
      <c r="AB66" s="239"/>
      <c r="AC66" s="239"/>
      <c r="AD66" s="231"/>
      <c r="AE66" s="231"/>
      <c r="AF66" s="231"/>
      <c r="AG66" s="231"/>
      <c r="AH66" s="223"/>
      <c r="AI66" s="231"/>
      <c r="AJ66" s="231"/>
      <c r="AK66" s="231"/>
      <c r="AL66" s="231"/>
      <c r="AM66" s="433"/>
    </row>
    <row r="67" spans="2:39">
      <c r="B67" s="972" t="s">
        <v>901</v>
      </c>
      <c r="C67" s="987" t="s">
        <v>78</v>
      </c>
      <c r="D67" s="987" t="s">
        <v>188</v>
      </c>
      <c r="E67" s="1005">
        <f>MAX('5'!AF9:AF19)</f>
        <v>3</v>
      </c>
      <c r="F67" s="267"/>
      <c r="G67" s="72" t="s">
        <v>808</v>
      </c>
      <c r="H67" s="989">
        <f>E69</f>
        <v>1</v>
      </c>
      <c r="I67" s="989">
        <f>E70</f>
        <v>1.06</v>
      </c>
      <c r="J67" s="989">
        <v>1</v>
      </c>
      <c r="K67" s="267"/>
      <c r="L67" s="267"/>
      <c r="M67" s="267"/>
      <c r="N67" s="267"/>
      <c r="O67" s="267"/>
      <c r="P67" s="979"/>
      <c r="R67" s="278" t="s">
        <v>2177</v>
      </c>
      <c r="S67" s="100">
        <f>U14*((S59/(U35*U8))^2)*U35*U8</f>
        <v>7.9296046595647018</v>
      </c>
      <c r="T67" s="94"/>
      <c r="U67" s="94"/>
      <c r="V67" s="101"/>
      <c r="W67" s="100">
        <f>S67*U26</f>
        <v>-11.894406989347052</v>
      </c>
      <c r="X67" s="501"/>
      <c r="Y67" s="501"/>
      <c r="Z67" s="239"/>
      <c r="AA67" s="693"/>
      <c r="AB67" s="239"/>
      <c r="AC67" s="231"/>
      <c r="AD67" s="231"/>
      <c r="AE67" s="231"/>
      <c r="AF67" s="231"/>
      <c r="AG67" s="231"/>
      <c r="AH67" s="223"/>
      <c r="AI67" s="231"/>
      <c r="AJ67" s="231"/>
      <c r="AK67" s="231"/>
      <c r="AL67" s="231"/>
      <c r="AM67" s="433"/>
    </row>
    <row r="68" spans="2:39">
      <c r="B68" s="972"/>
      <c r="C68" s="987" t="s">
        <v>902</v>
      </c>
      <c r="D68" s="267" t="s">
        <v>87</v>
      </c>
      <c r="E68" s="989">
        <f>0.75*((1+2*E21)/(1+E21))*((E66/E72)*TAN((PI()/180)*E20))</f>
        <v>0</v>
      </c>
      <c r="F68" s="267"/>
      <c r="G68" s="72" t="s">
        <v>813</v>
      </c>
      <c r="H68" s="989">
        <v>1</v>
      </c>
      <c r="I68" s="989">
        <f>E71</f>
        <v>1.1200000000000001</v>
      </c>
      <c r="J68" s="989">
        <v>1</v>
      </c>
      <c r="K68" s="267"/>
      <c r="L68" s="267"/>
      <c r="M68" s="267"/>
      <c r="N68" s="267"/>
      <c r="O68" s="267"/>
      <c r="P68" s="979"/>
      <c r="R68" s="697"/>
      <c r="S68" s="462"/>
      <c r="T68" s="231"/>
      <c r="U68" s="231"/>
      <c r="V68" s="606" t="s">
        <v>1838</v>
      </c>
      <c r="W68" s="462">
        <f>SUM(W66:W67)</f>
        <v>-11.894406989347052</v>
      </c>
      <c r="X68" s="312"/>
      <c r="Y68" s="501"/>
      <c r="Z68" s="231"/>
      <c r="AA68" s="693"/>
      <c r="AB68" s="239"/>
      <c r="AC68" s="231"/>
      <c r="AD68" s="239"/>
      <c r="AE68" s="231"/>
      <c r="AF68" s="231"/>
      <c r="AG68" s="231"/>
      <c r="AH68" s="223"/>
      <c r="AI68" s="231"/>
      <c r="AJ68" s="231"/>
      <c r="AK68" s="231"/>
      <c r="AL68" s="231"/>
      <c r="AM68" s="433"/>
    </row>
    <row r="69" spans="2:39">
      <c r="B69" s="972" t="s">
        <v>903</v>
      </c>
      <c r="C69" s="987" t="s">
        <v>904</v>
      </c>
      <c r="D69" s="267" t="s">
        <v>87</v>
      </c>
      <c r="E69" s="1004">
        <v>1</v>
      </c>
      <c r="F69" s="267"/>
      <c r="G69" s="72" t="s">
        <v>817</v>
      </c>
      <c r="H69" s="989">
        <v>0.35</v>
      </c>
      <c r="I69" s="989">
        <v>0.5</v>
      </c>
      <c r="J69" s="989">
        <v>0.17699999999999999</v>
      </c>
      <c r="K69" s="267"/>
      <c r="L69" s="267"/>
      <c r="M69" s="267"/>
      <c r="N69" s="267"/>
      <c r="O69" s="267"/>
      <c r="P69" s="979"/>
      <c r="R69" s="278"/>
      <c r="S69" s="100"/>
      <c r="T69" s="94"/>
      <c r="U69" s="94"/>
      <c r="V69" s="606"/>
      <c r="W69" s="501"/>
      <c r="X69" s="501"/>
      <c r="Y69" s="501"/>
      <c r="Z69" s="231"/>
      <c r="AA69" s="693"/>
      <c r="AB69" s="239"/>
      <c r="AC69" s="231"/>
      <c r="AD69" s="231"/>
      <c r="AE69" s="231"/>
      <c r="AF69" s="231"/>
      <c r="AG69" s="231"/>
      <c r="AH69" s="223"/>
      <c r="AI69" s="231"/>
      <c r="AJ69" s="231"/>
      <c r="AK69" s="231"/>
      <c r="AL69" s="231"/>
      <c r="AM69" s="433"/>
    </row>
    <row r="70" spans="2:39">
      <c r="B70" s="972" t="s">
        <v>1006</v>
      </c>
      <c r="C70" s="987" t="s">
        <v>905</v>
      </c>
      <c r="D70" s="267" t="s">
        <v>87</v>
      </c>
      <c r="E70" s="1008">
        <v>1.06</v>
      </c>
      <c r="F70" s="267"/>
      <c r="G70" s="72" t="s">
        <v>821</v>
      </c>
      <c r="H70" s="989">
        <v>0.25</v>
      </c>
      <c r="I70" s="989">
        <v>0.5</v>
      </c>
      <c r="J70" s="989">
        <v>0.17699999999999999</v>
      </c>
      <c r="K70" s="267"/>
      <c r="L70" s="267"/>
      <c r="M70" s="267"/>
      <c r="N70" s="267"/>
      <c r="O70" s="267"/>
      <c r="P70" s="979"/>
      <c r="R70" s="697" t="s">
        <v>2178</v>
      </c>
      <c r="S70" s="698">
        <f>S57+S64</f>
        <v>0</v>
      </c>
      <c r="T70" s="94"/>
      <c r="U70" s="94"/>
      <c r="V70" s="606" t="s">
        <v>1838</v>
      </c>
      <c r="W70" s="698">
        <f>W57+W64+W68</f>
        <v>5.8549327164314491E-8</v>
      </c>
      <c r="X70" s="501"/>
      <c r="Y70" s="501"/>
      <c r="Z70" s="231"/>
      <c r="AA70" s="693"/>
      <c r="AB70" s="239"/>
      <c r="AC70" s="231"/>
      <c r="AD70" s="231"/>
      <c r="AE70" s="231"/>
      <c r="AF70" s="231"/>
      <c r="AG70" s="231"/>
      <c r="AH70" s="223"/>
      <c r="AI70" s="231"/>
      <c r="AJ70" s="231"/>
      <c r="AK70" s="231"/>
      <c r="AL70" s="231"/>
      <c r="AM70" s="433"/>
    </row>
    <row r="71" spans="2:39">
      <c r="B71" s="972" t="s">
        <v>906</v>
      </c>
      <c r="C71" s="987" t="s">
        <v>907</v>
      </c>
      <c r="D71" s="267" t="s">
        <v>87</v>
      </c>
      <c r="E71" s="1008">
        <v>1.1200000000000001</v>
      </c>
      <c r="F71" s="267"/>
      <c r="G71" s="72" t="s">
        <v>827</v>
      </c>
      <c r="H71" s="989">
        <v>0.5</v>
      </c>
      <c r="I71" s="989">
        <v>0.35</v>
      </c>
      <c r="J71" s="989">
        <v>-7.1999999999999995E-2</v>
      </c>
      <c r="K71" s="267"/>
      <c r="L71" s="267"/>
      <c r="M71" s="267"/>
      <c r="N71" s="267"/>
      <c r="O71" s="267"/>
      <c r="P71" s="979"/>
      <c r="R71" s="697"/>
      <c r="S71" s="312"/>
      <c r="T71" s="94"/>
      <c r="U71" s="94"/>
      <c r="V71" s="606"/>
      <c r="W71" s="501"/>
      <c r="X71" s="501"/>
      <c r="Y71" s="501"/>
      <c r="Z71" s="231"/>
      <c r="AA71" s="693"/>
      <c r="AB71" s="239"/>
      <c r="AC71" s="231"/>
      <c r="AD71" s="231"/>
      <c r="AE71" s="231"/>
      <c r="AF71" s="231"/>
      <c r="AG71" s="231"/>
      <c r="AH71" s="223"/>
      <c r="AI71" s="231"/>
      <c r="AJ71" s="231"/>
      <c r="AK71" s="231"/>
      <c r="AL71" s="231"/>
      <c r="AM71" s="433"/>
    </row>
    <row r="72" spans="2:39">
      <c r="B72" s="972" t="s">
        <v>908</v>
      </c>
      <c r="C72" s="987" t="s">
        <v>909</v>
      </c>
      <c r="D72" s="987" t="s">
        <v>188</v>
      </c>
      <c r="E72" s="1005">
        <f>'5'!T15</f>
        <v>21.125</v>
      </c>
      <c r="F72" s="267"/>
      <c r="G72" s="72" t="s">
        <v>831</v>
      </c>
      <c r="H72" s="989">
        <v>0</v>
      </c>
      <c r="I72" s="989">
        <v>0</v>
      </c>
      <c r="J72" s="989">
        <v>-5.0999999999999997E-2</v>
      </c>
      <c r="K72" s="267"/>
      <c r="L72" s="267"/>
      <c r="M72" s="267"/>
      <c r="N72" s="267"/>
      <c r="O72" s="267"/>
      <c r="P72" s="979"/>
      <c r="R72" s="691"/>
      <c r="S72" s="231"/>
      <c r="T72" s="231"/>
      <c r="U72" s="231"/>
      <c r="V72" s="231"/>
      <c r="W72" s="231"/>
      <c r="X72" s="239"/>
      <c r="Y72" s="231"/>
      <c r="Z72" s="231"/>
      <c r="AA72" s="693"/>
      <c r="AB72" s="239"/>
      <c r="AC72" s="231"/>
      <c r="AD72" s="231"/>
      <c r="AE72" s="231"/>
      <c r="AF72" s="231"/>
      <c r="AG72" s="231"/>
      <c r="AH72" s="223"/>
      <c r="AI72" s="231"/>
      <c r="AJ72" s="231"/>
      <c r="AK72" s="231"/>
      <c r="AL72" s="231"/>
      <c r="AM72" s="433"/>
    </row>
    <row r="73" spans="2:39">
      <c r="B73" s="972" t="s">
        <v>860</v>
      </c>
      <c r="C73" s="987" t="s">
        <v>910</v>
      </c>
      <c r="D73" s="987" t="s">
        <v>188</v>
      </c>
      <c r="E73" s="1005">
        <f>E32</f>
        <v>12.674999999999999</v>
      </c>
      <c r="F73" s="267"/>
      <c r="G73" s="72" t="s">
        <v>834</v>
      </c>
      <c r="H73" s="989">
        <v>0.84899999999999998</v>
      </c>
      <c r="I73" s="989">
        <v>-0.1</v>
      </c>
      <c r="J73" s="989">
        <v>7.1999999999999995E-2</v>
      </c>
      <c r="K73" s="267"/>
      <c r="L73" s="267"/>
      <c r="M73" s="267"/>
      <c r="N73" s="267"/>
      <c r="O73" s="267"/>
      <c r="P73" s="979"/>
      <c r="R73" s="700" t="s">
        <v>2179</v>
      </c>
      <c r="S73" s="231"/>
      <c r="T73" s="231"/>
      <c r="U73" s="231"/>
      <c r="V73" s="231"/>
      <c r="W73" s="231"/>
      <c r="X73" s="239"/>
      <c r="Y73" s="231"/>
      <c r="Z73" s="231"/>
      <c r="AA73" s="693"/>
      <c r="AB73" s="239"/>
      <c r="AC73" s="231"/>
      <c r="AD73" s="231"/>
      <c r="AE73" s="231"/>
      <c r="AF73" s="231"/>
      <c r="AG73" s="231"/>
      <c r="AH73" s="223"/>
      <c r="AI73" s="231"/>
      <c r="AJ73" s="231"/>
      <c r="AK73" s="231"/>
      <c r="AL73" s="231"/>
      <c r="AM73" s="433"/>
    </row>
    <row r="74" spans="2:39">
      <c r="B74" s="972" t="s">
        <v>816</v>
      </c>
      <c r="C74" s="987" t="s">
        <v>214</v>
      </c>
      <c r="D74" s="267" t="s">
        <v>87</v>
      </c>
      <c r="E74" s="1005">
        <f>E12</f>
        <v>9</v>
      </c>
      <c r="F74" s="267"/>
      <c r="G74" s="72" t="s">
        <v>839</v>
      </c>
      <c r="H74" s="989">
        <v>0</v>
      </c>
      <c r="I74" s="989">
        <v>0.30199999999999999</v>
      </c>
      <c r="J74" s="989">
        <v>1.0860000000000001</v>
      </c>
      <c r="K74" s="267"/>
      <c r="L74" s="267"/>
      <c r="M74" s="267"/>
      <c r="N74" s="267"/>
      <c r="O74" s="267"/>
      <c r="P74" s="979"/>
      <c r="R74" s="276" t="s">
        <v>641</v>
      </c>
      <c r="S74" s="98" t="s">
        <v>89</v>
      </c>
      <c r="T74" s="98" t="s">
        <v>90</v>
      </c>
      <c r="U74" s="571" t="s">
        <v>91</v>
      </c>
      <c r="V74" s="233" t="s">
        <v>1811</v>
      </c>
      <c r="W74" s="231"/>
      <c r="X74" s="239"/>
      <c r="Y74" s="231"/>
      <c r="Z74" s="231"/>
      <c r="AA74" s="693"/>
      <c r="AB74" s="239"/>
      <c r="AC74" s="231"/>
      <c r="AD74" s="231"/>
      <c r="AE74" s="231"/>
      <c r="AF74" s="231"/>
      <c r="AG74" s="231"/>
      <c r="AH74" s="223"/>
      <c r="AI74" s="231"/>
      <c r="AJ74" s="231"/>
      <c r="AK74" s="231"/>
      <c r="AL74" s="231"/>
      <c r="AM74" s="433"/>
    </row>
    <row r="75" spans="2:39">
      <c r="B75" s="972" t="s">
        <v>819</v>
      </c>
      <c r="C75" s="987" t="s">
        <v>47</v>
      </c>
      <c r="D75" s="267" t="s">
        <v>87</v>
      </c>
      <c r="E75" s="1005">
        <f>E13</f>
        <v>29.211934415292436</v>
      </c>
      <c r="F75" s="267"/>
      <c r="G75" s="72" t="s">
        <v>842</v>
      </c>
      <c r="H75" s="989">
        <v>0.68500000000000005</v>
      </c>
      <c r="I75" s="989">
        <v>0</v>
      </c>
      <c r="J75" s="989">
        <v>0</v>
      </c>
      <c r="K75" s="267"/>
      <c r="L75" s="267"/>
      <c r="M75" s="267"/>
      <c r="N75" s="267"/>
      <c r="O75" s="267"/>
      <c r="P75" s="979"/>
      <c r="R75" s="691" t="s">
        <v>2180</v>
      </c>
      <c r="S75" s="231" t="s">
        <v>2181</v>
      </c>
      <c r="T75" s="231" t="s">
        <v>188</v>
      </c>
      <c r="U75" s="227">
        <f>V57*U22</f>
        <v>6.4114352467085594</v>
      </c>
      <c r="V75" s="701">
        <f>U75/U22</f>
        <v>0.30349989333531641</v>
      </c>
      <c r="W75" s="231"/>
      <c r="X75" s="239"/>
      <c r="Y75" s="231"/>
      <c r="Z75" s="231"/>
      <c r="AA75" s="693"/>
      <c r="AB75" s="239"/>
      <c r="AC75" s="231"/>
      <c r="AD75" s="231"/>
      <c r="AE75" s="231"/>
      <c r="AF75" s="231"/>
      <c r="AG75" s="231"/>
      <c r="AH75" s="223"/>
      <c r="AI75" s="231"/>
      <c r="AJ75" s="231"/>
      <c r="AK75" s="231"/>
      <c r="AL75" s="231"/>
      <c r="AM75" s="433"/>
    </row>
    <row r="76" spans="2:39">
      <c r="B76" s="972" t="s">
        <v>911</v>
      </c>
      <c r="C76" s="987" t="s">
        <v>833</v>
      </c>
      <c r="D76" s="987" t="s">
        <v>826</v>
      </c>
      <c r="E76" s="1005">
        <f>'5'!T21</f>
        <v>134.88918932039897</v>
      </c>
      <c r="F76" s="267"/>
      <c r="G76" s="72" t="s">
        <v>845</v>
      </c>
      <c r="H76" s="989">
        <v>0</v>
      </c>
      <c r="I76" s="989">
        <v>0.04</v>
      </c>
      <c r="J76" s="989">
        <v>0</v>
      </c>
      <c r="K76" s="267"/>
      <c r="L76" s="267"/>
      <c r="M76" s="267"/>
      <c r="N76" s="267"/>
      <c r="O76" s="267"/>
      <c r="P76" s="979"/>
      <c r="R76" s="691" t="s">
        <v>2182</v>
      </c>
      <c r="S76" s="231" t="s">
        <v>2183</v>
      </c>
      <c r="T76" s="231" t="s">
        <v>188</v>
      </c>
      <c r="U76" s="227">
        <f>U22*V59</f>
        <v>8.6044056755270741</v>
      </c>
      <c r="V76" s="702">
        <f>U76/U22</f>
        <v>0.40730914440364846</v>
      </c>
      <c r="W76" s="231"/>
      <c r="X76" s="239"/>
      <c r="Y76" s="231"/>
      <c r="Z76" s="231"/>
      <c r="AA76" s="693"/>
      <c r="AB76" s="239"/>
      <c r="AC76" s="231"/>
      <c r="AD76" s="231"/>
      <c r="AE76" s="231"/>
      <c r="AF76" s="231"/>
      <c r="AG76" s="231"/>
      <c r="AH76" s="223"/>
      <c r="AI76" s="231"/>
      <c r="AJ76" s="231"/>
      <c r="AK76" s="231"/>
      <c r="AL76" s="231"/>
      <c r="AM76" s="433"/>
    </row>
    <row r="77" spans="2:39">
      <c r="B77" s="972" t="s">
        <v>888</v>
      </c>
      <c r="C77" s="987" t="s">
        <v>889</v>
      </c>
      <c r="D77" s="987" t="s">
        <v>826</v>
      </c>
      <c r="E77" s="1005">
        <f>E56</f>
        <v>18.536782561386495</v>
      </c>
      <c r="F77" s="267"/>
      <c r="G77" s="72" t="s">
        <v>848</v>
      </c>
      <c r="H77" s="989">
        <v>0</v>
      </c>
      <c r="I77" s="989">
        <v>0</v>
      </c>
      <c r="J77" s="989">
        <v>0.24099999999999999</v>
      </c>
      <c r="K77" s="267"/>
      <c r="L77" s="267"/>
      <c r="M77" s="267"/>
      <c r="N77" s="267"/>
      <c r="O77" s="267"/>
      <c r="P77" s="979"/>
      <c r="R77" s="691" t="s">
        <v>2184</v>
      </c>
      <c r="S77" s="231" t="s">
        <v>1844</v>
      </c>
      <c r="T77" s="231" t="s">
        <v>87</v>
      </c>
      <c r="U77" s="703">
        <f>(U76-U75)/U21</f>
        <v>0.49999999999999978</v>
      </c>
      <c r="V77" s="670" t="str">
        <f>IF(U77&gt;0,"Good: SM&gt;0%","Bad: SM&lt;0%")</f>
        <v>Good: SM&gt;0%</v>
      </c>
      <c r="W77" s="231"/>
      <c r="X77" s="239"/>
      <c r="Y77" s="231"/>
      <c r="Z77" s="231"/>
      <c r="AA77" s="693"/>
      <c r="AB77" s="239"/>
      <c r="AC77" s="231"/>
      <c r="AD77" s="231"/>
      <c r="AE77" s="231"/>
      <c r="AF77" s="231"/>
      <c r="AG77" s="231"/>
      <c r="AH77" s="223"/>
      <c r="AI77" s="231"/>
      <c r="AJ77" s="231"/>
      <c r="AK77" s="231"/>
      <c r="AL77" s="231"/>
      <c r="AM77" s="433"/>
    </row>
    <row r="78" spans="2:39">
      <c r="B78" s="972" t="s">
        <v>912</v>
      </c>
      <c r="C78" s="987" t="s">
        <v>913</v>
      </c>
      <c r="D78" s="987" t="s">
        <v>188</v>
      </c>
      <c r="E78" s="1005">
        <f>MAX('5'!AG9:AG19)</f>
        <v>3.5</v>
      </c>
      <c r="F78" s="267"/>
      <c r="G78" s="72" t="s">
        <v>850</v>
      </c>
      <c r="H78" s="989">
        <v>0</v>
      </c>
      <c r="I78" s="989">
        <v>0</v>
      </c>
      <c r="J78" s="989">
        <f>E81</f>
        <v>17.632411183515156</v>
      </c>
      <c r="K78" s="267"/>
      <c r="L78" s="267"/>
      <c r="M78" s="267"/>
      <c r="N78" s="267"/>
      <c r="O78" s="267"/>
      <c r="P78" s="979"/>
      <c r="R78" s="691" t="s">
        <v>2185</v>
      </c>
      <c r="S78" s="231" t="s">
        <v>1498</v>
      </c>
      <c r="T78" s="231" t="s">
        <v>1467</v>
      </c>
      <c r="U78" s="227">
        <f>U15*U8*U35</f>
        <v>160.34431775353832</v>
      </c>
      <c r="V78" s="440"/>
      <c r="W78" s="231"/>
      <c r="X78" s="239"/>
      <c r="Y78" s="231"/>
      <c r="Z78" s="231"/>
      <c r="AA78" s="693"/>
      <c r="AB78" s="239"/>
      <c r="AC78" s="231"/>
      <c r="AD78" s="231"/>
      <c r="AE78" s="231"/>
      <c r="AF78" s="231"/>
      <c r="AG78" s="231"/>
      <c r="AH78" s="223"/>
      <c r="AI78" s="231"/>
      <c r="AJ78" s="231"/>
      <c r="AK78" s="231"/>
      <c r="AL78" s="231"/>
      <c r="AM78" s="433"/>
    </row>
    <row r="79" spans="2:39">
      <c r="B79" s="972" t="s">
        <v>914</v>
      </c>
      <c r="C79" s="987" t="s">
        <v>915</v>
      </c>
      <c r="D79" s="987" t="s">
        <v>916</v>
      </c>
      <c r="E79" s="1005">
        <f>'5'!T22</f>
        <v>78.56023260137772</v>
      </c>
      <c r="F79" s="267"/>
      <c r="G79" s="267"/>
      <c r="H79" s="267"/>
      <c r="I79" s="267"/>
      <c r="J79" s="267"/>
      <c r="K79" s="267"/>
      <c r="L79" s="267"/>
      <c r="M79" s="267"/>
      <c r="N79" s="267"/>
      <c r="O79" s="267"/>
      <c r="P79" s="979"/>
      <c r="R79" s="691" t="s">
        <v>2186</v>
      </c>
      <c r="S79" s="231" t="s">
        <v>2187</v>
      </c>
      <c r="T79" s="231" t="s">
        <v>1467</v>
      </c>
      <c r="U79" s="704">
        <f>U14*(S59^2)/(U35*U8)</f>
        <v>7.9296046595647001</v>
      </c>
      <c r="V79" s="440"/>
      <c r="W79" s="231"/>
      <c r="X79" s="239"/>
      <c r="Y79" s="231"/>
      <c r="Z79" s="231"/>
      <c r="AA79" s="693"/>
      <c r="AB79" s="239"/>
      <c r="AC79" s="231"/>
      <c r="AD79" s="231"/>
      <c r="AE79" s="231"/>
      <c r="AF79" s="231"/>
      <c r="AG79" s="231"/>
      <c r="AH79" s="223"/>
      <c r="AI79" s="231"/>
      <c r="AJ79" s="231"/>
      <c r="AK79" s="231"/>
      <c r="AL79" s="231"/>
      <c r="AM79" s="433"/>
    </row>
    <row r="80" spans="2:39">
      <c r="B80" s="972" t="s">
        <v>1007</v>
      </c>
      <c r="C80" s="987" t="s">
        <v>917</v>
      </c>
      <c r="D80" s="987" t="s">
        <v>918</v>
      </c>
      <c r="E80" s="1006">
        <v>8</v>
      </c>
      <c r="F80" s="267"/>
      <c r="G80" s="267"/>
      <c r="H80" s="267"/>
      <c r="I80" s="267"/>
      <c r="J80" s="267"/>
      <c r="K80" s="267"/>
      <c r="L80" s="267"/>
      <c r="M80" s="267"/>
      <c r="N80" s="267"/>
      <c r="O80" s="267"/>
      <c r="P80" s="979"/>
      <c r="R80" s="691" t="s">
        <v>2188</v>
      </c>
      <c r="S80" s="231" t="s">
        <v>2189</v>
      </c>
      <c r="T80" s="231" t="s">
        <v>508</v>
      </c>
      <c r="U80" s="704">
        <f>V14*(S60^2)/(U134*V8)</f>
        <v>0.22427314815509253</v>
      </c>
      <c r="V80" s="440"/>
      <c r="W80" s="231"/>
      <c r="X80" s="239"/>
      <c r="Y80" s="231"/>
      <c r="Z80" s="231"/>
      <c r="AA80" s="693"/>
      <c r="AB80" s="239"/>
      <c r="AC80" s="231"/>
      <c r="AD80" s="231"/>
      <c r="AE80" s="231"/>
      <c r="AF80" s="231"/>
      <c r="AG80" s="231"/>
      <c r="AH80" s="223"/>
      <c r="AI80" s="231"/>
      <c r="AJ80" s="231"/>
      <c r="AK80" s="231"/>
      <c r="AL80" s="231"/>
      <c r="AM80" s="433"/>
    </row>
    <row r="81" spans="2:39">
      <c r="B81" s="972" t="s">
        <v>919</v>
      </c>
      <c r="C81" s="987" t="s">
        <v>920</v>
      </c>
      <c r="D81" s="987" t="s">
        <v>87</v>
      </c>
      <c r="E81" s="1005">
        <f>11.9+(E79*E80)^0.271</f>
        <v>17.632411183515156</v>
      </c>
      <c r="F81" s="267"/>
      <c r="G81" s="267"/>
      <c r="H81" s="267"/>
      <c r="I81" s="267"/>
      <c r="J81" s="267"/>
      <c r="K81" s="267"/>
      <c r="L81" s="267"/>
      <c r="M81" s="267"/>
      <c r="N81" s="267"/>
      <c r="O81" s="267"/>
      <c r="P81" s="979"/>
      <c r="R81" s="691" t="s">
        <v>59</v>
      </c>
      <c r="S81" s="231" t="s">
        <v>2190</v>
      </c>
      <c r="T81" s="231" t="s">
        <v>436</v>
      </c>
      <c r="U81" s="227">
        <f>SUM(U78:U80)</f>
        <v>168.49819556125811</v>
      </c>
      <c r="V81" s="231" t="s">
        <v>2191</v>
      </c>
      <c r="W81" s="231"/>
      <c r="X81" s="239"/>
      <c r="Y81" s="231"/>
      <c r="Z81" s="231"/>
      <c r="AA81" s="693"/>
      <c r="AB81" s="239"/>
      <c r="AC81" s="231"/>
      <c r="AD81" s="231"/>
      <c r="AE81" s="231"/>
      <c r="AF81" s="231"/>
      <c r="AG81" s="231"/>
      <c r="AH81" s="223"/>
      <c r="AI81" s="231"/>
      <c r="AJ81" s="231"/>
      <c r="AK81" s="231"/>
      <c r="AL81" s="231"/>
      <c r="AM81" s="433"/>
    </row>
    <row r="82" spans="2:39">
      <c r="B82" s="972" t="s">
        <v>507</v>
      </c>
      <c r="C82" s="987" t="s">
        <v>841</v>
      </c>
      <c r="D82" s="987" t="s">
        <v>508</v>
      </c>
      <c r="E82" s="1005">
        <f>E18</f>
        <v>1248.4473702610098</v>
      </c>
      <c r="F82" s="267"/>
      <c r="G82" s="267"/>
      <c r="H82" s="267"/>
      <c r="I82" s="267"/>
      <c r="J82" s="267"/>
      <c r="K82" s="267"/>
      <c r="L82" s="267"/>
      <c r="M82" s="267"/>
      <c r="N82" s="267"/>
      <c r="O82" s="267"/>
      <c r="P82" s="979"/>
      <c r="R82" s="691" t="s">
        <v>2192</v>
      </c>
      <c r="S82" s="231" t="s">
        <v>2193</v>
      </c>
      <c r="T82" s="231" t="s">
        <v>87</v>
      </c>
      <c r="U82" s="437">
        <f>U80/(U78+U79)</f>
        <v>1.3327861200294279E-3</v>
      </c>
      <c r="V82" s="231"/>
      <c r="W82" s="231"/>
      <c r="X82" s="239"/>
      <c r="Y82" s="231"/>
      <c r="Z82" s="231"/>
      <c r="AA82" s="693"/>
      <c r="AB82" s="239"/>
      <c r="AC82" s="231"/>
      <c r="AD82" s="231"/>
      <c r="AE82" s="231"/>
      <c r="AF82" s="231"/>
      <c r="AG82" s="231"/>
      <c r="AH82" s="223"/>
      <c r="AI82" s="231"/>
      <c r="AJ82" s="231"/>
      <c r="AK82" s="231"/>
      <c r="AL82" s="231"/>
      <c r="AM82" s="433"/>
    </row>
    <row r="83" spans="2:39">
      <c r="B83" s="972" t="s">
        <v>847</v>
      </c>
      <c r="C83" s="1001" t="s">
        <v>670</v>
      </c>
      <c r="D83" s="987" t="s">
        <v>165</v>
      </c>
      <c r="E83" s="1005">
        <f>E20</f>
        <v>0</v>
      </c>
      <c r="F83" s="267"/>
      <c r="G83" s="267"/>
      <c r="H83" s="267"/>
      <c r="I83" s="267"/>
      <c r="J83" s="267"/>
      <c r="K83" s="267"/>
      <c r="L83" s="267"/>
      <c r="M83" s="267"/>
      <c r="N83" s="267"/>
      <c r="O83" s="267"/>
      <c r="P83" s="979"/>
      <c r="R83" s="691"/>
      <c r="S83" s="231"/>
      <c r="T83" s="231"/>
      <c r="U83" s="231"/>
      <c r="V83" s="231"/>
      <c r="W83" s="231"/>
      <c r="X83" s="239"/>
      <c r="Y83" s="231"/>
      <c r="Z83" s="231"/>
      <c r="AA83" s="693"/>
      <c r="AB83" s="239"/>
      <c r="AC83" s="231"/>
      <c r="AD83" s="231"/>
      <c r="AE83" s="231"/>
      <c r="AF83" s="231"/>
      <c r="AG83" s="231"/>
      <c r="AH83" s="223"/>
      <c r="AI83" s="231"/>
      <c r="AJ83" s="231"/>
      <c r="AK83" s="231"/>
      <c r="AL83" s="231"/>
      <c r="AM83" s="433"/>
    </row>
    <row r="84" spans="2:39">
      <c r="B84" s="972" t="s">
        <v>849</v>
      </c>
      <c r="C84" s="1001" t="s">
        <v>182</v>
      </c>
      <c r="D84" s="987" t="s">
        <v>87</v>
      </c>
      <c r="E84" s="1003">
        <f>E21</f>
        <v>1</v>
      </c>
      <c r="F84" s="267"/>
      <c r="G84" s="267"/>
      <c r="H84" s="267"/>
      <c r="I84" s="267"/>
      <c r="J84" s="267"/>
      <c r="K84" s="267"/>
      <c r="L84" s="267"/>
      <c r="M84" s="267"/>
      <c r="N84" s="267"/>
      <c r="O84" s="267"/>
      <c r="P84" s="979"/>
      <c r="R84" s="700" t="s">
        <v>2194</v>
      </c>
      <c r="S84" s="231" t="s">
        <v>2195</v>
      </c>
      <c r="T84" s="231" t="s">
        <v>2196</v>
      </c>
      <c r="U84" s="705" t="s">
        <v>82</v>
      </c>
      <c r="V84" s="231" t="s">
        <v>82</v>
      </c>
      <c r="W84" s="231" t="s">
        <v>82</v>
      </c>
      <c r="X84" s="231"/>
      <c r="Y84" s="1372" t="s">
        <v>2128</v>
      </c>
      <c r="Z84" s="1372"/>
      <c r="AA84" s="1373"/>
      <c r="AB84" s="239"/>
      <c r="AC84" s="231"/>
      <c r="AD84" s="231"/>
      <c r="AE84" s="231"/>
      <c r="AF84" s="231"/>
      <c r="AG84" s="231"/>
      <c r="AH84" s="223"/>
      <c r="AI84" s="231"/>
      <c r="AJ84" s="231"/>
      <c r="AK84" s="231"/>
      <c r="AL84" s="231"/>
      <c r="AM84" s="433"/>
    </row>
    <row r="85" spans="2:39">
      <c r="B85" s="972"/>
      <c r="C85" s="267"/>
      <c r="D85" s="267"/>
      <c r="E85" s="267"/>
      <c r="F85" s="267"/>
      <c r="G85" s="267"/>
      <c r="H85" s="267"/>
      <c r="I85" s="267"/>
      <c r="J85" s="267"/>
      <c r="K85" s="267"/>
      <c r="L85" s="267"/>
      <c r="M85" s="267"/>
      <c r="N85" s="267"/>
      <c r="O85" s="267"/>
      <c r="P85" s="979"/>
      <c r="R85" s="706" t="s">
        <v>2197</v>
      </c>
      <c r="S85" s="233" t="s">
        <v>2198</v>
      </c>
      <c r="T85" s="233" t="s">
        <v>2199</v>
      </c>
      <c r="U85" s="707" t="s">
        <v>2169</v>
      </c>
      <c r="V85" s="233" t="s">
        <v>2200</v>
      </c>
      <c r="W85" s="233" t="s">
        <v>59</v>
      </c>
      <c r="X85" s="233" t="s">
        <v>2193</v>
      </c>
      <c r="Y85" s="233" t="s">
        <v>2201</v>
      </c>
      <c r="Z85" s="233" t="s">
        <v>2202</v>
      </c>
      <c r="AA85" s="708" t="s">
        <v>2203</v>
      </c>
      <c r="AB85" s="98"/>
      <c r="AC85" s="231"/>
      <c r="AD85" s="231"/>
      <c r="AE85" s="231"/>
      <c r="AF85" s="231"/>
      <c r="AG85" s="231"/>
      <c r="AH85" s="223"/>
      <c r="AI85" s="231"/>
      <c r="AJ85" s="231"/>
      <c r="AK85" s="231"/>
      <c r="AL85" s="231"/>
      <c r="AM85" s="433"/>
    </row>
    <row r="86" spans="2:39" ht="13.8" thickBot="1">
      <c r="B86" s="972"/>
      <c r="C86" s="267"/>
      <c r="D86" s="267"/>
      <c r="E86" s="267"/>
      <c r="F86" s="267"/>
      <c r="G86" s="267"/>
      <c r="H86" s="267"/>
      <c r="I86" s="267"/>
      <c r="J86" s="267"/>
      <c r="K86" s="267"/>
      <c r="L86" s="267"/>
      <c r="M86" s="267"/>
      <c r="N86" s="267"/>
      <c r="O86" s="267"/>
      <c r="P86" s="979"/>
      <c r="R86" s="709">
        <f>V59</f>
        <v>0.40730914440364852</v>
      </c>
      <c r="S86" s="710">
        <f>V57</f>
        <v>0.30349989333531641</v>
      </c>
      <c r="T86" s="711">
        <f>U77</f>
        <v>0.49999999999999978</v>
      </c>
      <c r="U86" s="712">
        <f>S59</f>
        <v>685.57683923083039</v>
      </c>
      <c r="V86" s="712">
        <f>S60</f>
        <v>-38.795356879489923</v>
      </c>
      <c r="W86" s="712">
        <f>U81</f>
        <v>168.49819556125811</v>
      </c>
      <c r="X86" s="710">
        <f>U82</f>
        <v>1.3327861200294279E-3</v>
      </c>
      <c r="Y86" s="710">
        <f>U144</f>
        <v>-0.53808009198886397</v>
      </c>
      <c r="Z86" s="710">
        <f>U187</f>
        <v>0.13274609616416636</v>
      </c>
      <c r="AA86" s="713">
        <f>U189</f>
        <v>-0.13274609616416636</v>
      </c>
      <c r="AB86" s="96"/>
      <c r="AC86" s="231"/>
      <c r="AD86" s="231"/>
      <c r="AE86" s="231"/>
      <c r="AF86" s="231"/>
      <c r="AG86" s="231"/>
      <c r="AH86" s="223"/>
      <c r="AI86" s="231"/>
      <c r="AJ86" s="231"/>
      <c r="AK86" s="231"/>
      <c r="AL86" s="231"/>
      <c r="AM86" s="433"/>
    </row>
    <row r="87" spans="2:39" ht="18" thickBot="1">
      <c r="B87" s="973" t="s">
        <v>921</v>
      </c>
      <c r="C87" s="267"/>
      <c r="D87" s="267"/>
      <c r="E87" s="267"/>
      <c r="F87" s="267"/>
      <c r="G87" s="267"/>
      <c r="H87" s="267"/>
      <c r="I87" s="267"/>
      <c r="J87" s="267"/>
      <c r="K87" s="267"/>
      <c r="L87" s="267"/>
      <c r="M87" s="267"/>
      <c r="N87" s="267"/>
      <c r="O87" s="267"/>
      <c r="P87" s="979"/>
      <c r="R87" s="691"/>
      <c r="S87" s="231"/>
      <c r="T87" s="231"/>
      <c r="U87" s="227"/>
      <c r="V87" s="231"/>
      <c r="W87" s="231"/>
      <c r="X87" s="239"/>
      <c r="Y87" s="231"/>
      <c r="Z87" s="231"/>
      <c r="AA87" s="239"/>
      <c r="AB87" s="239"/>
      <c r="AC87" s="231"/>
      <c r="AD87" s="231"/>
      <c r="AE87" s="231"/>
      <c r="AF87" s="231"/>
      <c r="AG87" s="231"/>
      <c r="AH87" s="223"/>
      <c r="AI87" s="231"/>
      <c r="AJ87" s="231"/>
      <c r="AK87" s="231"/>
      <c r="AL87" s="231"/>
      <c r="AM87" s="433"/>
    </row>
    <row r="88" spans="2:39">
      <c r="B88" s="980"/>
      <c r="C88" s="978"/>
      <c r="D88" s="978"/>
      <c r="E88" s="978"/>
      <c r="F88" s="267"/>
      <c r="G88" s="267"/>
      <c r="H88" s="267"/>
      <c r="I88" s="267"/>
      <c r="J88" s="267" t="s">
        <v>798</v>
      </c>
      <c r="K88" s="267"/>
      <c r="L88" s="267"/>
      <c r="M88" s="267"/>
      <c r="N88" s="267"/>
      <c r="O88" s="267"/>
      <c r="P88" s="979"/>
      <c r="R88" s="715" t="s">
        <v>2204</v>
      </c>
      <c r="S88" s="229"/>
      <c r="T88" s="229"/>
      <c r="U88" s="716"/>
      <c r="V88" s="229"/>
      <c r="W88" s="229"/>
      <c r="X88" s="449"/>
      <c r="Y88" s="229"/>
      <c r="Z88" s="229"/>
      <c r="AA88" s="717"/>
      <c r="AB88" s="239"/>
      <c r="AC88" s="231"/>
      <c r="AD88" s="231"/>
      <c r="AE88" s="231"/>
      <c r="AF88" s="231"/>
      <c r="AG88" s="231"/>
      <c r="AH88" s="223"/>
      <c r="AI88" s="231"/>
      <c r="AJ88" s="231"/>
      <c r="AK88" s="231"/>
      <c r="AL88" s="231"/>
      <c r="AM88" s="433"/>
    </row>
    <row r="89" spans="2:39">
      <c r="B89" s="982" t="s">
        <v>641</v>
      </c>
      <c r="C89" s="983" t="s">
        <v>89</v>
      </c>
      <c r="D89" s="983" t="s">
        <v>90</v>
      </c>
      <c r="E89" s="983" t="s">
        <v>91</v>
      </c>
      <c r="F89" s="267"/>
      <c r="G89" s="267"/>
      <c r="H89" s="984" t="s">
        <v>799</v>
      </c>
      <c r="I89" s="984" t="s">
        <v>800</v>
      </c>
      <c r="J89" s="984" t="s">
        <v>801</v>
      </c>
      <c r="K89" s="267"/>
      <c r="L89" s="267"/>
      <c r="M89" s="267"/>
      <c r="N89" s="267"/>
      <c r="O89" s="267"/>
      <c r="P89" s="979"/>
      <c r="R89" s="718" t="s">
        <v>2205</v>
      </c>
      <c r="S89" s="231"/>
      <c r="T89" s="231"/>
      <c r="U89" s="227"/>
      <c r="V89" s="231"/>
      <c r="W89" s="231"/>
      <c r="X89" s="239"/>
      <c r="Y89" s="231"/>
      <c r="Z89" s="231"/>
      <c r="AA89" s="693"/>
      <c r="AB89" s="239"/>
      <c r="AC89" s="231"/>
      <c r="AD89" s="231"/>
      <c r="AE89" s="231"/>
      <c r="AF89" s="231"/>
      <c r="AG89" s="231"/>
      <c r="AH89" s="223"/>
      <c r="AI89" s="231"/>
      <c r="AJ89" s="231"/>
      <c r="AK89" s="231"/>
      <c r="AL89" s="231"/>
      <c r="AM89" s="433"/>
    </row>
    <row r="90" spans="2:39">
      <c r="B90" s="972" t="s">
        <v>922</v>
      </c>
      <c r="C90" s="987" t="s">
        <v>923</v>
      </c>
      <c r="D90" s="267" t="s">
        <v>87</v>
      </c>
      <c r="E90" s="1004">
        <v>1</v>
      </c>
      <c r="F90" s="267"/>
      <c r="G90" s="72" t="s">
        <v>804</v>
      </c>
      <c r="H90" s="989">
        <v>1</v>
      </c>
      <c r="I90" s="989">
        <v>1.06E-2</v>
      </c>
      <c r="J90" s="989">
        <v>3.44E-2</v>
      </c>
      <c r="K90" s="267"/>
      <c r="L90" s="267"/>
      <c r="M90" s="267"/>
      <c r="N90" s="267"/>
      <c r="O90" s="267"/>
      <c r="P90" s="979"/>
      <c r="R90" s="235"/>
      <c r="S90" s="231"/>
      <c r="T90" s="231"/>
      <c r="U90" s="231"/>
      <c r="V90" s="231"/>
      <c r="W90" s="231"/>
      <c r="X90" s="231"/>
      <c r="Y90" s="231"/>
      <c r="Z90" s="231"/>
      <c r="AA90" s="693"/>
      <c r="AB90" s="239"/>
      <c r="AC90" s="231"/>
      <c r="AD90" s="231"/>
      <c r="AE90" s="231"/>
      <c r="AF90" s="231"/>
      <c r="AG90" s="231"/>
      <c r="AH90" s="223"/>
      <c r="AI90" s="231"/>
      <c r="AJ90" s="231"/>
      <c r="AK90" s="231"/>
      <c r="AL90" s="231"/>
      <c r="AM90" s="433"/>
    </row>
    <row r="91" spans="2:39">
      <c r="B91" s="972" t="s">
        <v>924</v>
      </c>
      <c r="C91" s="987" t="s">
        <v>925</v>
      </c>
      <c r="D91" s="267" t="s">
        <v>87</v>
      </c>
      <c r="E91" s="1004">
        <v>1</v>
      </c>
      <c r="F91" s="267"/>
      <c r="G91" s="72" t="s">
        <v>808</v>
      </c>
      <c r="H91" s="989">
        <f>E90</f>
        <v>1</v>
      </c>
      <c r="I91" s="989">
        <v>1</v>
      </c>
      <c r="J91" s="989">
        <v>1</v>
      </c>
      <c r="K91" s="267"/>
      <c r="L91" s="267"/>
      <c r="M91" s="267"/>
      <c r="N91" s="267"/>
      <c r="O91" s="267"/>
      <c r="P91" s="979"/>
      <c r="R91" s="691" t="s">
        <v>2206</v>
      </c>
      <c r="S91" s="231" t="s">
        <v>2195</v>
      </c>
      <c r="T91" s="231" t="s">
        <v>2196</v>
      </c>
      <c r="U91" s="705" t="s">
        <v>82</v>
      </c>
      <c r="V91" s="231" t="s">
        <v>82</v>
      </c>
      <c r="W91" s="231" t="s">
        <v>82</v>
      </c>
      <c r="X91" s="239"/>
      <c r="Y91" s="231"/>
      <c r="Z91" s="231"/>
      <c r="AA91" s="693"/>
      <c r="AB91" s="239"/>
      <c r="AC91" s="231"/>
      <c r="AD91" s="231"/>
      <c r="AE91" s="231"/>
      <c r="AF91" s="231"/>
      <c r="AG91" s="231"/>
      <c r="AH91" s="223"/>
      <c r="AI91" s="231"/>
      <c r="AJ91" s="231"/>
      <c r="AK91" s="231"/>
      <c r="AL91" s="231"/>
      <c r="AM91" s="433"/>
    </row>
    <row r="92" spans="2:39">
      <c r="B92" s="972" t="s">
        <v>926</v>
      </c>
      <c r="C92" s="987" t="s">
        <v>927</v>
      </c>
      <c r="D92" s="267" t="s">
        <v>87</v>
      </c>
      <c r="E92" s="1004">
        <v>1</v>
      </c>
      <c r="F92" s="267"/>
      <c r="G92" s="72" t="s">
        <v>813</v>
      </c>
      <c r="H92" s="989">
        <f>E92</f>
        <v>1</v>
      </c>
      <c r="I92" s="989">
        <f>E91</f>
        <v>1</v>
      </c>
      <c r="J92" s="989">
        <v>1</v>
      </c>
      <c r="K92" s="267"/>
      <c r="L92" s="267"/>
      <c r="M92" s="267"/>
      <c r="N92" s="267"/>
      <c r="O92" s="267"/>
      <c r="P92" s="979"/>
      <c r="R92" s="706" t="s">
        <v>2197</v>
      </c>
      <c r="S92" s="233" t="s">
        <v>2198</v>
      </c>
      <c r="T92" s="233" t="s">
        <v>2199</v>
      </c>
      <c r="U92" s="707" t="s">
        <v>2169</v>
      </c>
      <c r="V92" s="233" t="s">
        <v>2200</v>
      </c>
      <c r="W92" s="233" t="s">
        <v>59</v>
      </c>
      <c r="X92" s="98" t="s">
        <v>2207</v>
      </c>
      <c r="Y92" s="233" t="s">
        <v>2201</v>
      </c>
      <c r="Z92" s="233" t="s">
        <v>2202</v>
      </c>
      <c r="AA92" s="708" t="s">
        <v>2203</v>
      </c>
      <c r="AB92" s="98"/>
      <c r="AC92" s="231"/>
      <c r="AD92" s="231"/>
      <c r="AE92" s="231"/>
      <c r="AF92" s="231"/>
      <c r="AG92" s="231"/>
      <c r="AH92" s="223"/>
      <c r="AI92" s="231"/>
      <c r="AJ92" s="231"/>
      <c r="AK92" s="231"/>
      <c r="AL92" s="231"/>
      <c r="AM92" s="433"/>
    </row>
    <row r="93" spans="2:39">
      <c r="B93" s="972" t="s">
        <v>928</v>
      </c>
      <c r="C93" s="987" t="s">
        <v>929</v>
      </c>
      <c r="D93" s="987" t="s">
        <v>512</v>
      </c>
      <c r="E93" s="1003">
        <f>12*'5'!D134</f>
        <v>27.517648807414318</v>
      </c>
      <c r="F93" s="267"/>
      <c r="G93" s="72" t="s">
        <v>817</v>
      </c>
      <c r="H93" s="989">
        <v>0.25</v>
      </c>
      <c r="I93" s="989">
        <v>0.88800000000000001</v>
      </c>
      <c r="J93" s="989">
        <v>0.76800000000000002</v>
      </c>
      <c r="K93" s="267"/>
      <c r="L93" s="267"/>
      <c r="M93" s="267"/>
      <c r="N93" s="267"/>
      <c r="O93" s="267"/>
      <c r="P93" s="979"/>
      <c r="R93" s="1254">
        <v>0.33686384962734833</v>
      </c>
      <c r="S93" s="1254">
        <v>0.36800662494784797</v>
      </c>
      <c r="T93" s="1255">
        <v>-0.15000000000000005</v>
      </c>
      <c r="U93" s="1256">
        <v>975.94440109181346</v>
      </c>
      <c r="V93" s="1256">
        <v>112.52426411934334</v>
      </c>
      <c r="W93" s="1256">
        <v>178.30007028260835</v>
      </c>
      <c r="X93" s="1254">
        <v>1.0694949065110423E-2</v>
      </c>
      <c r="Y93" s="1254">
        <v>2.2029302459300446</v>
      </c>
      <c r="Z93" s="1254">
        <v>0.1200119646821427</v>
      </c>
      <c r="AA93" s="1254">
        <v>-0.1200119646821427</v>
      </c>
      <c r="AB93" s="239"/>
      <c r="AC93" s="231"/>
      <c r="AD93" s="231"/>
      <c r="AE93" s="231"/>
      <c r="AF93" s="231"/>
      <c r="AG93" s="231"/>
      <c r="AH93" s="223"/>
      <c r="AI93" s="231"/>
      <c r="AJ93" s="231"/>
      <c r="AK93" s="231"/>
      <c r="AL93" s="231"/>
      <c r="AM93" s="433"/>
    </row>
    <row r="94" spans="2:39">
      <c r="B94" s="972" t="s">
        <v>816</v>
      </c>
      <c r="C94" s="987" t="s">
        <v>214</v>
      </c>
      <c r="D94" s="267" t="s">
        <v>87</v>
      </c>
      <c r="E94" s="1003">
        <v>3</v>
      </c>
      <c r="F94" s="267" t="s">
        <v>2803</v>
      </c>
      <c r="G94" s="72" t="s">
        <v>821</v>
      </c>
      <c r="H94" s="989">
        <v>0.25</v>
      </c>
      <c r="I94" s="989">
        <v>0.25</v>
      </c>
      <c r="J94" s="989">
        <v>0.76800000000000002</v>
      </c>
      <c r="K94" s="267"/>
      <c r="L94" s="267"/>
      <c r="M94" s="267"/>
      <c r="N94" s="267"/>
      <c r="O94" s="267"/>
      <c r="P94" s="979"/>
      <c r="R94" s="1254">
        <v>0.35762569984101478</v>
      </c>
      <c r="S94" s="1254">
        <v>0.36800662494784797</v>
      </c>
      <c r="T94" s="1255">
        <v>-4.9999999999999878E-2</v>
      </c>
      <c r="U94" s="1256">
        <v>1003.4992853005759</v>
      </c>
      <c r="V94" s="1256">
        <v>84.96937991062957</v>
      </c>
      <c r="W94" s="1256">
        <v>178.40936359398393</v>
      </c>
      <c r="X94" s="1254">
        <v>6.0666899568322585E-3</v>
      </c>
      <c r="Y94" s="1254">
        <v>1.7485104352671577</v>
      </c>
      <c r="Z94" s="1254">
        <v>0.12007889210836967</v>
      </c>
      <c r="AA94" s="1254">
        <v>-0.12007889210836967</v>
      </c>
      <c r="AB94" s="239"/>
      <c r="AC94" s="231"/>
      <c r="AD94" s="231"/>
      <c r="AE94" s="231"/>
      <c r="AF94" s="231"/>
      <c r="AG94" s="231"/>
      <c r="AH94" s="223"/>
      <c r="AI94" s="231"/>
      <c r="AJ94" s="231"/>
      <c r="AK94" s="231"/>
      <c r="AL94" s="231"/>
      <c r="AM94" s="433"/>
    </row>
    <row r="95" spans="2:39">
      <c r="B95" s="972" t="s">
        <v>930</v>
      </c>
      <c r="C95" s="987" t="s">
        <v>931</v>
      </c>
      <c r="D95" s="987" t="s">
        <v>932</v>
      </c>
      <c r="E95" s="1009">
        <f>'5'!D112*'5'!D113</f>
        <v>2</v>
      </c>
      <c r="F95" s="267"/>
      <c r="G95" s="72" t="s">
        <v>827</v>
      </c>
      <c r="H95" s="989">
        <v>0.97299999999999998</v>
      </c>
      <c r="I95" s="989">
        <v>0.4</v>
      </c>
      <c r="J95" s="989">
        <v>0.40899999999999997</v>
      </c>
      <c r="K95" s="267"/>
      <c r="L95" s="267"/>
      <c r="M95" s="267"/>
      <c r="N95" s="267"/>
      <c r="O95" s="267"/>
      <c r="P95" s="979"/>
      <c r="R95" s="1254">
        <v>0.36800662494784797</v>
      </c>
      <c r="S95" s="1254">
        <v>0.36800662494784797</v>
      </c>
      <c r="T95" s="1255">
        <v>0</v>
      </c>
      <c r="U95" s="1256">
        <v>1017.8695862040889</v>
      </c>
      <c r="V95" s="1256">
        <v>70.599079007115918</v>
      </c>
      <c r="W95" s="1256">
        <v>178.56630178265837</v>
      </c>
      <c r="X95" s="1254">
        <v>4.1766343448207703E-3</v>
      </c>
      <c r="Y95" s="1254">
        <v>1.5213005299357154</v>
      </c>
      <c r="Z95" s="1254">
        <v>0.12011453507287885</v>
      </c>
      <c r="AA95" s="1254">
        <v>-0.12011453507287885</v>
      </c>
      <c r="AB95" s="239"/>
      <c r="AC95" s="231"/>
      <c r="AD95" s="231"/>
      <c r="AE95" s="231"/>
      <c r="AF95" s="231"/>
      <c r="AG95" s="231"/>
      <c r="AH95" s="223"/>
      <c r="AI95" s="231"/>
      <c r="AJ95" s="231"/>
      <c r="AK95" s="231"/>
      <c r="AL95" s="231"/>
      <c r="AM95" s="433"/>
    </row>
    <row r="96" spans="2:39">
      <c r="B96" s="972" t="s">
        <v>953</v>
      </c>
      <c r="C96" s="987" t="s">
        <v>933</v>
      </c>
      <c r="D96" s="987" t="s">
        <v>934</v>
      </c>
      <c r="E96" s="1004">
        <v>2</v>
      </c>
      <c r="F96" s="267"/>
      <c r="G96" s="72" t="s">
        <v>831</v>
      </c>
      <c r="H96" s="989">
        <v>0</v>
      </c>
      <c r="I96" s="989">
        <v>0.32100000000000001</v>
      </c>
      <c r="J96" s="989">
        <v>0</v>
      </c>
      <c r="K96" s="267"/>
      <c r="L96" s="267"/>
      <c r="M96" s="267"/>
      <c r="N96" s="267"/>
      <c r="O96" s="267"/>
      <c r="P96" s="979"/>
      <c r="R96" s="1254">
        <v>0.37838755005468117</v>
      </c>
      <c r="S96" s="1254">
        <v>0.36800662494784797</v>
      </c>
      <c r="T96" s="1255">
        <v>4.9999999999999878E-2</v>
      </c>
      <c r="U96" s="1256">
        <v>1032.6581602873791</v>
      </c>
      <c r="V96" s="1256">
        <v>55.810504923826144</v>
      </c>
      <c r="W96" s="1256">
        <v>178.79933916324885</v>
      </c>
      <c r="X96" s="1254">
        <v>2.6026310737096228E-3</v>
      </c>
      <c r="Y96" s="1254">
        <v>1.2940906246042732</v>
      </c>
      <c r="Z96" s="1254">
        <v>0.12015174461571797</v>
      </c>
      <c r="AA96" s="1254">
        <v>-0.12015174461571797</v>
      </c>
      <c r="AB96" s="239"/>
      <c r="AC96" s="231"/>
      <c r="AD96" s="231"/>
      <c r="AE96" s="231"/>
      <c r="AF96" s="231"/>
      <c r="AG96" s="231"/>
      <c r="AH96" s="223"/>
      <c r="AI96" s="231"/>
      <c r="AJ96" s="231"/>
      <c r="AK96" s="231"/>
      <c r="AL96" s="231"/>
      <c r="AM96" s="433"/>
    </row>
    <row r="97" spans="2:39">
      <c r="B97" s="972" t="s">
        <v>935</v>
      </c>
      <c r="C97" s="987" t="s">
        <v>936</v>
      </c>
      <c r="D97" s="987" t="s">
        <v>658</v>
      </c>
      <c r="E97" s="1005">
        <f>'3'!E12</f>
        <v>45</v>
      </c>
      <c r="F97" s="267"/>
      <c r="G97" s="72" t="s">
        <v>834</v>
      </c>
      <c r="H97" s="989">
        <v>0</v>
      </c>
      <c r="I97" s="989">
        <v>-0.5</v>
      </c>
      <c r="J97" s="989">
        <v>0</v>
      </c>
      <c r="K97" s="267"/>
      <c r="L97" s="267"/>
      <c r="M97" s="267"/>
      <c r="N97" s="267"/>
      <c r="O97" s="267"/>
      <c r="P97" s="979"/>
      <c r="R97" s="1254">
        <v>0.39914940026834761</v>
      </c>
      <c r="S97" s="1254">
        <v>0.36800662494784797</v>
      </c>
      <c r="T97" s="1255">
        <v>0.14999999999999983</v>
      </c>
      <c r="U97" s="1256">
        <v>1063.5655036023165</v>
      </c>
      <c r="V97" s="1256">
        <v>24.903161608888389</v>
      </c>
      <c r="W97" s="1256">
        <v>179.52065638429065</v>
      </c>
      <c r="X97" s="1254">
        <v>5.1503404983124475E-4</v>
      </c>
      <c r="Y97" s="1254">
        <v>0.83967081394138754</v>
      </c>
      <c r="Z97" s="1254">
        <v>0.12023124361801137</v>
      </c>
      <c r="AA97" s="1254">
        <v>-0.12023124361801137</v>
      </c>
      <c r="AB97" s="239"/>
      <c r="AC97" s="231"/>
      <c r="AD97" s="231"/>
      <c r="AE97" s="231"/>
      <c r="AF97" s="231"/>
      <c r="AG97" s="231"/>
      <c r="AH97" s="223"/>
      <c r="AI97" s="231"/>
      <c r="AJ97" s="231"/>
      <c r="AK97" s="231"/>
      <c r="AL97" s="231"/>
      <c r="AM97" s="433"/>
    </row>
    <row r="98" spans="2:39">
      <c r="B98" s="972" t="s">
        <v>954</v>
      </c>
      <c r="C98" s="987" t="s">
        <v>938</v>
      </c>
      <c r="D98" s="987" t="s">
        <v>508</v>
      </c>
      <c r="E98" s="995">
        <f>'2'!S21</f>
        <v>1248.4473702610098</v>
      </c>
      <c r="F98" s="267"/>
      <c r="G98" s="72" t="s">
        <v>839</v>
      </c>
      <c r="H98" s="989">
        <v>0</v>
      </c>
      <c r="I98" s="989">
        <v>0.1</v>
      </c>
      <c r="J98" s="989">
        <v>0</v>
      </c>
      <c r="K98" s="267"/>
      <c r="L98" s="267"/>
      <c r="M98" s="267"/>
      <c r="N98" s="267"/>
      <c r="O98" s="267"/>
      <c r="P98" s="979"/>
      <c r="R98" s="1254">
        <v>0.41991125048201405</v>
      </c>
      <c r="S98" s="1254">
        <v>0.36800662494784797</v>
      </c>
      <c r="T98" s="1255">
        <v>0.25</v>
      </c>
      <c r="U98" s="1256">
        <v>1096.3837586633422</v>
      </c>
      <c r="V98" s="1256">
        <v>-7.9150934521370937</v>
      </c>
      <c r="W98" s="1256">
        <v>180.63348950909509</v>
      </c>
      <c r="X98" s="1254">
        <v>5.1683753212044567E-5</v>
      </c>
      <c r="Y98" s="1254">
        <v>0.38525100327850104</v>
      </c>
      <c r="Z98" s="1254">
        <v>0.12031822402156828</v>
      </c>
      <c r="AA98" s="1254">
        <v>-0.12031822402156828</v>
      </c>
      <c r="AB98" s="239"/>
      <c r="AC98" s="231"/>
      <c r="AD98" s="231"/>
      <c r="AE98" s="231"/>
      <c r="AF98" s="231"/>
      <c r="AG98" s="231"/>
      <c r="AH98" s="223"/>
      <c r="AI98" s="231"/>
      <c r="AJ98" s="231"/>
      <c r="AK98" s="231"/>
      <c r="AL98" s="231"/>
      <c r="AM98" s="433"/>
    </row>
    <row r="99" spans="2:39">
      <c r="B99" s="972"/>
      <c r="C99" s="267"/>
      <c r="D99" s="267"/>
      <c r="E99" s="267"/>
      <c r="F99" s="267"/>
      <c r="G99" s="267"/>
      <c r="H99" s="267"/>
      <c r="I99" s="267"/>
      <c r="J99" s="267"/>
      <c r="K99" s="267"/>
      <c r="L99" s="267"/>
      <c r="M99" s="267"/>
      <c r="N99" s="267"/>
      <c r="O99" s="267"/>
      <c r="P99" s="979"/>
      <c r="R99" s="1254">
        <v>0.47181587601618002</v>
      </c>
      <c r="S99" s="1254">
        <v>0.36800662494784797</v>
      </c>
      <c r="T99" s="1255">
        <v>0.49999999999999961</v>
      </c>
      <c r="U99" s="1256">
        <v>1188.0529304504144</v>
      </c>
      <c r="V99" s="1256">
        <v>-99.584265239209302</v>
      </c>
      <c r="W99" s="1256">
        <v>185.63488243546865</v>
      </c>
      <c r="X99" s="1254">
        <v>8.0243648277049193E-3</v>
      </c>
      <c r="Y99" s="1254">
        <v>-0.75079852337871156</v>
      </c>
      <c r="Z99" s="1254">
        <v>0.12057518360339922</v>
      </c>
      <c r="AA99" s="1254">
        <v>-0.12057518360339922</v>
      </c>
      <c r="AB99" s="239"/>
      <c r="AC99" s="231"/>
      <c r="AD99" s="231"/>
      <c r="AE99" s="231"/>
      <c r="AF99" s="231"/>
      <c r="AG99" s="231"/>
      <c r="AH99" s="223"/>
      <c r="AI99" s="231"/>
      <c r="AJ99" s="231"/>
      <c r="AK99" s="231"/>
      <c r="AL99" s="231"/>
      <c r="AM99" s="433"/>
    </row>
    <row r="100" spans="2:39">
      <c r="B100" s="972"/>
      <c r="C100" s="267"/>
      <c r="D100" s="267"/>
      <c r="E100" s="267"/>
      <c r="F100" s="267"/>
      <c r="G100" s="267"/>
      <c r="H100" s="267"/>
      <c r="I100" s="267"/>
      <c r="J100" s="267"/>
      <c r="K100" s="267"/>
      <c r="L100" s="267"/>
      <c r="M100" s="267"/>
      <c r="N100" s="267"/>
      <c r="O100" s="267"/>
      <c r="P100" s="979"/>
      <c r="R100" s="1259"/>
      <c r="S100" s="1259"/>
      <c r="T100" s="1259"/>
      <c r="U100" s="1259"/>
      <c r="V100" s="1259"/>
      <c r="W100" s="1259"/>
      <c r="X100" s="1259"/>
      <c r="Y100" s="1259"/>
      <c r="Z100" s="1259"/>
      <c r="AA100" s="1259"/>
      <c r="AB100" s="239"/>
      <c r="AC100" s="231"/>
      <c r="AD100" s="231"/>
      <c r="AE100" s="231"/>
      <c r="AF100" s="231"/>
      <c r="AG100" s="231"/>
      <c r="AH100" s="223"/>
      <c r="AI100" s="231"/>
      <c r="AJ100" s="231"/>
      <c r="AK100" s="231"/>
      <c r="AL100" s="231"/>
      <c r="AM100" s="433"/>
    </row>
    <row r="101" spans="2:39" ht="17.399999999999999">
      <c r="B101" s="973" t="s">
        <v>939</v>
      </c>
      <c r="C101" s="267"/>
      <c r="D101" s="267"/>
      <c r="E101" s="267"/>
      <c r="F101" s="267"/>
      <c r="G101" s="267"/>
      <c r="H101" s="267"/>
      <c r="I101" s="267"/>
      <c r="J101" s="267"/>
      <c r="K101" s="267"/>
      <c r="L101" s="267"/>
      <c r="M101" s="267"/>
      <c r="N101" s="267"/>
      <c r="O101" s="267"/>
      <c r="P101" s="979"/>
      <c r="R101" s="691" t="s">
        <v>2208</v>
      </c>
      <c r="S101" s="231" t="s">
        <v>2195</v>
      </c>
      <c r="T101" s="231" t="s">
        <v>2196</v>
      </c>
      <c r="U101" s="227" t="s">
        <v>2209</v>
      </c>
      <c r="V101" s="231" t="s">
        <v>2210</v>
      </c>
      <c r="W101" s="231" t="s">
        <v>82</v>
      </c>
      <c r="X101" s="239"/>
      <c r="Y101" s="231"/>
      <c r="Z101" s="231"/>
      <c r="AA101" s="693"/>
      <c r="AB101" s="239"/>
      <c r="AC101" s="231"/>
      <c r="AD101" s="231"/>
      <c r="AE101" s="231"/>
      <c r="AF101" s="231"/>
      <c r="AG101" s="231"/>
      <c r="AH101" s="223"/>
      <c r="AI101" s="231"/>
      <c r="AJ101" s="231"/>
      <c r="AK101" s="231"/>
      <c r="AL101" s="231"/>
      <c r="AM101" s="433"/>
    </row>
    <row r="102" spans="2:39">
      <c r="B102" s="980"/>
      <c r="C102" s="978"/>
      <c r="D102" s="978"/>
      <c r="E102" s="978"/>
      <c r="F102" s="267"/>
      <c r="G102" s="267"/>
      <c r="H102" s="267"/>
      <c r="I102" s="267"/>
      <c r="J102" s="267" t="s">
        <v>798</v>
      </c>
      <c r="K102" s="267"/>
      <c r="L102" s="267"/>
      <c r="M102" s="267"/>
      <c r="N102" s="267"/>
      <c r="O102" s="267"/>
      <c r="P102" s="979"/>
      <c r="R102" s="706" t="s">
        <v>2197</v>
      </c>
      <c r="S102" s="233" t="s">
        <v>2198</v>
      </c>
      <c r="T102" s="233" t="s">
        <v>2199</v>
      </c>
      <c r="U102" s="707" t="s">
        <v>55</v>
      </c>
      <c r="V102" s="233" t="s">
        <v>55</v>
      </c>
      <c r="W102" s="233" t="s">
        <v>59</v>
      </c>
      <c r="X102" s="98" t="s">
        <v>2207</v>
      </c>
      <c r="Y102" s="233" t="s">
        <v>2201</v>
      </c>
      <c r="Z102" s="233" t="s">
        <v>2202</v>
      </c>
      <c r="AA102" s="708" t="s">
        <v>2203</v>
      </c>
      <c r="AB102" s="98"/>
      <c r="AC102" s="231"/>
      <c r="AD102" s="231"/>
      <c r="AE102" s="231"/>
      <c r="AF102" s="231"/>
      <c r="AG102" s="231"/>
      <c r="AH102" s="223"/>
      <c r="AI102" s="231"/>
      <c r="AJ102" s="231"/>
      <c r="AK102" s="231"/>
      <c r="AL102" s="231"/>
      <c r="AM102" s="433"/>
    </row>
    <row r="103" spans="2:39">
      <c r="B103" s="982" t="s">
        <v>641</v>
      </c>
      <c r="C103" s="983" t="s">
        <v>89</v>
      </c>
      <c r="D103" s="983" t="s">
        <v>90</v>
      </c>
      <c r="E103" s="983" t="s">
        <v>91</v>
      </c>
      <c r="F103" s="267"/>
      <c r="G103" s="267"/>
      <c r="H103" s="984" t="s">
        <v>799</v>
      </c>
      <c r="I103" s="984" t="s">
        <v>800</v>
      </c>
      <c r="J103" s="984" t="s">
        <v>801</v>
      </c>
      <c r="K103" s="267"/>
      <c r="L103" s="267"/>
      <c r="M103" s="267"/>
      <c r="N103" s="267"/>
      <c r="O103" s="267"/>
      <c r="P103" s="979"/>
      <c r="R103" s="719">
        <v>0.27235711801481677</v>
      </c>
      <c r="S103" s="719">
        <v>0.30349989333531641</v>
      </c>
      <c r="T103" s="1257">
        <v>-0.15000000000000005</v>
      </c>
      <c r="U103" s="1258">
        <v>572.95067250083525</v>
      </c>
      <c r="V103" s="1258">
        <v>73.830809850507265</v>
      </c>
      <c r="W103" s="1258">
        <v>166.69483890491622</v>
      </c>
      <c r="X103" s="719">
        <v>4.8965732166517733E-3</v>
      </c>
      <c r="Y103" s="719">
        <v>2.4156486773198931</v>
      </c>
      <c r="Z103" s="719">
        <v>0.13257217020803741</v>
      </c>
      <c r="AA103" s="719">
        <v>-0.13257217020803741</v>
      </c>
      <c r="AB103" s="239"/>
      <c r="AC103" s="231"/>
      <c r="AD103" s="231"/>
      <c r="AE103" s="231"/>
      <c r="AF103" s="231"/>
      <c r="AG103" s="231"/>
      <c r="AH103" s="223"/>
      <c r="AI103" s="231"/>
      <c r="AJ103" s="231"/>
      <c r="AK103" s="231"/>
      <c r="AL103" s="231"/>
      <c r="AM103" s="433"/>
    </row>
    <row r="104" spans="2:39">
      <c r="B104" s="972" t="s">
        <v>940</v>
      </c>
      <c r="C104" s="987" t="s">
        <v>941</v>
      </c>
      <c r="D104" s="267" t="s">
        <v>87</v>
      </c>
      <c r="E104" s="1004">
        <v>1</v>
      </c>
      <c r="F104" s="267"/>
      <c r="G104" s="72" t="s">
        <v>804</v>
      </c>
      <c r="H104" s="989">
        <v>1</v>
      </c>
      <c r="I104" s="989">
        <v>3.2000000000000001E-2</v>
      </c>
      <c r="J104" s="989">
        <v>1</v>
      </c>
      <c r="K104" s="267"/>
      <c r="L104" s="267"/>
      <c r="M104" s="267"/>
      <c r="N104" s="267"/>
      <c r="O104" s="267"/>
      <c r="P104" s="979"/>
      <c r="R104" s="719">
        <v>0.29311896822848321</v>
      </c>
      <c r="S104" s="719">
        <v>0.30349989333531641</v>
      </c>
      <c r="T104" s="1257">
        <v>-5.0000000000000079E-2</v>
      </c>
      <c r="U104" s="1258">
        <v>587.80459215222243</v>
      </c>
      <c r="V104" s="1258">
        <v>58.976890199118181</v>
      </c>
      <c r="W104" s="1258">
        <v>166.69176783470752</v>
      </c>
      <c r="X104" s="719">
        <v>3.1190320126410868E-3</v>
      </c>
      <c r="Y104" s="719">
        <v>1.961228866657007</v>
      </c>
      <c r="Z104" s="719">
        <v>0.1325933267223047</v>
      </c>
      <c r="AA104" s="719">
        <v>-0.1325933267223047</v>
      </c>
      <c r="AB104" s="239"/>
      <c r="AC104" s="231"/>
      <c r="AD104" s="231"/>
      <c r="AE104" s="231"/>
      <c r="AF104" s="231"/>
      <c r="AG104" s="231"/>
      <c r="AH104" s="223"/>
      <c r="AI104" s="231"/>
      <c r="AJ104" s="231"/>
      <c r="AK104" s="231"/>
      <c r="AL104" s="231"/>
      <c r="AM104" s="433"/>
    </row>
    <row r="105" spans="2:39">
      <c r="B105" s="972" t="s">
        <v>942</v>
      </c>
      <c r="C105" s="987" t="s">
        <v>943</v>
      </c>
      <c r="D105" s="987" t="s">
        <v>512</v>
      </c>
      <c r="E105" s="1003">
        <f>'5'!D133*12</f>
        <v>16.510589284448592</v>
      </c>
      <c r="F105" s="267"/>
      <c r="G105" s="72" t="s">
        <v>808</v>
      </c>
      <c r="H105" s="989">
        <v>1</v>
      </c>
      <c r="I105" s="989">
        <f>E104</f>
        <v>1</v>
      </c>
      <c r="J105" s="989">
        <v>1.5299999999999999E-2</v>
      </c>
      <c r="K105" s="267"/>
      <c r="L105" s="267"/>
      <c r="M105" s="267"/>
      <c r="N105" s="267"/>
      <c r="O105" s="267"/>
      <c r="P105" s="979"/>
      <c r="R105" s="719">
        <v>0.30349989333531641</v>
      </c>
      <c r="S105" s="719">
        <v>0.30349989333531641</v>
      </c>
      <c r="T105" s="1257">
        <v>0</v>
      </c>
      <c r="U105" s="1258">
        <v>595.52442408231559</v>
      </c>
      <c r="V105" s="1258">
        <v>51.25705826902508</v>
      </c>
      <c r="W105" s="1258">
        <v>166.7190792252182</v>
      </c>
      <c r="X105" s="719">
        <v>2.3537528002041804E-3</v>
      </c>
      <c r="Y105" s="719">
        <v>1.7340189613255639</v>
      </c>
      <c r="Z105" s="719">
        <v>0.13260453595131119</v>
      </c>
      <c r="AA105" s="719">
        <v>-0.13260453595131119</v>
      </c>
      <c r="AB105" s="239"/>
      <c r="AC105" s="231"/>
      <c r="AD105" s="231"/>
      <c r="AE105" s="231"/>
      <c r="AF105" s="231"/>
      <c r="AG105" s="231"/>
      <c r="AH105" s="223"/>
      <c r="AI105" s="231"/>
      <c r="AJ105" s="231"/>
      <c r="AK105" s="231"/>
      <c r="AL105" s="231"/>
      <c r="AM105" s="433"/>
    </row>
    <row r="106" spans="2:39">
      <c r="B106" s="972" t="s">
        <v>816</v>
      </c>
      <c r="C106" s="987" t="s">
        <v>214</v>
      </c>
      <c r="D106" s="267" t="s">
        <v>87</v>
      </c>
      <c r="E106" s="1003">
        <v>3</v>
      </c>
      <c r="F106" s="267" t="s">
        <v>2803</v>
      </c>
      <c r="G106" s="72" t="s">
        <v>813</v>
      </c>
      <c r="H106" s="989">
        <v>0.28999999999999998</v>
      </c>
      <c r="I106" s="989">
        <v>0.64600000000000002</v>
      </c>
      <c r="J106" s="989">
        <v>0.56599999999999995</v>
      </c>
      <c r="K106" s="267"/>
      <c r="L106" s="267"/>
      <c r="M106" s="267"/>
      <c r="N106" s="267"/>
      <c r="O106" s="267"/>
      <c r="P106" s="979"/>
      <c r="R106" s="719">
        <v>0.31388081844214966</v>
      </c>
      <c r="S106" s="719">
        <v>0.30349989333531641</v>
      </c>
      <c r="T106" s="1257">
        <v>5.0000000000000079E-2</v>
      </c>
      <c r="U106" s="1258">
        <v>603.44991915559069</v>
      </c>
      <c r="V106" s="1258">
        <v>43.331563195750533</v>
      </c>
      <c r="W106" s="1258">
        <v>166.76768704832332</v>
      </c>
      <c r="X106" s="719">
        <v>1.6805204924658312E-3</v>
      </c>
      <c r="Y106" s="719">
        <v>1.5068090559941207</v>
      </c>
      <c r="Z106" s="719">
        <v>0.13261619595459728</v>
      </c>
      <c r="AA106" s="719">
        <v>-0.13261619595459728</v>
      </c>
      <c r="AB106" s="239"/>
      <c r="AC106" s="231"/>
      <c r="AD106" s="231"/>
      <c r="AE106" s="231"/>
      <c r="AF106" s="231"/>
      <c r="AG106" s="231"/>
      <c r="AH106" s="223"/>
      <c r="AI106" s="231"/>
      <c r="AJ106" s="231"/>
      <c r="AK106" s="231"/>
      <c r="AL106" s="231"/>
      <c r="AM106" s="433"/>
    </row>
    <row r="107" spans="2:39">
      <c r="B107" s="972" t="s">
        <v>1008</v>
      </c>
      <c r="C107" s="987" t="s">
        <v>944</v>
      </c>
      <c r="D107" s="987" t="s">
        <v>932</v>
      </c>
      <c r="E107" s="1004">
        <v>1</v>
      </c>
      <c r="F107" s="267"/>
      <c r="G107" s="72" t="s">
        <v>817</v>
      </c>
      <c r="H107" s="989">
        <v>0.28999999999999998</v>
      </c>
      <c r="I107" s="989">
        <v>0.2</v>
      </c>
      <c r="J107" s="989">
        <v>0.56599999999999995</v>
      </c>
      <c r="K107" s="267"/>
      <c r="L107" s="267"/>
      <c r="M107" s="267"/>
      <c r="N107" s="267"/>
      <c r="O107" s="267"/>
      <c r="P107" s="979"/>
      <c r="R107" s="719">
        <v>0.33464266865581599</v>
      </c>
      <c r="S107" s="719">
        <v>0.30349989333531641</v>
      </c>
      <c r="T107" s="1257">
        <v>0.14999999999999963</v>
      </c>
      <c r="U107" s="1258">
        <v>619.95170588074984</v>
      </c>
      <c r="V107" s="1258">
        <v>26.829776470590822</v>
      </c>
      <c r="W107" s="1258">
        <v>166.93575999641146</v>
      </c>
      <c r="X107" s="719">
        <v>6.4295658655911516E-4</v>
      </c>
      <c r="Y107" s="719">
        <v>1.0523892453312369</v>
      </c>
      <c r="Z107" s="719">
        <v>0.13264096803070283</v>
      </c>
      <c r="AA107" s="719">
        <v>-0.13264096803070283</v>
      </c>
      <c r="AB107" s="239"/>
      <c r="AC107" s="231"/>
      <c r="AD107" s="231"/>
      <c r="AE107" s="231"/>
      <c r="AF107" s="231"/>
      <c r="AG107" s="231"/>
      <c r="AH107" s="223"/>
      <c r="AI107" s="231"/>
      <c r="AJ107" s="231"/>
      <c r="AK107" s="231"/>
      <c r="AL107" s="231"/>
      <c r="AM107" s="433"/>
    </row>
    <row r="108" spans="2:39">
      <c r="B108" s="972" t="s">
        <v>937</v>
      </c>
      <c r="C108" s="987" t="s">
        <v>938</v>
      </c>
      <c r="D108" s="987" t="s">
        <v>508</v>
      </c>
      <c r="E108" s="995">
        <f>E98</f>
        <v>1248.4473702610098</v>
      </c>
      <c r="F108" s="267"/>
      <c r="G108" s="72" t="s">
        <v>821</v>
      </c>
      <c r="H108" s="989">
        <v>0.5</v>
      </c>
      <c r="I108" s="989">
        <v>0.5</v>
      </c>
      <c r="J108" s="989">
        <v>0.84499999999999997</v>
      </c>
      <c r="K108" s="267"/>
      <c r="L108" s="267"/>
      <c r="M108" s="267"/>
      <c r="N108" s="267"/>
      <c r="O108" s="267"/>
      <c r="P108" s="979"/>
      <c r="R108" s="719">
        <v>0.35540451886948249</v>
      </c>
      <c r="S108" s="719">
        <v>0.30349989333531641</v>
      </c>
      <c r="T108" s="1257">
        <v>0.25</v>
      </c>
      <c r="U108" s="1258">
        <v>637.38233295357782</v>
      </c>
      <c r="V108" s="1258">
        <v>9.3991493977632903</v>
      </c>
      <c r="W108" s="1258">
        <v>167.21140626896263</v>
      </c>
      <c r="X108" s="719">
        <v>7.8734155788137106E-5</v>
      </c>
      <c r="Y108" s="719">
        <v>0.59796943466834951</v>
      </c>
      <c r="Z108" s="719">
        <v>0.13266786021426566</v>
      </c>
      <c r="AA108" s="719">
        <v>-0.13266786021426566</v>
      </c>
      <c r="AB108" s="239"/>
      <c r="AC108" s="231"/>
      <c r="AD108" s="231"/>
      <c r="AE108" s="231"/>
      <c r="AF108" s="231"/>
      <c r="AG108" s="231"/>
      <c r="AH108" s="223"/>
      <c r="AI108" s="231"/>
      <c r="AJ108" s="231"/>
      <c r="AK108" s="231"/>
      <c r="AL108" s="231"/>
      <c r="AM108" s="433"/>
    </row>
    <row r="109" spans="2:39">
      <c r="B109" s="972"/>
      <c r="C109" s="267"/>
      <c r="D109" s="267"/>
      <c r="E109" s="267"/>
      <c r="F109" s="267"/>
      <c r="G109" s="72" t="s">
        <v>827</v>
      </c>
      <c r="H109" s="989">
        <v>0.52500000000000002</v>
      </c>
      <c r="I109" s="989">
        <v>0.45</v>
      </c>
      <c r="J109" s="989">
        <v>0</v>
      </c>
      <c r="K109" s="267"/>
      <c r="L109" s="267"/>
      <c r="M109" s="267"/>
      <c r="N109" s="267"/>
      <c r="O109" s="267"/>
      <c r="P109" s="979"/>
      <c r="R109" s="719">
        <v>0.40730914440364852</v>
      </c>
      <c r="S109" s="719">
        <v>0.30349989333531641</v>
      </c>
      <c r="T109" s="1257">
        <v>0.49999999999999978</v>
      </c>
      <c r="U109" s="1258">
        <v>685.57683923083039</v>
      </c>
      <c r="V109" s="1258">
        <v>-38.795356879489923</v>
      </c>
      <c r="W109" s="1258">
        <v>168.49819556125811</v>
      </c>
      <c r="X109" s="719">
        <v>1.3327861200294279E-3</v>
      </c>
      <c r="Y109" s="719">
        <v>-0.53808009198886397</v>
      </c>
      <c r="Z109" s="719">
        <v>0.13274609616416636</v>
      </c>
      <c r="AA109" s="719">
        <v>-0.13274609616416636</v>
      </c>
      <c r="AB109" s="239"/>
      <c r="AC109" s="231"/>
      <c r="AD109" s="231"/>
      <c r="AE109" s="231"/>
      <c r="AF109" s="231"/>
      <c r="AG109" s="231"/>
      <c r="AH109" s="223"/>
      <c r="AI109" s="231"/>
      <c r="AJ109" s="231"/>
      <c r="AK109" s="231"/>
      <c r="AL109" s="231"/>
      <c r="AM109" s="433"/>
    </row>
    <row r="110" spans="2:39">
      <c r="B110" s="972"/>
      <c r="C110" s="267"/>
      <c r="D110" s="267"/>
      <c r="E110" s="267"/>
      <c r="F110" s="267"/>
      <c r="G110" s="267"/>
      <c r="H110" s="267"/>
      <c r="I110" s="267"/>
      <c r="J110" s="267"/>
      <c r="K110" s="267"/>
      <c r="L110" s="267"/>
      <c r="M110" s="267"/>
      <c r="N110" s="267"/>
      <c r="O110" s="267"/>
      <c r="P110" s="979"/>
      <c r="R110" s="691"/>
      <c r="S110" s="231"/>
      <c r="T110" s="231"/>
      <c r="U110" s="227"/>
      <c r="V110" s="231"/>
      <c r="W110" s="231"/>
      <c r="X110" s="239"/>
      <c r="Y110" s="231"/>
      <c r="Z110" s="231"/>
      <c r="AA110" s="239"/>
      <c r="AB110" s="239"/>
      <c r="AC110" s="231"/>
      <c r="AD110" s="231"/>
      <c r="AE110" s="231"/>
      <c r="AF110" s="231"/>
      <c r="AG110" s="231"/>
      <c r="AH110" s="223"/>
      <c r="AI110" s="231"/>
      <c r="AJ110" s="231"/>
      <c r="AK110" s="231"/>
      <c r="AL110" s="231"/>
      <c r="AM110" s="433"/>
    </row>
    <row r="111" spans="2:39" ht="17.399999999999999">
      <c r="B111" s="973" t="s">
        <v>945</v>
      </c>
      <c r="C111" s="267"/>
      <c r="D111" s="267"/>
      <c r="E111" s="267"/>
      <c r="F111" s="267"/>
      <c r="G111" s="267"/>
      <c r="H111" s="267"/>
      <c r="I111" s="267"/>
      <c r="J111" s="267"/>
      <c r="K111" s="267"/>
      <c r="L111" s="267"/>
      <c r="M111" s="267"/>
      <c r="N111" s="267"/>
      <c r="O111" s="267"/>
      <c r="P111" s="979"/>
      <c r="R111" s="691"/>
      <c r="S111" s="231"/>
      <c r="T111" s="231"/>
      <c r="U111" s="227"/>
      <c r="V111" s="231"/>
      <c r="W111" s="231"/>
      <c r="X111" s="239"/>
      <c r="Y111" s="231"/>
      <c r="Z111" s="231"/>
      <c r="AA111" s="239"/>
      <c r="AB111" s="239"/>
      <c r="AC111" s="231"/>
      <c r="AD111" s="231"/>
      <c r="AE111" s="231"/>
      <c r="AF111" s="231"/>
      <c r="AG111" s="231"/>
      <c r="AH111" s="223"/>
      <c r="AI111" s="231"/>
      <c r="AJ111" s="231"/>
      <c r="AK111" s="231"/>
      <c r="AL111" s="231"/>
      <c r="AM111" s="433"/>
    </row>
    <row r="112" spans="2:39">
      <c r="B112" s="980"/>
      <c r="C112" s="978"/>
      <c r="D112" s="978"/>
      <c r="E112" s="978"/>
      <c r="F112" s="267"/>
      <c r="G112" s="267"/>
      <c r="H112" s="267"/>
      <c r="I112" s="267"/>
      <c r="J112" s="267" t="s">
        <v>798</v>
      </c>
      <c r="K112" s="267"/>
      <c r="L112" s="267"/>
      <c r="M112" s="267"/>
      <c r="N112" s="267"/>
      <c r="O112" s="267"/>
      <c r="P112" s="979"/>
      <c r="R112" s="691"/>
      <c r="S112" s="231"/>
      <c r="T112" s="231"/>
      <c r="U112" s="227"/>
      <c r="V112" s="231"/>
      <c r="W112" s="231"/>
      <c r="X112" s="239"/>
      <c r="Y112" s="231"/>
      <c r="Z112" s="231"/>
      <c r="AA112" s="239"/>
      <c r="AB112" s="239"/>
      <c r="AC112" s="231"/>
      <c r="AD112" s="231"/>
      <c r="AE112" s="231"/>
      <c r="AF112" s="231"/>
      <c r="AG112" s="231"/>
      <c r="AH112" s="223"/>
      <c r="AI112" s="231"/>
      <c r="AJ112" s="231"/>
      <c r="AK112" s="231"/>
      <c r="AL112" s="231"/>
      <c r="AM112" s="433"/>
    </row>
    <row r="113" spans="2:39" ht="13.8" thickBot="1">
      <c r="B113" s="982" t="s">
        <v>641</v>
      </c>
      <c r="C113" s="983" t="s">
        <v>89</v>
      </c>
      <c r="D113" s="983" t="s">
        <v>90</v>
      </c>
      <c r="E113" s="983" t="s">
        <v>91</v>
      </c>
      <c r="F113" s="267"/>
      <c r="G113" s="267"/>
      <c r="H113" s="984" t="s">
        <v>799</v>
      </c>
      <c r="I113" s="984" t="s">
        <v>800</v>
      </c>
      <c r="J113" s="984" t="s">
        <v>801</v>
      </c>
      <c r="K113" s="267"/>
      <c r="L113" s="267"/>
      <c r="M113" s="267"/>
      <c r="N113" s="267"/>
      <c r="O113" s="267"/>
      <c r="P113" s="979"/>
      <c r="R113" s="691"/>
      <c r="S113" s="231"/>
      <c r="T113" s="231"/>
      <c r="U113" s="227"/>
      <c r="V113" s="231"/>
      <c r="W113" s="231"/>
      <c r="X113" s="239"/>
      <c r="Y113" s="231"/>
      <c r="Z113" s="231"/>
      <c r="AA113" s="239"/>
      <c r="AB113" s="239"/>
      <c r="AC113" s="231"/>
      <c r="AD113" s="231"/>
      <c r="AE113" s="231"/>
      <c r="AF113" s="231"/>
      <c r="AG113" s="231"/>
      <c r="AH113" s="223"/>
      <c r="AI113" s="231"/>
      <c r="AJ113" s="231"/>
      <c r="AK113" s="231"/>
      <c r="AL113" s="231"/>
      <c r="AM113" s="433"/>
    </row>
    <row r="114" spans="2:39" ht="15.6">
      <c r="B114" s="972" t="s">
        <v>2580</v>
      </c>
      <c r="C114" s="267" t="s">
        <v>946</v>
      </c>
      <c r="D114" s="267" t="s">
        <v>2581</v>
      </c>
      <c r="E114" s="1215">
        <f>IF('2'!F21=1,'7a'!Q35,IF('2'!F21=2,'7b'!Q35,IF('2'!F21=3,'7a'!Q35,IF('2'!F21=4,'7b'!Q35,IF('2'!F21=5,'7a'!Q35,'7b'!Q35)))))</f>
        <v>353.33387842719128</v>
      </c>
      <c r="F114" s="267"/>
      <c r="G114" s="72" t="s">
        <v>804</v>
      </c>
      <c r="H114" s="267">
        <v>1.3</v>
      </c>
      <c r="I114" s="267">
        <v>1.3</v>
      </c>
      <c r="J114" s="267">
        <v>1.4</v>
      </c>
      <c r="K114" s="267"/>
      <c r="L114" s="267"/>
      <c r="M114" s="267"/>
      <c r="N114" s="267"/>
      <c r="O114" s="267"/>
      <c r="P114" s="979"/>
      <c r="R114" s="720" t="s">
        <v>2211</v>
      </c>
      <c r="S114" s="229"/>
      <c r="T114" s="229"/>
      <c r="U114" s="229"/>
      <c r="V114" s="229"/>
      <c r="W114" s="229"/>
      <c r="X114" s="449"/>
      <c r="Y114" s="430"/>
      <c r="Z114" s="231"/>
      <c r="AA114" s="239"/>
      <c r="AB114" s="239"/>
      <c r="AC114" s="231"/>
      <c r="AD114" s="231"/>
      <c r="AE114" s="231"/>
      <c r="AF114" s="231"/>
      <c r="AG114" s="231"/>
      <c r="AH114" s="223"/>
      <c r="AI114" s="231"/>
      <c r="AJ114" s="231"/>
      <c r="AK114" s="231"/>
      <c r="AL114" s="231"/>
      <c r="AM114" s="433"/>
    </row>
    <row r="115" spans="2:39">
      <c r="B115" s="972" t="s">
        <v>947</v>
      </c>
      <c r="C115" s="267" t="s">
        <v>587</v>
      </c>
      <c r="D115" s="267" t="s">
        <v>87</v>
      </c>
      <c r="E115" s="1353">
        <f>'3'!J22</f>
        <v>1</v>
      </c>
      <c r="F115" s="267"/>
      <c r="G115" s="72" t="s">
        <v>808</v>
      </c>
      <c r="H115" s="267">
        <v>0.17</v>
      </c>
      <c r="I115" s="267">
        <v>0.17</v>
      </c>
      <c r="J115" s="267">
        <v>7.0000000000000007E-2</v>
      </c>
      <c r="K115" s="267" t="s">
        <v>2804</v>
      </c>
      <c r="L115" s="267"/>
      <c r="M115" s="267"/>
      <c r="N115" s="267"/>
      <c r="O115" s="267"/>
      <c r="P115" s="979"/>
      <c r="R115" s="691"/>
      <c r="S115" s="231"/>
      <c r="T115" s="231"/>
      <c r="U115" s="231"/>
      <c r="V115" s="231"/>
      <c r="W115" s="231"/>
      <c r="X115" s="239"/>
      <c r="Y115" s="433"/>
      <c r="Z115" s="231"/>
      <c r="AA115" s="239"/>
      <c r="AB115" s="239"/>
      <c r="AC115" s="231"/>
      <c r="AD115" s="231"/>
      <c r="AE115" s="231"/>
      <c r="AF115" s="231"/>
      <c r="AG115" s="231"/>
      <c r="AH115" s="223"/>
      <c r="AI115" s="231"/>
      <c r="AJ115" s="231"/>
      <c r="AK115" s="231"/>
      <c r="AL115" s="231"/>
      <c r="AM115" s="433"/>
    </row>
    <row r="116" spans="2:39">
      <c r="B116" s="1010"/>
      <c r="C116" s="1011"/>
      <c r="D116" s="1011"/>
      <c r="E116" s="1011"/>
      <c r="F116" s="1011"/>
      <c r="G116" s="1011"/>
      <c r="H116" s="1011"/>
      <c r="I116" s="1011"/>
      <c r="J116" s="1011"/>
      <c r="K116" s="1011"/>
      <c r="L116" s="267"/>
      <c r="M116" s="267"/>
      <c r="N116" s="267"/>
      <c r="O116" s="267"/>
      <c r="P116" s="979"/>
      <c r="R116" s="276" t="s">
        <v>641</v>
      </c>
      <c r="S116" s="98" t="s">
        <v>89</v>
      </c>
      <c r="T116" s="98" t="s">
        <v>90</v>
      </c>
      <c r="U116" s="571" t="s">
        <v>91</v>
      </c>
      <c r="V116" s="233" t="s">
        <v>352</v>
      </c>
      <c r="W116" s="231"/>
      <c r="X116" s="239"/>
      <c r="Y116" s="433"/>
      <c r="Z116" s="231"/>
      <c r="AA116" s="239"/>
      <c r="AB116" s="239"/>
      <c r="AC116" s="231"/>
      <c r="AD116" s="231"/>
      <c r="AE116" s="231"/>
      <c r="AF116" s="231"/>
      <c r="AG116" s="231"/>
      <c r="AH116" s="223"/>
      <c r="AI116" s="231"/>
      <c r="AJ116" s="231"/>
      <c r="AK116" s="231"/>
      <c r="AL116" s="231"/>
      <c r="AM116" s="433"/>
    </row>
    <row r="117" spans="2:39" ht="15.6">
      <c r="B117" s="1235" t="s">
        <v>2596</v>
      </c>
      <c r="C117" s="267" t="s">
        <v>2597</v>
      </c>
      <c r="D117" s="1236" t="s">
        <v>2581</v>
      </c>
      <c r="E117" s="1237">
        <f>'2'!S20</f>
        <v>0</v>
      </c>
      <c r="F117" s="1011"/>
      <c r="G117" s="1011"/>
      <c r="H117" s="1011"/>
      <c r="I117" s="1011"/>
      <c r="J117" s="1011"/>
      <c r="K117" s="1011"/>
      <c r="L117" s="267"/>
      <c r="M117" s="267"/>
      <c r="N117" s="267"/>
      <c r="O117" s="267"/>
      <c r="P117" s="979"/>
      <c r="R117" s="721" t="s">
        <v>2212</v>
      </c>
      <c r="S117" s="315" t="s">
        <v>2213</v>
      </c>
      <c r="T117" s="722" t="s">
        <v>1021</v>
      </c>
      <c r="U117" s="723">
        <f>U13</f>
        <v>7.9311218823565927E-2</v>
      </c>
      <c r="V117" s="239"/>
      <c r="W117" s="239"/>
      <c r="X117" s="239"/>
      <c r="Y117" s="433"/>
      <c r="Z117" s="231"/>
      <c r="AA117" s="239"/>
      <c r="AB117" s="239"/>
      <c r="AC117" s="231"/>
      <c r="AD117" s="231"/>
      <c r="AE117" s="231"/>
      <c r="AF117" s="231"/>
      <c r="AG117" s="231"/>
      <c r="AH117" s="223"/>
      <c r="AI117" s="231"/>
      <c r="AJ117" s="231"/>
      <c r="AK117" s="231"/>
      <c r="AL117" s="231"/>
      <c r="AM117" s="433"/>
    </row>
    <row r="118" spans="2:39">
      <c r="B118" s="1010"/>
      <c r="C118" s="1011"/>
      <c r="D118" s="1011"/>
      <c r="E118" s="1011"/>
      <c r="F118" s="1011"/>
      <c r="G118" s="1011"/>
      <c r="H118" s="1011"/>
      <c r="I118" s="1011"/>
      <c r="J118" s="1011"/>
      <c r="K118" s="1011"/>
      <c r="L118" s="1011"/>
      <c r="M118" s="1011"/>
      <c r="N118" s="1011"/>
      <c r="O118" s="1011"/>
      <c r="P118" s="1012"/>
      <c r="R118" s="724" t="s">
        <v>2214</v>
      </c>
      <c r="S118" s="314" t="s">
        <v>2215</v>
      </c>
      <c r="T118" s="314" t="s">
        <v>188</v>
      </c>
      <c r="U118" s="322">
        <f>U75-U76</f>
        <v>-2.1929704288185148</v>
      </c>
      <c r="V118" s="231"/>
      <c r="W118" s="239"/>
      <c r="X118" s="239"/>
      <c r="Y118" s="433"/>
      <c r="Z118" s="231"/>
      <c r="AA118" s="239"/>
      <c r="AB118" s="239"/>
      <c r="AC118" s="231"/>
      <c r="AD118" s="231"/>
      <c r="AE118" s="231"/>
      <c r="AF118" s="231"/>
      <c r="AG118" s="231"/>
      <c r="AH118" s="223"/>
      <c r="AI118" s="231"/>
      <c r="AJ118" s="231"/>
      <c r="AK118" s="231"/>
      <c r="AL118" s="231"/>
      <c r="AM118" s="433"/>
    </row>
    <row r="119" spans="2:39" ht="13.8" thickBot="1">
      <c r="B119" s="1013"/>
      <c r="C119" s="1014"/>
      <c r="D119" s="1014"/>
      <c r="E119" s="1014"/>
      <c r="F119" s="1014"/>
      <c r="G119" s="1014"/>
      <c r="H119" s="1014"/>
      <c r="I119" s="1014"/>
      <c r="J119" s="1014"/>
      <c r="K119" s="1014"/>
      <c r="L119" s="1014"/>
      <c r="M119" s="1014"/>
      <c r="N119" s="1014"/>
      <c r="O119" s="1014"/>
      <c r="P119" s="1015"/>
      <c r="R119" s="725" t="s">
        <v>1646</v>
      </c>
      <c r="S119" s="319" t="s">
        <v>2137</v>
      </c>
      <c r="T119" s="676" t="s">
        <v>188</v>
      </c>
      <c r="U119" s="674">
        <f>U21</f>
        <v>4.3859408576370313</v>
      </c>
      <c r="V119" s="231"/>
      <c r="W119" s="239"/>
      <c r="X119" s="239"/>
      <c r="Y119" s="693"/>
      <c r="Z119" s="231"/>
      <c r="AA119" s="239"/>
      <c r="AB119" s="239"/>
      <c r="AC119" s="231"/>
      <c r="AD119" s="231"/>
      <c r="AE119" s="231"/>
      <c r="AF119" s="231"/>
      <c r="AG119" s="231"/>
      <c r="AH119" s="223"/>
      <c r="AI119" s="231"/>
      <c r="AJ119" s="231"/>
      <c r="AK119" s="231"/>
      <c r="AL119" s="231"/>
      <c r="AM119" s="433"/>
    </row>
    <row r="120" spans="2:39">
      <c r="R120" s="724" t="s">
        <v>2216</v>
      </c>
      <c r="S120" s="315" t="s">
        <v>2217</v>
      </c>
      <c r="T120" s="314" t="s">
        <v>1402</v>
      </c>
      <c r="U120" s="516">
        <f>U117*(180/PI())*(U118/U119)</f>
        <v>-2.2720990533144279</v>
      </c>
      <c r="V120" s="440" t="str">
        <f>IF(U120&lt;0,"stable","unstable")</f>
        <v>stable</v>
      </c>
      <c r="W120" s="239"/>
      <c r="X120" s="239"/>
      <c r="Y120" s="693"/>
      <c r="Z120" s="231"/>
      <c r="AA120" s="239"/>
      <c r="AB120" s="239"/>
      <c r="AC120" s="231"/>
      <c r="AD120" s="231"/>
      <c r="AE120" s="231"/>
      <c r="AF120" s="231"/>
      <c r="AG120" s="231"/>
      <c r="AH120" s="223"/>
      <c r="AI120" s="231"/>
      <c r="AJ120" s="231"/>
      <c r="AK120" s="231"/>
      <c r="AL120" s="231"/>
      <c r="AM120" s="433"/>
    </row>
    <row r="121" spans="2:39">
      <c r="R121" s="725"/>
      <c r="S121" s="319"/>
      <c r="T121" s="676"/>
      <c r="U121" s="316"/>
      <c r="V121" s="239"/>
      <c r="W121" s="239"/>
      <c r="X121" s="239"/>
      <c r="Y121" s="693"/>
      <c r="Z121" s="231"/>
      <c r="AA121" s="239"/>
      <c r="AB121" s="239"/>
      <c r="AC121" s="231"/>
      <c r="AD121" s="231"/>
      <c r="AE121" s="231"/>
      <c r="AF121" s="231"/>
      <c r="AG121" s="231"/>
      <c r="AH121" s="223"/>
      <c r="AI121" s="231"/>
      <c r="AJ121" s="231"/>
      <c r="AK121" s="231"/>
      <c r="AL121" s="231"/>
      <c r="AM121" s="433"/>
    </row>
    <row r="122" spans="2:39" ht="15.6">
      <c r="R122" s="721" t="s">
        <v>2218</v>
      </c>
      <c r="S122" s="314" t="s">
        <v>2219</v>
      </c>
      <c r="T122" s="722" t="s">
        <v>1021</v>
      </c>
      <c r="U122" s="723">
        <f>V13</f>
        <v>6.3984771291584308E-2</v>
      </c>
      <c r="V122" s="239"/>
      <c r="W122" s="239"/>
      <c r="X122" s="239"/>
      <c r="Y122" s="693"/>
      <c r="Z122" s="231"/>
      <c r="AA122" s="239"/>
      <c r="AB122" s="239"/>
      <c r="AC122" s="231"/>
      <c r="AD122" s="231"/>
      <c r="AE122" s="231"/>
      <c r="AF122" s="231"/>
      <c r="AG122" s="231"/>
      <c r="AH122" s="223"/>
      <c r="AI122" s="231"/>
      <c r="AJ122" s="231"/>
      <c r="AK122" s="231"/>
      <c r="AL122" s="231"/>
      <c r="AM122" s="433"/>
    </row>
    <row r="123" spans="2:39">
      <c r="R123" s="725" t="s">
        <v>92</v>
      </c>
      <c r="S123" s="319" t="s">
        <v>93</v>
      </c>
      <c r="T123" s="319" t="s">
        <v>87</v>
      </c>
      <c r="U123" s="726">
        <f>U9</f>
        <v>5.9</v>
      </c>
      <c r="V123" s="239"/>
      <c r="W123" s="239"/>
      <c r="X123" s="239"/>
      <c r="Y123" s="693"/>
      <c r="Z123" s="231"/>
      <c r="AA123" s="239"/>
      <c r="AB123" s="239"/>
      <c r="AC123" s="231"/>
      <c r="AD123" s="231"/>
      <c r="AE123" s="231"/>
      <c r="AF123" s="231"/>
      <c r="AG123" s="231"/>
      <c r="AH123" s="223"/>
      <c r="AI123" s="231"/>
      <c r="AJ123" s="231"/>
      <c r="AK123" s="231"/>
      <c r="AL123" s="231"/>
      <c r="AM123" s="433"/>
    </row>
    <row r="124" spans="2:39">
      <c r="R124" s="725" t="s">
        <v>1913</v>
      </c>
      <c r="S124" s="673" t="s">
        <v>182</v>
      </c>
      <c r="T124" s="319" t="s">
        <v>87</v>
      </c>
      <c r="U124" s="726">
        <f>U16</f>
        <v>1</v>
      </c>
      <c r="V124" s="239"/>
      <c r="W124" s="239"/>
      <c r="X124" s="239"/>
      <c r="Y124" s="693"/>
      <c r="Z124" s="231"/>
      <c r="AA124" s="239"/>
      <c r="AB124" s="239"/>
      <c r="AC124" s="231"/>
      <c r="AD124" s="231"/>
      <c r="AE124" s="231"/>
      <c r="AF124" s="231"/>
      <c r="AG124" s="231"/>
      <c r="AH124" s="223"/>
      <c r="AI124" s="231"/>
      <c r="AJ124" s="231"/>
      <c r="AK124" s="231"/>
      <c r="AL124" s="231"/>
      <c r="AM124" s="433"/>
    </row>
    <row r="125" spans="2:39">
      <c r="R125" s="721" t="s">
        <v>2220</v>
      </c>
      <c r="S125" s="319" t="s">
        <v>670</v>
      </c>
      <c r="T125" s="319" t="s">
        <v>188</v>
      </c>
      <c r="U125" s="839">
        <f>'6'!M14*'5'!T15</f>
        <v>12.674999999999999</v>
      </c>
      <c r="V125" s="239" t="s">
        <v>2221</v>
      </c>
      <c r="W125" s="239"/>
      <c r="X125" s="239"/>
      <c r="Y125" s="693"/>
      <c r="Z125" s="231"/>
      <c r="AA125" s="239"/>
      <c r="AB125" s="239"/>
      <c r="AC125" s="231"/>
      <c r="AD125" s="231"/>
      <c r="AE125" s="231"/>
      <c r="AF125" s="231"/>
      <c r="AG125" s="231"/>
      <c r="AH125" s="223"/>
      <c r="AI125" s="231"/>
      <c r="AJ125" s="231"/>
      <c r="AK125" s="231"/>
      <c r="AL125" s="231"/>
      <c r="AM125" s="433"/>
    </row>
    <row r="126" spans="2:39">
      <c r="R126" s="721" t="s">
        <v>2222</v>
      </c>
      <c r="S126" s="319" t="s">
        <v>643</v>
      </c>
      <c r="T126" s="676" t="s">
        <v>188</v>
      </c>
      <c r="U126" s="834">
        <f>'6'!M16</f>
        <v>0</v>
      </c>
      <c r="V126" s="239" t="s">
        <v>2221</v>
      </c>
      <c r="W126" s="239"/>
      <c r="X126" s="239"/>
      <c r="Y126" s="693"/>
      <c r="Z126" s="231"/>
      <c r="AA126" s="239"/>
      <c r="AB126" s="239"/>
      <c r="AC126" s="231"/>
      <c r="AD126" s="231"/>
      <c r="AE126" s="231"/>
      <c r="AF126" s="231"/>
      <c r="AG126" s="231"/>
      <c r="AH126" s="223"/>
      <c r="AI126" s="231"/>
      <c r="AJ126" s="231"/>
      <c r="AK126" s="231"/>
      <c r="AL126" s="231"/>
      <c r="AM126" s="433"/>
    </row>
    <row r="127" spans="2:39">
      <c r="R127" s="724" t="s">
        <v>2223</v>
      </c>
      <c r="S127" s="314" t="s">
        <v>2224</v>
      </c>
      <c r="T127" s="314" t="s">
        <v>87</v>
      </c>
      <c r="U127" s="522">
        <f>U125/U18</f>
        <v>0.97963249139806352</v>
      </c>
      <c r="V127" s="231"/>
      <c r="W127" s="231"/>
      <c r="X127" s="239"/>
      <c r="Y127" s="693"/>
      <c r="Z127" s="231"/>
      <c r="AA127" s="239"/>
      <c r="AB127" s="239"/>
      <c r="AC127" s="231"/>
      <c r="AD127" s="231"/>
      <c r="AE127" s="231"/>
      <c r="AF127" s="231"/>
      <c r="AG127" s="231"/>
      <c r="AH127" s="223"/>
      <c r="AI127" s="231"/>
      <c r="AJ127" s="231"/>
      <c r="AK127" s="231"/>
      <c r="AL127" s="231"/>
      <c r="AM127" s="433"/>
    </row>
    <row r="128" spans="2:39">
      <c r="R128" s="724" t="s">
        <v>2225</v>
      </c>
      <c r="S128" s="314" t="s">
        <v>2226</v>
      </c>
      <c r="T128" s="314" t="s">
        <v>87</v>
      </c>
      <c r="U128" s="522">
        <f>U126/U18</f>
        <v>0</v>
      </c>
      <c r="V128" s="231"/>
      <c r="W128" s="231"/>
      <c r="X128" s="239"/>
      <c r="Y128" s="693"/>
      <c r="Z128" s="231"/>
      <c r="AA128" s="239"/>
      <c r="AB128" s="239"/>
      <c r="AC128" s="231"/>
      <c r="AD128" s="231"/>
      <c r="AE128" s="231"/>
      <c r="AF128" s="231"/>
      <c r="AG128" s="231"/>
      <c r="AH128" s="223"/>
      <c r="AI128" s="231"/>
      <c r="AJ128" s="231"/>
      <c r="AK128" s="231"/>
      <c r="AL128" s="231"/>
      <c r="AM128" s="433"/>
    </row>
    <row r="129" spans="18:39">
      <c r="R129" s="724" t="s">
        <v>2227</v>
      </c>
      <c r="S129" s="314" t="s">
        <v>2228</v>
      </c>
      <c r="T129" s="314" t="s">
        <v>87</v>
      </c>
      <c r="U129" s="847">
        <v>0.4</v>
      </c>
      <c r="V129" s="231" t="s">
        <v>2229</v>
      </c>
      <c r="W129" s="231"/>
      <c r="X129" s="239"/>
      <c r="Y129" s="693"/>
      <c r="Z129" s="231"/>
      <c r="AA129" s="239"/>
      <c r="AB129" s="239"/>
      <c r="AC129" s="231"/>
      <c r="AD129" s="231"/>
      <c r="AE129" s="231"/>
      <c r="AF129" s="231"/>
      <c r="AG129" s="231"/>
      <c r="AH129" s="223"/>
      <c r="AI129" s="231"/>
      <c r="AJ129" s="231"/>
      <c r="AK129" s="231"/>
      <c r="AL129" s="231"/>
      <c r="AM129" s="433"/>
    </row>
    <row r="130" spans="18:39">
      <c r="R130" s="727" t="s">
        <v>2230</v>
      </c>
      <c r="S130" s="316" t="s">
        <v>54</v>
      </c>
      <c r="T130" s="316" t="s">
        <v>87</v>
      </c>
      <c r="U130" s="728">
        <f>S59/(U35*U8)</f>
        <v>0.20678463546789777</v>
      </c>
      <c r="V130" s="239"/>
      <c r="W130" s="239"/>
      <c r="X130" s="239"/>
      <c r="Y130" s="693"/>
      <c r="Z130" s="239"/>
      <c r="AA130" s="239"/>
      <c r="AB130" s="239"/>
      <c r="AC130" s="239"/>
      <c r="AD130" s="231"/>
      <c r="AE130" s="231"/>
      <c r="AF130" s="231"/>
      <c r="AG130" s="231"/>
      <c r="AH130" s="223"/>
      <c r="AI130" s="231"/>
      <c r="AJ130" s="231"/>
      <c r="AK130" s="231"/>
      <c r="AL130" s="231"/>
      <c r="AM130" s="433"/>
    </row>
    <row r="131" spans="18:39">
      <c r="R131" s="727" t="s">
        <v>2231</v>
      </c>
      <c r="S131" s="337" t="s">
        <v>199</v>
      </c>
      <c r="T131" s="316" t="s">
        <v>165</v>
      </c>
      <c r="U131" s="317">
        <f>U12+(U130/U13)</f>
        <v>2.6072558023336714</v>
      </c>
      <c r="V131" s="239"/>
      <c r="W131" s="239"/>
      <c r="X131" s="239"/>
      <c r="Y131" s="693"/>
      <c r="Z131" s="239"/>
      <c r="AA131" s="239"/>
      <c r="AB131" s="239"/>
      <c r="AC131" s="239"/>
      <c r="AD131" s="231"/>
      <c r="AE131" s="231"/>
      <c r="AF131" s="231"/>
      <c r="AG131" s="231"/>
      <c r="AH131" s="223"/>
      <c r="AI131" s="231"/>
      <c r="AJ131" s="231"/>
      <c r="AK131" s="231"/>
      <c r="AL131" s="231"/>
      <c r="AM131" s="433"/>
    </row>
    <row r="132" spans="18:39" ht="15.6">
      <c r="R132" s="727" t="s">
        <v>2232</v>
      </c>
      <c r="S132" s="316" t="s">
        <v>2233</v>
      </c>
      <c r="T132" s="316" t="s">
        <v>165</v>
      </c>
      <c r="U132" s="317">
        <f>(1-U129)*U131</f>
        <v>1.5643534814002027</v>
      </c>
      <c r="V132" s="239" t="s">
        <v>2234</v>
      </c>
      <c r="W132" s="239"/>
      <c r="X132" s="239"/>
      <c r="Y132" s="693"/>
      <c r="Z132" s="239"/>
      <c r="AA132" s="239"/>
      <c r="AB132" s="239"/>
      <c r="AC132" s="239"/>
      <c r="AD132" s="239"/>
      <c r="AE132" s="239"/>
      <c r="AF132" s="239"/>
      <c r="AG132" s="239"/>
      <c r="AH132" s="94"/>
      <c r="AI132" s="239"/>
      <c r="AJ132" s="239"/>
      <c r="AK132" s="239"/>
      <c r="AL132" s="239"/>
      <c r="AM132" s="693"/>
    </row>
    <row r="133" spans="18:39" ht="15.6">
      <c r="R133" s="727" t="s">
        <v>2235</v>
      </c>
      <c r="S133" s="316" t="s">
        <v>2236</v>
      </c>
      <c r="T133" s="316" t="s">
        <v>87</v>
      </c>
      <c r="U133" s="728">
        <f>V13*(((1-U129)*U131)-V12)</f>
        <v>0.10009479972658565</v>
      </c>
      <c r="V133" s="239" t="s">
        <v>2237</v>
      </c>
      <c r="W133" s="239"/>
      <c r="X133" s="239"/>
      <c r="Y133" s="693"/>
      <c r="Z133" s="239"/>
      <c r="AA133" s="239"/>
      <c r="AB133" s="239"/>
      <c r="AC133" s="239"/>
      <c r="AD133" s="239"/>
      <c r="AE133" s="239"/>
      <c r="AF133" s="239"/>
      <c r="AG133" s="239"/>
      <c r="AH133" s="94"/>
      <c r="AI133" s="239"/>
      <c r="AJ133" s="239"/>
      <c r="AK133" s="239"/>
      <c r="AL133" s="239"/>
      <c r="AM133" s="693"/>
    </row>
    <row r="134" spans="18:39" ht="15.6">
      <c r="R134" s="727" t="s">
        <v>2238</v>
      </c>
      <c r="S134" s="316" t="s">
        <v>2239</v>
      </c>
      <c r="T134" s="316" t="s">
        <v>619</v>
      </c>
      <c r="U134" s="512">
        <f>U35*U135</f>
        <v>27.751337694527813</v>
      </c>
      <c r="V134" s="239"/>
      <c r="W134" s="239"/>
      <c r="X134" s="239"/>
      <c r="Y134" s="693"/>
      <c r="Z134" s="239"/>
      <c r="AA134" s="239"/>
      <c r="AB134" s="239"/>
      <c r="AC134" s="239"/>
      <c r="AD134" s="239"/>
      <c r="AE134" s="239"/>
      <c r="AF134" s="239"/>
      <c r="AG134" s="239"/>
      <c r="AH134" s="94"/>
      <c r="AI134" s="239"/>
      <c r="AJ134" s="239"/>
      <c r="AK134" s="239"/>
      <c r="AL134" s="239"/>
      <c r="AM134" s="693"/>
    </row>
    <row r="135" spans="18:39">
      <c r="R135" s="724" t="s">
        <v>2240</v>
      </c>
      <c r="S135" s="314" t="s">
        <v>2241</v>
      </c>
      <c r="T135" s="314" t="s">
        <v>87</v>
      </c>
      <c r="U135" s="729">
        <v>0.95</v>
      </c>
      <c r="V135" s="231"/>
      <c r="W135" s="231"/>
      <c r="X135" s="239"/>
      <c r="Y135" s="693"/>
      <c r="Z135" s="231"/>
      <c r="AA135" s="239"/>
      <c r="AB135" s="239"/>
      <c r="AC135" s="231"/>
      <c r="AD135" s="239"/>
      <c r="AE135" s="239"/>
      <c r="AF135" s="239"/>
      <c r="AG135" s="239"/>
      <c r="AH135" s="94"/>
      <c r="AI135" s="239"/>
      <c r="AJ135" s="239"/>
      <c r="AK135" s="239"/>
      <c r="AL135" s="239"/>
      <c r="AM135" s="693"/>
    </row>
    <row r="136" spans="18:39">
      <c r="R136" s="724" t="s">
        <v>2242</v>
      </c>
      <c r="S136" s="314" t="s">
        <v>2243</v>
      </c>
      <c r="T136" s="314" t="s">
        <v>188</v>
      </c>
      <c r="U136" s="322">
        <f>(V54-V75)*U22</f>
        <v>16.727693955173986</v>
      </c>
      <c r="V136" s="231"/>
      <c r="W136" s="231"/>
      <c r="X136" s="239"/>
      <c r="Y136" s="693"/>
      <c r="Z136" s="231"/>
      <c r="AA136" s="239"/>
      <c r="AB136" s="239"/>
      <c r="AC136" s="231"/>
      <c r="AD136" s="239"/>
      <c r="AE136" s="239"/>
      <c r="AF136" s="239"/>
      <c r="AG136" s="239"/>
      <c r="AH136" s="94"/>
      <c r="AI136" s="239"/>
      <c r="AJ136" s="239"/>
      <c r="AK136" s="239"/>
      <c r="AL136" s="239"/>
      <c r="AM136" s="693"/>
    </row>
    <row r="137" spans="18:39">
      <c r="R137" s="724" t="s">
        <v>2244</v>
      </c>
      <c r="S137" s="314" t="s">
        <v>2245</v>
      </c>
      <c r="T137" s="314" t="s">
        <v>221</v>
      </c>
      <c r="U137" s="512">
        <f>V8</f>
        <v>27.490991086801998</v>
      </c>
      <c r="V137" s="231"/>
      <c r="W137" s="231"/>
      <c r="X137" s="239"/>
      <c r="Y137" s="693"/>
      <c r="Z137" s="231"/>
      <c r="AA137" s="239"/>
      <c r="AB137" s="239"/>
      <c r="AC137" s="231"/>
      <c r="AD137" s="231"/>
      <c r="AE137" s="231"/>
      <c r="AF137" s="231"/>
      <c r="AG137" s="231"/>
      <c r="AH137" s="223"/>
      <c r="AI137" s="231"/>
      <c r="AJ137" s="231"/>
      <c r="AK137" s="231"/>
      <c r="AL137" s="231"/>
      <c r="AM137" s="433"/>
    </row>
    <row r="138" spans="18:39">
      <c r="R138" s="724" t="s">
        <v>2246</v>
      </c>
      <c r="S138" s="314" t="s">
        <v>2247</v>
      </c>
      <c r="T138" s="314" t="s">
        <v>87</v>
      </c>
      <c r="U138" s="516">
        <f>U136*U137/(U8*U21)</f>
        <v>0.92381741764274483</v>
      </c>
      <c r="V138" s="440"/>
      <c r="W138" s="231"/>
      <c r="X138" s="239"/>
      <c r="Y138" s="693"/>
      <c r="Z138" s="231"/>
      <c r="AA138" s="239"/>
      <c r="AB138" s="239"/>
      <c r="AC138" s="231"/>
      <c r="AD138" s="231"/>
      <c r="AE138" s="231"/>
      <c r="AF138" s="231"/>
      <c r="AG138" s="231"/>
      <c r="AH138" s="223"/>
      <c r="AI138" s="231"/>
      <c r="AJ138" s="231"/>
      <c r="AK138" s="231"/>
      <c r="AL138" s="231"/>
      <c r="AM138" s="433"/>
    </row>
    <row r="139" spans="18:39" ht="26.4">
      <c r="R139" s="724" t="s">
        <v>2248</v>
      </c>
      <c r="S139" s="314"/>
      <c r="T139" s="314" t="s">
        <v>1402</v>
      </c>
      <c r="U139" s="516">
        <f>U122*(180/PI())*(1-U129)*U135*U138</f>
        <v>1.9304575503928871</v>
      </c>
      <c r="V139" s="440" t="str">
        <f>IF(U139&lt;0,"stable","unstable")</f>
        <v>unstable</v>
      </c>
      <c r="W139" s="231"/>
      <c r="X139" s="239"/>
      <c r="Y139" s="693"/>
      <c r="Z139" s="231"/>
      <c r="AA139" s="239" t="s">
        <v>2542</v>
      </c>
      <c r="AB139" s="239"/>
      <c r="AC139" s="231"/>
      <c r="AD139" s="231"/>
      <c r="AE139" s="231"/>
      <c r="AF139" s="231"/>
      <c r="AG139" s="231"/>
      <c r="AH139" s="223"/>
      <c r="AI139" s="231"/>
      <c r="AJ139" s="231"/>
      <c r="AK139" s="231"/>
      <c r="AL139" s="231"/>
      <c r="AM139" s="433"/>
    </row>
    <row r="140" spans="18:39">
      <c r="R140" s="724" t="s">
        <v>2249</v>
      </c>
      <c r="S140" s="314" t="s">
        <v>2250</v>
      </c>
      <c r="T140" s="314" t="s">
        <v>2251</v>
      </c>
      <c r="U140" s="310">
        <v>1.2</v>
      </c>
      <c r="V140" s="231" t="s">
        <v>2252</v>
      </c>
      <c r="W140" s="231"/>
      <c r="X140" s="239"/>
      <c r="Y140" s="693"/>
      <c r="Z140" s="231"/>
      <c r="AA140" s="239"/>
      <c r="AB140" s="239"/>
      <c r="AC140" s="231"/>
      <c r="AD140" s="231"/>
      <c r="AE140" s="231"/>
      <c r="AF140" s="231"/>
      <c r="AG140" s="231"/>
      <c r="AH140" s="223"/>
      <c r="AI140" s="231"/>
      <c r="AJ140" s="231"/>
      <c r="AK140" s="231"/>
      <c r="AL140" s="231"/>
      <c r="AM140" s="433"/>
    </row>
    <row r="141" spans="18:39">
      <c r="R141" s="724" t="s">
        <v>2253</v>
      </c>
      <c r="S141" s="314" t="s">
        <v>2254</v>
      </c>
      <c r="T141" s="314" t="s">
        <v>188</v>
      </c>
      <c r="U141" s="322">
        <f>(V52-V75)*U22</f>
        <v>-4.8270602467085588</v>
      </c>
      <c r="V141" s="231"/>
      <c r="W141" s="231"/>
      <c r="X141" s="239"/>
      <c r="Y141" s="433"/>
      <c r="Z141" s="231"/>
      <c r="AA141" s="239"/>
      <c r="AB141" s="239"/>
      <c r="AC141" s="231"/>
      <c r="AD141" s="231"/>
      <c r="AE141" s="231"/>
      <c r="AF141" s="231"/>
      <c r="AG141" s="231"/>
      <c r="AH141" s="223"/>
      <c r="AI141" s="231"/>
      <c r="AJ141" s="231"/>
      <c r="AK141" s="231"/>
      <c r="AL141" s="231"/>
      <c r="AM141" s="433"/>
    </row>
    <row r="142" spans="18:39" ht="26.4">
      <c r="R142" s="725" t="s">
        <v>2255</v>
      </c>
      <c r="S142" s="314" t="s">
        <v>2256</v>
      </c>
      <c r="T142" s="314" t="s">
        <v>1402</v>
      </c>
      <c r="U142" s="516">
        <f>U27*2*(PI()/4)*(U28^2)*U140*U141/(U8*U21)</f>
        <v>-0.1964385890673232</v>
      </c>
      <c r="V142" s="440" t="str">
        <f>IF(U142&lt;0,"stable","unstable")</f>
        <v>stable</v>
      </c>
      <c r="W142" s="231"/>
      <c r="X142" s="239"/>
      <c r="Y142" s="433"/>
      <c r="Z142" s="231"/>
      <c r="AA142" s="239"/>
      <c r="AB142" s="239"/>
      <c r="AC142" s="231"/>
      <c r="AD142" s="231"/>
      <c r="AE142" s="231"/>
      <c r="AF142" s="231"/>
      <c r="AG142" s="231"/>
      <c r="AH142" s="223"/>
      <c r="AI142" s="231"/>
      <c r="AJ142" s="231"/>
      <c r="AK142" s="231"/>
      <c r="AL142" s="231"/>
      <c r="AM142" s="433"/>
    </row>
    <row r="143" spans="18:39" ht="13.8" thickBot="1">
      <c r="R143" s="691"/>
      <c r="S143" s="231"/>
      <c r="T143" s="231"/>
      <c r="U143" s="231"/>
      <c r="V143" s="231"/>
      <c r="W143" s="231"/>
      <c r="X143" s="239"/>
      <c r="Y143" s="433"/>
      <c r="Z143" s="231"/>
      <c r="AA143" s="239"/>
      <c r="AB143" s="239"/>
      <c r="AC143" s="231"/>
      <c r="AD143" s="231"/>
      <c r="AE143" s="231"/>
      <c r="AF143" s="231"/>
      <c r="AG143" s="231"/>
      <c r="AH143" s="223"/>
      <c r="AI143" s="231"/>
      <c r="AJ143" s="231"/>
      <c r="AK143" s="231"/>
      <c r="AL143" s="231"/>
      <c r="AM143" s="433"/>
    </row>
    <row r="144" spans="18:39" ht="16.2" thickBot="1">
      <c r="R144" s="691" t="s">
        <v>2257</v>
      </c>
      <c r="S144" s="231" t="s">
        <v>2258</v>
      </c>
      <c r="T144" s="231" t="s">
        <v>1402</v>
      </c>
      <c r="U144" s="730">
        <f>U120+U139+U142</f>
        <v>-0.53808009198886397</v>
      </c>
      <c r="V144" s="731" t="str">
        <f>IF(U144&gt;-1.5,(IF(U144&lt;-0.16,"Good: -1.5&lt;Cm,a&lt;-0.16","Bad: Cm,a&gt;-0.16")),"Bad: Cm,a&lt;-1.5")</f>
        <v>Good: -1.5&lt;Cm,a&lt;-0.16</v>
      </c>
      <c r="W144" s="732"/>
      <c r="X144" s="239"/>
      <c r="Y144" s="433"/>
      <c r="Z144" s="231"/>
      <c r="AA144" s="239"/>
      <c r="AB144" s="239"/>
      <c r="AC144" s="231"/>
      <c r="AD144" s="231"/>
      <c r="AE144" s="231"/>
      <c r="AF144" s="231"/>
      <c r="AG144" s="231"/>
      <c r="AH144" s="223"/>
      <c r="AI144" s="231"/>
      <c r="AJ144" s="231"/>
      <c r="AK144" s="231"/>
      <c r="AL144" s="231"/>
      <c r="AM144" s="433"/>
    </row>
    <row r="145" spans="18:39" ht="13.8" thickBot="1">
      <c r="R145" s="733"/>
      <c r="S145" s="255"/>
      <c r="T145" s="255"/>
      <c r="U145" s="255"/>
      <c r="V145" s="255"/>
      <c r="W145" s="255"/>
      <c r="X145" s="445"/>
      <c r="Y145" s="446"/>
      <c r="Z145" s="231"/>
      <c r="AA145" s="239"/>
      <c r="AB145" s="239"/>
      <c r="AC145" s="231"/>
      <c r="AD145" s="231"/>
      <c r="AE145" s="231"/>
      <c r="AF145" s="231"/>
      <c r="AG145" s="231"/>
      <c r="AH145" s="223"/>
      <c r="AI145" s="231"/>
      <c r="AJ145" s="231"/>
      <c r="AK145" s="231"/>
      <c r="AL145" s="231"/>
      <c r="AM145" s="433"/>
    </row>
    <row r="146" spans="18:39">
      <c r="R146" s="691"/>
      <c r="S146" s="231"/>
      <c r="T146" s="231"/>
      <c r="U146" s="231"/>
      <c r="V146" s="231"/>
      <c r="W146" s="231"/>
      <c r="X146" s="239"/>
      <c r="Y146" s="231"/>
      <c r="Z146" s="231"/>
      <c r="AA146" s="239"/>
      <c r="AB146" s="239"/>
      <c r="AC146" s="231"/>
      <c r="AD146" s="231"/>
      <c r="AE146" s="231"/>
      <c r="AF146" s="231"/>
      <c r="AG146" s="231"/>
      <c r="AH146" s="223"/>
      <c r="AI146" s="231"/>
      <c r="AJ146" s="231"/>
      <c r="AK146" s="231"/>
      <c r="AL146" s="231"/>
      <c r="AM146" s="433"/>
    </row>
    <row r="147" spans="18:39">
      <c r="R147" s="691"/>
      <c r="S147" s="231"/>
      <c r="T147" s="231"/>
      <c r="U147" s="231"/>
      <c r="V147" s="231"/>
      <c r="W147" s="231"/>
      <c r="X147" s="239"/>
      <c r="Y147" s="231"/>
      <c r="Z147" s="231"/>
      <c r="AA147" s="239"/>
      <c r="AB147" s="239"/>
      <c r="AC147" s="231"/>
      <c r="AD147" s="231"/>
      <c r="AE147" s="231"/>
      <c r="AF147" s="231"/>
      <c r="AG147" s="231"/>
      <c r="AH147" s="223"/>
      <c r="AI147" s="231"/>
      <c r="AJ147" s="231"/>
      <c r="AK147" s="231"/>
      <c r="AL147" s="231"/>
      <c r="AM147" s="433"/>
    </row>
    <row r="148" spans="18:39">
      <c r="R148" s="691"/>
      <c r="S148" s="231"/>
      <c r="T148" s="231"/>
      <c r="U148" s="231"/>
      <c r="V148" s="231"/>
      <c r="W148" s="231"/>
      <c r="X148" s="239"/>
      <c r="Y148" s="231"/>
      <c r="Z148" s="231"/>
      <c r="AA148" s="239"/>
      <c r="AB148" s="239"/>
      <c r="AC148" s="231"/>
      <c r="AD148" s="231"/>
      <c r="AE148" s="231"/>
      <c r="AF148" s="231"/>
      <c r="AG148" s="231"/>
      <c r="AH148" s="223"/>
      <c r="AI148" s="231"/>
      <c r="AJ148" s="231"/>
      <c r="AK148" s="231"/>
      <c r="AL148" s="231"/>
      <c r="AM148" s="433"/>
    </row>
    <row r="149" spans="18:39" ht="13.8" thickBot="1">
      <c r="R149" s="691"/>
      <c r="S149" s="231"/>
      <c r="T149" s="231"/>
      <c r="U149" s="231"/>
      <c r="V149" s="231"/>
      <c r="W149" s="231"/>
      <c r="X149" s="239"/>
      <c r="Y149" s="231"/>
      <c r="Z149" s="231"/>
      <c r="AA149" s="239"/>
      <c r="AB149" s="239"/>
      <c r="AC149" s="231"/>
      <c r="AD149" s="231"/>
      <c r="AE149" s="231"/>
      <c r="AF149" s="231"/>
      <c r="AG149" s="231"/>
      <c r="AH149" s="223"/>
      <c r="AI149" s="231"/>
      <c r="AJ149" s="231"/>
      <c r="AK149" s="231"/>
      <c r="AL149" s="231"/>
      <c r="AM149" s="433"/>
    </row>
    <row r="150" spans="18:39" ht="15.6">
      <c r="R150" s="720" t="s">
        <v>2259</v>
      </c>
      <c r="S150" s="734"/>
      <c r="T150" s="734"/>
      <c r="U150" s="735" t="s">
        <v>2260</v>
      </c>
      <c r="V150" s="736"/>
      <c r="W150" s="229"/>
      <c r="X150" s="449"/>
      <c r="Y150" s="430"/>
      <c r="Z150" s="231"/>
      <c r="AA150" s="239"/>
      <c r="AB150" s="239"/>
      <c r="AC150" s="231"/>
      <c r="AD150" s="231"/>
      <c r="AE150" s="231"/>
      <c r="AF150" s="231"/>
      <c r="AG150" s="231"/>
      <c r="AH150" s="223"/>
      <c r="AI150" s="231"/>
      <c r="AJ150" s="231"/>
      <c r="AK150" s="231"/>
      <c r="AL150" s="231"/>
      <c r="AM150" s="433"/>
    </row>
    <row r="151" spans="18:39">
      <c r="R151" s="691"/>
      <c r="S151" s="231"/>
      <c r="T151" s="231"/>
      <c r="U151" s="253" t="s">
        <v>2261</v>
      </c>
      <c r="V151" s="737"/>
      <c r="W151" s="239"/>
      <c r="X151" s="239"/>
      <c r="Y151" s="433"/>
      <c r="Z151" s="231"/>
      <c r="AA151" s="239"/>
      <c r="AB151" s="239"/>
      <c r="AC151" s="231"/>
      <c r="AD151" s="231"/>
      <c r="AE151" s="231"/>
      <c r="AF151" s="231"/>
      <c r="AG151" s="231"/>
      <c r="AH151" s="223"/>
      <c r="AI151" s="231"/>
      <c r="AJ151" s="231"/>
      <c r="AK151" s="231"/>
      <c r="AL151" s="231"/>
      <c r="AM151" s="433"/>
    </row>
    <row r="152" spans="18:39">
      <c r="R152" s="700" t="s">
        <v>2262</v>
      </c>
      <c r="S152" s="98" t="s">
        <v>89</v>
      </c>
      <c r="T152" s="98" t="s">
        <v>90</v>
      </c>
      <c r="U152" s="571" t="s">
        <v>91</v>
      </c>
      <c r="V152" s="627" t="s">
        <v>352</v>
      </c>
      <c r="W152" s="231"/>
      <c r="X152" s="239"/>
      <c r="Y152" s="433"/>
      <c r="Z152" s="231"/>
      <c r="AA152" s="239"/>
      <c r="AB152" s="239"/>
      <c r="AC152" s="231"/>
      <c r="AD152" s="231"/>
      <c r="AE152" s="231"/>
      <c r="AF152" s="231"/>
      <c r="AG152" s="231"/>
      <c r="AH152" s="223"/>
      <c r="AI152" s="231"/>
      <c r="AJ152" s="231"/>
      <c r="AK152" s="231"/>
      <c r="AL152" s="231"/>
      <c r="AM152" s="433"/>
    </row>
    <row r="153" spans="18:39">
      <c r="R153" s="724" t="s">
        <v>0</v>
      </c>
      <c r="S153" s="314" t="s">
        <v>2263</v>
      </c>
      <c r="T153" s="314" t="s">
        <v>87</v>
      </c>
      <c r="U153" s="738">
        <f>$U9</f>
        <v>5.9</v>
      </c>
      <c r="V153" s="739"/>
      <c r="W153" s="231"/>
      <c r="X153" s="239"/>
      <c r="Y153" s="433"/>
      <c r="Z153" s="231"/>
      <c r="AA153" s="239"/>
      <c r="AB153" s="239"/>
      <c r="AC153" s="231"/>
      <c r="AD153" s="231"/>
      <c r="AE153" s="231"/>
      <c r="AF153" s="231"/>
      <c r="AG153" s="231"/>
      <c r="AH153" s="223"/>
      <c r="AI153" s="231"/>
      <c r="AJ153" s="231"/>
      <c r="AK153" s="231"/>
      <c r="AL153" s="231"/>
      <c r="AM153" s="433"/>
    </row>
    <row r="154" spans="18:39">
      <c r="R154" s="721" t="s">
        <v>1025</v>
      </c>
      <c r="S154" s="474" t="s">
        <v>670</v>
      </c>
      <c r="T154" s="314" t="s">
        <v>165</v>
      </c>
      <c r="U154" s="846">
        <f>'4'!L9</f>
        <v>0</v>
      </c>
      <c r="V154" s="739" t="s">
        <v>1648</v>
      </c>
      <c r="W154" s="231"/>
      <c r="X154" s="239"/>
      <c r="Y154" s="433"/>
      <c r="Z154" s="231"/>
      <c r="AA154" s="239"/>
      <c r="AB154" s="239"/>
      <c r="AC154" s="231"/>
      <c r="AD154" s="231"/>
      <c r="AE154" s="231"/>
      <c r="AF154" s="231"/>
      <c r="AG154" s="231"/>
      <c r="AH154" s="223"/>
      <c r="AI154" s="231"/>
      <c r="AJ154" s="231"/>
      <c r="AK154" s="231"/>
      <c r="AL154" s="231"/>
      <c r="AM154" s="433"/>
    </row>
    <row r="155" spans="18:39">
      <c r="R155" s="721" t="s">
        <v>1024</v>
      </c>
      <c r="S155" s="474" t="s">
        <v>182</v>
      </c>
      <c r="T155" s="314" t="s">
        <v>87</v>
      </c>
      <c r="U155" s="738">
        <f>$U16</f>
        <v>1</v>
      </c>
      <c r="V155" s="739"/>
      <c r="W155" s="231"/>
      <c r="X155" s="239"/>
      <c r="Y155" s="433"/>
      <c r="Z155" s="231"/>
      <c r="AA155" s="239"/>
      <c r="AB155" s="239"/>
      <c r="AC155" s="231"/>
      <c r="AD155" s="231"/>
      <c r="AE155" s="231"/>
      <c r="AF155" s="231"/>
      <c r="AG155" s="231"/>
      <c r="AH155" s="223"/>
      <c r="AI155" s="231"/>
      <c r="AJ155" s="231"/>
      <c r="AK155" s="231"/>
      <c r="AL155" s="231"/>
      <c r="AM155" s="433"/>
    </row>
    <row r="156" spans="18:39">
      <c r="R156" s="721" t="s">
        <v>2264</v>
      </c>
      <c r="S156" s="314" t="s">
        <v>825</v>
      </c>
      <c r="T156" s="314" t="s">
        <v>2265</v>
      </c>
      <c r="U156" s="738">
        <f>$U8</f>
        <v>113.49521551947018</v>
      </c>
      <c r="V156" s="739"/>
      <c r="W156" s="231"/>
      <c r="X156" s="239"/>
      <c r="Y156" s="433"/>
      <c r="Z156" s="231"/>
      <c r="AA156" s="239"/>
      <c r="AB156" s="239"/>
      <c r="AC156" s="231"/>
      <c r="AD156" s="231"/>
      <c r="AE156" s="231"/>
      <c r="AF156" s="231"/>
      <c r="AG156" s="231"/>
      <c r="AH156" s="223"/>
      <c r="AI156" s="231"/>
      <c r="AJ156" s="231"/>
      <c r="AK156" s="231"/>
      <c r="AL156" s="231"/>
      <c r="AM156" s="433"/>
    </row>
    <row r="157" spans="18:39">
      <c r="R157" s="721" t="s">
        <v>2266</v>
      </c>
      <c r="S157" s="314" t="s">
        <v>189</v>
      </c>
      <c r="T157" s="314" t="s">
        <v>2267</v>
      </c>
      <c r="U157" s="322">
        <f>($U156*$U153)^0.5</f>
        <v>25.877051060058488</v>
      </c>
      <c r="V157" s="739"/>
      <c r="W157" s="231"/>
      <c r="X157" s="239"/>
      <c r="Y157" s="433"/>
      <c r="Z157" s="231"/>
      <c r="AA157" s="239"/>
      <c r="AB157" s="239"/>
      <c r="AC157" s="231"/>
      <c r="AD157" s="231"/>
      <c r="AE157" s="231"/>
      <c r="AF157" s="231"/>
      <c r="AG157" s="231"/>
      <c r="AH157" s="223"/>
      <c r="AI157" s="231"/>
      <c r="AJ157" s="231"/>
      <c r="AK157" s="231"/>
      <c r="AL157" s="231"/>
      <c r="AM157" s="433"/>
    </row>
    <row r="158" spans="18:39">
      <c r="R158" s="721" t="s">
        <v>2268</v>
      </c>
      <c r="S158" s="314" t="s">
        <v>2269</v>
      </c>
      <c r="T158" s="314" t="s">
        <v>2267</v>
      </c>
      <c r="U158" s="726">
        <f>U26</f>
        <v>-1.5</v>
      </c>
      <c r="V158" s="739" t="s">
        <v>1979</v>
      </c>
      <c r="W158" s="231"/>
      <c r="X158" s="239"/>
      <c r="Y158" s="433"/>
      <c r="Z158" s="231"/>
      <c r="AA158" s="239"/>
      <c r="AB158" s="239"/>
      <c r="AC158" s="231"/>
      <c r="AD158" s="231"/>
      <c r="AE158" s="231"/>
      <c r="AF158" s="231"/>
      <c r="AG158" s="231"/>
      <c r="AH158" s="223"/>
      <c r="AI158" s="231"/>
      <c r="AJ158" s="231"/>
      <c r="AK158" s="231"/>
      <c r="AL158" s="231"/>
      <c r="AM158" s="433"/>
    </row>
    <row r="159" spans="18:39">
      <c r="R159" s="721" t="s">
        <v>2270</v>
      </c>
      <c r="S159" s="314" t="s">
        <v>2271</v>
      </c>
      <c r="T159" s="314"/>
      <c r="U159" s="728">
        <f>S59/(U35*U8)</f>
        <v>0.20678463546789777</v>
      </c>
      <c r="V159" s="334"/>
      <c r="W159" s="231"/>
      <c r="X159" s="239"/>
      <c r="Y159" s="433"/>
      <c r="Z159" s="231"/>
      <c r="AA159" s="239"/>
      <c r="AB159" s="239"/>
      <c r="AC159" s="231"/>
      <c r="AD159" s="231"/>
      <c r="AE159" s="231"/>
      <c r="AF159" s="231"/>
      <c r="AG159" s="231"/>
      <c r="AH159" s="223"/>
      <c r="AI159" s="231"/>
      <c r="AJ159" s="231"/>
      <c r="AK159" s="231"/>
      <c r="AL159" s="231"/>
      <c r="AM159" s="433"/>
    </row>
    <row r="160" spans="18:39">
      <c r="R160" s="740" t="s">
        <v>2272</v>
      </c>
      <c r="S160" s="314"/>
      <c r="T160" s="314"/>
      <c r="U160" s="314"/>
      <c r="V160" s="239"/>
      <c r="W160" s="231"/>
      <c r="X160" s="239"/>
      <c r="Y160" s="433"/>
      <c r="Z160" s="231"/>
      <c r="AA160" s="239"/>
      <c r="AB160" s="239"/>
      <c r="AC160" s="231"/>
      <c r="AD160" s="231"/>
      <c r="AE160" s="231"/>
      <c r="AF160" s="231"/>
      <c r="AG160" s="231"/>
      <c r="AH160" s="223"/>
      <c r="AI160" s="231"/>
      <c r="AJ160" s="231"/>
      <c r="AK160" s="231"/>
      <c r="AL160" s="231"/>
      <c r="AM160" s="433"/>
    </row>
    <row r="161" spans="18:39">
      <c r="R161" s="724" t="s">
        <v>2273</v>
      </c>
      <c r="S161" s="314" t="s">
        <v>52</v>
      </c>
      <c r="T161" s="314" t="s">
        <v>2267</v>
      </c>
      <c r="U161" s="834">
        <f>IF('5'!T5=1,(MAX('5'!W9:W19)),'5'!T6)</f>
        <v>3</v>
      </c>
      <c r="V161" s="309" t="s">
        <v>1814</v>
      </c>
      <c r="W161" s="231"/>
      <c r="X161" s="239"/>
      <c r="Y161" s="433"/>
      <c r="Z161" s="231"/>
      <c r="AA161" s="239"/>
      <c r="AB161" s="239"/>
      <c r="AC161" s="231"/>
      <c r="AD161" s="231"/>
      <c r="AE161" s="231"/>
      <c r="AF161" s="231"/>
      <c r="AG161" s="231"/>
      <c r="AH161" s="223"/>
      <c r="AI161" s="231"/>
      <c r="AJ161" s="231"/>
      <c r="AK161" s="231"/>
      <c r="AL161" s="231"/>
      <c r="AM161" s="433"/>
    </row>
    <row r="162" spans="18:39">
      <c r="R162" s="724" t="s">
        <v>2274</v>
      </c>
      <c r="S162" s="314" t="s">
        <v>293</v>
      </c>
      <c r="T162" s="314" t="s">
        <v>2267</v>
      </c>
      <c r="U162" s="834">
        <f>IF('5'!T5=1,(MAX('5'!X9:X19)),'5'!T6)</f>
        <v>3.5</v>
      </c>
      <c r="V162" s="309" t="s">
        <v>1814</v>
      </c>
      <c r="W162" s="231"/>
      <c r="X162" s="239"/>
      <c r="Y162" s="433"/>
      <c r="Z162" s="231"/>
      <c r="AA162" s="239"/>
      <c r="AB162" s="239"/>
      <c r="AC162" s="231"/>
      <c r="AD162" s="231"/>
      <c r="AE162" s="231"/>
      <c r="AF162" s="231"/>
      <c r="AG162" s="231"/>
      <c r="AH162" s="223"/>
      <c r="AI162" s="231"/>
      <c r="AJ162" s="231"/>
      <c r="AK162" s="231"/>
      <c r="AL162" s="231"/>
      <c r="AM162" s="433"/>
    </row>
    <row r="163" spans="18:39">
      <c r="R163" s="724" t="s">
        <v>2275</v>
      </c>
      <c r="S163" s="314" t="s">
        <v>2276</v>
      </c>
      <c r="T163" s="314" t="s">
        <v>2277</v>
      </c>
      <c r="U163" s="846">
        <f>'5'!T22</f>
        <v>78.56023260137772</v>
      </c>
      <c r="V163" s="309" t="s">
        <v>1814</v>
      </c>
      <c r="W163" s="231"/>
      <c r="X163" s="239"/>
      <c r="Y163" s="433"/>
      <c r="Z163" s="231"/>
      <c r="AA163" s="239"/>
      <c r="AB163" s="239"/>
      <c r="AC163" s="231"/>
      <c r="AD163" s="231"/>
      <c r="AE163" s="231"/>
      <c r="AF163" s="231"/>
      <c r="AG163" s="231"/>
      <c r="AH163" s="223"/>
      <c r="AI163" s="231"/>
      <c r="AJ163" s="231"/>
      <c r="AK163" s="231"/>
      <c r="AL163" s="231"/>
      <c r="AM163" s="433"/>
    </row>
    <row r="164" spans="18:39">
      <c r="R164" s="740" t="s">
        <v>2278</v>
      </c>
      <c r="S164" s="314"/>
      <c r="T164" s="314"/>
      <c r="U164" s="314"/>
      <c r="V164" s="309"/>
      <c r="W164" s="231"/>
      <c r="X164" s="239"/>
      <c r="Y164" s="433"/>
      <c r="Z164" s="231"/>
      <c r="AA164" s="239"/>
      <c r="AB164" s="239"/>
      <c r="AC164" s="231"/>
      <c r="AD164" s="231"/>
      <c r="AE164" s="231"/>
      <c r="AF164" s="231"/>
      <c r="AG164" s="231"/>
      <c r="AH164" s="223"/>
      <c r="AI164" s="231"/>
      <c r="AJ164" s="231"/>
      <c r="AK164" s="231"/>
      <c r="AL164" s="231"/>
      <c r="AM164" s="433"/>
    </row>
    <row r="165" spans="18:39">
      <c r="R165" s="724" t="s">
        <v>2279</v>
      </c>
      <c r="S165" s="314" t="s">
        <v>2280</v>
      </c>
      <c r="T165" s="314" t="s">
        <v>2281</v>
      </c>
      <c r="U165" s="851">
        <f>(PI()/180)*2*PI()*U172/(2+SQRT(4+U172^2*('4'!L37^2)*(1+((TAN('6'!F20*PI()/180))^2)/('4'!L37)^2)))</f>
        <v>3.2528856570811865E-2</v>
      </c>
      <c r="V165" s="309" t="s">
        <v>2221</v>
      </c>
      <c r="W165" s="231"/>
      <c r="X165" s="239"/>
      <c r="Y165" s="433"/>
      <c r="Z165" s="231"/>
      <c r="AA165" s="239"/>
      <c r="AB165" s="239"/>
      <c r="AC165" s="231"/>
      <c r="AD165" s="231"/>
      <c r="AE165" s="231"/>
      <c r="AF165" s="231"/>
      <c r="AG165" s="231"/>
      <c r="AH165" s="223"/>
      <c r="AI165" s="231"/>
      <c r="AJ165" s="231"/>
      <c r="AK165" s="231"/>
      <c r="AL165" s="231"/>
      <c r="AM165" s="433"/>
    </row>
    <row r="166" spans="18:39" ht="26.4">
      <c r="R166" s="724" t="s">
        <v>2282</v>
      </c>
      <c r="S166" s="314" t="s">
        <v>2283</v>
      </c>
      <c r="T166" s="314" t="s">
        <v>2267</v>
      </c>
      <c r="U166" s="322">
        <f>(0.5*($U55-$T55) +$T55)*$U22 - $U75</f>
        <v>16.563322825254978</v>
      </c>
      <c r="V166" s="309"/>
      <c r="W166" s="231"/>
      <c r="X166" s="239"/>
      <c r="Y166" s="433"/>
      <c r="Z166" s="231"/>
      <c r="AA166" s="239"/>
      <c r="AB166" s="239"/>
      <c r="AC166" s="231"/>
      <c r="AD166" s="231"/>
      <c r="AE166" s="231"/>
      <c r="AF166" s="231"/>
      <c r="AG166" s="231"/>
      <c r="AH166" s="223"/>
      <c r="AI166" s="231"/>
      <c r="AJ166" s="231"/>
      <c r="AK166" s="231"/>
      <c r="AL166" s="231"/>
      <c r="AM166" s="433"/>
    </row>
    <row r="167" spans="18:39">
      <c r="R167" s="725" t="s">
        <v>2284</v>
      </c>
      <c r="S167" s="342" t="s">
        <v>2285</v>
      </c>
      <c r="T167" s="316" t="s">
        <v>87</v>
      </c>
      <c r="U167" s="533">
        <f>'6'!N13</f>
        <v>0.08</v>
      </c>
      <c r="V167" s="309" t="s">
        <v>2221</v>
      </c>
      <c r="W167" s="239"/>
      <c r="X167" s="239"/>
      <c r="Y167" s="693"/>
      <c r="Z167" s="239"/>
      <c r="AA167" s="239"/>
      <c r="AB167" s="239"/>
      <c r="AC167" s="239"/>
      <c r="AD167" s="239"/>
      <c r="AE167" s="239"/>
      <c r="AF167" s="239"/>
      <c r="AG167" s="239"/>
      <c r="AH167" s="94"/>
      <c r="AI167" s="239"/>
      <c r="AJ167" s="239"/>
      <c r="AK167" s="239"/>
      <c r="AL167" s="239"/>
      <c r="AM167" s="693"/>
    </row>
    <row r="168" spans="18:39">
      <c r="R168" s="725" t="s">
        <v>2286</v>
      </c>
      <c r="S168" s="342" t="s">
        <v>980</v>
      </c>
      <c r="T168" s="316" t="s">
        <v>188</v>
      </c>
      <c r="U168" s="533">
        <f>'6'!N14*'5'!T15</f>
        <v>12.674999999999999</v>
      </c>
      <c r="V168" s="309" t="s">
        <v>2221</v>
      </c>
      <c r="W168" s="239"/>
      <c r="X168" s="239"/>
      <c r="Y168" s="693"/>
      <c r="Z168" s="239"/>
      <c r="AA168" s="239"/>
      <c r="AB168" s="239"/>
      <c r="AC168" s="239"/>
      <c r="AD168" s="239"/>
      <c r="AE168" s="239"/>
      <c r="AF168" s="239"/>
      <c r="AG168" s="239"/>
      <c r="AH168" s="94"/>
      <c r="AI168" s="239"/>
      <c r="AJ168" s="239"/>
      <c r="AK168" s="239"/>
      <c r="AL168" s="239"/>
      <c r="AM168" s="693"/>
    </row>
    <row r="169" spans="18:39">
      <c r="R169" s="725" t="s">
        <v>2287</v>
      </c>
      <c r="S169" s="474" t="s">
        <v>2288</v>
      </c>
      <c r="T169" s="316" t="s">
        <v>165</v>
      </c>
      <c r="U169" s="533">
        <f>'6'!N10</f>
        <v>15</v>
      </c>
      <c r="V169" s="309" t="s">
        <v>2221</v>
      </c>
      <c r="W169" s="239"/>
      <c r="X169" s="239"/>
      <c r="Y169" s="693"/>
      <c r="Z169" s="239"/>
      <c r="AA169" s="239"/>
      <c r="AB169" s="239"/>
      <c r="AC169" s="239"/>
      <c r="AD169" s="239"/>
      <c r="AE169" s="239"/>
      <c r="AF169" s="239"/>
      <c r="AG169" s="239"/>
      <c r="AH169" s="94"/>
      <c r="AI169" s="239"/>
      <c r="AJ169" s="239"/>
      <c r="AK169" s="239"/>
      <c r="AL169" s="239"/>
      <c r="AM169" s="693"/>
    </row>
    <row r="170" spans="18:39">
      <c r="R170" s="725" t="s">
        <v>2289</v>
      </c>
      <c r="S170" s="342" t="s">
        <v>838</v>
      </c>
      <c r="T170" s="316" t="s">
        <v>87</v>
      </c>
      <c r="U170" s="533">
        <f>'6'!N11</f>
        <v>0.18</v>
      </c>
      <c r="V170" s="309" t="s">
        <v>2221</v>
      </c>
      <c r="W170" s="239"/>
      <c r="X170" s="239"/>
      <c r="Y170" s="693"/>
      <c r="Z170" s="239"/>
      <c r="AA170" s="239"/>
      <c r="AB170" s="239"/>
      <c r="AC170" s="239"/>
      <c r="AD170" s="239"/>
      <c r="AE170" s="239"/>
      <c r="AF170" s="239"/>
      <c r="AG170" s="239"/>
      <c r="AH170" s="94"/>
      <c r="AI170" s="239"/>
      <c r="AJ170" s="239"/>
      <c r="AK170" s="239"/>
      <c r="AL170" s="239"/>
      <c r="AM170" s="693"/>
    </row>
    <row r="171" spans="18:39">
      <c r="R171" s="725" t="s">
        <v>2290</v>
      </c>
      <c r="S171" s="474" t="s">
        <v>2291</v>
      </c>
      <c r="T171" s="316" t="s">
        <v>87</v>
      </c>
      <c r="U171" s="533">
        <f>'6'!N9</f>
        <v>0.6</v>
      </c>
      <c r="V171" s="309" t="s">
        <v>2221</v>
      </c>
      <c r="W171" s="239"/>
      <c r="X171" s="239"/>
      <c r="Y171" s="693"/>
      <c r="Z171" s="239"/>
      <c r="AA171" s="239"/>
      <c r="AB171" s="239"/>
      <c r="AC171" s="239"/>
      <c r="AD171" s="239"/>
      <c r="AE171" s="239"/>
      <c r="AF171" s="239"/>
      <c r="AG171" s="239"/>
      <c r="AH171" s="94"/>
      <c r="AI171" s="239"/>
      <c r="AJ171" s="239"/>
      <c r="AK171" s="239"/>
      <c r="AL171" s="239"/>
      <c r="AM171" s="693"/>
    </row>
    <row r="172" spans="18:39">
      <c r="R172" s="725" t="s">
        <v>2292</v>
      </c>
      <c r="S172" s="342" t="s">
        <v>2293</v>
      </c>
      <c r="T172" s="316" t="s">
        <v>87</v>
      </c>
      <c r="U172" s="533">
        <f>'6'!N12</f>
        <v>1.3</v>
      </c>
      <c r="V172" s="309" t="s">
        <v>2221</v>
      </c>
      <c r="W172" s="239"/>
      <c r="X172" s="239"/>
      <c r="Y172" s="693"/>
      <c r="Z172" s="239"/>
      <c r="AA172" s="239"/>
      <c r="AB172" s="239"/>
      <c r="AC172" s="239"/>
      <c r="AD172" s="239"/>
      <c r="AE172" s="239"/>
      <c r="AF172" s="239"/>
      <c r="AG172" s="239"/>
      <c r="AH172" s="94"/>
      <c r="AI172" s="239"/>
      <c r="AJ172" s="239"/>
      <c r="AK172" s="239"/>
      <c r="AL172" s="239"/>
      <c r="AM172" s="693"/>
    </row>
    <row r="173" spans="18:39">
      <c r="R173" s="725" t="s">
        <v>2294</v>
      </c>
      <c r="S173" s="314" t="s">
        <v>2295</v>
      </c>
      <c r="T173" s="342" t="s">
        <v>2296</v>
      </c>
      <c r="U173" s="340">
        <f>(U167*U8*U17)/U168</f>
        <v>18.536782561386495</v>
      </c>
      <c r="V173" s="309"/>
      <c r="W173" s="239"/>
      <c r="X173" s="239"/>
      <c r="Y173" s="693"/>
      <c r="Z173" s="239"/>
      <c r="AA173" s="239"/>
      <c r="AB173" s="239"/>
      <c r="AC173" s="239"/>
      <c r="AD173" s="239"/>
      <c r="AE173" s="239"/>
      <c r="AF173" s="239"/>
      <c r="AG173" s="239"/>
      <c r="AH173" s="94"/>
      <c r="AI173" s="239"/>
      <c r="AJ173" s="239"/>
      <c r="AK173" s="239"/>
      <c r="AL173" s="239"/>
      <c r="AM173" s="693"/>
    </row>
    <row r="174" spans="18:39">
      <c r="R174" s="725" t="s">
        <v>2297</v>
      </c>
      <c r="S174" s="342" t="s">
        <v>2298</v>
      </c>
      <c r="T174" s="342" t="s">
        <v>188</v>
      </c>
      <c r="U174" s="340">
        <f>SQRT(U172*U173)</f>
        <v>4.908952773229994</v>
      </c>
      <c r="V174" s="309"/>
      <c r="W174" s="239"/>
      <c r="X174" s="239"/>
      <c r="Y174" s="693"/>
      <c r="Z174" s="239"/>
      <c r="AA174" s="239"/>
      <c r="AB174" s="239"/>
      <c r="AC174" s="239"/>
      <c r="AD174" s="239"/>
      <c r="AE174" s="239"/>
      <c r="AF174" s="239"/>
      <c r="AG174" s="239"/>
      <c r="AH174" s="94"/>
      <c r="AI174" s="239"/>
      <c r="AJ174" s="239"/>
      <c r="AK174" s="239"/>
      <c r="AL174" s="239"/>
      <c r="AM174" s="693"/>
    </row>
    <row r="175" spans="18:39">
      <c r="R175" s="725" t="s">
        <v>2299</v>
      </c>
      <c r="S175" s="315" t="s">
        <v>2300</v>
      </c>
      <c r="T175" s="342" t="s">
        <v>188</v>
      </c>
      <c r="U175" s="340">
        <f>2*U174/(U172*(1+U171))</f>
        <v>4.7201468973365328</v>
      </c>
      <c r="V175" s="309"/>
      <c r="W175" s="239"/>
      <c r="X175" s="239"/>
      <c r="Y175" s="693"/>
      <c r="Z175" s="239"/>
      <c r="AA175" s="239"/>
      <c r="AB175" s="239"/>
      <c r="AC175" s="239"/>
      <c r="AD175" s="239"/>
      <c r="AE175" s="239"/>
      <c r="AF175" s="239"/>
      <c r="AG175" s="239"/>
      <c r="AH175" s="94"/>
      <c r="AI175" s="239"/>
      <c r="AJ175" s="239"/>
      <c r="AK175" s="239"/>
      <c r="AL175" s="239"/>
      <c r="AM175" s="693"/>
    </row>
    <row r="176" spans="18:39">
      <c r="R176" s="725" t="s">
        <v>2301</v>
      </c>
      <c r="S176" s="315" t="s">
        <v>2302</v>
      </c>
      <c r="T176" s="342" t="s">
        <v>188</v>
      </c>
      <c r="U176" s="340">
        <f>U175*U171</f>
        <v>2.8320881384019194</v>
      </c>
      <c r="V176" s="309"/>
      <c r="W176" s="239"/>
      <c r="X176" s="239"/>
      <c r="Y176" s="693"/>
      <c r="Z176" s="239"/>
      <c r="AA176" s="239"/>
      <c r="AB176" s="239"/>
      <c r="AC176" s="239"/>
      <c r="AD176" s="239"/>
      <c r="AE176" s="239"/>
      <c r="AF176" s="239"/>
      <c r="AG176" s="239"/>
      <c r="AH176" s="94"/>
      <c r="AI176" s="239"/>
      <c r="AJ176" s="239"/>
      <c r="AK176" s="239"/>
      <c r="AL176" s="239"/>
      <c r="AM176" s="693"/>
    </row>
    <row r="177" spans="18:39">
      <c r="R177" s="725" t="s">
        <v>2303</v>
      </c>
      <c r="S177" s="342" t="s">
        <v>2304</v>
      </c>
      <c r="T177" s="342" t="s">
        <v>188</v>
      </c>
      <c r="U177" s="340">
        <f>(2*U175/3)*(1+U171+U171^2)/(1+U171)</f>
        <v>3.8547866328248346</v>
      </c>
      <c r="V177" s="309"/>
      <c r="W177" s="239"/>
      <c r="X177" s="239"/>
      <c r="Y177" s="693"/>
      <c r="Z177" s="239"/>
      <c r="AA177" s="239"/>
      <c r="AB177" s="239"/>
      <c r="AC177" s="239"/>
      <c r="AD177" s="239"/>
      <c r="AE177" s="239"/>
      <c r="AF177" s="239"/>
      <c r="AG177" s="239"/>
      <c r="AH177" s="94"/>
      <c r="AI177" s="239"/>
      <c r="AJ177" s="239"/>
      <c r="AK177" s="239"/>
      <c r="AL177" s="239"/>
      <c r="AM177" s="693"/>
    </row>
    <row r="178" spans="18:39">
      <c r="R178" s="725" t="s">
        <v>2305</v>
      </c>
      <c r="S178" s="474" t="s">
        <v>2306</v>
      </c>
      <c r="T178" s="314" t="s">
        <v>165</v>
      </c>
      <c r="U178" s="322">
        <f>180*ATAN(TAN(U169*PI()/180)-1*(2*U175*(1-U171)/(2*U174)))/PI()</f>
        <v>-6.6543982252264851</v>
      </c>
      <c r="V178" s="309" t="str">
        <f>IF(U178&gt;-12.5,IF(U178&lt;12.5,"ok","too big, rudder effectiveness in doubt"))</f>
        <v>ok</v>
      </c>
      <c r="W178" s="239"/>
      <c r="X178" s="239"/>
      <c r="Y178" s="693"/>
      <c r="Z178" s="239"/>
      <c r="AA178" s="239"/>
      <c r="AB178" s="239"/>
      <c r="AC178" s="239"/>
      <c r="AD178" s="239"/>
      <c r="AE178" s="239"/>
      <c r="AF178" s="239"/>
      <c r="AG178" s="239"/>
      <c r="AH178" s="94"/>
      <c r="AI178" s="239"/>
      <c r="AJ178" s="239"/>
      <c r="AK178" s="239"/>
      <c r="AL178" s="239"/>
      <c r="AM178" s="693"/>
    </row>
    <row r="179" spans="18:39">
      <c r="R179" s="721"/>
      <c r="S179" s="474"/>
      <c r="T179" s="314"/>
      <c r="U179" s="316"/>
      <c r="V179" s="239"/>
      <c r="W179" s="239"/>
      <c r="X179" s="239"/>
      <c r="Y179" s="433"/>
      <c r="Z179" s="231"/>
      <c r="AA179" s="239"/>
      <c r="AB179" s="239"/>
      <c r="AC179" s="231"/>
      <c r="AD179" s="231"/>
      <c r="AE179" s="231"/>
      <c r="AF179" s="231"/>
      <c r="AG179" s="231"/>
      <c r="AH179" s="223"/>
      <c r="AI179" s="231"/>
      <c r="AJ179" s="231"/>
      <c r="AK179" s="231"/>
      <c r="AL179" s="231"/>
      <c r="AM179" s="433"/>
    </row>
    <row r="180" spans="18:39">
      <c r="R180" s="740" t="s">
        <v>1853</v>
      </c>
      <c r="S180" s="314"/>
      <c r="T180" s="314"/>
      <c r="U180" s="314"/>
      <c r="V180" s="239"/>
      <c r="W180" s="239"/>
      <c r="X180" s="239"/>
      <c r="Y180" s="433"/>
      <c r="Z180" s="231"/>
      <c r="AA180" s="239"/>
      <c r="AB180" s="239"/>
      <c r="AC180" s="231"/>
      <c r="AD180" s="231"/>
      <c r="AE180" s="231"/>
      <c r="AF180" s="231"/>
      <c r="AG180" s="231"/>
      <c r="AH180" s="223"/>
      <c r="AI180" s="231"/>
      <c r="AJ180" s="231"/>
      <c r="AK180" s="231"/>
      <c r="AL180" s="231"/>
      <c r="AM180" s="433"/>
    </row>
    <row r="181" spans="18:39">
      <c r="R181" s="724" t="s">
        <v>2307</v>
      </c>
      <c r="S181" s="314" t="s">
        <v>2308</v>
      </c>
      <c r="T181" s="314" t="s">
        <v>87</v>
      </c>
      <c r="U181" s="516">
        <f>(U166*U173)/(U157*U156)</f>
        <v>0.10454168252626417</v>
      </c>
      <c r="V181" s="523"/>
      <c r="W181" s="523"/>
      <c r="X181" s="239"/>
      <c r="Y181" s="741"/>
      <c r="Z181" s="1199"/>
      <c r="AA181" s="503"/>
      <c r="AB181" s="503"/>
      <c r="AC181" s="231"/>
      <c r="AD181" s="231"/>
      <c r="AE181" s="231"/>
      <c r="AF181" s="231"/>
      <c r="AG181" s="231"/>
      <c r="AH181" s="223"/>
      <c r="AI181" s="231"/>
      <c r="AJ181" s="231"/>
      <c r="AK181" s="231"/>
      <c r="AL181" s="231"/>
      <c r="AM181" s="433"/>
    </row>
    <row r="182" spans="18:39">
      <c r="R182" s="724" t="s">
        <v>2309</v>
      </c>
      <c r="S182" s="314" t="s">
        <v>2310</v>
      </c>
      <c r="T182" s="314" t="s">
        <v>2311</v>
      </c>
      <c r="U182" s="516">
        <f>0.724+(3.06*U173/U156)/(1+COS(U169*PI()/180)) + 0.4*U158/U161 + 0.009*U153</f>
        <v>0.83132081121278834</v>
      </c>
      <c r="V182" s="523"/>
      <c r="W182" s="523"/>
      <c r="X182" s="239"/>
      <c r="Y182" s="741"/>
      <c r="Z182" s="1199"/>
      <c r="AA182" s="503"/>
      <c r="AB182" s="503"/>
      <c r="AC182" s="231"/>
      <c r="AD182" s="231"/>
      <c r="AE182" s="231"/>
      <c r="AF182" s="231"/>
      <c r="AG182" s="231"/>
      <c r="AH182" s="223"/>
      <c r="AI182" s="231"/>
      <c r="AJ182" s="231"/>
      <c r="AK182" s="231"/>
      <c r="AL182" s="231"/>
      <c r="AM182" s="433"/>
    </row>
    <row r="183" spans="18:39">
      <c r="R183" s="724" t="s">
        <v>2312</v>
      </c>
      <c r="S183" s="314" t="s">
        <v>2313</v>
      </c>
      <c r="T183" s="314" t="s">
        <v>2314</v>
      </c>
      <c r="U183" s="516">
        <f>U181*(U165*180/PI())*U182</f>
        <v>0.16197558912121085</v>
      </c>
      <c r="V183" s="742" t="str">
        <f>IF(U183&gt;0.08,IF(U183&lt;0.28,"stable","unstable"),"unstable")</f>
        <v>stable</v>
      </c>
      <c r="W183" s="440"/>
      <c r="X183" s="239"/>
      <c r="Y183" s="741"/>
      <c r="Z183" s="1199"/>
      <c r="AA183" s="503"/>
      <c r="AB183" s="503"/>
      <c r="AC183" s="231"/>
      <c r="AD183" s="231"/>
      <c r="AE183" s="231"/>
      <c r="AF183" s="231"/>
      <c r="AG183" s="231"/>
      <c r="AH183" s="223"/>
      <c r="AI183" s="231"/>
      <c r="AJ183" s="231"/>
      <c r="AK183" s="231"/>
      <c r="AL183" s="231"/>
      <c r="AM183" s="433"/>
    </row>
    <row r="184" spans="18:39">
      <c r="R184" s="724" t="s">
        <v>2315</v>
      </c>
      <c r="S184" s="314" t="s">
        <v>2316</v>
      </c>
      <c r="T184" s="314" t="s">
        <v>2317</v>
      </c>
      <c r="U184" s="516">
        <f>-1.3*U163*U161/(U156*U157*U162)</f>
        <v>-2.9806225765340446E-2</v>
      </c>
      <c r="V184" s="742" t="str">
        <f>IF(U184&gt;0.08,IF(U184&lt;0.28,"stable","unstable"),"unstable")</f>
        <v>unstable</v>
      </c>
      <c r="W184" s="440"/>
      <c r="X184" s="239"/>
      <c r="Y184" s="741"/>
      <c r="Z184" s="1199"/>
      <c r="AA184" s="503"/>
      <c r="AB184" s="503"/>
      <c r="AC184" s="231"/>
      <c r="AD184" s="231"/>
      <c r="AE184" s="231"/>
      <c r="AF184" s="231"/>
      <c r="AG184" s="231"/>
      <c r="AH184" s="223"/>
      <c r="AI184" s="231"/>
      <c r="AJ184" s="231"/>
      <c r="AK184" s="231"/>
      <c r="AL184" s="231"/>
      <c r="AM184" s="433"/>
    </row>
    <row r="185" spans="18:39">
      <c r="R185" s="724" t="s">
        <v>2318</v>
      </c>
      <c r="S185" s="314" t="s">
        <v>2319</v>
      </c>
      <c r="T185" s="314" t="s">
        <v>2320</v>
      </c>
      <c r="U185" s="516">
        <f>U159^2*(1/(4*PI()*U153) - TAN(U154*PI()/180)/(PI()*U153*(U153+4*COS(U154*PI()/180)))*(COS(U154*PI()/180) - (U153/2) - (U153^2/(8*COS(U154*PI()/180))) + (6*$U118*SIN(U154*PI()/180)/($U119*U153))))</f>
        <v>5.7673280829594541E-4</v>
      </c>
      <c r="V185" s="742" t="str">
        <f>IF(U185&gt;0.08,IF(U185&lt;0.28,"stable","unstable"),"unstable")</f>
        <v>unstable</v>
      </c>
      <c r="W185" s="440"/>
      <c r="X185" s="239"/>
      <c r="Y185" s="741"/>
      <c r="Z185" s="1199"/>
      <c r="AA185" s="503"/>
      <c r="AB185" s="503"/>
      <c r="AC185" s="231"/>
      <c r="AD185" s="231"/>
      <c r="AE185" s="231"/>
      <c r="AF185" s="231"/>
      <c r="AG185" s="231"/>
      <c r="AH185" s="223"/>
      <c r="AI185" s="231"/>
      <c r="AJ185" s="231"/>
      <c r="AK185" s="231"/>
      <c r="AL185" s="231"/>
      <c r="AM185" s="433"/>
    </row>
    <row r="186" spans="18:39" ht="13.8" thickBot="1">
      <c r="R186" s="691"/>
      <c r="S186" s="231"/>
      <c r="T186" s="231"/>
      <c r="U186" s="248"/>
      <c r="V186" s="248"/>
      <c r="W186" s="231"/>
      <c r="X186" s="239"/>
      <c r="Y186" s="741"/>
      <c r="Z186" s="1199"/>
      <c r="AA186" s="503"/>
      <c r="AB186" s="503"/>
      <c r="AC186" s="231"/>
      <c r="AD186" s="231"/>
      <c r="AE186" s="231"/>
      <c r="AF186" s="231"/>
      <c r="AG186" s="231"/>
      <c r="AH186" s="223"/>
      <c r="AI186" s="231"/>
      <c r="AJ186" s="231"/>
      <c r="AK186" s="231"/>
      <c r="AL186" s="231"/>
      <c r="AM186" s="433"/>
    </row>
    <row r="187" spans="18:39" ht="16.2" thickBot="1">
      <c r="R187" s="691" t="s">
        <v>2321</v>
      </c>
      <c r="S187" s="223" t="s">
        <v>2322</v>
      </c>
      <c r="T187" s="231" t="s">
        <v>1402</v>
      </c>
      <c r="U187" s="743">
        <f>SUM(U183:U185)</f>
        <v>0.13274609616416636</v>
      </c>
      <c r="V187" s="744" t="str">
        <f>IF(U187&gt;0.08,IF(U187&lt;0.28,"Good: 0.08&lt;Cn,b&lt;0.28","Bad: Cn,b&gt;0.28"),"Bad: Cn,b&lt;0.08")</f>
        <v>Good: 0.08&lt;Cn,b&lt;0.28</v>
      </c>
      <c r="W187" s="731"/>
      <c r="X187" s="239"/>
      <c r="Y187" s="741"/>
      <c r="Z187" s="1199"/>
      <c r="AA187" s="503"/>
      <c r="AB187" s="503"/>
      <c r="AC187" s="231"/>
      <c r="AD187" s="231"/>
      <c r="AE187" s="231"/>
      <c r="AF187" s="231"/>
      <c r="AG187" s="231"/>
      <c r="AH187" s="223"/>
      <c r="AI187" s="231"/>
      <c r="AJ187" s="231"/>
      <c r="AK187" s="231"/>
      <c r="AL187" s="231"/>
      <c r="AM187" s="433"/>
    </row>
    <row r="188" spans="18:39" ht="13.8" thickBot="1">
      <c r="R188" s="691"/>
      <c r="S188" s="223"/>
      <c r="T188" s="231"/>
      <c r="U188" s="745"/>
      <c r="V188" s="191"/>
      <c r="W188" s="96"/>
      <c r="X188" s="239"/>
      <c r="Y188" s="741"/>
      <c r="Z188" s="1199"/>
      <c r="AA188" s="503"/>
      <c r="AB188" s="503"/>
      <c r="AC188" s="231"/>
      <c r="AD188" s="231"/>
      <c r="AE188" s="231"/>
      <c r="AF188" s="231"/>
      <c r="AG188" s="231"/>
      <c r="AH188" s="223"/>
      <c r="AI188" s="231"/>
      <c r="AJ188" s="231"/>
      <c r="AK188" s="231"/>
      <c r="AL188" s="231"/>
      <c r="AM188" s="433"/>
    </row>
    <row r="189" spans="18:39" ht="16.2" thickBot="1">
      <c r="R189" s="691" t="s">
        <v>2323</v>
      </c>
      <c r="S189" s="223" t="s">
        <v>2324</v>
      </c>
      <c r="T189" s="231" t="s">
        <v>1402</v>
      </c>
      <c r="U189" s="743">
        <f>-U187</f>
        <v>-0.13274609616416636</v>
      </c>
      <c r="V189" s="744" t="str">
        <f>IF(U189&gt;-0.28,IF(U189&lt;-0.08,"Good: -0.28&lt;Cn,b&lt;-0.08","Bad: Cn,b&gt;-0.08"),"Bad: Cn,b&lt;-2.8")</f>
        <v>Good: -0.28&lt;Cn,b&lt;-0.08</v>
      </c>
      <c r="W189" s="731"/>
      <c r="X189" s="239"/>
      <c r="Y189" s="741"/>
      <c r="Z189" s="1199"/>
      <c r="AA189" s="503"/>
      <c r="AB189" s="503"/>
      <c r="AC189" s="231"/>
      <c r="AD189" s="231"/>
      <c r="AE189" s="231"/>
      <c r="AF189" s="231"/>
      <c r="AG189" s="231"/>
      <c r="AH189" s="223"/>
      <c r="AI189" s="231"/>
      <c r="AJ189" s="231"/>
      <c r="AK189" s="231"/>
      <c r="AL189" s="231"/>
      <c r="AM189" s="433"/>
    </row>
    <row r="190" spans="18:39" ht="13.8" thickBot="1">
      <c r="R190" s="733"/>
      <c r="S190" s="255"/>
      <c r="T190" s="255"/>
      <c r="U190" s="255"/>
      <c r="V190" s="255"/>
      <c r="W190" s="255"/>
      <c r="X190" s="445"/>
      <c r="Y190" s="446"/>
      <c r="Z190" s="231"/>
      <c r="AA190" s="239"/>
      <c r="AB190" s="239"/>
      <c r="AC190" s="231"/>
      <c r="AD190" s="231"/>
      <c r="AE190" s="231"/>
      <c r="AF190" s="231"/>
      <c r="AG190" s="231"/>
      <c r="AH190" s="223"/>
      <c r="AI190" s="231"/>
      <c r="AJ190" s="231"/>
      <c r="AK190" s="231"/>
      <c r="AL190" s="231"/>
      <c r="AM190" s="433"/>
    </row>
    <row r="191" spans="18:39">
      <c r="R191" s="691"/>
      <c r="S191" s="231"/>
      <c r="T191" s="231"/>
      <c r="U191" s="231"/>
      <c r="V191" s="231"/>
      <c r="W191" s="231"/>
      <c r="X191" s="239"/>
      <c r="Y191" s="231"/>
      <c r="Z191" s="231"/>
      <c r="AA191" s="239"/>
      <c r="AB191" s="239"/>
      <c r="AC191" s="231"/>
      <c r="AD191" s="231"/>
      <c r="AE191" s="231"/>
      <c r="AF191" s="231"/>
      <c r="AG191" s="231"/>
      <c r="AH191" s="223"/>
      <c r="AI191" s="231"/>
      <c r="AJ191" s="231"/>
      <c r="AK191" s="231"/>
      <c r="AL191" s="231"/>
      <c r="AM191" s="433"/>
    </row>
    <row r="192" spans="18:39">
      <c r="R192" s="691"/>
      <c r="S192" s="231"/>
      <c r="T192" s="231"/>
      <c r="U192" s="231"/>
      <c r="V192" s="231"/>
      <c r="W192" s="231"/>
      <c r="X192" s="239"/>
      <c r="Y192" s="231"/>
      <c r="Z192" s="231"/>
      <c r="AA192" s="239"/>
      <c r="AB192" s="239"/>
      <c r="AC192" s="231"/>
      <c r="AD192" s="231"/>
      <c r="AE192" s="231"/>
      <c r="AF192" s="231"/>
      <c r="AG192" s="231"/>
      <c r="AH192" s="223"/>
      <c r="AI192" s="231"/>
      <c r="AJ192" s="231"/>
      <c r="AK192" s="231"/>
      <c r="AL192" s="231"/>
      <c r="AM192" s="433"/>
    </row>
    <row r="193" spans="18:39">
      <c r="R193" s="691"/>
      <c r="S193" s="231"/>
      <c r="T193" s="231"/>
      <c r="U193" s="231"/>
      <c r="V193" s="231"/>
      <c r="W193" s="231"/>
      <c r="X193" s="239"/>
      <c r="Y193" s="231"/>
      <c r="Z193" s="231"/>
      <c r="AA193" s="239"/>
      <c r="AB193" s="239"/>
      <c r="AC193" s="231"/>
      <c r="AD193" s="231"/>
      <c r="AE193" s="231"/>
      <c r="AF193" s="231"/>
      <c r="AG193" s="231"/>
      <c r="AH193" s="223"/>
      <c r="AI193" s="231"/>
      <c r="AJ193" s="231"/>
      <c r="AK193" s="231"/>
      <c r="AL193" s="231"/>
      <c r="AM193" s="433"/>
    </row>
    <row r="194" spans="18:39" ht="13.8" thickBot="1">
      <c r="R194" s="691"/>
      <c r="S194" s="231"/>
      <c r="T194" s="231"/>
      <c r="U194" s="231"/>
      <c r="V194" s="231"/>
      <c r="W194" s="231"/>
      <c r="X194" s="239"/>
      <c r="Y194" s="231"/>
      <c r="Z194" s="231"/>
      <c r="AA194" s="239"/>
      <c r="AB194" s="239"/>
      <c r="AC194" s="231"/>
      <c r="AD194" s="231"/>
      <c r="AE194" s="231"/>
      <c r="AF194" s="231"/>
      <c r="AG194" s="231"/>
      <c r="AH194" s="223"/>
      <c r="AI194" s="231"/>
      <c r="AJ194" s="231"/>
      <c r="AK194" s="231"/>
      <c r="AL194" s="231"/>
      <c r="AM194" s="433"/>
    </row>
    <row r="195" spans="18:39" ht="15.6">
      <c r="R195" s="720" t="s">
        <v>2325</v>
      </c>
      <c r="S195" s="229"/>
      <c r="T195" s="229"/>
      <c r="U195" s="229"/>
      <c r="V195" s="229"/>
      <c r="W195" s="229"/>
      <c r="X195" s="449"/>
      <c r="Y195" s="430"/>
      <c r="Z195" s="231"/>
      <c r="AA195" s="239"/>
      <c r="AB195" s="239"/>
      <c r="AC195" s="231"/>
      <c r="AD195" s="231"/>
      <c r="AE195" s="231"/>
      <c r="AF195" s="231"/>
      <c r="AG195" s="231"/>
      <c r="AH195" s="223"/>
      <c r="AI195" s="231"/>
      <c r="AJ195" s="231"/>
      <c r="AK195" s="231"/>
      <c r="AL195" s="231"/>
      <c r="AM195" s="433"/>
    </row>
    <row r="196" spans="18:39">
      <c r="R196" s="691"/>
      <c r="S196" s="440"/>
      <c r="T196" s="231"/>
      <c r="U196" s="231"/>
      <c r="V196" s="231"/>
      <c r="W196" s="231"/>
      <c r="X196" s="239"/>
      <c r="Y196" s="433"/>
      <c r="Z196" s="231"/>
      <c r="AA196" s="239"/>
      <c r="AB196" s="239"/>
      <c r="AC196" s="231"/>
      <c r="AD196" s="231"/>
      <c r="AE196" s="231"/>
      <c r="AF196" s="231"/>
      <c r="AG196" s="231"/>
      <c r="AH196" s="223"/>
      <c r="AI196" s="231"/>
      <c r="AJ196" s="231"/>
      <c r="AK196" s="231"/>
      <c r="AL196" s="231"/>
      <c r="AM196" s="433"/>
    </row>
    <row r="197" spans="18:39">
      <c r="R197" s="706" t="s">
        <v>2326</v>
      </c>
      <c r="S197" s="98" t="s">
        <v>89</v>
      </c>
      <c r="T197" s="98" t="s">
        <v>90</v>
      </c>
      <c r="U197" s="571" t="s">
        <v>91</v>
      </c>
      <c r="V197" s="233" t="s">
        <v>352</v>
      </c>
      <c r="W197" s="231"/>
      <c r="X197" s="239"/>
      <c r="Y197" s="433"/>
      <c r="Z197" s="231"/>
      <c r="AA197" s="239"/>
      <c r="AB197" s="239"/>
      <c r="AC197" s="231"/>
      <c r="AD197" s="231"/>
      <c r="AE197" s="231"/>
      <c r="AF197" s="231"/>
      <c r="AG197" s="231"/>
      <c r="AH197" s="223"/>
      <c r="AI197" s="231"/>
      <c r="AJ197" s="231"/>
      <c r="AK197" s="231"/>
      <c r="AL197" s="231"/>
      <c r="AM197" s="433"/>
    </row>
    <row r="198" spans="18:39">
      <c r="R198" s="746" t="s">
        <v>2327</v>
      </c>
      <c r="S198" s="236" t="s">
        <v>2328</v>
      </c>
      <c r="T198" s="231" t="s">
        <v>165</v>
      </c>
      <c r="U198" s="209">
        <v>20</v>
      </c>
      <c r="V198" s="231" t="s">
        <v>2482</v>
      </c>
      <c r="W198" s="231"/>
      <c r="X198" s="239"/>
      <c r="Y198" s="433"/>
      <c r="Z198" s="231"/>
      <c r="AA198" s="239"/>
      <c r="AB198" s="239"/>
      <c r="AC198" s="231"/>
      <c r="AD198" s="231"/>
      <c r="AE198" s="231"/>
      <c r="AF198" s="231"/>
      <c r="AG198" s="231"/>
      <c r="AH198" s="223"/>
      <c r="AI198" s="231"/>
      <c r="AJ198" s="231"/>
      <c r="AK198" s="231"/>
      <c r="AL198" s="231"/>
      <c r="AM198" s="433"/>
    </row>
    <row r="199" spans="18:39">
      <c r="R199" s="746" t="s">
        <v>2329</v>
      </c>
      <c r="S199" s="236" t="s">
        <v>189</v>
      </c>
      <c r="T199" s="231" t="s">
        <v>165</v>
      </c>
      <c r="U199" s="209">
        <v>11.5</v>
      </c>
      <c r="V199" s="231" t="s">
        <v>2330</v>
      </c>
      <c r="W199" s="231"/>
      <c r="X199" s="239"/>
      <c r="Y199" s="433"/>
      <c r="Z199" s="231"/>
      <c r="AA199" s="239"/>
      <c r="AB199" s="239"/>
      <c r="AC199" s="231"/>
      <c r="AD199" s="231"/>
      <c r="AE199" s="231"/>
      <c r="AF199" s="231"/>
      <c r="AG199" s="231"/>
      <c r="AH199" s="223"/>
      <c r="AI199" s="231"/>
      <c r="AJ199" s="231"/>
      <c r="AK199" s="231"/>
      <c r="AL199" s="231"/>
      <c r="AM199" s="433"/>
    </row>
    <row r="200" spans="18:39">
      <c r="R200" s="746" t="s">
        <v>2331</v>
      </c>
      <c r="S200" s="231" t="s">
        <v>2332</v>
      </c>
      <c r="T200" s="231" t="s">
        <v>508</v>
      </c>
      <c r="U200" s="209">
        <v>0</v>
      </c>
      <c r="V200" s="231" t="s">
        <v>2483</v>
      </c>
      <c r="W200" s="231"/>
      <c r="X200" s="239"/>
      <c r="Y200" s="433"/>
      <c r="Z200" s="231"/>
      <c r="AA200" s="239"/>
      <c r="AB200" s="239"/>
      <c r="AC200" s="231"/>
      <c r="AD200" s="231"/>
      <c r="AE200" s="231"/>
      <c r="AF200" s="231"/>
      <c r="AG200" s="231"/>
      <c r="AH200" s="223"/>
      <c r="AI200" s="231"/>
      <c r="AJ200" s="231"/>
      <c r="AK200" s="231"/>
      <c r="AL200" s="231"/>
      <c r="AM200" s="433"/>
    </row>
    <row r="201" spans="18:39">
      <c r="R201" s="746" t="s">
        <v>2264</v>
      </c>
      <c r="S201" s="231" t="s">
        <v>825</v>
      </c>
      <c r="T201" s="231" t="s">
        <v>2265</v>
      </c>
      <c r="U201" s="231">
        <f>U156</f>
        <v>113.49521551947018</v>
      </c>
      <c r="V201" s="231"/>
      <c r="W201" s="231"/>
      <c r="X201" s="239"/>
      <c r="Y201" s="433"/>
      <c r="Z201" s="231"/>
      <c r="AA201" s="239"/>
      <c r="AB201" s="239"/>
      <c r="AC201" s="231"/>
      <c r="AD201" s="231"/>
      <c r="AE201" s="231"/>
      <c r="AF201" s="231"/>
      <c r="AG201" s="231"/>
      <c r="AH201" s="223"/>
      <c r="AI201" s="231"/>
      <c r="AJ201" s="231"/>
      <c r="AK201" s="231"/>
      <c r="AL201" s="231"/>
      <c r="AM201" s="433"/>
    </row>
    <row r="202" spans="18:39">
      <c r="R202" s="746" t="s">
        <v>899</v>
      </c>
      <c r="S202" s="231" t="s">
        <v>189</v>
      </c>
      <c r="T202" s="231" t="s">
        <v>2267</v>
      </c>
      <c r="U202" s="251">
        <f>U157</f>
        <v>25.877051060058488</v>
      </c>
      <c r="V202" s="231"/>
      <c r="W202" s="231"/>
      <c r="X202" s="239"/>
      <c r="Y202" s="433"/>
      <c r="Z202" s="231"/>
      <c r="AA202" s="239"/>
      <c r="AB202" s="239"/>
      <c r="AC202" s="231"/>
      <c r="AD202" s="231"/>
      <c r="AE202" s="231"/>
      <c r="AF202" s="231"/>
      <c r="AG202" s="231"/>
      <c r="AH202" s="223"/>
      <c r="AI202" s="231"/>
      <c r="AJ202" s="231"/>
      <c r="AK202" s="231"/>
      <c r="AL202" s="231"/>
      <c r="AM202" s="433"/>
    </row>
    <row r="203" spans="18:39">
      <c r="R203" s="746" t="s">
        <v>2333</v>
      </c>
      <c r="S203" s="223" t="s">
        <v>2334</v>
      </c>
      <c r="T203" s="231" t="s">
        <v>87</v>
      </c>
      <c r="U203" s="515">
        <f>U187</f>
        <v>0.13274609616416636</v>
      </c>
      <c r="V203" s="231"/>
      <c r="W203" s="231"/>
      <c r="X203" s="239"/>
      <c r="Y203" s="433"/>
      <c r="Z203" s="231"/>
      <c r="AA203" s="239"/>
      <c r="AB203" s="239"/>
      <c r="AC203" s="231"/>
      <c r="AD203" s="231"/>
      <c r="AE203" s="231"/>
      <c r="AF203" s="231"/>
      <c r="AG203" s="231"/>
      <c r="AH203" s="223"/>
      <c r="AI203" s="231"/>
      <c r="AJ203" s="231"/>
      <c r="AK203" s="231"/>
      <c r="AL203" s="231"/>
      <c r="AM203" s="433"/>
    </row>
    <row r="204" spans="18:39">
      <c r="R204" s="746" t="s">
        <v>2335</v>
      </c>
      <c r="S204" s="231" t="s">
        <v>2336</v>
      </c>
      <c r="T204" s="231" t="s">
        <v>2267</v>
      </c>
      <c r="U204" s="739">
        <f>U28</f>
        <v>3.2782467881210557</v>
      </c>
      <c r="V204" s="231" t="s">
        <v>477</v>
      </c>
      <c r="W204" s="231"/>
      <c r="X204" s="239"/>
      <c r="Y204" s="433"/>
      <c r="Z204" s="231"/>
      <c r="AA204" s="239"/>
      <c r="AB204" s="239"/>
      <c r="AC204" s="231"/>
      <c r="AD204" s="231"/>
      <c r="AE204" s="231"/>
      <c r="AF204" s="231"/>
      <c r="AG204" s="231"/>
      <c r="AH204" s="223"/>
      <c r="AI204" s="231"/>
      <c r="AJ204" s="231"/>
      <c r="AK204" s="231"/>
      <c r="AL204" s="231"/>
      <c r="AM204" s="433"/>
    </row>
    <row r="205" spans="18:39">
      <c r="R205" s="746" t="s">
        <v>2337</v>
      </c>
      <c r="S205" s="231" t="s">
        <v>2338</v>
      </c>
      <c r="T205" s="231" t="s">
        <v>2157</v>
      </c>
      <c r="U205" s="852">
        <f>'8'!C21</f>
        <v>78.256602952946835</v>
      </c>
      <c r="V205" s="231" t="s">
        <v>2484</v>
      </c>
      <c r="W205" s="231"/>
      <c r="X205" s="239"/>
      <c r="Y205" s="433"/>
      <c r="Z205" s="231"/>
      <c r="AA205" s="239"/>
      <c r="AB205" s="239"/>
      <c r="AC205" s="231"/>
      <c r="AD205" s="231"/>
      <c r="AE205" s="231"/>
      <c r="AF205" s="231"/>
      <c r="AG205" s="231"/>
      <c r="AH205" s="223"/>
      <c r="AI205" s="231"/>
      <c r="AJ205" s="231"/>
      <c r="AK205" s="231"/>
      <c r="AL205" s="231"/>
      <c r="AM205" s="433"/>
    </row>
    <row r="206" spans="18:39">
      <c r="R206" s="746" t="s">
        <v>2339</v>
      </c>
      <c r="S206" s="231" t="s">
        <v>2340</v>
      </c>
      <c r="T206" s="231" t="s">
        <v>2341</v>
      </c>
      <c r="U206" s="209">
        <v>5.8999999999999997E-2</v>
      </c>
      <c r="V206" s="231" t="s">
        <v>2342</v>
      </c>
      <c r="W206" s="231"/>
      <c r="X206" s="239"/>
      <c r="Y206" s="433"/>
      <c r="Z206" s="231"/>
      <c r="AA206" s="239"/>
      <c r="AB206" s="239"/>
      <c r="AC206" s="231"/>
      <c r="AD206" s="231"/>
      <c r="AE206" s="231"/>
      <c r="AF206" s="231"/>
      <c r="AG206" s="231"/>
      <c r="AH206" s="223"/>
      <c r="AI206" s="231"/>
      <c r="AJ206" s="231"/>
      <c r="AK206" s="231"/>
      <c r="AL206" s="231"/>
      <c r="AM206" s="433"/>
    </row>
    <row r="207" spans="18:39">
      <c r="R207" s="691"/>
      <c r="S207" s="231"/>
      <c r="T207" s="231"/>
      <c r="U207" s="231"/>
      <c r="V207" s="231"/>
      <c r="W207" s="231"/>
      <c r="X207" s="239"/>
      <c r="Y207" s="433"/>
      <c r="Z207" s="231"/>
      <c r="AA207" s="239"/>
      <c r="AB207" s="239"/>
      <c r="AC207" s="231"/>
      <c r="AD207" s="231"/>
      <c r="AE207" s="231"/>
      <c r="AF207" s="231"/>
      <c r="AG207" s="231"/>
      <c r="AH207" s="223"/>
      <c r="AI207" s="231"/>
      <c r="AJ207" s="231"/>
      <c r="AK207" s="231"/>
      <c r="AL207" s="231"/>
      <c r="AM207" s="433"/>
    </row>
    <row r="208" spans="18:39">
      <c r="R208" s="700" t="s">
        <v>1853</v>
      </c>
      <c r="S208" s="231"/>
      <c r="T208" s="231"/>
      <c r="U208" s="231"/>
      <c r="V208" s="231"/>
      <c r="W208" s="231"/>
      <c r="X208" s="239"/>
      <c r="Y208" s="433"/>
      <c r="Z208" s="231"/>
      <c r="AA208" s="239"/>
      <c r="AB208" s="239"/>
      <c r="AC208" s="231"/>
      <c r="AD208" s="231"/>
      <c r="AE208" s="231"/>
      <c r="AF208" s="231"/>
      <c r="AG208" s="231"/>
      <c r="AH208" s="223"/>
      <c r="AI208" s="231"/>
      <c r="AJ208" s="231"/>
      <c r="AK208" s="231"/>
      <c r="AL208" s="231"/>
      <c r="AM208" s="433"/>
    </row>
    <row r="209" spans="18:39">
      <c r="R209" s="746" t="s">
        <v>2343</v>
      </c>
      <c r="S209" s="223" t="s">
        <v>2344</v>
      </c>
      <c r="T209" s="231" t="s">
        <v>2157</v>
      </c>
      <c r="U209" s="231">
        <f>1.2*U205</f>
        <v>93.907923543536199</v>
      </c>
      <c r="V209" s="231"/>
      <c r="W209" s="231"/>
      <c r="X209" s="239"/>
      <c r="Y209" s="433"/>
      <c r="Z209" s="231"/>
      <c r="AA209" s="239"/>
      <c r="AB209" s="239"/>
      <c r="AC209" s="231"/>
      <c r="AD209" s="231"/>
      <c r="AE209" s="231"/>
      <c r="AF209" s="231"/>
      <c r="AG209" s="231"/>
      <c r="AH209" s="223"/>
      <c r="AI209" s="231"/>
      <c r="AJ209" s="231"/>
      <c r="AK209" s="231"/>
      <c r="AL209" s="231"/>
      <c r="AM209" s="433"/>
    </row>
    <row r="210" spans="18:39">
      <c r="R210" s="746" t="s">
        <v>2345</v>
      </c>
      <c r="S210" s="223" t="s">
        <v>2346</v>
      </c>
      <c r="T210" s="231" t="s">
        <v>2157</v>
      </c>
      <c r="U210" s="231">
        <f>0.2*U205</f>
        <v>15.651320590589368</v>
      </c>
      <c r="V210" s="231"/>
      <c r="W210" s="231"/>
      <c r="X210" s="239"/>
      <c r="Y210" s="433"/>
      <c r="Z210" s="231"/>
      <c r="AA210" s="239"/>
      <c r="AB210" s="239"/>
      <c r="AC210" s="231"/>
      <c r="AD210" s="231"/>
      <c r="AE210" s="231"/>
      <c r="AF210" s="231"/>
      <c r="AG210" s="231"/>
      <c r="AH210" s="223"/>
      <c r="AI210" s="231"/>
      <c r="AJ210" s="231"/>
      <c r="AK210" s="231"/>
      <c r="AL210" s="231"/>
      <c r="AM210" s="433"/>
    </row>
    <row r="211" spans="18:39">
      <c r="R211" s="746" t="s">
        <v>1670</v>
      </c>
      <c r="S211" s="223" t="s">
        <v>47</v>
      </c>
      <c r="T211" s="231" t="s">
        <v>2347</v>
      </c>
      <c r="U211" s="227">
        <f>U206*U209^2/(2*32.2)</f>
        <v>8.0792420520381967</v>
      </c>
      <c r="V211" s="231"/>
      <c r="W211" s="231"/>
      <c r="X211" s="239"/>
      <c r="Y211" s="433"/>
      <c r="Z211" s="231"/>
      <c r="AA211" s="239"/>
      <c r="AB211" s="239"/>
      <c r="AC211" s="231"/>
      <c r="AD211" s="231"/>
      <c r="AE211" s="231"/>
      <c r="AF211" s="231"/>
      <c r="AG211" s="231"/>
      <c r="AH211" s="223"/>
      <c r="AI211" s="231"/>
      <c r="AJ211" s="231"/>
      <c r="AK211" s="231"/>
      <c r="AL211" s="231"/>
      <c r="AM211" s="433"/>
    </row>
    <row r="212" spans="18:39">
      <c r="R212" s="691" t="s">
        <v>2348</v>
      </c>
      <c r="S212" s="231" t="s">
        <v>2349</v>
      </c>
      <c r="T212" s="231" t="s">
        <v>508</v>
      </c>
      <c r="U212" s="227">
        <f>1.2*U211*PI()*U204^2/4</f>
        <v>81.832352402945446</v>
      </c>
      <c r="V212" s="231"/>
      <c r="W212" s="231"/>
      <c r="X212" s="239"/>
      <c r="Y212" s="433"/>
      <c r="Z212" s="231"/>
      <c r="AA212" s="239"/>
      <c r="AB212" s="239"/>
      <c r="AC212" s="231"/>
      <c r="AD212" s="231"/>
      <c r="AE212" s="231"/>
      <c r="AF212" s="231"/>
      <c r="AG212" s="231"/>
      <c r="AH212" s="223"/>
      <c r="AI212" s="231"/>
      <c r="AJ212" s="231"/>
      <c r="AK212" s="231"/>
      <c r="AL212" s="231"/>
      <c r="AM212" s="433"/>
    </row>
    <row r="213" spans="18:39">
      <c r="R213" s="691"/>
      <c r="S213" s="231"/>
      <c r="T213" s="231"/>
      <c r="U213" s="231"/>
      <c r="V213" s="231"/>
      <c r="W213" s="231"/>
      <c r="X213" s="239"/>
      <c r="Y213" s="433"/>
      <c r="Z213" s="231"/>
      <c r="AA213" s="239"/>
      <c r="AB213" s="239"/>
      <c r="AC213" s="231"/>
      <c r="AD213" s="231"/>
      <c r="AE213" s="231"/>
      <c r="AF213" s="231"/>
      <c r="AG213" s="231"/>
      <c r="AH213" s="223"/>
      <c r="AI213" s="231"/>
      <c r="AJ213" s="231"/>
      <c r="AK213" s="231"/>
      <c r="AL213" s="231"/>
      <c r="AM213" s="433"/>
    </row>
    <row r="214" spans="18:39">
      <c r="R214" s="747" t="s">
        <v>2350</v>
      </c>
      <c r="S214" s="233"/>
      <c r="T214" s="231"/>
      <c r="U214" s="231"/>
      <c r="V214" s="231"/>
      <c r="W214" s="231"/>
      <c r="X214" s="239"/>
      <c r="Y214" s="433"/>
      <c r="Z214" s="231"/>
      <c r="AA214" s="239"/>
      <c r="AB214" s="239"/>
      <c r="AC214" s="231"/>
      <c r="AD214" s="231"/>
      <c r="AE214" s="231"/>
      <c r="AF214" s="231"/>
      <c r="AG214" s="231"/>
      <c r="AH214" s="223"/>
      <c r="AI214" s="231"/>
      <c r="AJ214" s="231"/>
      <c r="AK214" s="231"/>
      <c r="AL214" s="231"/>
      <c r="AM214" s="433"/>
    </row>
    <row r="215" spans="18:39">
      <c r="R215" s="691" t="s">
        <v>2351</v>
      </c>
      <c r="S215" s="223" t="s">
        <v>2352</v>
      </c>
      <c r="T215" s="231" t="s">
        <v>2353</v>
      </c>
      <c r="U215" s="248">
        <f>(1/RADIANS(U198))*(U200+U212)/(U211*U201*U202)</f>
        <v>9.8799493068102862E-3</v>
      </c>
      <c r="V215" s="231" t="s">
        <v>2354</v>
      </c>
      <c r="W215" s="248"/>
      <c r="X215" s="523"/>
      <c r="Y215" s="433"/>
      <c r="Z215" s="231"/>
      <c r="AA215" s="239"/>
      <c r="AB215" s="239"/>
      <c r="AC215" s="231"/>
      <c r="AD215" s="231"/>
      <c r="AE215" s="231"/>
      <c r="AF215" s="231"/>
      <c r="AG215" s="231"/>
      <c r="AH215" s="223"/>
      <c r="AI215" s="231"/>
      <c r="AJ215" s="231"/>
      <c r="AK215" s="231"/>
      <c r="AL215" s="231"/>
      <c r="AM215" s="433"/>
    </row>
    <row r="216" spans="18:39">
      <c r="R216" s="691"/>
      <c r="S216" s="223"/>
      <c r="T216" s="231"/>
      <c r="U216" s="248">
        <f>ABS(U215)</f>
        <v>9.8799493068102862E-3</v>
      </c>
      <c r="V216" s="231"/>
      <c r="W216" s="248"/>
      <c r="X216" s="523"/>
      <c r="Y216" s="433"/>
      <c r="Z216" s="231"/>
      <c r="AA216" s="239"/>
      <c r="AB216" s="239"/>
      <c r="AC216" s="231"/>
      <c r="AD216" s="231"/>
      <c r="AE216" s="231"/>
      <c r="AF216" s="231"/>
      <c r="AG216" s="231"/>
      <c r="AH216" s="223"/>
      <c r="AI216" s="231"/>
      <c r="AJ216" s="231"/>
      <c r="AK216" s="231"/>
      <c r="AL216" s="231"/>
      <c r="AM216" s="433"/>
    </row>
    <row r="217" spans="18:39">
      <c r="R217" s="691" t="s">
        <v>2355</v>
      </c>
      <c r="S217" s="223" t="s">
        <v>2356</v>
      </c>
      <c r="T217" s="231" t="s">
        <v>2353</v>
      </c>
      <c r="U217" s="248">
        <f>-(1/RADIANS(U198))*U203*RADIANS(U199)</f>
        <v>-7.6329005294395652E-2</v>
      </c>
      <c r="V217" s="231" t="s">
        <v>2357</v>
      </c>
      <c r="W217" s="248"/>
      <c r="X217" s="523"/>
      <c r="Y217" s="433"/>
      <c r="Z217" s="231"/>
      <c r="AA217" s="239"/>
      <c r="AB217" s="239"/>
      <c r="AC217" s="231"/>
      <c r="AD217" s="231"/>
      <c r="AE217" s="231"/>
      <c r="AF217" s="231"/>
      <c r="AG217" s="231"/>
      <c r="AH217" s="223"/>
      <c r="AI217" s="231"/>
      <c r="AJ217" s="231"/>
      <c r="AK217" s="231"/>
      <c r="AL217" s="231"/>
      <c r="AM217" s="433"/>
    </row>
    <row r="218" spans="18:39">
      <c r="R218" s="691"/>
      <c r="S218" s="223"/>
      <c r="T218" s="231"/>
      <c r="U218" s="248">
        <f>ABS(U217)</f>
        <v>7.6329005294395652E-2</v>
      </c>
      <c r="V218" s="231"/>
      <c r="W218" s="231"/>
      <c r="X218" s="239"/>
      <c r="Y218" s="433"/>
      <c r="Z218" s="231"/>
      <c r="AA218" s="239"/>
      <c r="AB218" s="239"/>
      <c r="AC218" s="231"/>
      <c r="AD218" s="231"/>
      <c r="AE218" s="231"/>
      <c r="AF218" s="231"/>
      <c r="AG218" s="231"/>
      <c r="AH218" s="223"/>
      <c r="AI218" s="231"/>
      <c r="AJ218" s="231"/>
      <c r="AK218" s="231"/>
      <c r="AL218" s="231"/>
      <c r="AM218" s="433"/>
    </row>
    <row r="219" spans="18:39">
      <c r="R219" s="747" t="s">
        <v>2358</v>
      </c>
      <c r="S219" s="231"/>
      <c r="T219" s="231"/>
      <c r="U219" s="231"/>
      <c r="V219" s="231"/>
      <c r="W219" s="231"/>
      <c r="X219" s="239"/>
      <c r="Y219" s="433"/>
      <c r="Z219" s="231"/>
      <c r="AA219" s="239"/>
      <c r="AB219" s="239"/>
      <c r="AC219" s="231"/>
      <c r="AD219" s="231"/>
      <c r="AE219" s="231"/>
      <c r="AF219" s="231"/>
      <c r="AG219" s="231"/>
      <c r="AH219" s="223"/>
      <c r="AI219" s="231"/>
      <c r="AJ219" s="231"/>
      <c r="AK219" s="231"/>
      <c r="AL219" s="231"/>
      <c r="AM219" s="433"/>
    </row>
    <row r="220" spans="18:39" ht="26.4">
      <c r="R220" s="691" t="s">
        <v>2359</v>
      </c>
      <c r="S220" s="231" t="s">
        <v>2360</v>
      </c>
      <c r="T220" s="231" t="s">
        <v>87</v>
      </c>
      <c r="U220" s="437">
        <f>1*MAX(U216,U218)/(0.9*(U165*180/PI())*U181)</f>
        <v>0.43527745922612721</v>
      </c>
      <c r="V220" s="231" t="s">
        <v>2361</v>
      </c>
      <c r="W220" s="231"/>
      <c r="X220" s="239"/>
      <c r="Y220" s="433"/>
      <c r="Z220" s="231"/>
      <c r="AA220" s="239"/>
      <c r="AB220" s="239"/>
      <c r="AC220" s="231"/>
      <c r="AD220" s="231"/>
      <c r="AE220" s="231"/>
      <c r="AF220" s="231"/>
      <c r="AG220" s="231"/>
      <c r="AH220" s="223"/>
      <c r="AI220" s="231"/>
      <c r="AJ220" s="231"/>
      <c r="AK220" s="231"/>
      <c r="AL220" s="231"/>
      <c r="AM220" s="433"/>
    </row>
    <row r="221" spans="18:39">
      <c r="R221" s="691"/>
      <c r="S221" s="231"/>
      <c r="T221" s="231"/>
      <c r="U221" s="248"/>
      <c r="V221" s="231"/>
      <c r="W221" s="231"/>
      <c r="X221" s="239"/>
      <c r="Y221" s="433"/>
      <c r="Z221" s="231"/>
      <c r="AA221" s="239"/>
      <c r="AB221" s="239"/>
      <c r="AC221" s="231"/>
      <c r="AD221" s="231"/>
      <c r="AE221" s="231"/>
      <c r="AF221" s="231"/>
      <c r="AG221" s="231"/>
      <c r="AH221" s="223"/>
      <c r="AI221" s="231"/>
      <c r="AJ221" s="231"/>
      <c r="AK221" s="231"/>
      <c r="AL221" s="231"/>
      <c r="AM221" s="433"/>
    </row>
    <row r="222" spans="18:39">
      <c r="R222" s="700" t="s">
        <v>2362</v>
      </c>
      <c r="S222" s="231"/>
      <c r="T222" s="231"/>
      <c r="U222" s="231"/>
      <c r="V222" s="231"/>
      <c r="W222" s="231"/>
      <c r="X222" s="239"/>
      <c r="Y222" s="433"/>
      <c r="Z222" s="231"/>
      <c r="AA222" s="239"/>
      <c r="AB222" s="239"/>
      <c r="AC222" s="231"/>
      <c r="AD222" s="231"/>
      <c r="AE222" s="231"/>
      <c r="AF222" s="231"/>
      <c r="AG222" s="231"/>
      <c r="AH222" s="223"/>
      <c r="AI222" s="231"/>
      <c r="AJ222" s="231"/>
      <c r="AK222" s="231"/>
      <c r="AL222" s="231"/>
      <c r="AM222" s="433"/>
    </row>
    <row r="223" spans="18:39" ht="26.4">
      <c r="R223" s="691" t="s">
        <v>2363</v>
      </c>
      <c r="S223" s="231" t="s">
        <v>2364</v>
      </c>
      <c r="T223" s="231" t="s">
        <v>87</v>
      </c>
      <c r="U223" s="209">
        <v>0.1</v>
      </c>
      <c r="V223" s="231" t="s">
        <v>2365</v>
      </c>
      <c r="W223" s="231"/>
      <c r="X223" s="239"/>
      <c r="Y223" s="433"/>
      <c r="Z223" s="231"/>
      <c r="AA223" s="239"/>
      <c r="AB223" s="239"/>
      <c r="AC223" s="231"/>
      <c r="AD223" s="231"/>
      <c r="AE223" s="231"/>
      <c r="AF223" s="231"/>
      <c r="AG223" s="231"/>
      <c r="AH223" s="223"/>
      <c r="AI223" s="231"/>
      <c r="AJ223" s="231"/>
      <c r="AK223" s="231"/>
      <c r="AL223" s="231"/>
      <c r="AM223" s="433"/>
    </row>
    <row r="224" spans="18:39">
      <c r="R224" s="691" t="s">
        <v>2366</v>
      </c>
      <c r="S224" s="231" t="s">
        <v>2295</v>
      </c>
      <c r="T224" s="231" t="s">
        <v>2265</v>
      </c>
      <c r="U224" s="228">
        <f>U173</f>
        <v>18.536782561386495</v>
      </c>
      <c r="V224" s="231" t="s">
        <v>2221</v>
      </c>
      <c r="W224" s="231"/>
      <c r="X224" s="239"/>
      <c r="Y224" s="433"/>
      <c r="Z224" s="231"/>
      <c r="AA224" s="239"/>
      <c r="AB224" s="239"/>
      <c r="AC224" s="231"/>
      <c r="AD224" s="231"/>
      <c r="AE224" s="231"/>
      <c r="AF224" s="231"/>
      <c r="AG224" s="231"/>
      <c r="AH224" s="223"/>
      <c r="AI224" s="231"/>
      <c r="AJ224" s="231"/>
      <c r="AK224" s="231"/>
      <c r="AL224" s="231"/>
      <c r="AM224" s="433"/>
    </row>
    <row r="225" spans="18:47" ht="13.8" thickBot="1">
      <c r="R225" s="733" t="s">
        <v>2367</v>
      </c>
      <c r="S225" s="255" t="s">
        <v>2368</v>
      </c>
      <c r="T225" s="255" t="s">
        <v>221</v>
      </c>
      <c r="U225" s="748">
        <f>U223*U224</f>
        <v>1.8536782561386496</v>
      </c>
      <c r="V225" s="255"/>
      <c r="W225" s="255"/>
      <c r="X225" s="445"/>
      <c r="Y225" s="446"/>
      <c r="Z225" s="231"/>
      <c r="AA225" s="239"/>
      <c r="AB225" s="239"/>
      <c r="AC225" s="231"/>
      <c r="AD225" s="231"/>
      <c r="AE225" s="231"/>
      <c r="AF225" s="231"/>
      <c r="AG225" s="231"/>
      <c r="AH225" s="223"/>
      <c r="AI225" s="231"/>
      <c r="AJ225" s="231"/>
      <c r="AK225" s="231"/>
      <c r="AL225" s="231"/>
      <c r="AM225" s="433"/>
    </row>
    <row r="226" spans="18:47">
      <c r="R226" s="691"/>
      <c r="S226" s="231"/>
      <c r="T226" s="231"/>
      <c r="U226" s="231"/>
      <c r="V226" s="231"/>
      <c r="W226" s="231"/>
      <c r="X226" s="239"/>
      <c r="Y226" s="231"/>
      <c r="Z226" s="231"/>
      <c r="AA226" s="239"/>
      <c r="AB226" s="239"/>
      <c r="AC226" s="231"/>
      <c r="AD226" s="231"/>
      <c r="AE226" s="231"/>
      <c r="AF226" s="231"/>
      <c r="AG226" s="231"/>
      <c r="AH226" s="223"/>
      <c r="AI226" s="231"/>
      <c r="AJ226" s="231"/>
      <c r="AK226" s="231"/>
      <c r="AL226" s="231"/>
      <c r="AM226" s="433"/>
    </row>
    <row r="227" spans="18:47">
      <c r="R227" s="691"/>
      <c r="S227" s="231"/>
      <c r="T227" s="231"/>
      <c r="U227" s="231"/>
      <c r="V227" s="231"/>
      <c r="W227" s="231"/>
      <c r="X227" s="239"/>
      <c r="Y227" s="231"/>
      <c r="Z227" s="231"/>
      <c r="AA227" s="239"/>
      <c r="AB227" s="239"/>
      <c r="AC227" s="231"/>
      <c r="AD227" s="231"/>
      <c r="AE227" s="231"/>
      <c r="AF227" s="231"/>
      <c r="AG227" s="231"/>
      <c r="AH227" s="223"/>
      <c r="AI227" s="231"/>
      <c r="AJ227" s="231"/>
      <c r="AK227" s="231"/>
      <c r="AL227" s="231"/>
      <c r="AM227" s="433"/>
    </row>
    <row r="228" spans="18:47">
      <c r="R228" s="691"/>
      <c r="S228" s="231"/>
      <c r="T228" s="231"/>
      <c r="U228" s="231"/>
      <c r="V228" s="231"/>
      <c r="W228" s="231"/>
      <c r="X228" s="239"/>
      <c r="Y228" s="231"/>
      <c r="Z228" s="231"/>
      <c r="AA228" s="239"/>
      <c r="AB228" s="239"/>
      <c r="AC228" s="231"/>
      <c r="AD228" s="231"/>
      <c r="AE228" s="231"/>
      <c r="AF228" s="231"/>
      <c r="AG228" s="231"/>
      <c r="AH228" s="223"/>
      <c r="AI228" s="231"/>
      <c r="AJ228" s="231"/>
      <c r="AK228" s="231"/>
      <c r="AL228" s="231"/>
      <c r="AM228" s="433"/>
    </row>
    <row r="229" spans="18:47">
      <c r="R229" s="691"/>
      <c r="S229" s="231"/>
      <c r="T229" s="231"/>
      <c r="U229" s="231"/>
      <c r="V229" s="231"/>
      <c r="W229" s="231"/>
      <c r="X229" s="239"/>
      <c r="Y229" s="231"/>
      <c r="Z229" s="231"/>
      <c r="AA229" s="239"/>
      <c r="AB229" s="239"/>
      <c r="AC229" s="231"/>
      <c r="AD229" s="231"/>
      <c r="AE229" s="231"/>
      <c r="AF229" s="231"/>
      <c r="AG229" s="231"/>
      <c r="AH229" s="223"/>
      <c r="AI229" s="231"/>
      <c r="AJ229" s="231"/>
      <c r="AK229" s="231"/>
      <c r="AL229" s="231"/>
      <c r="AM229" s="433"/>
    </row>
    <row r="230" spans="18:47">
      <c r="R230" s="691"/>
      <c r="S230" s="231"/>
      <c r="T230" s="231"/>
      <c r="U230" s="231"/>
      <c r="V230" s="231"/>
      <c r="W230" s="231"/>
      <c r="X230" s="239"/>
      <c r="Y230" s="231"/>
      <c r="Z230" s="231"/>
      <c r="AA230" s="239"/>
      <c r="AB230" s="239"/>
      <c r="AC230" s="231"/>
      <c r="AD230" s="231"/>
      <c r="AE230" s="231"/>
      <c r="AF230" s="231"/>
      <c r="AG230" s="231"/>
      <c r="AH230" s="223"/>
      <c r="AI230" s="231"/>
      <c r="AJ230" s="231"/>
      <c r="AK230" s="231"/>
      <c r="AL230" s="231"/>
      <c r="AM230" s="433"/>
    </row>
    <row r="231" spans="18:47">
      <c r="R231" s="691"/>
      <c r="S231" s="231"/>
      <c r="T231" s="231"/>
      <c r="U231" s="231"/>
      <c r="V231" s="231"/>
      <c r="W231" s="231"/>
      <c r="X231" s="239"/>
      <c r="Y231" s="231"/>
      <c r="Z231" s="231"/>
      <c r="AA231" s="239"/>
      <c r="AB231" s="239"/>
      <c r="AC231" s="231"/>
      <c r="AD231" s="231"/>
      <c r="AE231" s="231"/>
      <c r="AF231" s="231"/>
      <c r="AG231" s="231"/>
      <c r="AH231" s="223"/>
      <c r="AI231" s="231"/>
      <c r="AJ231" s="231"/>
      <c r="AK231" s="231"/>
      <c r="AL231" s="231"/>
      <c r="AM231" s="433"/>
    </row>
    <row r="232" spans="18:47" ht="13.8" thickBot="1">
      <c r="R232" s="691"/>
      <c r="S232" s="231"/>
      <c r="T232" s="231"/>
      <c r="U232" s="231"/>
      <c r="V232" s="231"/>
      <c r="W232" s="231"/>
      <c r="X232" s="239"/>
      <c r="Y232" s="231"/>
      <c r="Z232" s="231"/>
      <c r="AA232" s="239"/>
      <c r="AB232" s="239"/>
      <c r="AC232" s="231"/>
      <c r="AD232" s="231"/>
      <c r="AE232" s="231"/>
      <c r="AF232" s="231"/>
      <c r="AG232" s="231"/>
      <c r="AH232" s="223"/>
      <c r="AI232" s="231"/>
      <c r="AJ232" s="231"/>
      <c r="AK232" s="231"/>
      <c r="AL232" s="231"/>
      <c r="AM232" s="433"/>
    </row>
    <row r="233" spans="18:47" ht="15.6">
      <c r="R233" s="749" t="s">
        <v>2369</v>
      </c>
      <c r="S233" s="229"/>
      <c r="T233" s="430"/>
      <c r="U233" s="231"/>
      <c r="V233" s="231"/>
      <c r="W233" s="231"/>
      <c r="X233" s="239"/>
      <c r="Y233" s="231"/>
      <c r="Z233" s="231"/>
      <c r="AA233" s="239"/>
      <c r="AB233" s="239"/>
      <c r="AC233" s="231"/>
      <c r="AD233" s="231"/>
      <c r="AE233" s="231"/>
      <c r="AF233" s="231"/>
      <c r="AG233" s="231"/>
      <c r="AH233" s="223"/>
      <c r="AI233" s="231"/>
      <c r="AJ233" s="231"/>
      <c r="AK233" s="231"/>
      <c r="AL233" s="231"/>
      <c r="AM233" s="433"/>
    </row>
    <row r="234" spans="18:47">
      <c r="R234" s="691"/>
      <c r="S234" s="231"/>
      <c r="T234" s="433"/>
      <c r="U234" s="231"/>
      <c r="V234" s="231"/>
      <c r="W234" s="231"/>
      <c r="X234" s="239"/>
      <c r="Y234" s="231"/>
      <c r="Z234" s="231"/>
      <c r="AA234" s="239"/>
      <c r="AB234" s="239"/>
      <c r="AC234" s="231"/>
      <c r="AD234" s="231"/>
      <c r="AE234" s="231"/>
      <c r="AF234" s="231"/>
      <c r="AG234" s="231"/>
      <c r="AH234" s="223"/>
      <c r="AI234" s="231"/>
      <c r="AJ234" s="231"/>
      <c r="AK234" s="231"/>
      <c r="AL234" s="231"/>
      <c r="AM234" s="433"/>
    </row>
    <row r="235" spans="18:47">
      <c r="R235" s="691"/>
      <c r="S235" s="231"/>
      <c r="T235" s="433"/>
      <c r="U235" s="231"/>
      <c r="V235" s="231"/>
      <c r="W235" s="231"/>
      <c r="X235" s="239"/>
      <c r="Y235" s="231"/>
      <c r="Z235" s="231"/>
      <c r="AA235" s="239"/>
      <c r="AB235" s="239"/>
      <c r="AC235" s="231"/>
      <c r="AD235" s="231"/>
      <c r="AE235" s="231"/>
      <c r="AF235" s="231"/>
      <c r="AG235" s="231"/>
      <c r="AH235" s="223"/>
      <c r="AI235" s="231"/>
      <c r="AJ235" s="231"/>
      <c r="AK235" s="231"/>
      <c r="AL235" s="231"/>
      <c r="AM235" s="433"/>
    </row>
    <row r="236" spans="18:47">
      <c r="R236" s="275" t="s">
        <v>989</v>
      </c>
      <c r="S236" s="94"/>
      <c r="T236" s="651"/>
      <c r="U236" s="96"/>
      <c r="V236" s="94"/>
      <c r="W236" s="94"/>
      <c r="X236" s="94"/>
      <c r="Y236" s="231"/>
      <c r="Z236" s="231"/>
      <c r="AA236" s="239"/>
      <c r="AB236" s="239"/>
      <c r="AC236" s="231"/>
      <c r="AD236" s="231"/>
      <c r="AE236" s="231"/>
      <c r="AF236" s="231"/>
      <c r="AG236" s="231"/>
      <c r="AH236" s="223"/>
      <c r="AI236" s="231"/>
      <c r="AJ236" s="231"/>
      <c r="AK236" s="231"/>
      <c r="AL236" s="231"/>
      <c r="AM236" s="433"/>
    </row>
    <row r="237" spans="18:47">
      <c r="R237" s="750" t="s">
        <v>196</v>
      </c>
      <c r="S237" s="751" t="s">
        <v>197</v>
      </c>
      <c r="T237" s="651"/>
      <c r="U237" s="231"/>
      <c r="V237" s="231"/>
      <c r="W237" s="231"/>
      <c r="X237" s="94"/>
      <c r="Y237" s="231"/>
      <c r="Z237" s="231"/>
      <c r="AA237" s="239"/>
      <c r="AB237" s="239"/>
      <c r="AC237" s="231"/>
      <c r="AD237" s="231"/>
      <c r="AE237" s="231"/>
      <c r="AF237" s="231"/>
      <c r="AG237" s="231"/>
      <c r="AH237" s="223"/>
      <c r="AI237" s="231"/>
      <c r="AJ237" s="231"/>
      <c r="AK237" s="231"/>
      <c r="AL237" s="231"/>
      <c r="AM237" s="433"/>
      <c r="AU237" s="974">
        <v>0</v>
      </c>
    </row>
    <row r="238" spans="18:47">
      <c r="R238" s="752">
        <v>0</v>
      </c>
      <c r="S238" s="753">
        <v>0</v>
      </c>
      <c r="T238" s="651"/>
      <c r="U238" s="231"/>
      <c r="V238" s="231"/>
      <c r="W238" s="231"/>
      <c r="X238" s="94"/>
      <c r="Y238" s="231"/>
      <c r="Z238" s="231"/>
      <c r="AA238" s="239"/>
      <c r="AB238" s="239"/>
      <c r="AC238" s="231"/>
      <c r="AD238" s="231"/>
      <c r="AE238" s="231"/>
      <c r="AF238" s="231"/>
      <c r="AG238" s="231"/>
      <c r="AH238" s="223"/>
      <c r="AI238" s="231"/>
      <c r="AJ238" s="231"/>
      <c r="AK238" s="231"/>
      <c r="AL238" s="231"/>
      <c r="AM238" s="433"/>
    </row>
    <row r="239" spans="18:47">
      <c r="R239" s="752">
        <f>U175</f>
        <v>4.7201468973365328</v>
      </c>
      <c r="S239" s="753">
        <v>0</v>
      </c>
      <c r="T239" s="651"/>
      <c r="U239" s="231"/>
      <c r="V239" s="231"/>
      <c r="W239" s="231"/>
      <c r="X239" s="195"/>
      <c r="Y239" s="231"/>
      <c r="Z239" s="231"/>
      <c r="AA239" s="239"/>
      <c r="AB239" s="239"/>
      <c r="AC239" s="231"/>
      <c r="AD239" s="231"/>
      <c r="AE239" s="231"/>
      <c r="AF239" s="231"/>
      <c r="AG239" s="231"/>
      <c r="AH239" s="223"/>
      <c r="AI239" s="231"/>
      <c r="AJ239" s="231"/>
      <c r="AK239" s="231"/>
      <c r="AL239" s="231"/>
      <c r="AM239" s="433"/>
    </row>
    <row r="240" spans="18:47">
      <c r="R240" s="752">
        <f>U175+(U174*TAN(U178*PI()/180))</f>
        <v>4.1474380696714164</v>
      </c>
      <c r="S240" s="753">
        <f>U174</f>
        <v>4.908952773229994</v>
      </c>
      <c r="T240" s="651"/>
      <c r="U240" s="231"/>
      <c r="V240" s="231"/>
      <c r="W240" s="231"/>
      <c r="X240" s="195"/>
      <c r="Y240" s="231"/>
      <c r="Z240" s="231"/>
      <c r="AA240" s="239"/>
      <c r="AB240" s="239"/>
      <c r="AC240" s="231"/>
      <c r="AD240" s="231"/>
      <c r="AE240" s="231"/>
      <c r="AF240" s="231"/>
      <c r="AG240" s="231"/>
      <c r="AH240" s="223"/>
      <c r="AI240" s="231"/>
      <c r="AJ240" s="231"/>
      <c r="AK240" s="231"/>
      <c r="AL240" s="231"/>
      <c r="AM240" s="433"/>
    </row>
    <row r="241" spans="18:39">
      <c r="R241" s="752">
        <f>U174*TAN(U169*PI()/180)</f>
        <v>1.3153499312694972</v>
      </c>
      <c r="S241" s="753">
        <f>U174</f>
        <v>4.908952773229994</v>
      </c>
      <c r="T241" s="651"/>
      <c r="U241" s="94"/>
      <c r="V241" s="94"/>
      <c r="W241" s="195"/>
      <c r="X241" s="195"/>
      <c r="Y241" s="231"/>
      <c r="Z241" s="231"/>
      <c r="AA241" s="239"/>
      <c r="AB241" s="239"/>
      <c r="AC241" s="231"/>
      <c r="AD241" s="231"/>
      <c r="AE241" s="231"/>
      <c r="AF241" s="231"/>
      <c r="AG241" s="231"/>
      <c r="AH241" s="223"/>
      <c r="AI241" s="231"/>
      <c r="AJ241" s="231"/>
      <c r="AK241" s="231"/>
      <c r="AL241" s="231"/>
      <c r="AM241" s="433"/>
    </row>
    <row r="242" spans="18:39">
      <c r="R242" s="754">
        <v>0</v>
      </c>
      <c r="S242" s="755">
        <v>0</v>
      </c>
      <c r="T242" s="651"/>
      <c r="U242" s="94"/>
      <c r="V242" s="94"/>
      <c r="W242" s="195"/>
      <c r="X242" s="195"/>
      <c r="Y242" s="94"/>
      <c r="Z242" s="231"/>
      <c r="AA242" s="239"/>
      <c r="AB242" s="239"/>
      <c r="AC242" s="231"/>
      <c r="AD242" s="231"/>
      <c r="AE242" s="231"/>
      <c r="AF242" s="231"/>
      <c r="AG242" s="231"/>
      <c r="AH242" s="223"/>
      <c r="AI242" s="231"/>
      <c r="AJ242" s="231"/>
      <c r="AK242" s="231"/>
      <c r="AL242" s="231"/>
      <c r="AM242" s="433"/>
    </row>
    <row r="243" spans="18:39">
      <c r="R243" s="691"/>
      <c r="S243" s="231"/>
      <c r="T243" s="433"/>
      <c r="U243" s="231"/>
      <c r="V243" s="231"/>
      <c r="W243" s="231"/>
      <c r="X243" s="239"/>
      <c r="Y243" s="231"/>
      <c r="Z243" s="231"/>
      <c r="AA243" s="239"/>
      <c r="AB243" s="239"/>
      <c r="AC243" s="231"/>
      <c r="AD243" s="231"/>
      <c r="AE243" s="231"/>
      <c r="AF243" s="231"/>
      <c r="AG243" s="231"/>
      <c r="AH243" s="223"/>
      <c r="AI243" s="231"/>
      <c r="AJ243" s="231"/>
      <c r="AK243" s="231"/>
      <c r="AL243" s="231"/>
      <c r="AM243" s="433"/>
    </row>
    <row r="244" spans="18:39">
      <c r="R244" s="287" t="s">
        <v>991</v>
      </c>
      <c r="S244" s="94"/>
      <c r="T244" s="651"/>
      <c r="U244" s="231"/>
      <c r="V244" s="231"/>
      <c r="W244" s="231"/>
      <c r="X244" s="239"/>
      <c r="Y244" s="231"/>
      <c r="Z244" s="231"/>
      <c r="AA244" s="239"/>
      <c r="AB244" s="239"/>
      <c r="AC244" s="231"/>
      <c r="AD244" s="231"/>
      <c r="AE244" s="231"/>
      <c r="AF244" s="231"/>
      <c r="AG244" s="231"/>
      <c r="AH244" s="223"/>
      <c r="AI244" s="231"/>
      <c r="AJ244" s="231"/>
      <c r="AK244" s="231"/>
      <c r="AL244" s="231"/>
      <c r="AM244" s="433"/>
    </row>
    <row r="245" spans="18:39">
      <c r="R245" s="756" t="s">
        <v>196</v>
      </c>
      <c r="S245" s="751" t="s">
        <v>197</v>
      </c>
      <c r="T245" s="433"/>
      <c r="U245" s="231"/>
      <c r="V245" s="231"/>
      <c r="W245" s="231"/>
      <c r="X245" s="239"/>
      <c r="Y245" s="231"/>
      <c r="Z245" s="231"/>
      <c r="AA245" s="239"/>
      <c r="AB245" s="239"/>
      <c r="AC245" s="231"/>
      <c r="AD245" s="231"/>
      <c r="AE245" s="231"/>
      <c r="AF245" s="231"/>
      <c r="AG245" s="231"/>
      <c r="AH245" s="223"/>
      <c r="AI245" s="231"/>
      <c r="AJ245" s="231"/>
      <c r="AK245" s="231"/>
      <c r="AL245" s="231"/>
      <c r="AM245" s="433"/>
    </row>
    <row r="246" spans="18:39">
      <c r="R246" s="757">
        <f>S246*TAN(U169*(PI()/180))</f>
        <v>0.60286871849851953</v>
      </c>
      <c r="S246" s="758">
        <f>(U174/3)*(1+(2*U171))/(1+U171)</f>
        <v>2.2499366877304139</v>
      </c>
      <c r="T246" s="433"/>
      <c r="U246" s="231"/>
      <c r="V246" s="231"/>
      <c r="W246" s="231"/>
      <c r="X246" s="239"/>
      <c r="Y246" s="231"/>
      <c r="Z246" s="231"/>
      <c r="AA246" s="239"/>
      <c r="AB246" s="239"/>
      <c r="AC246" s="231"/>
      <c r="AD246" s="231"/>
      <c r="AE246" s="231"/>
      <c r="AF246" s="231"/>
      <c r="AG246" s="231"/>
      <c r="AH246" s="223"/>
      <c r="AI246" s="231"/>
      <c r="AJ246" s="231"/>
      <c r="AK246" s="231"/>
      <c r="AL246" s="231"/>
      <c r="AM246" s="433"/>
    </row>
    <row r="247" spans="18:39">
      <c r="R247" s="759">
        <f>U175+(S247*TAN(U178*(PI()/180)))</f>
        <v>4.4576553513233543</v>
      </c>
      <c r="S247" s="758">
        <f>S246</f>
        <v>2.2499366877304139</v>
      </c>
      <c r="T247" s="433"/>
      <c r="U247" s="231"/>
      <c r="V247" s="231"/>
      <c r="W247" s="231"/>
      <c r="X247" s="239"/>
      <c r="Y247" s="231"/>
      <c r="Z247" s="231"/>
      <c r="AA247" s="239"/>
      <c r="AB247" s="239"/>
      <c r="AC247" s="231"/>
      <c r="AD247" s="231"/>
      <c r="AE247" s="231"/>
      <c r="AF247" s="231"/>
      <c r="AG247" s="231"/>
      <c r="AH247" s="223"/>
      <c r="AI247" s="231"/>
      <c r="AJ247" s="231"/>
      <c r="AK247" s="231"/>
      <c r="AL247" s="231"/>
      <c r="AM247" s="433"/>
    </row>
    <row r="248" spans="18:39">
      <c r="R248" s="691"/>
      <c r="S248" s="231"/>
      <c r="T248" s="433"/>
      <c r="U248" s="231"/>
      <c r="V248" s="231"/>
      <c r="W248" s="231"/>
      <c r="X248" s="239"/>
      <c r="Y248" s="231"/>
      <c r="Z248" s="231"/>
      <c r="AA248" s="239"/>
      <c r="AB248" s="239"/>
      <c r="AC248" s="231"/>
      <c r="AD248" s="231"/>
      <c r="AE248" s="231"/>
      <c r="AF248" s="231"/>
      <c r="AG248" s="231"/>
      <c r="AH248" s="223"/>
      <c r="AI248" s="231"/>
      <c r="AJ248" s="231"/>
      <c r="AK248" s="231"/>
      <c r="AL248" s="231"/>
      <c r="AM248" s="433"/>
    </row>
    <row r="249" spans="18:39">
      <c r="R249" s="691"/>
      <c r="S249" s="231"/>
      <c r="T249" s="433"/>
      <c r="U249" s="231"/>
      <c r="V249" s="231"/>
      <c r="W249" s="231"/>
      <c r="X249" s="239"/>
      <c r="Y249" s="231"/>
      <c r="Z249" s="231"/>
      <c r="AA249" s="239"/>
      <c r="AB249" s="239"/>
      <c r="AC249" s="231"/>
      <c r="AD249" s="231"/>
      <c r="AE249" s="231"/>
      <c r="AF249" s="231"/>
      <c r="AG249" s="231"/>
      <c r="AH249" s="223"/>
      <c r="AI249" s="231"/>
      <c r="AJ249" s="231"/>
      <c r="AK249" s="231"/>
      <c r="AL249" s="231"/>
      <c r="AM249" s="433"/>
    </row>
    <row r="250" spans="18:39">
      <c r="R250" s="232" t="s">
        <v>2136</v>
      </c>
      <c r="S250" s="231"/>
      <c r="T250" s="433"/>
      <c r="U250" s="231"/>
      <c r="V250" s="231"/>
      <c r="W250" s="231"/>
      <c r="X250" s="239"/>
      <c r="Y250" s="231"/>
      <c r="Z250" s="231"/>
      <c r="AA250" s="239"/>
      <c r="AB250" s="239"/>
      <c r="AC250" s="231"/>
      <c r="AD250" s="231"/>
      <c r="AE250" s="231"/>
      <c r="AF250" s="231"/>
      <c r="AG250" s="231"/>
      <c r="AH250" s="223"/>
      <c r="AI250" s="231"/>
      <c r="AJ250" s="231"/>
      <c r="AK250" s="231"/>
      <c r="AL250" s="231"/>
      <c r="AM250" s="433"/>
    </row>
    <row r="251" spans="18:39">
      <c r="R251" s="756" t="s">
        <v>196</v>
      </c>
      <c r="S251" s="751" t="s">
        <v>197</v>
      </c>
      <c r="T251" s="433"/>
      <c r="U251" s="231"/>
      <c r="V251" s="231"/>
      <c r="W251" s="231"/>
      <c r="X251" s="239"/>
      <c r="Y251" s="231"/>
      <c r="Z251" s="231"/>
      <c r="AA251" s="239"/>
      <c r="AB251" s="239"/>
      <c r="AC251" s="231"/>
      <c r="AD251" s="231"/>
      <c r="AE251" s="231"/>
      <c r="AF251" s="231"/>
      <c r="AG251" s="231"/>
      <c r="AH251" s="223"/>
      <c r="AI251" s="231"/>
      <c r="AJ251" s="231"/>
      <c r="AK251" s="231"/>
      <c r="AL251" s="231"/>
      <c r="AM251" s="433"/>
    </row>
    <row r="252" spans="18:39">
      <c r="R252" s="760">
        <f>U175+((0.2*U174)*TAN(U178*(PI()/180)))</f>
        <v>4.6056051318035092</v>
      </c>
      <c r="S252" s="522">
        <f>0.2*U174</f>
        <v>0.98179055464599885</v>
      </c>
      <c r="T252" s="433"/>
      <c r="U252" s="231"/>
      <c r="V252" s="231"/>
      <c r="W252" s="231"/>
      <c r="X252" s="239"/>
      <c r="Y252" s="231"/>
      <c r="Z252" s="231"/>
      <c r="AA252" s="239"/>
      <c r="AB252" s="239"/>
      <c r="AC252" s="231"/>
      <c r="AD252" s="231"/>
      <c r="AE252" s="231"/>
      <c r="AF252" s="231"/>
      <c r="AG252" s="231"/>
      <c r="AH252" s="223"/>
      <c r="AI252" s="231"/>
      <c r="AJ252" s="231"/>
      <c r="AK252" s="231"/>
      <c r="AL252" s="231"/>
      <c r="AM252" s="433"/>
    </row>
    <row r="253" spans="18:39">
      <c r="R253" s="760">
        <f>U175+(S253*TAN(U178*(PI()/180)))</f>
        <v>4.26197983520444</v>
      </c>
      <c r="S253" s="522">
        <f>0.8*U174</f>
        <v>3.9271622185839954</v>
      </c>
      <c r="T253" s="433"/>
      <c r="U253" s="231"/>
      <c r="V253" s="231"/>
      <c r="W253" s="231"/>
      <c r="X253" s="239"/>
      <c r="Y253" s="231"/>
      <c r="Z253" s="231"/>
      <c r="AA253" s="239"/>
      <c r="AB253" s="239"/>
      <c r="AC253" s="231"/>
      <c r="AD253" s="231"/>
      <c r="AE253" s="231"/>
      <c r="AF253" s="231"/>
      <c r="AG253" s="231"/>
      <c r="AH253" s="223"/>
      <c r="AI253" s="231"/>
      <c r="AJ253" s="231"/>
      <c r="AK253" s="231"/>
      <c r="AL253" s="231"/>
      <c r="AM253" s="433"/>
    </row>
    <row r="254" spans="18:39">
      <c r="R254" s="760">
        <f>R253-(U225/(0.6*U174))</f>
        <v>3.6326269155595692</v>
      </c>
      <c r="S254" s="522">
        <f>S253</f>
        <v>3.9271622185839954</v>
      </c>
      <c r="T254" s="433"/>
      <c r="U254" s="231"/>
      <c r="V254" s="231"/>
      <c r="W254" s="231"/>
      <c r="X254" s="239"/>
      <c r="Y254" s="231"/>
      <c r="Z254" s="231"/>
      <c r="AA254" s="239"/>
      <c r="AB254" s="239"/>
      <c r="AC254" s="231"/>
      <c r="AD254" s="231"/>
      <c r="AE254" s="231"/>
      <c r="AF254" s="231"/>
      <c r="AG254" s="231"/>
      <c r="AH254" s="223"/>
      <c r="AI254" s="231"/>
      <c r="AJ254" s="231"/>
      <c r="AK254" s="231"/>
      <c r="AL254" s="231"/>
      <c r="AM254" s="433"/>
    </row>
    <row r="255" spans="18:39">
      <c r="R255" s="760">
        <f>R252-(U225/(0.6*U174))</f>
        <v>3.9762522121586383</v>
      </c>
      <c r="S255" s="522">
        <f>S252</f>
        <v>0.98179055464599885</v>
      </c>
      <c r="T255" s="433"/>
      <c r="U255" s="231"/>
      <c r="V255" s="231"/>
      <c r="W255" s="231"/>
      <c r="X255" s="239"/>
      <c r="Y255" s="231"/>
      <c r="Z255" s="231"/>
      <c r="AA255" s="239"/>
      <c r="AB255" s="239"/>
      <c r="AC255" s="231"/>
      <c r="AD255" s="231"/>
      <c r="AE255" s="231"/>
      <c r="AF255" s="231"/>
      <c r="AG255" s="231"/>
      <c r="AH255" s="223"/>
      <c r="AI255" s="231"/>
      <c r="AJ255" s="231"/>
      <c r="AK255" s="231"/>
      <c r="AL255" s="231"/>
      <c r="AM255" s="433"/>
    </row>
    <row r="256" spans="18:39">
      <c r="R256" s="760">
        <f>R252</f>
        <v>4.6056051318035092</v>
      </c>
      <c r="S256" s="522">
        <f>S252</f>
        <v>0.98179055464599885</v>
      </c>
      <c r="T256" s="433"/>
      <c r="U256" s="231"/>
      <c r="V256" s="231"/>
      <c r="W256" s="231"/>
      <c r="X256" s="239"/>
      <c r="Y256" s="231"/>
      <c r="Z256" s="231"/>
      <c r="AA256" s="239"/>
      <c r="AB256" s="239"/>
      <c r="AC256" s="231"/>
      <c r="AD256" s="231"/>
      <c r="AE256" s="231"/>
      <c r="AF256" s="231"/>
      <c r="AG256" s="231"/>
      <c r="AH256" s="223"/>
      <c r="AI256" s="231"/>
      <c r="AJ256" s="231"/>
      <c r="AK256" s="231"/>
      <c r="AL256" s="231"/>
      <c r="AM256" s="433"/>
    </row>
    <row r="257" spans="18:39" ht="13.8" thickBot="1">
      <c r="R257" s="733"/>
      <c r="S257" s="255"/>
      <c r="T257" s="446"/>
      <c r="U257" s="231"/>
      <c r="V257" s="231"/>
      <c r="W257" s="231"/>
      <c r="X257" s="239"/>
      <c r="Y257" s="231"/>
      <c r="Z257" s="231"/>
      <c r="AA257" s="239"/>
      <c r="AB257" s="239"/>
      <c r="AC257" s="231"/>
      <c r="AD257" s="231"/>
      <c r="AE257" s="231"/>
      <c r="AF257" s="231"/>
      <c r="AG257" s="231"/>
      <c r="AH257" s="223"/>
      <c r="AI257" s="231"/>
      <c r="AJ257" s="231"/>
      <c r="AK257" s="231"/>
      <c r="AL257" s="231"/>
      <c r="AM257" s="433"/>
    </row>
    <row r="258" spans="18:39">
      <c r="R258" s="691"/>
      <c r="S258" s="231"/>
      <c r="T258" s="231"/>
      <c r="U258" s="231"/>
      <c r="V258" s="231"/>
      <c r="W258" s="231"/>
      <c r="X258" s="239"/>
      <c r="Y258" s="231"/>
      <c r="Z258" s="231"/>
      <c r="AA258" s="239"/>
      <c r="AB258" s="239"/>
      <c r="AC258" s="231"/>
      <c r="AD258" s="231"/>
      <c r="AE258" s="231"/>
      <c r="AF258" s="231"/>
      <c r="AG258" s="231"/>
      <c r="AH258" s="223"/>
      <c r="AI258" s="231"/>
      <c r="AJ258" s="231"/>
      <c r="AK258" s="231"/>
      <c r="AL258" s="231"/>
      <c r="AM258" s="433"/>
    </row>
    <row r="259" spans="18:39">
      <c r="R259" s="691"/>
      <c r="S259" s="231"/>
      <c r="T259" s="231"/>
      <c r="U259" s="231"/>
      <c r="V259" s="231"/>
      <c r="W259" s="231"/>
      <c r="X259" s="239"/>
      <c r="Y259" s="231"/>
      <c r="Z259" s="231"/>
      <c r="AA259" s="239"/>
      <c r="AB259" s="239"/>
      <c r="AC259" s="231"/>
      <c r="AD259" s="231"/>
      <c r="AE259" s="231"/>
      <c r="AF259" s="231"/>
      <c r="AG259" s="231"/>
      <c r="AH259" s="223"/>
      <c r="AI259" s="231"/>
      <c r="AJ259" s="231"/>
      <c r="AK259" s="231"/>
      <c r="AL259" s="231"/>
      <c r="AM259" s="433"/>
    </row>
    <row r="260" spans="18:39" ht="13.8" thickBot="1">
      <c r="R260" s="691"/>
      <c r="S260" s="231"/>
      <c r="T260" s="231"/>
      <c r="U260" s="231"/>
      <c r="V260" s="231"/>
      <c r="W260" s="231"/>
      <c r="X260" s="239"/>
      <c r="Y260" s="231"/>
      <c r="Z260" s="231"/>
      <c r="AA260" s="239"/>
      <c r="AB260" s="239"/>
      <c r="AC260" s="231"/>
      <c r="AD260" s="231"/>
      <c r="AE260" s="231"/>
      <c r="AF260" s="231"/>
      <c r="AG260" s="231"/>
      <c r="AH260" s="223"/>
      <c r="AI260" s="231"/>
      <c r="AJ260" s="231"/>
      <c r="AK260" s="231"/>
      <c r="AL260" s="231"/>
      <c r="AM260" s="433"/>
    </row>
    <row r="261" spans="18:39">
      <c r="R261" s="761" t="s">
        <v>2370</v>
      </c>
      <c r="S261" s="229"/>
      <c r="T261" s="229"/>
      <c r="U261" s="229"/>
      <c r="V261" s="229"/>
      <c r="W261" s="430"/>
      <c r="X261" s="239"/>
      <c r="Y261" s="231"/>
      <c r="Z261" s="231"/>
      <c r="AA261" s="239"/>
      <c r="AB261" s="239"/>
      <c r="AC261" s="231"/>
      <c r="AD261" s="231"/>
      <c r="AE261" s="231"/>
      <c r="AF261" s="231"/>
      <c r="AG261" s="231"/>
      <c r="AH261" s="223"/>
      <c r="AI261" s="231"/>
      <c r="AJ261" s="231"/>
      <c r="AK261" s="231"/>
      <c r="AL261" s="231"/>
      <c r="AM261" s="433"/>
    </row>
    <row r="262" spans="18:39">
      <c r="R262" s="235"/>
      <c r="S262" s="231"/>
      <c r="T262" s="231"/>
      <c r="U262" s="231"/>
      <c r="V262" s="231"/>
      <c r="W262" s="433"/>
      <c r="X262" s="239"/>
      <c r="Y262" s="231"/>
      <c r="Z262" s="231"/>
      <c r="AA262" s="239"/>
      <c r="AB262" s="239"/>
      <c r="AC262" s="231"/>
      <c r="AD262" s="231"/>
      <c r="AE262" s="231"/>
      <c r="AF262" s="231"/>
      <c r="AG262" s="231"/>
      <c r="AH262" s="223"/>
      <c r="AI262" s="231"/>
      <c r="AJ262" s="231"/>
      <c r="AK262" s="231"/>
      <c r="AL262" s="231"/>
      <c r="AM262" s="433"/>
    </row>
    <row r="263" spans="18:39">
      <c r="R263" s="235"/>
      <c r="S263" s="223" t="s">
        <v>2196</v>
      </c>
      <c r="T263" s="231"/>
      <c r="U263" s="231" t="s">
        <v>2371</v>
      </c>
      <c r="V263" s="231"/>
      <c r="W263" s="433"/>
      <c r="X263" s="239"/>
      <c r="Y263" s="231"/>
      <c r="Z263" s="231"/>
      <c r="AA263" s="239"/>
      <c r="AB263" s="239"/>
      <c r="AC263" s="231"/>
      <c r="AD263" s="231"/>
      <c r="AE263" s="231"/>
      <c r="AF263" s="231"/>
      <c r="AG263" s="231"/>
      <c r="AH263" s="223"/>
      <c r="AI263" s="231"/>
      <c r="AJ263" s="231"/>
      <c r="AK263" s="231"/>
      <c r="AL263" s="231"/>
      <c r="AM263" s="433"/>
    </row>
    <row r="264" spans="18:39">
      <c r="R264" s="762" t="s">
        <v>2372</v>
      </c>
      <c r="S264" s="233" t="s">
        <v>2199</v>
      </c>
      <c r="T264" s="233" t="s">
        <v>2373</v>
      </c>
      <c r="U264" s="233" t="s">
        <v>2374</v>
      </c>
      <c r="V264" s="231"/>
      <c r="W264" s="433"/>
      <c r="X264" s="239"/>
      <c r="Y264" s="231"/>
      <c r="Z264" s="231"/>
      <c r="AA264" s="239"/>
      <c r="AB264" s="239"/>
      <c r="AC264" s="231"/>
      <c r="AD264" s="231"/>
      <c r="AE264" s="231"/>
      <c r="AF264" s="231"/>
      <c r="AG264" s="231"/>
      <c r="AH264" s="223"/>
      <c r="AI264" s="231"/>
      <c r="AJ264" s="231"/>
      <c r="AK264" s="231"/>
      <c r="AL264" s="231"/>
      <c r="AM264" s="433"/>
    </row>
    <row r="265" spans="18:39">
      <c r="R265" s="235">
        <v>0</v>
      </c>
      <c r="S265" s="763">
        <v>0.03</v>
      </c>
      <c r="T265" s="763">
        <v>2E-3</v>
      </c>
      <c r="U265" s="231">
        <v>-0.16</v>
      </c>
      <c r="V265" s="231"/>
      <c r="W265" s="433"/>
      <c r="X265" s="239"/>
      <c r="Y265" s="231"/>
      <c r="Z265" s="231"/>
      <c r="AA265" s="239"/>
      <c r="AB265" s="239"/>
      <c r="AC265" s="231"/>
      <c r="AD265" s="231"/>
      <c r="AE265" s="231"/>
      <c r="AF265" s="231"/>
      <c r="AG265" s="231"/>
      <c r="AH265" s="223"/>
      <c r="AI265" s="231"/>
      <c r="AJ265" s="231"/>
      <c r="AK265" s="231"/>
      <c r="AL265" s="231"/>
      <c r="AM265" s="433"/>
    </row>
    <row r="266" spans="18:39">
      <c r="R266" s="235">
        <v>1</v>
      </c>
      <c r="S266" s="763">
        <v>0.03</v>
      </c>
      <c r="T266" s="763">
        <v>0.1</v>
      </c>
      <c r="U266" s="231">
        <v>-0.16</v>
      </c>
      <c r="V266" s="231"/>
      <c r="W266" s="433"/>
      <c r="X266" s="239"/>
      <c r="Y266" s="231"/>
      <c r="Z266" s="231"/>
      <c r="AA266" s="239"/>
      <c r="AB266" s="239"/>
      <c r="AC266" s="231"/>
      <c r="AD266" s="231"/>
      <c r="AE266" s="231"/>
      <c r="AF266" s="231"/>
      <c r="AG266" s="231"/>
      <c r="AH266" s="223"/>
      <c r="AI266" s="231"/>
      <c r="AJ266" s="231"/>
      <c r="AK266" s="231"/>
      <c r="AL266" s="231"/>
      <c r="AM266" s="433"/>
    </row>
    <row r="267" spans="18:39">
      <c r="R267" s="235">
        <v>0</v>
      </c>
      <c r="S267" s="763">
        <v>0.12</v>
      </c>
      <c r="T267" s="763">
        <v>0.1</v>
      </c>
      <c r="U267" s="231">
        <v>-1.5</v>
      </c>
      <c r="V267" s="231"/>
      <c r="W267" s="433"/>
      <c r="X267" s="239"/>
      <c r="Y267" s="231"/>
      <c r="Z267" s="231"/>
      <c r="AA267" s="239"/>
      <c r="AB267" s="239"/>
      <c r="AC267" s="231"/>
      <c r="AD267" s="231"/>
      <c r="AE267" s="231"/>
      <c r="AF267" s="231"/>
      <c r="AG267" s="231"/>
      <c r="AH267" s="223"/>
      <c r="AI267" s="231"/>
      <c r="AJ267" s="231"/>
      <c r="AK267" s="231"/>
      <c r="AL267" s="231"/>
      <c r="AM267" s="433"/>
    </row>
    <row r="268" spans="18:39">
      <c r="R268" s="235">
        <v>1</v>
      </c>
      <c r="S268" s="763">
        <v>0.12</v>
      </c>
      <c r="T268" s="763">
        <v>2E-3</v>
      </c>
      <c r="U268" s="231">
        <v>-1.5</v>
      </c>
      <c r="V268" s="231"/>
      <c r="W268" s="433"/>
      <c r="X268" s="239"/>
      <c r="Y268" s="231"/>
      <c r="Z268" s="231"/>
      <c r="AA268" s="239"/>
      <c r="AB268" s="239"/>
      <c r="AC268" s="231"/>
      <c r="AD268" s="231"/>
      <c r="AE268" s="231"/>
      <c r="AF268" s="231"/>
      <c r="AG268" s="231"/>
      <c r="AH268" s="223"/>
      <c r="AI268" s="231"/>
      <c r="AJ268" s="231"/>
      <c r="AK268" s="231"/>
      <c r="AL268" s="231"/>
      <c r="AM268" s="433"/>
    </row>
    <row r="269" spans="18:39">
      <c r="R269" s="235"/>
      <c r="S269" s="763">
        <v>0.03</v>
      </c>
      <c r="T269" s="763">
        <v>2E-3</v>
      </c>
      <c r="U269" s="231">
        <v>-0.16</v>
      </c>
      <c r="V269" s="231"/>
      <c r="W269" s="433"/>
      <c r="X269" s="239"/>
      <c r="Y269" s="231"/>
      <c r="Z269" s="231"/>
      <c r="AA269" s="239"/>
      <c r="AB269" s="239"/>
      <c r="AC269" s="231"/>
      <c r="AD269" s="231"/>
      <c r="AE269" s="231"/>
      <c r="AF269" s="231"/>
      <c r="AG269" s="231"/>
      <c r="AH269" s="223"/>
      <c r="AI269" s="231"/>
      <c r="AJ269" s="231"/>
      <c r="AK269" s="231"/>
      <c r="AL269" s="231"/>
      <c r="AM269" s="433"/>
    </row>
    <row r="270" spans="18:39" ht="13.8" thickBot="1">
      <c r="R270" s="733"/>
      <c r="S270" s="255"/>
      <c r="T270" s="255"/>
      <c r="U270" s="255"/>
      <c r="V270" s="255"/>
      <c r="W270" s="446"/>
      <c r="X270" s="239"/>
      <c r="Y270" s="231"/>
      <c r="Z270" s="231"/>
      <c r="AA270" s="239"/>
      <c r="AB270" s="239"/>
      <c r="AC270" s="231"/>
      <c r="AD270" s="231"/>
      <c r="AE270" s="231"/>
      <c r="AF270" s="231"/>
      <c r="AG270" s="231"/>
      <c r="AH270" s="223"/>
      <c r="AI270" s="231"/>
      <c r="AJ270" s="231"/>
      <c r="AK270" s="231"/>
      <c r="AL270" s="231"/>
      <c r="AM270" s="433"/>
    </row>
    <row r="271" spans="18:39">
      <c r="R271" s="691"/>
      <c r="S271" s="231"/>
      <c r="T271" s="231"/>
      <c r="U271" s="231"/>
      <c r="V271" s="231"/>
      <c r="W271" s="231"/>
      <c r="X271" s="239"/>
      <c r="Y271" s="231"/>
      <c r="Z271" s="231"/>
      <c r="AA271" s="239"/>
      <c r="AB271" s="239"/>
      <c r="AC271" s="231"/>
      <c r="AD271" s="231"/>
      <c r="AE271" s="231"/>
      <c r="AF271" s="231"/>
      <c r="AG271" s="231"/>
      <c r="AH271" s="223"/>
      <c r="AI271" s="231"/>
      <c r="AJ271" s="231"/>
      <c r="AK271" s="231"/>
      <c r="AL271" s="231"/>
      <c r="AM271" s="433"/>
    </row>
    <row r="272" spans="18:39" ht="13.8" thickBot="1">
      <c r="R272" s="691"/>
      <c r="S272" s="231"/>
      <c r="T272" s="231"/>
      <c r="U272" s="231"/>
      <c r="V272" s="231"/>
      <c r="W272" s="231"/>
      <c r="X272" s="239"/>
      <c r="Y272" s="231"/>
      <c r="Z272" s="231"/>
      <c r="AA272" s="239"/>
      <c r="AB272" s="239"/>
      <c r="AC272" s="231"/>
      <c r="AD272" s="231"/>
      <c r="AE272" s="231"/>
      <c r="AF272" s="231"/>
      <c r="AG272" s="231"/>
      <c r="AH272" s="223"/>
      <c r="AI272" s="231"/>
      <c r="AJ272" s="231"/>
      <c r="AK272" s="231"/>
      <c r="AL272" s="231"/>
      <c r="AM272" s="433"/>
    </row>
    <row r="273" spans="18:39" ht="16.2" thickBot="1">
      <c r="R273" s="764" t="s">
        <v>2375</v>
      </c>
      <c r="S273" s="274"/>
      <c r="T273" s="687"/>
      <c r="U273" s="231"/>
      <c r="V273" s="231" t="s">
        <v>2485</v>
      </c>
      <c r="W273" s="231" t="s">
        <v>2109</v>
      </c>
      <c r="X273" s="239" t="s">
        <v>2486</v>
      </c>
      <c r="Y273" s="231" t="s">
        <v>2487</v>
      </c>
      <c r="Z273" s="231"/>
      <c r="AA273" s="239"/>
      <c r="AB273" s="239"/>
      <c r="AC273" s="231"/>
      <c r="AD273" s="231"/>
      <c r="AE273" s="231"/>
      <c r="AF273" s="231"/>
      <c r="AG273" s="231"/>
      <c r="AH273" s="223"/>
      <c r="AI273" s="231"/>
      <c r="AJ273" s="231"/>
      <c r="AK273" s="231"/>
      <c r="AL273" s="231"/>
      <c r="AM273" s="433"/>
    </row>
    <row r="274" spans="18:39">
      <c r="R274" s="765"/>
      <c r="S274" s="274"/>
      <c r="T274" s="687"/>
      <c r="U274" s="231"/>
      <c r="V274" s="248">
        <f>AD10</f>
        <v>0.45</v>
      </c>
      <c r="W274" s="231">
        <f>-0.1</f>
        <v>-0.1</v>
      </c>
      <c r="X274" s="239">
        <v>0</v>
      </c>
      <c r="Y274" s="231">
        <v>-3</v>
      </c>
      <c r="Z274" s="231"/>
      <c r="AA274" s="239"/>
      <c r="AB274" s="239"/>
      <c r="AC274" s="231"/>
      <c r="AD274" s="231"/>
      <c r="AE274" s="231"/>
      <c r="AF274" s="231"/>
      <c r="AG274" s="231"/>
      <c r="AH274" s="223"/>
      <c r="AI274" s="231"/>
      <c r="AJ274" s="231"/>
      <c r="AK274" s="231"/>
      <c r="AL274" s="231"/>
      <c r="AM274" s="433"/>
    </row>
    <row r="275" spans="18:39">
      <c r="R275" s="278"/>
      <c r="S275" s="94"/>
      <c r="T275" s="651"/>
      <c r="U275" s="231"/>
      <c r="V275" s="248">
        <f>V274</f>
        <v>0.45</v>
      </c>
      <c r="W275" s="231">
        <v>0.2</v>
      </c>
      <c r="X275" s="239">
        <v>0.11</v>
      </c>
      <c r="Y275" s="231">
        <v>1</v>
      </c>
      <c r="Z275" s="231"/>
      <c r="AA275" s="239"/>
      <c r="AB275" s="239"/>
      <c r="AC275" s="231"/>
      <c r="AD275" s="231"/>
      <c r="AE275" s="231"/>
      <c r="AF275" s="231"/>
      <c r="AG275" s="231"/>
      <c r="AH275" s="223"/>
      <c r="AI275" s="231"/>
      <c r="AJ275" s="231"/>
      <c r="AK275" s="231"/>
      <c r="AL275" s="231"/>
      <c r="AM275" s="433"/>
    </row>
    <row r="276" spans="18:39">
      <c r="R276" s="275" t="str">
        <f>R49</f>
        <v xml:space="preserve">Fuel </v>
      </c>
      <c r="S276" s="94"/>
      <c r="T276" s="651"/>
      <c r="U276" s="231"/>
      <c r="V276" s="231"/>
      <c r="W276" s="231"/>
      <c r="X276" s="239"/>
      <c r="Y276" s="231"/>
      <c r="Z276" s="231"/>
      <c r="AA276" s="239"/>
      <c r="AB276" s="239"/>
      <c r="AC276" s="231"/>
      <c r="AD276" s="231"/>
      <c r="AE276" s="231"/>
      <c r="AF276" s="231"/>
      <c r="AG276" s="231"/>
      <c r="AH276" s="223"/>
      <c r="AI276" s="231"/>
      <c r="AJ276" s="231"/>
      <c r="AK276" s="231"/>
      <c r="AL276" s="231"/>
      <c r="AM276" s="433"/>
    </row>
    <row r="277" spans="18:39">
      <c r="R277" s="750" t="s">
        <v>196</v>
      </c>
      <c r="S277" s="766" t="s">
        <v>197</v>
      </c>
      <c r="T277" s="651"/>
      <c r="U277" s="231"/>
      <c r="V277" s="231"/>
      <c r="W277" s="231" t="s">
        <v>2488</v>
      </c>
      <c r="X277" s="239" t="s">
        <v>2489</v>
      </c>
      <c r="Y277" s="231"/>
      <c r="Z277" s="231"/>
      <c r="AA277" s="239"/>
      <c r="AB277" s="239"/>
      <c r="AC277" s="231"/>
      <c r="AD277" s="231"/>
      <c r="AE277" s="231"/>
      <c r="AF277" s="231"/>
      <c r="AG277" s="231"/>
      <c r="AH277" s="223"/>
      <c r="AI277" s="231"/>
      <c r="AJ277" s="231"/>
      <c r="AK277" s="231"/>
      <c r="AL277" s="231"/>
      <c r="AM277" s="433"/>
    </row>
    <row r="278" spans="18:39">
      <c r="R278" s="767">
        <f>V49</f>
        <v>0.5</v>
      </c>
      <c r="S278" s="768">
        <v>0</v>
      </c>
      <c r="T278" s="651"/>
      <c r="U278" s="231"/>
      <c r="V278" s="231">
        <v>0.2</v>
      </c>
      <c r="W278" s="231">
        <v>-1.5</v>
      </c>
      <c r="X278" s="239">
        <v>-0.16</v>
      </c>
      <c r="Y278" s="231"/>
      <c r="Z278" s="231"/>
      <c r="AA278" s="239"/>
      <c r="AB278" s="239"/>
      <c r="AC278" s="231"/>
      <c r="AD278" s="231"/>
      <c r="AE278" s="231"/>
      <c r="AF278" s="231"/>
      <c r="AG278" s="231"/>
      <c r="AH278" s="223"/>
      <c r="AI278" s="231"/>
      <c r="AJ278" s="231"/>
      <c r="AK278" s="231"/>
      <c r="AL278" s="231"/>
      <c r="AM278" s="433"/>
    </row>
    <row r="279" spans="18:39">
      <c r="R279" s="767">
        <f>V49</f>
        <v>0.5</v>
      </c>
      <c r="S279" s="768">
        <f>S49</f>
        <v>0</v>
      </c>
      <c r="T279" s="651"/>
      <c r="U279" s="231"/>
      <c r="V279" s="231">
        <v>0.8</v>
      </c>
      <c r="W279" s="231">
        <v>-1.5</v>
      </c>
      <c r="X279" s="239">
        <v>-0.16</v>
      </c>
      <c r="Y279" s="231"/>
      <c r="Z279" s="231"/>
      <c r="AA279" s="239"/>
      <c r="AB279" s="239"/>
      <c r="AC279" s="231"/>
      <c r="AD279" s="231"/>
      <c r="AE279" s="231"/>
      <c r="AF279" s="231"/>
      <c r="AG279" s="231"/>
      <c r="AH279" s="223"/>
      <c r="AI279" s="231"/>
      <c r="AJ279" s="231"/>
      <c r="AK279" s="231"/>
      <c r="AL279" s="231"/>
      <c r="AM279" s="433"/>
    </row>
    <row r="280" spans="18:39">
      <c r="R280" s="278"/>
      <c r="S280" s="94"/>
      <c r="T280" s="651"/>
      <c r="U280" s="231"/>
      <c r="V280" s="231"/>
      <c r="W280" s="231"/>
      <c r="X280" s="239"/>
      <c r="Y280" s="231"/>
      <c r="Z280" s="231"/>
      <c r="AA280" s="239"/>
      <c r="AB280" s="239"/>
      <c r="AC280" s="231"/>
      <c r="AD280" s="231"/>
      <c r="AE280" s="231"/>
      <c r="AF280" s="231"/>
      <c r="AG280" s="231"/>
      <c r="AH280" s="223"/>
      <c r="AI280" s="231"/>
      <c r="AJ280" s="231"/>
      <c r="AK280" s="231"/>
      <c r="AL280" s="231"/>
      <c r="AM280" s="433"/>
    </row>
    <row r="281" spans="18:39">
      <c r="R281" s="287" t="str">
        <f>R50</f>
        <v>Payload</v>
      </c>
      <c r="S281" s="94"/>
      <c r="T281" s="651"/>
      <c r="U281" s="231"/>
      <c r="V281" s="231"/>
      <c r="W281" s="231"/>
      <c r="X281" s="239"/>
      <c r="Y281" s="231"/>
      <c r="Z281" s="231"/>
      <c r="AA281" s="239"/>
      <c r="AB281" s="239"/>
      <c r="AC281" s="231"/>
      <c r="AD281" s="231"/>
      <c r="AE281" s="231"/>
      <c r="AF281" s="231"/>
      <c r="AG281" s="231"/>
      <c r="AH281" s="223"/>
      <c r="AI281" s="231"/>
      <c r="AJ281" s="231"/>
      <c r="AK281" s="231"/>
      <c r="AL281" s="231"/>
      <c r="AM281" s="433"/>
    </row>
    <row r="282" spans="18:39">
      <c r="R282" s="756" t="s">
        <v>196</v>
      </c>
      <c r="S282" s="766" t="s">
        <v>197</v>
      </c>
      <c r="T282" s="651"/>
      <c r="U282" s="231"/>
      <c r="V282" s="231"/>
      <c r="W282" s="231"/>
      <c r="X282" s="239"/>
      <c r="Y282" s="231"/>
      <c r="Z282" s="231"/>
      <c r="AA282" s="239"/>
      <c r="AB282" s="239"/>
      <c r="AC282" s="231"/>
      <c r="AD282" s="231"/>
      <c r="AE282" s="231"/>
      <c r="AF282" s="231"/>
      <c r="AG282" s="231"/>
      <c r="AH282" s="223"/>
      <c r="AI282" s="231"/>
      <c r="AJ282" s="231"/>
      <c r="AK282" s="231"/>
      <c r="AL282" s="231"/>
      <c r="AM282" s="433"/>
    </row>
    <row r="283" spans="18:39">
      <c r="R283" s="769">
        <f>V50</f>
        <v>0.47500000000000003</v>
      </c>
      <c r="S283" s="770">
        <v>0</v>
      </c>
      <c r="T283" s="651"/>
      <c r="U283" s="231"/>
      <c r="V283" s="231"/>
      <c r="W283" s="231"/>
      <c r="X283" s="239"/>
      <c r="Y283" s="231"/>
      <c r="Z283" s="231"/>
      <c r="AA283" s="239"/>
      <c r="AB283" s="239"/>
      <c r="AC283" s="231"/>
      <c r="AD283" s="231"/>
      <c r="AE283" s="231"/>
      <c r="AF283" s="231"/>
      <c r="AG283" s="231"/>
      <c r="AH283" s="223"/>
      <c r="AI283" s="231"/>
      <c r="AJ283" s="231"/>
      <c r="AK283" s="231"/>
      <c r="AL283" s="231"/>
      <c r="AM283" s="433"/>
    </row>
    <row r="284" spans="18:39">
      <c r="R284" s="771">
        <f>V50</f>
        <v>0.47500000000000003</v>
      </c>
      <c r="S284" s="770">
        <f>S50</f>
        <v>0</v>
      </c>
      <c r="T284" s="651"/>
      <c r="U284" s="231"/>
      <c r="V284" s="231"/>
      <c r="W284" s="231"/>
      <c r="X284" s="239"/>
      <c r="Y284" s="231"/>
      <c r="Z284" s="231"/>
      <c r="AA284" s="239"/>
      <c r="AB284" s="239"/>
      <c r="AC284" s="231"/>
      <c r="AD284" s="231"/>
      <c r="AE284" s="231"/>
      <c r="AF284" s="231"/>
      <c r="AG284" s="231"/>
      <c r="AH284" s="223"/>
      <c r="AI284" s="231"/>
      <c r="AJ284" s="231"/>
      <c r="AK284" s="231"/>
      <c r="AL284" s="231"/>
      <c r="AM284" s="433"/>
    </row>
    <row r="285" spans="18:39">
      <c r="R285" s="278"/>
      <c r="S285" s="94"/>
      <c r="T285" s="651"/>
      <c r="U285" s="231"/>
      <c r="V285" s="231"/>
      <c r="W285" s="231"/>
      <c r="X285" s="239"/>
      <c r="Y285" s="231"/>
      <c r="Z285" s="231"/>
      <c r="AA285" s="239"/>
      <c r="AB285" s="239"/>
      <c r="AC285" s="231"/>
      <c r="AD285" s="231"/>
      <c r="AE285" s="231"/>
      <c r="AF285" s="231"/>
      <c r="AG285" s="231"/>
      <c r="AH285" s="223"/>
      <c r="AI285" s="231"/>
      <c r="AJ285" s="231"/>
      <c r="AK285" s="231"/>
      <c r="AL285" s="231"/>
      <c r="AM285" s="433"/>
    </row>
    <row r="286" spans="18:39">
      <c r="R286" s="287" t="str">
        <f>R51</f>
        <v>Fuselage Structure</v>
      </c>
      <c r="S286" s="94"/>
      <c r="T286" s="651"/>
      <c r="U286" s="231"/>
      <c r="V286" s="231"/>
      <c r="W286" s="231"/>
      <c r="X286" s="239"/>
      <c r="Y286" s="231"/>
      <c r="Z286" s="231"/>
      <c r="AA286" s="239"/>
      <c r="AB286" s="239"/>
      <c r="AC286" s="231"/>
      <c r="AD286" s="231"/>
      <c r="AE286" s="231"/>
      <c r="AF286" s="231"/>
      <c r="AG286" s="231"/>
      <c r="AH286" s="223"/>
      <c r="AI286" s="231"/>
      <c r="AJ286" s="231"/>
      <c r="AK286" s="231"/>
      <c r="AL286" s="231"/>
      <c r="AM286" s="433"/>
    </row>
    <row r="287" spans="18:39">
      <c r="R287" s="756" t="s">
        <v>196</v>
      </c>
      <c r="S287" s="766" t="s">
        <v>197</v>
      </c>
      <c r="T287" s="651"/>
      <c r="U287" s="231"/>
      <c r="V287" s="231"/>
      <c r="W287" s="231"/>
      <c r="X287" s="239"/>
      <c r="Y287" s="231"/>
      <c r="Z287" s="231"/>
      <c r="AA287" s="239"/>
      <c r="AB287" s="239"/>
      <c r="AC287" s="231"/>
      <c r="AD287" s="231"/>
      <c r="AE287" s="231"/>
      <c r="AF287" s="231"/>
      <c r="AG287" s="231"/>
      <c r="AH287" s="223"/>
      <c r="AI287" s="231"/>
      <c r="AJ287" s="231"/>
      <c r="AK287" s="231"/>
      <c r="AL287" s="231"/>
      <c r="AM287" s="433"/>
    </row>
    <row r="288" spans="18:39">
      <c r="R288" s="769">
        <f>V51</f>
        <v>0.5</v>
      </c>
      <c r="S288" s="770">
        <v>0</v>
      </c>
      <c r="T288" s="651"/>
      <c r="U288" s="231"/>
      <c r="V288" s="231"/>
      <c r="W288" s="231"/>
      <c r="X288" s="239"/>
      <c r="Y288" s="231"/>
      <c r="Z288" s="231"/>
      <c r="AA288" s="239"/>
      <c r="AB288" s="239"/>
      <c r="AC288" s="231"/>
      <c r="AD288" s="231"/>
      <c r="AE288" s="231"/>
      <c r="AF288" s="231"/>
      <c r="AG288" s="231"/>
      <c r="AH288" s="223"/>
      <c r="AI288" s="231"/>
      <c r="AJ288" s="231"/>
      <c r="AK288" s="231"/>
      <c r="AL288" s="231"/>
      <c r="AM288" s="433"/>
    </row>
    <row r="289" spans="18:39">
      <c r="R289" s="771">
        <f>V51</f>
        <v>0.5</v>
      </c>
      <c r="S289" s="770">
        <f>S51</f>
        <v>-99.187856136005479</v>
      </c>
      <c r="T289" s="651"/>
      <c r="U289" s="231"/>
      <c r="V289" s="231"/>
      <c r="W289" s="231"/>
      <c r="X289" s="239"/>
      <c r="Y289" s="231"/>
      <c r="Z289" s="231"/>
      <c r="AA289" s="239"/>
      <c r="AB289" s="239"/>
      <c r="AC289" s="231"/>
      <c r="AD289" s="231"/>
      <c r="AE289" s="231"/>
      <c r="AF289" s="231"/>
      <c r="AG289" s="231"/>
      <c r="AH289" s="223"/>
      <c r="AI289" s="231"/>
      <c r="AJ289" s="231"/>
      <c r="AK289" s="231"/>
      <c r="AL289" s="231"/>
      <c r="AM289" s="433"/>
    </row>
    <row r="290" spans="18:39">
      <c r="R290" s="278"/>
      <c r="S290" s="94"/>
      <c r="T290" s="651"/>
      <c r="U290" s="231"/>
      <c r="V290" s="231"/>
      <c r="W290" s="231"/>
      <c r="X290" s="239"/>
      <c r="Y290" s="231"/>
      <c r="Z290" s="231"/>
      <c r="AA290" s="239"/>
      <c r="AB290" s="239"/>
      <c r="AC290" s="231"/>
      <c r="AD290" s="231"/>
      <c r="AE290" s="231"/>
      <c r="AF290" s="231"/>
      <c r="AG290" s="231"/>
      <c r="AH290" s="223"/>
      <c r="AI290" s="231"/>
      <c r="AJ290" s="231"/>
      <c r="AK290" s="231"/>
      <c r="AL290" s="231"/>
      <c r="AM290" s="433"/>
    </row>
    <row r="291" spans="18:39">
      <c r="R291" s="772" t="str">
        <f>R52</f>
        <v>Engine Structure</v>
      </c>
      <c r="S291" s="94"/>
      <c r="T291" s="651"/>
      <c r="U291" s="231"/>
      <c r="V291" s="231"/>
      <c r="W291" s="231"/>
      <c r="X291" s="239"/>
      <c r="Y291" s="231"/>
      <c r="Z291" s="231"/>
      <c r="AA291" s="239"/>
      <c r="AB291" s="239"/>
      <c r="AC291" s="231"/>
      <c r="AD291" s="231"/>
      <c r="AE291" s="231"/>
      <c r="AF291" s="231"/>
      <c r="AG291" s="231"/>
      <c r="AH291" s="223"/>
      <c r="AI291" s="231"/>
      <c r="AJ291" s="231"/>
      <c r="AK291" s="231"/>
      <c r="AL291" s="231"/>
      <c r="AM291" s="433"/>
    </row>
    <row r="292" spans="18:39">
      <c r="R292" s="756" t="s">
        <v>196</v>
      </c>
      <c r="S292" s="766" t="s">
        <v>197</v>
      </c>
      <c r="T292" s="651"/>
      <c r="U292" s="231"/>
      <c r="V292" s="231"/>
      <c r="W292" s="231"/>
      <c r="X292" s="239"/>
      <c r="Y292" s="231"/>
      <c r="Z292" s="231"/>
      <c r="AA292" s="239"/>
      <c r="AB292" s="239"/>
      <c r="AC292" s="231"/>
      <c r="AD292" s="231"/>
      <c r="AE292" s="231"/>
      <c r="AF292" s="231"/>
      <c r="AG292" s="231"/>
      <c r="AH292" s="223"/>
      <c r="AI292" s="231"/>
      <c r="AJ292" s="231"/>
      <c r="AK292" s="231"/>
      <c r="AL292" s="231"/>
      <c r="AM292" s="433"/>
    </row>
    <row r="293" spans="18:39">
      <c r="R293" s="769">
        <f>V52</f>
        <v>7.5000000000000011E-2</v>
      </c>
      <c r="S293" s="770">
        <v>0</v>
      </c>
      <c r="T293" s="651"/>
      <c r="U293" s="231"/>
      <c r="V293" s="231"/>
      <c r="W293" s="231"/>
      <c r="X293" s="239"/>
      <c r="Y293" s="231"/>
      <c r="Z293" s="231"/>
      <c r="AA293" s="239"/>
      <c r="AB293" s="239"/>
      <c r="AC293" s="231"/>
      <c r="AD293" s="231"/>
      <c r="AE293" s="231"/>
      <c r="AF293" s="231"/>
      <c r="AG293" s="231"/>
      <c r="AH293" s="223"/>
      <c r="AI293" s="231"/>
      <c r="AJ293" s="231"/>
      <c r="AK293" s="231"/>
      <c r="AL293" s="231"/>
      <c r="AM293" s="433"/>
    </row>
    <row r="294" spans="18:39">
      <c r="R294" s="771">
        <f>V52</f>
        <v>7.5000000000000011E-2</v>
      </c>
      <c r="S294" s="770">
        <f>S52</f>
        <v>-420.46731532835759</v>
      </c>
      <c r="T294" s="651"/>
      <c r="U294" s="231"/>
      <c r="V294" s="231"/>
      <c r="W294" s="231"/>
      <c r="X294" s="239"/>
      <c r="Y294" s="231"/>
      <c r="Z294" s="231"/>
      <c r="AA294" s="239"/>
      <c r="AB294" s="239"/>
      <c r="AC294" s="231"/>
      <c r="AD294" s="231"/>
      <c r="AE294" s="231"/>
      <c r="AF294" s="231"/>
      <c r="AG294" s="231"/>
      <c r="AH294" s="223"/>
      <c r="AI294" s="231"/>
      <c r="AJ294" s="231"/>
      <c r="AK294" s="231"/>
      <c r="AL294" s="231"/>
      <c r="AM294" s="433"/>
    </row>
    <row r="295" spans="18:39">
      <c r="R295" s="278"/>
      <c r="S295" s="94"/>
      <c r="T295" s="651"/>
      <c r="U295" s="231"/>
      <c r="V295" s="231"/>
      <c r="W295" s="231"/>
      <c r="X295" s="239"/>
      <c r="Y295" s="231"/>
      <c r="Z295" s="231"/>
      <c r="AA295" s="239"/>
      <c r="AB295" s="239"/>
      <c r="AC295" s="231"/>
      <c r="AD295" s="231"/>
      <c r="AE295" s="231"/>
      <c r="AF295" s="231"/>
      <c r="AG295" s="231"/>
      <c r="AH295" s="223"/>
      <c r="AI295" s="231"/>
      <c r="AJ295" s="231"/>
      <c r="AK295" s="231"/>
      <c r="AL295" s="231"/>
      <c r="AM295" s="433"/>
    </row>
    <row r="296" spans="18:39">
      <c r="R296" s="772" t="str">
        <f>R53</f>
        <v>Wing Structure</v>
      </c>
      <c r="S296" s="94"/>
      <c r="T296" s="651"/>
      <c r="U296" s="231"/>
      <c r="V296" s="231"/>
      <c r="W296" s="231"/>
      <c r="X296" s="239"/>
      <c r="Y296" s="231"/>
      <c r="Z296" s="231"/>
      <c r="AA296" s="239"/>
      <c r="AB296" s="239"/>
      <c r="AC296" s="231"/>
      <c r="AD296" s="231"/>
      <c r="AE296" s="231"/>
      <c r="AF296" s="231"/>
      <c r="AG296" s="231"/>
      <c r="AH296" s="223"/>
      <c r="AI296" s="231"/>
      <c r="AJ296" s="231"/>
      <c r="AK296" s="231"/>
      <c r="AL296" s="231"/>
      <c r="AM296" s="433"/>
    </row>
    <row r="297" spans="18:39">
      <c r="R297" s="756" t="s">
        <v>196</v>
      </c>
      <c r="S297" s="766" t="s">
        <v>197</v>
      </c>
      <c r="T297" s="651"/>
      <c r="U297" s="231"/>
      <c r="V297" s="231"/>
      <c r="W297" s="231"/>
      <c r="X297" s="239"/>
      <c r="Y297" s="231"/>
      <c r="Z297" s="231"/>
      <c r="AA297" s="239"/>
      <c r="AB297" s="239"/>
      <c r="AC297" s="231"/>
      <c r="AD297" s="231"/>
      <c r="AE297" s="231"/>
      <c r="AF297" s="231"/>
      <c r="AG297" s="231"/>
      <c r="AH297" s="223"/>
      <c r="AI297" s="231"/>
      <c r="AJ297" s="231"/>
      <c r="AK297" s="231"/>
      <c r="AL297" s="231"/>
      <c r="AM297" s="433"/>
    </row>
    <row r="298" spans="18:39">
      <c r="R298" s="769">
        <f>V53</f>
        <v>0.50190462553416604</v>
      </c>
      <c r="S298" s="770">
        <v>0</v>
      </c>
      <c r="T298" s="651"/>
      <c r="U298" s="231"/>
      <c r="V298" s="231"/>
      <c r="W298" s="231"/>
      <c r="X298" s="239"/>
      <c r="Y298" s="231"/>
      <c r="Z298" s="231"/>
      <c r="AA298" s="239"/>
      <c r="AB298" s="239"/>
      <c r="AC298" s="231"/>
      <c r="AD298" s="231"/>
      <c r="AE298" s="231"/>
      <c r="AF298" s="231"/>
      <c r="AG298" s="231"/>
      <c r="AH298" s="223"/>
      <c r="AI298" s="231"/>
      <c r="AJ298" s="231"/>
      <c r="AK298" s="231"/>
      <c r="AL298" s="231"/>
      <c r="AM298" s="433"/>
    </row>
    <row r="299" spans="18:39">
      <c r="R299" s="771">
        <f>V53</f>
        <v>0.50190462553416604</v>
      </c>
      <c r="S299" s="770">
        <f>S53</f>
        <v>-127.53072711420064</v>
      </c>
      <c r="T299" s="651"/>
      <c r="U299" s="231"/>
      <c r="V299" s="231"/>
      <c r="W299" s="231"/>
      <c r="X299" s="239"/>
      <c r="Y299" s="231"/>
      <c r="Z299" s="231"/>
      <c r="AA299" s="239"/>
      <c r="AB299" s="239"/>
      <c r="AC299" s="231"/>
      <c r="AD299" s="231"/>
      <c r="AE299" s="231"/>
      <c r="AF299" s="231"/>
      <c r="AG299" s="231"/>
      <c r="AH299" s="223"/>
      <c r="AI299" s="231"/>
      <c r="AJ299" s="231"/>
      <c r="AK299" s="231"/>
      <c r="AL299" s="231"/>
      <c r="AM299" s="433"/>
    </row>
    <row r="300" spans="18:39">
      <c r="R300" s="278"/>
      <c r="S300" s="94"/>
      <c r="T300" s="651"/>
      <c r="U300" s="231"/>
      <c r="V300" s="231"/>
      <c r="W300" s="231"/>
      <c r="X300" s="239"/>
      <c r="Y300" s="231"/>
      <c r="Z300" s="231"/>
      <c r="AA300" s="239"/>
      <c r="AB300" s="239"/>
      <c r="AC300" s="231"/>
      <c r="AD300" s="231"/>
      <c r="AE300" s="231"/>
      <c r="AF300" s="231"/>
      <c r="AG300" s="231"/>
      <c r="AH300" s="223"/>
      <c r="AI300" s="231"/>
      <c r="AJ300" s="231"/>
      <c r="AK300" s="231"/>
      <c r="AL300" s="231"/>
      <c r="AM300" s="433"/>
    </row>
    <row r="301" spans="18:39">
      <c r="R301" s="772" t="str">
        <f>R54</f>
        <v>Horizontal Tail Structure</v>
      </c>
      <c r="S301" s="94"/>
      <c r="T301" s="651"/>
      <c r="U301" s="231"/>
      <c r="V301" s="231"/>
      <c r="W301" s="231"/>
      <c r="X301" s="239"/>
      <c r="Y301" s="231"/>
      <c r="Z301" s="231"/>
      <c r="AA301" s="239"/>
      <c r="AB301" s="239"/>
      <c r="AC301" s="231"/>
      <c r="AD301" s="231"/>
      <c r="AE301" s="231"/>
      <c r="AF301" s="231"/>
      <c r="AG301" s="231"/>
      <c r="AH301" s="223"/>
      <c r="AI301" s="231"/>
      <c r="AJ301" s="231"/>
      <c r="AK301" s="231"/>
      <c r="AL301" s="231"/>
      <c r="AM301" s="433"/>
    </row>
    <row r="302" spans="18:39">
      <c r="R302" s="756" t="s">
        <v>196</v>
      </c>
      <c r="S302" s="766" t="s">
        <v>197</v>
      </c>
      <c r="T302" s="651"/>
      <c r="U302" s="231"/>
      <c r="V302" s="231"/>
      <c r="W302" s="231"/>
      <c r="X302" s="239"/>
      <c r="Y302" s="231"/>
      <c r="Z302" s="231"/>
      <c r="AA302" s="239"/>
      <c r="AB302" s="239"/>
      <c r="AC302" s="231"/>
      <c r="AD302" s="231"/>
      <c r="AE302" s="231"/>
      <c r="AF302" s="231"/>
      <c r="AG302" s="231"/>
      <c r="AH302" s="223"/>
      <c r="AI302" s="231"/>
      <c r="AJ302" s="231"/>
      <c r="AK302" s="231"/>
      <c r="AL302" s="231"/>
      <c r="AM302" s="433"/>
    </row>
    <row r="303" spans="18:39">
      <c r="R303" s="769">
        <f>V54</f>
        <v>1.0953433941719548</v>
      </c>
      <c r="S303" s="770">
        <v>0</v>
      </c>
      <c r="T303" s="651"/>
      <c r="U303" s="231"/>
      <c r="V303" s="231"/>
      <c r="W303" s="231"/>
      <c r="X303" s="239"/>
      <c r="Y303" s="231"/>
      <c r="Z303" s="231"/>
      <c r="AA303" s="239"/>
      <c r="AB303" s="239"/>
      <c r="AC303" s="231"/>
      <c r="AD303" s="231"/>
      <c r="AE303" s="231"/>
      <c r="AF303" s="231"/>
      <c r="AG303" s="231"/>
      <c r="AH303" s="223"/>
      <c r="AI303" s="231"/>
      <c r="AJ303" s="231"/>
      <c r="AK303" s="231"/>
      <c r="AL303" s="231"/>
      <c r="AM303" s="433"/>
    </row>
    <row r="304" spans="18:39">
      <c r="R304" s="771">
        <f>V54</f>
        <v>1.0953433941719548</v>
      </c>
      <c r="S304" s="770">
        <f>S54</f>
        <v>-16.713960148368926</v>
      </c>
      <c r="T304" s="651"/>
      <c r="U304" s="231"/>
      <c r="V304" s="231"/>
      <c r="W304" s="231"/>
      <c r="X304" s="239"/>
      <c r="Y304" s="231"/>
      <c r="Z304" s="231"/>
      <c r="AA304" s="239"/>
      <c r="AB304" s="239"/>
      <c r="AC304" s="231"/>
      <c r="AD304" s="231"/>
      <c r="AE304" s="231"/>
      <c r="AF304" s="231"/>
      <c r="AG304" s="231"/>
      <c r="AH304" s="223"/>
      <c r="AI304" s="231"/>
      <c r="AJ304" s="231"/>
      <c r="AK304" s="231"/>
      <c r="AL304" s="231"/>
      <c r="AM304" s="433"/>
    </row>
    <row r="305" spans="18:39">
      <c r="R305" s="278"/>
      <c r="S305" s="94"/>
      <c r="T305" s="651"/>
      <c r="U305" s="231"/>
      <c r="V305" s="231"/>
      <c r="W305" s="231"/>
      <c r="X305" s="239"/>
      <c r="Y305" s="231"/>
      <c r="Z305" s="231"/>
      <c r="AA305" s="239"/>
      <c r="AB305" s="239"/>
      <c r="AC305" s="231"/>
      <c r="AD305" s="231"/>
      <c r="AE305" s="231"/>
      <c r="AF305" s="231"/>
      <c r="AG305" s="231"/>
      <c r="AH305" s="223"/>
      <c r="AI305" s="231"/>
      <c r="AJ305" s="231"/>
      <c r="AK305" s="231"/>
      <c r="AL305" s="231"/>
      <c r="AM305" s="433"/>
    </row>
    <row r="306" spans="18:39">
      <c r="R306" s="772" t="str">
        <f>R55</f>
        <v>Vertical Tail Structure</v>
      </c>
      <c r="S306" s="94"/>
      <c r="T306" s="651"/>
      <c r="U306" s="231"/>
      <c r="V306" s="231"/>
      <c r="W306" s="231"/>
      <c r="X306" s="239"/>
      <c r="Y306" s="231"/>
      <c r="Z306" s="231"/>
      <c r="AA306" s="239"/>
      <c r="AB306" s="239"/>
      <c r="AC306" s="231"/>
      <c r="AD306" s="231"/>
      <c r="AE306" s="231"/>
      <c r="AF306" s="231"/>
      <c r="AG306" s="231"/>
      <c r="AH306" s="223"/>
      <c r="AI306" s="231"/>
      <c r="AJ306" s="231"/>
      <c r="AK306" s="231"/>
      <c r="AL306" s="231"/>
      <c r="AM306" s="433"/>
    </row>
    <row r="307" spans="18:39">
      <c r="R307" s="756" t="s">
        <v>196</v>
      </c>
      <c r="S307" s="766" t="s">
        <v>197</v>
      </c>
      <c r="T307" s="651"/>
      <c r="U307" s="231"/>
      <c r="V307" s="231"/>
      <c r="W307" s="231"/>
      <c r="X307" s="239"/>
      <c r="Y307" s="231"/>
      <c r="Z307" s="231"/>
      <c r="AA307" s="239"/>
      <c r="AB307" s="239"/>
      <c r="AC307" s="231"/>
      <c r="AD307" s="231"/>
      <c r="AE307" s="231"/>
      <c r="AF307" s="231"/>
      <c r="AG307" s="231"/>
      <c r="AH307" s="223"/>
      <c r="AI307" s="231"/>
      <c r="AJ307" s="231"/>
      <c r="AK307" s="231"/>
      <c r="AL307" s="231"/>
      <c r="AM307" s="433"/>
    </row>
    <row r="308" spans="18:39">
      <c r="R308" s="769">
        <f>V55</f>
        <v>1.0875625122822976</v>
      </c>
      <c r="S308" s="770">
        <v>0</v>
      </c>
      <c r="T308" s="651"/>
      <c r="U308" s="231"/>
      <c r="V308" s="231"/>
      <c r="W308" s="231"/>
      <c r="X308" s="239"/>
      <c r="Y308" s="231"/>
      <c r="Z308" s="231"/>
      <c r="AA308" s="239"/>
      <c r="AB308" s="239"/>
      <c r="AC308" s="231"/>
      <c r="AD308" s="231"/>
      <c r="AE308" s="231"/>
      <c r="AF308" s="231"/>
      <c r="AG308" s="231"/>
      <c r="AH308" s="223"/>
      <c r="AI308" s="231"/>
      <c r="AJ308" s="231"/>
      <c r="AK308" s="231"/>
      <c r="AL308" s="231"/>
      <c r="AM308" s="433"/>
    </row>
    <row r="309" spans="18:39">
      <c r="R309" s="771">
        <f>V55</f>
        <v>1.0875625122822976</v>
      </c>
      <c r="S309" s="770">
        <f>S55</f>
        <v>-10.456106648627296</v>
      </c>
      <c r="T309" s="651"/>
      <c r="U309" s="231"/>
      <c r="V309" s="231"/>
      <c r="W309" s="231"/>
      <c r="X309" s="239"/>
      <c r="Y309" s="231"/>
      <c r="Z309" s="231"/>
      <c r="AA309" s="239"/>
      <c r="AB309" s="239"/>
      <c r="AC309" s="231"/>
      <c r="AD309" s="231"/>
      <c r="AE309" s="231"/>
      <c r="AF309" s="231"/>
      <c r="AG309" s="231"/>
      <c r="AH309" s="223"/>
      <c r="AI309" s="231"/>
      <c r="AJ309" s="231"/>
      <c r="AK309" s="231"/>
      <c r="AL309" s="231"/>
      <c r="AM309" s="433"/>
    </row>
    <row r="310" spans="18:39">
      <c r="R310" s="278"/>
      <c r="S310" s="94"/>
      <c r="T310" s="651"/>
      <c r="U310" s="231"/>
      <c r="V310" s="231"/>
      <c r="W310" s="231"/>
      <c r="X310" s="239"/>
      <c r="Y310" s="231"/>
      <c r="Z310" s="231"/>
      <c r="AA310" s="239"/>
      <c r="AB310" s="239"/>
      <c r="AC310" s="231"/>
      <c r="AD310" s="231"/>
      <c r="AE310" s="231"/>
      <c r="AF310" s="231"/>
      <c r="AG310" s="231"/>
      <c r="AH310" s="223"/>
      <c r="AI310" s="231"/>
      <c r="AJ310" s="231"/>
      <c r="AK310" s="231"/>
      <c r="AL310" s="231"/>
      <c r="AM310" s="433"/>
    </row>
    <row r="311" spans="18:39">
      <c r="R311" s="772" t="str">
        <f>R56</f>
        <v>Other</v>
      </c>
      <c r="S311" s="94"/>
      <c r="T311" s="651"/>
      <c r="U311" s="231"/>
      <c r="V311" s="231"/>
      <c r="W311" s="231"/>
      <c r="X311" s="239"/>
      <c r="Y311" s="231"/>
      <c r="Z311" s="231"/>
      <c r="AA311" s="239"/>
      <c r="AB311" s="239"/>
      <c r="AC311" s="231"/>
      <c r="AD311" s="231"/>
      <c r="AE311" s="231"/>
      <c r="AF311" s="231"/>
      <c r="AG311" s="231"/>
      <c r="AH311" s="223"/>
      <c r="AI311" s="231"/>
      <c r="AJ311" s="231"/>
      <c r="AK311" s="231"/>
      <c r="AL311" s="231"/>
      <c r="AM311" s="433"/>
    </row>
    <row r="312" spans="18:39">
      <c r="R312" s="756" t="s">
        <v>196</v>
      </c>
      <c r="S312" s="766" t="s">
        <v>197</v>
      </c>
      <c r="T312" s="651"/>
      <c r="U312" s="231"/>
      <c r="V312" s="231"/>
      <c r="W312" s="231"/>
      <c r="X312" s="239"/>
      <c r="Y312" s="231"/>
      <c r="Z312" s="231"/>
      <c r="AA312" s="239"/>
      <c r="AB312" s="239"/>
      <c r="AC312" s="231"/>
      <c r="AD312" s="231"/>
      <c r="AE312" s="231"/>
      <c r="AF312" s="231"/>
      <c r="AG312" s="231"/>
      <c r="AH312" s="223"/>
      <c r="AI312" s="231"/>
      <c r="AJ312" s="231"/>
      <c r="AK312" s="231"/>
      <c r="AL312" s="231"/>
      <c r="AM312" s="433"/>
    </row>
    <row r="313" spans="18:39">
      <c r="R313" s="769">
        <f>V56</f>
        <v>0.5</v>
      </c>
      <c r="S313" s="770">
        <v>0</v>
      </c>
      <c r="T313" s="651"/>
      <c r="U313" s="231"/>
      <c r="V313" s="231"/>
      <c r="W313" s="231"/>
      <c r="X313" s="239"/>
      <c r="Y313" s="231"/>
      <c r="Z313" s="231"/>
      <c r="AA313" s="239"/>
      <c r="AB313" s="239"/>
      <c r="AC313" s="231"/>
      <c r="AD313" s="231"/>
      <c r="AE313" s="231"/>
      <c r="AF313" s="231"/>
      <c r="AG313" s="231"/>
      <c r="AH313" s="223"/>
      <c r="AI313" s="231"/>
      <c r="AJ313" s="231"/>
      <c r="AK313" s="231"/>
      <c r="AL313" s="231"/>
      <c r="AM313" s="433"/>
    </row>
    <row r="314" spans="18:39">
      <c r="R314" s="771">
        <f>V56</f>
        <v>0.5</v>
      </c>
      <c r="S314" s="770">
        <f>S56</f>
        <v>-151.9110094124822</v>
      </c>
      <c r="T314" s="651"/>
      <c r="U314" s="231"/>
      <c r="V314" s="231"/>
      <c r="W314" s="231"/>
      <c r="X314" s="239"/>
      <c r="Y314" s="231"/>
      <c r="Z314" s="231"/>
      <c r="AA314" s="239"/>
      <c r="AB314" s="239"/>
      <c r="AC314" s="231"/>
      <c r="AD314" s="231"/>
      <c r="AE314" s="231"/>
      <c r="AF314" s="231"/>
      <c r="AG314" s="231"/>
      <c r="AH314" s="223"/>
      <c r="AI314" s="231"/>
      <c r="AJ314" s="231"/>
      <c r="AK314" s="231"/>
      <c r="AL314" s="231"/>
      <c r="AM314" s="433"/>
    </row>
    <row r="315" spans="18:39">
      <c r="R315" s="278"/>
      <c r="S315" s="94"/>
      <c r="T315" s="651"/>
      <c r="U315" s="231"/>
      <c r="V315" s="231"/>
      <c r="W315" s="231"/>
      <c r="X315" s="239"/>
      <c r="Y315" s="231"/>
      <c r="Z315" s="231"/>
      <c r="AA315" s="239"/>
      <c r="AB315" s="239"/>
      <c r="AC315" s="231"/>
      <c r="AD315" s="231"/>
      <c r="AE315" s="231"/>
      <c r="AF315" s="231"/>
      <c r="AG315" s="231"/>
      <c r="AH315" s="223"/>
      <c r="AI315" s="231"/>
      <c r="AJ315" s="231"/>
      <c r="AK315" s="231"/>
      <c r="AL315" s="231"/>
      <c r="AM315" s="433"/>
    </row>
    <row r="316" spans="18:39">
      <c r="R316" s="772" t="str">
        <f>R59</f>
        <v>Wing Lift</v>
      </c>
      <c r="S316" s="94"/>
      <c r="T316" s="651"/>
      <c r="U316" s="231"/>
      <c r="V316" s="231"/>
      <c r="W316" s="231"/>
      <c r="X316" s="239"/>
      <c r="Y316" s="231"/>
      <c r="Z316" s="231"/>
      <c r="AA316" s="239"/>
      <c r="AB316" s="239"/>
      <c r="AC316" s="231"/>
      <c r="AD316" s="231"/>
      <c r="AE316" s="231"/>
      <c r="AF316" s="231"/>
      <c r="AG316" s="231"/>
      <c r="AH316" s="223"/>
      <c r="AI316" s="231"/>
      <c r="AJ316" s="231"/>
      <c r="AK316" s="231"/>
      <c r="AL316" s="231"/>
      <c r="AM316" s="433"/>
    </row>
    <row r="317" spans="18:39">
      <c r="R317" s="756" t="s">
        <v>196</v>
      </c>
      <c r="S317" s="766" t="s">
        <v>197</v>
      </c>
      <c r="T317" s="651"/>
      <c r="U317" s="231"/>
      <c r="V317" s="231"/>
      <c r="W317" s="231"/>
      <c r="X317" s="239"/>
      <c r="Y317" s="231"/>
      <c r="Z317" s="231"/>
      <c r="AA317" s="239"/>
      <c r="AB317" s="239"/>
      <c r="AC317" s="231"/>
      <c r="AD317" s="231"/>
      <c r="AE317" s="231"/>
      <c r="AF317" s="231"/>
      <c r="AG317" s="231"/>
      <c r="AH317" s="223"/>
      <c r="AI317" s="231"/>
      <c r="AJ317" s="231"/>
      <c r="AK317" s="231"/>
      <c r="AL317" s="231"/>
      <c r="AM317" s="433"/>
    </row>
    <row r="318" spans="18:39">
      <c r="R318" s="769">
        <f>V59</f>
        <v>0.40730914440364852</v>
      </c>
      <c r="S318" s="770">
        <v>0</v>
      </c>
      <c r="T318" s="651"/>
      <c r="U318" s="231"/>
      <c r="V318" s="231"/>
      <c r="W318" s="231"/>
      <c r="X318" s="239"/>
      <c r="Y318" s="231"/>
      <c r="Z318" s="231"/>
      <c r="AA318" s="239"/>
      <c r="AB318" s="239"/>
      <c r="AC318" s="231"/>
      <c r="AD318" s="231"/>
      <c r="AE318" s="231"/>
      <c r="AF318" s="231"/>
      <c r="AG318" s="231"/>
      <c r="AH318" s="223"/>
      <c r="AI318" s="231"/>
      <c r="AJ318" s="231"/>
      <c r="AK318" s="231"/>
      <c r="AL318" s="231"/>
      <c r="AM318" s="433"/>
    </row>
    <row r="319" spans="18:39">
      <c r="R319" s="771">
        <f>V59</f>
        <v>0.40730914440364852</v>
      </c>
      <c r="S319" s="770">
        <f>S59</f>
        <v>685.57683923083039</v>
      </c>
      <c r="T319" s="651"/>
      <c r="U319" s="231"/>
      <c r="V319" s="231"/>
      <c r="W319" s="231"/>
      <c r="X319" s="239"/>
      <c r="Y319" s="231"/>
      <c r="Z319" s="231"/>
      <c r="AA319" s="239"/>
      <c r="AB319" s="239"/>
      <c r="AC319" s="231"/>
      <c r="AD319" s="231"/>
      <c r="AE319" s="231"/>
      <c r="AF319" s="231"/>
      <c r="AG319" s="231"/>
      <c r="AH319" s="223"/>
      <c r="AI319" s="231"/>
      <c r="AJ319" s="231"/>
      <c r="AK319" s="231"/>
      <c r="AL319" s="231"/>
      <c r="AM319" s="433"/>
    </row>
    <row r="320" spans="18:39">
      <c r="R320" s="278"/>
      <c r="S320" s="94"/>
      <c r="T320" s="651"/>
      <c r="U320" s="231"/>
      <c r="V320" s="231"/>
      <c r="W320" s="231"/>
      <c r="X320" s="239"/>
      <c r="Y320" s="231"/>
      <c r="Z320" s="231"/>
      <c r="AA320" s="239"/>
      <c r="AB320" s="239"/>
      <c r="AC320" s="231"/>
      <c r="AD320" s="231"/>
      <c r="AE320" s="231"/>
      <c r="AF320" s="231"/>
      <c r="AG320" s="231"/>
      <c r="AH320" s="223"/>
      <c r="AI320" s="231"/>
      <c r="AJ320" s="231"/>
      <c r="AK320" s="231"/>
      <c r="AL320" s="231"/>
      <c r="AM320" s="433"/>
    </row>
    <row r="321" spans="18:39">
      <c r="R321" s="772" t="str">
        <f>R60</f>
        <v>Horizontal Stabilizer Lift</v>
      </c>
      <c r="S321" s="94"/>
      <c r="T321" s="651"/>
      <c r="U321" s="231"/>
      <c r="V321" s="231"/>
      <c r="W321" s="231"/>
      <c r="X321" s="239"/>
      <c r="Y321" s="231"/>
      <c r="Z321" s="231"/>
      <c r="AA321" s="239"/>
      <c r="AB321" s="239"/>
      <c r="AC321" s="231"/>
      <c r="AD321" s="231"/>
      <c r="AE321" s="231"/>
      <c r="AF321" s="231"/>
      <c r="AG321" s="231"/>
      <c r="AH321" s="223"/>
      <c r="AI321" s="231"/>
      <c r="AJ321" s="231"/>
      <c r="AK321" s="231"/>
      <c r="AL321" s="231"/>
      <c r="AM321" s="433"/>
    </row>
    <row r="322" spans="18:39">
      <c r="R322" s="756" t="s">
        <v>196</v>
      </c>
      <c r="S322" s="766" t="s">
        <v>197</v>
      </c>
      <c r="T322" s="651"/>
      <c r="U322" s="231"/>
      <c r="V322" s="231"/>
      <c r="W322" s="231"/>
      <c r="X322" s="239"/>
      <c r="Y322" s="231"/>
      <c r="Z322" s="231"/>
      <c r="AA322" s="239"/>
      <c r="AB322" s="239"/>
      <c r="AC322" s="231"/>
      <c r="AD322" s="231"/>
      <c r="AE322" s="231"/>
      <c r="AF322" s="231"/>
      <c r="AG322" s="231"/>
      <c r="AH322" s="223"/>
      <c r="AI322" s="231"/>
      <c r="AJ322" s="231"/>
      <c r="AK322" s="231"/>
      <c r="AL322" s="231"/>
      <c r="AM322" s="433"/>
    </row>
    <row r="323" spans="18:39">
      <c r="R323" s="769">
        <f>V60</f>
        <v>1.0953433941719548</v>
      </c>
      <c r="S323" s="770">
        <v>0</v>
      </c>
      <c r="T323" s="651"/>
      <c r="U323" s="231"/>
      <c r="V323" s="231"/>
      <c r="W323" s="231"/>
      <c r="X323" s="239"/>
      <c r="Y323" s="231"/>
      <c r="Z323" s="231"/>
      <c r="AA323" s="239"/>
      <c r="AB323" s="239"/>
      <c r="AC323" s="231"/>
      <c r="AD323" s="231"/>
      <c r="AE323" s="231"/>
      <c r="AF323" s="231"/>
      <c r="AG323" s="231"/>
      <c r="AH323" s="223"/>
      <c r="AI323" s="231"/>
      <c r="AJ323" s="231"/>
      <c r="AK323" s="231"/>
      <c r="AL323" s="231"/>
      <c r="AM323" s="433"/>
    </row>
    <row r="324" spans="18:39" ht="13.8" thickBot="1">
      <c r="R324" s="773">
        <f>V60</f>
        <v>1.0953433941719548</v>
      </c>
      <c r="S324" s="774">
        <f>S60</f>
        <v>-38.795356879489923</v>
      </c>
      <c r="T324" s="775"/>
      <c r="U324" s="231"/>
      <c r="V324" s="231"/>
      <c r="W324" s="231"/>
      <c r="X324" s="239"/>
      <c r="Y324" s="231"/>
      <c r="Z324" s="231"/>
      <c r="AA324" s="239"/>
      <c r="AB324" s="239"/>
      <c r="AC324" s="231"/>
      <c r="AD324" s="231"/>
      <c r="AE324" s="231"/>
      <c r="AF324" s="231"/>
      <c r="AG324" s="231"/>
      <c r="AH324" s="223"/>
      <c r="AI324" s="231"/>
      <c r="AJ324" s="231"/>
      <c r="AK324" s="231"/>
      <c r="AL324" s="231"/>
      <c r="AM324" s="433"/>
    </row>
    <row r="325" spans="18:39">
      <c r="R325" s="776"/>
      <c r="S325" s="777"/>
      <c r="T325" s="651"/>
      <c r="U325" s="231"/>
      <c r="V325" s="231"/>
      <c r="W325" s="231"/>
      <c r="X325" s="239"/>
      <c r="Y325" s="231"/>
      <c r="Z325" s="231"/>
      <c r="AA325" s="239"/>
      <c r="AB325" s="239"/>
      <c r="AC325" s="231"/>
      <c r="AD325" s="231"/>
      <c r="AE325" s="231"/>
      <c r="AF325" s="231"/>
      <c r="AG325" s="231"/>
      <c r="AH325" s="223"/>
      <c r="AI325" s="231"/>
      <c r="AJ325" s="231"/>
      <c r="AK325" s="231"/>
      <c r="AL325" s="231"/>
      <c r="AM325" s="433"/>
    </row>
    <row r="326" spans="18:39">
      <c r="R326" s="772" t="s">
        <v>2376</v>
      </c>
      <c r="S326" s="94"/>
      <c r="T326" s="651"/>
      <c r="U326" s="231"/>
      <c r="V326" s="231"/>
      <c r="W326" s="231"/>
      <c r="X326" s="239"/>
      <c r="Y326" s="231"/>
      <c r="Z326" s="231"/>
      <c r="AA326" s="239"/>
      <c r="AB326" s="239"/>
      <c r="AC326" s="231"/>
      <c r="AD326" s="231"/>
      <c r="AE326" s="231"/>
      <c r="AF326" s="231"/>
      <c r="AG326" s="231"/>
      <c r="AH326" s="223"/>
      <c r="AI326" s="231"/>
      <c r="AJ326" s="231"/>
      <c r="AK326" s="231"/>
      <c r="AL326" s="231"/>
      <c r="AM326" s="433"/>
    </row>
    <row r="327" spans="18:39">
      <c r="R327" s="756" t="s">
        <v>196</v>
      </c>
      <c r="S327" s="766" t="s">
        <v>197</v>
      </c>
      <c r="T327" s="651"/>
      <c r="U327" s="231"/>
      <c r="V327" s="231"/>
      <c r="W327" s="231"/>
      <c r="X327" s="239"/>
      <c r="Y327" s="231"/>
      <c r="Z327" s="231"/>
      <c r="AA327" s="239"/>
      <c r="AB327" s="239"/>
      <c r="AC327" s="231"/>
      <c r="AD327" s="231"/>
      <c r="AE327" s="231"/>
      <c r="AF327" s="231"/>
      <c r="AG327" s="231"/>
      <c r="AH327" s="223"/>
      <c r="AI327" s="231"/>
      <c r="AJ327" s="231"/>
      <c r="AK327" s="231"/>
      <c r="AL327" s="231"/>
      <c r="AM327" s="433"/>
    </row>
    <row r="328" spans="18:39">
      <c r="R328" s="769">
        <f>V57</f>
        <v>0.30349989333531641</v>
      </c>
      <c r="S328" s="770">
        <v>0</v>
      </c>
      <c r="T328" s="651"/>
      <c r="U328" s="231"/>
      <c r="V328" s="231"/>
      <c r="W328" s="231"/>
      <c r="X328" s="239"/>
      <c r="Y328" s="231"/>
      <c r="Z328" s="231"/>
      <c r="AA328" s="239"/>
      <c r="AB328" s="239"/>
      <c r="AC328" s="231"/>
      <c r="AD328" s="231"/>
      <c r="AE328" s="231"/>
      <c r="AF328" s="231"/>
      <c r="AG328" s="231"/>
      <c r="AH328" s="223"/>
      <c r="AI328" s="231"/>
      <c r="AJ328" s="231"/>
      <c r="AK328" s="231"/>
      <c r="AL328" s="231"/>
      <c r="AM328" s="433"/>
    </row>
    <row r="329" spans="18:39" ht="13.8" thickBot="1">
      <c r="R329" s="773">
        <f>V57</f>
        <v>0.30349989333531641</v>
      </c>
      <c r="S329" s="774">
        <f>S57</f>
        <v>-826.26697478804226</v>
      </c>
      <c r="T329" s="775"/>
      <c r="U329" s="231"/>
      <c r="V329" s="231"/>
      <c r="W329" s="231"/>
      <c r="X329" s="239"/>
      <c r="Y329" s="231"/>
      <c r="Z329" s="231"/>
      <c r="AA329" s="239"/>
      <c r="AB329" s="239"/>
      <c r="AC329" s="231"/>
      <c r="AD329" s="231"/>
      <c r="AE329" s="231"/>
      <c r="AF329" s="231"/>
      <c r="AG329" s="231"/>
      <c r="AH329" s="223"/>
      <c r="AI329" s="231"/>
      <c r="AJ329" s="231"/>
      <c r="AK329" s="231"/>
      <c r="AL329" s="231"/>
      <c r="AM329" s="433"/>
    </row>
    <row r="330" spans="18:39">
      <c r="R330" s="691"/>
      <c r="S330" s="231"/>
      <c r="T330" s="231"/>
      <c r="U330" s="231"/>
      <c r="V330" s="231"/>
      <c r="W330" s="231"/>
      <c r="X330" s="239"/>
      <c r="Y330" s="231"/>
      <c r="Z330" s="231"/>
      <c r="AA330" s="239"/>
      <c r="AB330" s="239"/>
      <c r="AC330" s="231"/>
      <c r="AD330" s="231"/>
      <c r="AE330" s="231"/>
      <c r="AF330" s="231"/>
      <c r="AG330" s="231"/>
      <c r="AH330" s="223"/>
      <c r="AI330" s="231"/>
      <c r="AJ330" s="231"/>
      <c r="AK330" s="231"/>
      <c r="AL330" s="231"/>
      <c r="AM330" s="433"/>
    </row>
    <row r="331" spans="18:39">
      <c r="R331" s="691"/>
      <c r="S331" s="231"/>
      <c r="T331" s="231"/>
      <c r="U331" s="231"/>
      <c r="V331" s="231"/>
      <c r="W331" s="231"/>
      <c r="X331" s="239"/>
      <c r="Y331" s="231"/>
      <c r="Z331" s="231"/>
      <c r="AA331" s="239"/>
      <c r="AB331" s="239"/>
      <c r="AC331" s="231"/>
      <c r="AD331" s="231"/>
      <c r="AE331" s="231"/>
      <c r="AF331" s="231"/>
      <c r="AG331" s="231"/>
      <c r="AH331" s="223"/>
      <c r="AI331" s="231"/>
      <c r="AJ331" s="231"/>
      <c r="AK331" s="231"/>
      <c r="AL331" s="231"/>
      <c r="AM331" s="433"/>
    </row>
    <row r="332" spans="18:39" ht="13.8" thickBot="1">
      <c r="R332" s="733"/>
      <c r="S332" s="255"/>
      <c r="T332" s="255"/>
      <c r="U332" s="255"/>
      <c r="V332" s="255"/>
      <c r="W332" s="255"/>
      <c r="X332" s="445"/>
      <c r="Y332" s="255"/>
      <c r="Z332" s="255"/>
      <c r="AA332" s="445"/>
      <c r="AB332" s="445"/>
      <c r="AC332" s="255"/>
      <c r="AD332" s="255"/>
      <c r="AE332" s="255"/>
      <c r="AF332" s="255"/>
      <c r="AG332" s="255"/>
      <c r="AH332" s="579"/>
      <c r="AI332" s="255"/>
      <c r="AJ332" s="255"/>
      <c r="AK332" s="255"/>
      <c r="AL332" s="255"/>
      <c r="AM332" s="446"/>
    </row>
  </sheetData>
  <mergeCells count="3">
    <mergeCell ref="AD8:AE8"/>
    <mergeCell ref="AF8:AG8"/>
    <mergeCell ref="Y84:AA84"/>
  </mergeCell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S135"/>
  <sheetViews>
    <sheetView topLeftCell="B1" zoomScale="80" zoomScaleNormal="80" workbookViewId="0">
      <selection activeCell="K19" sqref="K19"/>
    </sheetView>
  </sheetViews>
  <sheetFormatPr defaultColWidth="9.109375" defaultRowHeight="13.2"/>
  <cols>
    <col min="1" max="1" width="5.44140625" style="303" customWidth="1"/>
    <col min="2" max="2" width="20.77734375" style="303" customWidth="1"/>
    <col min="3" max="3" width="11" style="303" customWidth="1"/>
    <col min="4" max="4" width="16.44140625" style="303" customWidth="1"/>
    <col min="5" max="5" width="16.6640625" style="303" customWidth="1"/>
    <col min="6" max="6" width="14.44140625" style="303" customWidth="1"/>
    <col min="7" max="9" width="9.109375" style="303"/>
    <col min="10" max="10" width="34.77734375" style="303" bestFit="1" customWidth="1"/>
    <col min="11" max="11" width="13.6640625" style="303" customWidth="1"/>
    <col min="12" max="12" width="15.44140625" style="303" customWidth="1"/>
    <col min="13" max="16384" width="9.109375" style="303"/>
  </cols>
  <sheetData>
    <row r="1" spans="1:19">
      <c r="A1" s="335" t="s">
        <v>1545</v>
      </c>
    </row>
    <row r="2" spans="1:19" ht="17.399999999999999">
      <c r="B2" s="622" t="s">
        <v>2377</v>
      </c>
    </row>
    <row r="3" spans="1:19">
      <c r="B3" s="303" t="s">
        <v>2378</v>
      </c>
    </row>
    <row r="4" spans="1:19" ht="13.8" thickBot="1"/>
    <row r="5" spans="1:19" ht="15.6">
      <c r="B5" s="307" t="s">
        <v>2379</v>
      </c>
      <c r="J5" s="438" t="s">
        <v>2380</v>
      </c>
      <c r="K5" s="402"/>
      <c r="L5" s="403"/>
      <c r="S5" s="414"/>
    </row>
    <row r="6" spans="1:19">
      <c r="J6" s="216"/>
      <c r="K6" s="594" t="s">
        <v>2381</v>
      </c>
      <c r="L6" s="779" t="s">
        <v>2382</v>
      </c>
    </row>
    <row r="7" spans="1:19">
      <c r="B7" s="307" t="s">
        <v>2383</v>
      </c>
      <c r="F7" s="307" t="s">
        <v>2384</v>
      </c>
      <c r="J7" s="129" t="s">
        <v>2385</v>
      </c>
      <c r="K7" s="217">
        <f>C16</f>
        <v>2020</v>
      </c>
      <c r="L7" s="218">
        <f>C16</f>
        <v>2020</v>
      </c>
    </row>
    <row r="8" spans="1:19">
      <c r="J8" s="129" t="s">
        <v>2386</v>
      </c>
      <c r="K8" s="217">
        <f>C11</f>
        <v>1</v>
      </c>
      <c r="L8" s="218">
        <f>C11</f>
        <v>1</v>
      </c>
    </row>
    <row r="9" spans="1:19">
      <c r="B9" s="307" t="s">
        <v>2387</v>
      </c>
      <c r="C9" s="425">
        <f>IF('11'!M27=1,'11'!N17,IF('11'!M27=2,'11'!O17,'11'!P17))</f>
        <v>826.26697478804215</v>
      </c>
      <c r="D9" s="303" t="s">
        <v>508</v>
      </c>
      <c r="E9" s="781"/>
      <c r="F9" s="303" t="s">
        <v>2388</v>
      </c>
      <c r="G9" s="323">
        <v>3.95</v>
      </c>
      <c r="H9" s="781"/>
      <c r="J9" s="129" t="s">
        <v>2389</v>
      </c>
      <c r="K9" s="217">
        <f>C12</f>
        <v>45000</v>
      </c>
      <c r="L9" s="218">
        <f>C12</f>
        <v>45000</v>
      </c>
    </row>
    <row r="10" spans="1:19">
      <c r="B10" s="307" t="s">
        <v>2390</v>
      </c>
      <c r="C10" s="427">
        <f>'2'!I46</f>
        <v>174.28771794559998</v>
      </c>
      <c r="D10" s="303" t="s">
        <v>2157</v>
      </c>
      <c r="E10" s="781"/>
      <c r="F10" s="303" t="s">
        <v>2391</v>
      </c>
      <c r="G10" s="323">
        <v>1.49</v>
      </c>
      <c r="H10" s="781"/>
      <c r="J10" s="129" t="s">
        <v>2392</v>
      </c>
      <c r="K10" s="782">
        <f>12*C14</f>
        <v>6</v>
      </c>
      <c r="L10" s="783">
        <f>12*C14</f>
        <v>6</v>
      </c>
    </row>
    <row r="11" spans="1:19">
      <c r="B11" s="307" t="s">
        <v>2393</v>
      </c>
      <c r="C11" s="424">
        <v>1</v>
      </c>
      <c r="D11" s="303" t="s">
        <v>2394</v>
      </c>
      <c r="E11" s="781"/>
      <c r="F11" s="335" t="s">
        <v>2395</v>
      </c>
      <c r="G11" s="424">
        <v>1.47</v>
      </c>
      <c r="H11" s="781"/>
      <c r="J11" s="129" t="s">
        <v>2396</v>
      </c>
      <c r="K11" s="217">
        <f>12*C15</f>
        <v>12</v>
      </c>
      <c r="L11" s="218">
        <f>12*C15</f>
        <v>12</v>
      </c>
    </row>
    <row r="12" spans="1:19">
      <c r="B12" s="307" t="s">
        <v>2397</v>
      </c>
      <c r="C12" s="424">
        <v>45000</v>
      </c>
      <c r="D12" s="303" t="s">
        <v>2394</v>
      </c>
      <c r="E12" s="781"/>
      <c r="F12" s="335"/>
      <c r="J12" s="129" t="s">
        <v>2398</v>
      </c>
      <c r="K12" s="217">
        <f>C13</f>
        <v>1700</v>
      </c>
      <c r="L12" s="218">
        <f>C13</f>
        <v>1700</v>
      </c>
    </row>
    <row r="13" spans="1:19">
      <c r="B13" s="307" t="s">
        <v>2399</v>
      </c>
      <c r="C13" s="424">
        <v>1700</v>
      </c>
      <c r="D13" s="335" t="s">
        <v>2394</v>
      </c>
      <c r="E13" s="781"/>
      <c r="F13" s="335"/>
      <c r="J13" s="129" t="s">
        <v>2400</v>
      </c>
      <c r="K13" s="784">
        <f>D122</f>
        <v>121055.81978822182</v>
      </c>
      <c r="L13" s="785">
        <f>E122</f>
        <v>165052.54637061077</v>
      </c>
    </row>
    <row r="14" spans="1:19">
      <c r="B14" s="307" t="s">
        <v>2401</v>
      </c>
      <c r="C14" s="586">
        <v>0.5</v>
      </c>
      <c r="D14" s="303" t="s">
        <v>2402</v>
      </c>
      <c r="E14" s="781"/>
      <c r="J14" s="129" t="s">
        <v>2403</v>
      </c>
      <c r="K14" s="784">
        <f>D123</f>
        <v>110087.00526594782</v>
      </c>
      <c r="L14" s="785">
        <f>E123</f>
        <v>145438.02104989428</v>
      </c>
    </row>
    <row r="15" spans="1:19">
      <c r="B15" s="307" t="s">
        <v>2404</v>
      </c>
      <c r="C15" s="424">
        <v>1</v>
      </c>
      <c r="D15" s="303" t="s">
        <v>2405</v>
      </c>
      <c r="E15" s="781"/>
      <c r="J15" s="129" t="s">
        <v>2406</v>
      </c>
      <c r="K15" s="786">
        <f>(K13-K14)/K14</f>
        <v>9.9637686535078068E-2</v>
      </c>
      <c r="L15" s="787">
        <f>(L13-L14)/L14</f>
        <v>0.13486518297706687</v>
      </c>
    </row>
    <row r="16" spans="1:19" ht="13.8" thickBot="1">
      <c r="B16" s="307" t="s">
        <v>1036</v>
      </c>
      <c r="C16" s="424">
        <v>2020</v>
      </c>
      <c r="D16" s="335" t="s">
        <v>2407</v>
      </c>
      <c r="E16" s="781"/>
      <c r="J16" s="416" t="s">
        <v>2408</v>
      </c>
      <c r="K16" s="788">
        <f>C23</f>
        <v>10</v>
      </c>
      <c r="L16" s="226">
        <f>C23</f>
        <v>10</v>
      </c>
    </row>
    <row r="17" spans="2:11">
      <c r="B17" s="307" t="s">
        <v>2409</v>
      </c>
      <c r="C17" s="558" t="s">
        <v>2410</v>
      </c>
    </row>
    <row r="18" spans="2:11">
      <c r="B18" s="307" t="s">
        <v>2411</v>
      </c>
      <c r="C18" s="558" t="s">
        <v>2774</v>
      </c>
      <c r="D18" s="335" t="s">
        <v>2412</v>
      </c>
      <c r="K18" s="1374">
        <f>1.2*K14</f>
        <v>132104.40631913737</v>
      </c>
    </row>
    <row r="19" spans="2:11">
      <c r="B19" s="307" t="s">
        <v>947</v>
      </c>
      <c r="C19" s="856">
        <f>'3'!J22</f>
        <v>1</v>
      </c>
      <c r="D19" s="335" t="s">
        <v>87</v>
      </c>
    </row>
    <row r="20" spans="2:11">
      <c r="B20" s="307" t="s">
        <v>2413</v>
      </c>
      <c r="C20" s="789" t="s">
        <v>87</v>
      </c>
      <c r="D20" s="335" t="s">
        <v>2414</v>
      </c>
    </row>
    <row r="21" spans="2:11">
      <c r="B21" s="307" t="s">
        <v>2415</v>
      </c>
      <c r="C21" s="853">
        <f>IF('11'!M27=1,'11'!N15,IF('11'!M27=2,'11'!O15,'11'!P15))</f>
        <v>420.46731532835759</v>
      </c>
      <c r="D21" s="335" t="s">
        <v>2416</v>
      </c>
    </row>
    <row r="22" spans="2:11">
      <c r="B22" s="307" t="s">
        <v>2417</v>
      </c>
      <c r="C22" s="557">
        <v>63</v>
      </c>
      <c r="D22" s="335" t="s">
        <v>2418</v>
      </c>
    </row>
    <row r="23" spans="2:11">
      <c r="B23" s="307" t="s">
        <v>2419</v>
      </c>
      <c r="C23" s="780">
        <v>10</v>
      </c>
      <c r="D23" s="335" t="s">
        <v>1477</v>
      </c>
      <c r="E23" s="303" t="s">
        <v>2801</v>
      </c>
    </row>
    <row r="25" spans="2:11">
      <c r="B25" s="303" t="s">
        <v>2420</v>
      </c>
      <c r="C25" s="663">
        <f>-5058 + 2.576*C16</f>
        <v>145.52000000000044</v>
      </c>
      <c r="D25" s="335" t="s">
        <v>2421</v>
      </c>
      <c r="E25" s="781"/>
    </row>
    <row r="26" spans="2:11">
      <c r="B26" s="303" t="s">
        <v>2422</v>
      </c>
      <c r="C26" s="663">
        <f>-5666 + 2.883*C16</f>
        <v>157.65999999999985</v>
      </c>
      <c r="D26" s="335" t="s">
        <v>2421</v>
      </c>
      <c r="E26" s="781"/>
      <c r="F26" s="790"/>
    </row>
    <row r="27" spans="2:11">
      <c r="B27" s="303" t="s">
        <v>2423</v>
      </c>
      <c r="C27" s="663">
        <f>-4552 + 2.316*C16</f>
        <v>126.31999999999971</v>
      </c>
      <c r="D27" s="335" t="s">
        <v>2421</v>
      </c>
      <c r="E27" s="781"/>
    </row>
    <row r="28" spans="2:11">
      <c r="B28" s="303" t="s">
        <v>2424</v>
      </c>
      <c r="C28" s="663">
        <f>-5112 + 2.6*C16</f>
        <v>140</v>
      </c>
      <c r="D28" s="335" t="s">
        <v>2421</v>
      </c>
      <c r="E28" s="781"/>
    </row>
    <row r="30" spans="2:11" ht="15.6">
      <c r="B30" s="616" t="s">
        <v>2425</v>
      </c>
    </row>
    <row r="31" spans="2:11">
      <c r="D31" s="791" t="s">
        <v>2426</v>
      </c>
      <c r="E31" s="791" t="s">
        <v>2427</v>
      </c>
      <c r="F31" s="544"/>
    </row>
    <row r="32" spans="2:11">
      <c r="D32" s="792"/>
      <c r="E32" s="792"/>
    </row>
    <row r="33" spans="2:7">
      <c r="B33" s="793" t="s">
        <v>2428</v>
      </c>
      <c r="C33" s="794"/>
      <c r="D33" s="329"/>
      <c r="E33" s="329"/>
    </row>
    <row r="34" spans="2:7">
      <c r="B34" s="795"/>
      <c r="C34" s="231" t="s">
        <v>2429</v>
      </c>
      <c r="D34" s="796">
        <f>0.027*C9^0.791*C10^1.526*C11^0.183</f>
        <v>14420.459791344218</v>
      </c>
      <c r="E34" s="796">
        <f>4.86*C9^0.777*C10^0.894*C11^0.163</f>
        <v>90558.937903016209</v>
      </c>
    </row>
    <row r="35" spans="2:7">
      <c r="B35" s="795"/>
      <c r="C35" s="231" t="s">
        <v>2430</v>
      </c>
      <c r="D35" s="797">
        <f>D34*C25</f>
        <v>2098465.3088364168</v>
      </c>
      <c r="E35" s="797">
        <f>E34*C25</f>
        <v>13178136.643646957</v>
      </c>
    </row>
    <row r="36" spans="2:7">
      <c r="B36" s="798"/>
      <c r="C36" s="799"/>
      <c r="D36" s="800"/>
      <c r="E36" s="800"/>
    </row>
    <row r="37" spans="2:7">
      <c r="B37" s="793" t="s">
        <v>2431</v>
      </c>
      <c r="C37" s="794"/>
      <c r="D37" s="329"/>
      <c r="E37" s="329"/>
    </row>
    <row r="38" spans="2:7">
      <c r="B38" s="795"/>
      <c r="C38" s="231" t="s">
        <v>2432</v>
      </c>
      <c r="D38" s="797">
        <f>(0.00549*C9^0.873*C10^1.89*C11^0.346)*G9*G11</f>
        <v>193253.38074756201</v>
      </c>
      <c r="E38" s="797">
        <f>(45.42*C9^0.63*C10^1.3)*G10*G11</f>
        <v>5612849.5358813265</v>
      </c>
    </row>
    <row r="39" spans="2:7">
      <c r="B39" s="798"/>
      <c r="C39" s="799"/>
      <c r="D39" s="800"/>
      <c r="E39" s="800"/>
      <c r="G39" s="303" t="s">
        <v>2433</v>
      </c>
    </row>
    <row r="40" spans="2:7">
      <c r="B40" s="793" t="s">
        <v>2434</v>
      </c>
      <c r="C40" s="794"/>
      <c r="D40" s="329"/>
      <c r="E40" s="329"/>
    </row>
    <row r="41" spans="2:7">
      <c r="B41" s="795" t="s">
        <v>1545</v>
      </c>
      <c r="C41" s="231" t="s">
        <v>2435</v>
      </c>
      <c r="D41" s="796">
        <f>20.348*C9^0.74*C10^0.543*C11^0.524</f>
        <v>48327.984614668552</v>
      </c>
      <c r="E41" s="796">
        <f>7.37*C9^0.82*C10^0.484*C11^0.641</f>
        <v>22094.25360710367</v>
      </c>
    </row>
    <row r="42" spans="2:7">
      <c r="B42" s="795"/>
      <c r="C42" s="231" t="s">
        <v>2436</v>
      </c>
      <c r="D42" s="797">
        <f>D41*C27</f>
        <v>6104791.0165249174</v>
      </c>
      <c r="E42" s="797">
        <f>E41*C27</f>
        <v>2790946.115649329</v>
      </c>
    </row>
    <row r="43" spans="2:7">
      <c r="B43" s="798"/>
      <c r="C43" s="799"/>
      <c r="D43" s="800"/>
      <c r="E43" s="800"/>
    </row>
    <row r="44" spans="2:7">
      <c r="B44" s="793" t="s">
        <v>2437</v>
      </c>
      <c r="C44" s="794"/>
      <c r="D44" s="329"/>
      <c r="E44" s="329"/>
    </row>
    <row r="45" spans="2:7">
      <c r="B45" s="795"/>
      <c r="C45" s="231" t="s">
        <v>2438</v>
      </c>
      <c r="D45" s="797">
        <f>(18.47*C9^0.689*C10^0.624*C11^0.792)*G9*G11</f>
        <v>274680.45027516183</v>
      </c>
      <c r="E45" s="797">
        <f>(11*C9^0.921*C10^0.621*C11^0.799)*G10*G11</f>
        <v>288662.81625459291</v>
      </c>
    </row>
    <row r="46" spans="2:7">
      <c r="B46" s="798"/>
      <c r="C46" s="799"/>
      <c r="D46" s="800"/>
      <c r="E46" s="800"/>
    </row>
    <row r="47" spans="2:7">
      <c r="B47" s="793" t="s">
        <v>2439</v>
      </c>
      <c r="C47" s="794"/>
      <c r="D47" s="329"/>
      <c r="E47" s="329"/>
    </row>
    <row r="48" spans="2:7">
      <c r="B48" s="795"/>
      <c r="C48" s="231" t="s">
        <v>2440</v>
      </c>
      <c r="D48" s="796">
        <f>2.79*C9^0.764*C10^0.899*C11^0.178*C14^0.066</f>
        <v>46699.802453731696</v>
      </c>
      <c r="E48" s="796">
        <f>5.99*C9^0.777*C10^0.696*C11^0.263*C14^0</f>
        <v>40174.552727857234</v>
      </c>
    </row>
    <row r="49" spans="2:6">
      <c r="B49" s="795"/>
      <c r="C49" s="231" t="s">
        <v>2441</v>
      </c>
      <c r="D49" s="797">
        <f>D48*C26</f>
        <v>7362690.8548553325</v>
      </c>
      <c r="E49" s="797">
        <f>E48*C26</f>
        <v>6333919.9830739656</v>
      </c>
    </row>
    <row r="50" spans="2:6">
      <c r="B50" s="798"/>
      <c r="C50" s="799"/>
      <c r="D50" s="800"/>
      <c r="E50" s="800"/>
    </row>
    <row r="51" spans="2:6">
      <c r="B51" s="801" t="s">
        <v>2442</v>
      </c>
      <c r="C51" s="794"/>
      <c r="D51" s="329"/>
      <c r="E51" s="329"/>
    </row>
    <row r="52" spans="2:6">
      <c r="B52" s="795"/>
      <c r="C52" s="440" t="s">
        <v>2443</v>
      </c>
      <c r="D52" s="792"/>
      <c r="E52" s="802" t="str">
        <f>C17</f>
        <v>O</v>
      </c>
      <c r="F52" s="335"/>
    </row>
    <row r="53" spans="2:6">
      <c r="B53" s="795"/>
      <c r="C53" s="231" t="s">
        <v>2444</v>
      </c>
      <c r="D53" s="796">
        <f>0.13*D41</f>
        <v>6282.6379999069122</v>
      </c>
      <c r="E53" s="796">
        <f>IF(E52="C",0.076*E41,0.13*E41)</f>
        <v>2872.2529689234771</v>
      </c>
    </row>
    <row r="54" spans="2:6">
      <c r="B54" s="795"/>
      <c r="C54" s="231" t="s">
        <v>2445</v>
      </c>
      <c r="D54" s="797">
        <f>D53*C28</f>
        <v>879569.31998696772</v>
      </c>
      <c r="E54" s="797">
        <f>E53*C28</f>
        <v>402115.41564928676</v>
      </c>
    </row>
    <row r="55" spans="2:6">
      <c r="B55" s="798"/>
      <c r="C55" s="799"/>
      <c r="D55" s="800"/>
      <c r="E55" s="800"/>
    </row>
    <row r="56" spans="2:6">
      <c r="B56" s="793" t="s">
        <v>2446</v>
      </c>
      <c r="C56" s="794"/>
      <c r="D56" s="329"/>
      <c r="E56" s="329"/>
    </row>
    <row r="57" spans="2:6">
      <c r="B57" s="795"/>
      <c r="C57" s="231" t="s">
        <v>2447</v>
      </c>
      <c r="D57" s="797">
        <f>(0.000714*C9^1.16*C10^1.371*C11^1.281)*G9*G11</f>
        <v>11864.489604127572</v>
      </c>
      <c r="E57" s="797">
        <f>(1243.03*C9^0.325*C10^0.822*C11^1.21)*G10*G11</f>
        <v>1680237.362813408</v>
      </c>
    </row>
    <row r="58" spans="2:6">
      <c r="B58" s="795"/>
      <c r="C58" s="231"/>
      <c r="D58" s="792"/>
      <c r="E58" s="792"/>
    </row>
    <row r="59" spans="2:6">
      <c r="B59" s="798"/>
      <c r="C59" s="799"/>
      <c r="D59" s="800"/>
      <c r="E59" s="800"/>
    </row>
    <row r="60" spans="2:6">
      <c r="B60" s="793" t="s">
        <v>2448</v>
      </c>
      <c r="C60" s="794"/>
      <c r="D60" s="329"/>
      <c r="E60" s="329"/>
    </row>
    <row r="61" spans="2:6">
      <c r="B61" s="795"/>
      <c r="C61" s="803" t="s">
        <v>2449</v>
      </c>
      <c r="D61" s="804" t="str">
        <f>C20</f>
        <v xml:space="preserve"> -</v>
      </c>
      <c r="E61" s="805"/>
    </row>
    <row r="62" spans="2:6">
      <c r="B62" s="795"/>
      <c r="C62" s="440" t="s">
        <v>2450</v>
      </c>
      <c r="D62" s="802" t="str">
        <f>C18</f>
        <v>TP</v>
      </c>
      <c r="E62" s="792"/>
    </row>
    <row r="63" spans="2:6">
      <c r="B63" s="795"/>
      <c r="C63" s="440" t="s">
        <v>2451</v>
      </c>
      <c r="D63" s="806">
        <f>C19</f>
        <v>1</v>
      </c>
      <c r="E63" s="792"/>
    </row>
    <row r="64" spans="2:6">
      <c r="B64" s="795"/>
      <c r="C64" s="231" t="s">
        <v>2452</v>
      </c>
      <c r="D64" s="807">
        <f>IF(D$62="TJ",(109*D$61^0.836)*D$63*C$11*G$9*G$11,IF(D$62="TF",((130*D$61^0.836)*D$63*C$11*G$9*G$11),IF(D$62="TP",(C$11*C$19*C$21*C$22))))</f>
        <v>26489.440865686527</v>
      </c>
      <c r="E64" s="807">
        <f>D64</f>
        <v>26489.440865686527</v>
      </c>
    </row>
    <row r="65" spans="2:6">
      <c r="B65" s="798"/>
      <c r="C65" s="799"/>
      <c r="D65" s="800"/>
      <c r="E65" s="800"/>
    </row>
    <row r="66" spans="2:6">
      <c r="B66" s="808" t="s">
        <v>2453</v>
      </c>
      <c r="C66" s="794"/>
      <c r="D66" s="809">
        <f>SUM(D35,D38,D42,D45,D49,D54,D57,D64)</f>
        <v>16951804.261696175</v>
      </c>
      <c r="E66" s="809">
        <f>SUM(E35,E38,E42,E45,E49,E54,E57,E64)</f>
        <v>30313357.313834555</v>
      </c>
    </row>
    <row r="67" spans="2:6">
      <c r="B67" s="798"/>
      <c r="C67" s="799"/>
      <c r="D67" s="800"/>
      <c r="E67" s="800"/>
    </row>
    <row r="68" spans="2:6">
      <c r="B68" s="793" t="s">
        <v>2454</v>
      </c>
      <c r="C68" s="794"/>
      <c r="D68" s="329"/>
      <c r="E68" s="329"/>
    </row>
    <row r="69" spans="2:6">
      <c r="B69" s="795"/>
      <c r="C69" s="440" t="s">
        <v>2455</v>
      </c>
      <c r="D69" s="804">
        <f>C23</f>
        <v>10</v>
      </c>
      <c r="E69" s="792">
        <f>D69</f>
        <v>10</v>
      </c>
    </row>
    <row r="70" spans="2:6">
      <c r="B70" s="795"/>
      <c r="C70" s="231" t="s">
        <v>2456</v>
      </c>
      <c r="D70" s="797">
        <f>(D69/100)*D66</f>
        <v>1695180.4261696176</v>
      </c>
      <c r="E70" s="797">
        <f>(E69/100)*E66</f>
        <v>3031335.7313834559</v>
      </c>
    </row>
    <row r="71" spans="2:6">
      <c r="B71" s="798"/>
      <c r="C71" s="799"/>
      <c r="D71" s="800"/>
      <c r="E71" s="800"/>
    </row>
    <row r="72" spans="2:6">
      <c r="B72" s="810" t="s">
        <v>2457</v>
      </c>
      <c r="C72" s="811"/>
      <c r="D72" s="812">
        <f>D66+D70</f>
        <v>18646984.687865794</v>
      </c>
      <c r="E72" s="812">
        <f>E66+E70</f>
        <v>33344693.045218013</v>
      </c>
    </row>
    <row r="76" spans="2:6" ht="15.6">
      <c r="B76" s="616" t="s">
        <v>2458</v>
      </c>
    </row>
    <row r="77" spans="2:6">
      <c r="D77" s="791" t="s">
        <v>2426</v>
      </c>
      <c r="E77" s="791" t="s">
        <v>2427</v>
      </c>
      <c r="F77" s="544"/>
    </row>
    <row r="78" spans="2:6">
      <c r="D78" s="792"/>
      <c r="E78" s="792"/>
    </row>
    <row r="79" spans="2:6">
      <c r="B79" s="793" t="s">
        <v>2428</v>
      </c>
      <c r="C79" s="794"/>
      <c r="D79" s="329"/>
      <c r="E79" s="329"/>
    </row>
    <row r="80" spans="2:6">
      <c r="B80" s="795"/>
      <c r="C80" s="231" t="s">
        <v>2429</v>
      </c>
      <c r="D80" s="796">
        <f>0.027*C9^0.791*C10^1.526*C12^0.183</f>
        <v>102451.18781362672</v>
      </c>
      <c r="E80" s="796">
        <f>4.86*C9^0.777*C10^0.894*C12^0.163</f>
        <v>519284.02228825103</v>
      </c>
    </row>
    <row r="81" spans="2:5">
      <c r="B81" s="795"/>
      <c r="C81" s="231" t="s">
        <v>2430</v>
      </c>
      <c r="D81" s="797">
        <f>D80*C25</f>
        <v>14908696.850639004</v>
      </c>
      <c r="E81" s="797">
        <f>E80*C25</f>
        <v>75566210.923386514</v>
      </c>
    </row>
    <row r="82" spans="2:5">
      <c r="B82" s="798"/>
      <c r="C82" s="799"/>
      <c r="D82" s="800"/>
      <c r="E82" s="800"/>
    </row>
    <row r="83" spans="2:5">
      <c r="B83" s="793" t="s">
        <v>2434</v>
      </c>
      <c r="C83" s="794"/>
      <c r="D83" s="329"/>
      <c r="E83" s="329"/>
    </row>
    <row r="84" spans="2:5">
      <c r="B84" s="795" t="s">
        <v>1545</v>
      </c>
      <c r="C84" s="231" t="s">
        <v>2435</v>
      </c>
      <c r="D84" s="796">
        <f>20.348*C9^0.74*C10^0.543*C12^0.524</f>
        <v>13258122.935494408</v>
      </c>
      <c r="E84" s="796">
        <f>7.37*C9^0.82*C10^0.484*C12^0.641</f>
        <v>21231885.138024002</v>
      </c>
    </row>
    <row r="85" spans="2:5">
      <c r="B85" s="795"/>
      <c r="C85" s="231" t="s">
        <v>2436</v>
      </c>
      <c r="D85" s="797">
        <f>D84*C27</f>
        <v>1674766089.2116497</v>
      </c>
      <c r="E85" s="797">
        <f>E84*C27</f>
        <v>2682011730.6351857</v>
      </c>
    </row>
    <row r="86" spans="2:5">
      <c r="B86" s="798"/>
      <c r="C86" s="799"/>
      <c r="D86" s="800"/>
      <c r="E86" s="800"/>
    </row>
    <row r="87" spans="2:5">
      <c r="B87" s="793" t="s">
        <v>2437</v>
      </c>
      <c r="C87" s="794"/>
      <c r="D87" s="329"/>
      <c r="E87" s="329"/>
    </row>
    <row r="88" spans="2:5">
      <c r="B88" s="795"/>
      <c r="C88" s="231" t="s">
        <v>2438</v>
      </c>
      <c r="D88" s="797">
        <f>(18.47*C9^0.689*C10^0.624*C12^0.792)*G9*G11</f>
        <v>1330981630.3270302</v>
      </c>
      <c r="E88" s="797">
        <f>(11*C9^0.921*C10^0.621*C12^0.799)*G10*G11</f>
        <v>1507674685.4193354</v>
      </c>
    </row>
    <row r="89" spans="2:5">
      <c r="B89" s="798"/>
      <c r="C89" s="799"/>
      <c r="D89" s="800"/>
      <c r="E89" s="800"/>
    </row>
    <row r="90" spans="2:5">
      <c r="B90" s="793" t="s">
        <v>2439</v>
      </c>
      <c r="C90" s="794"/>
      <c r="D90" s="329"/>
      <c r="E90" s="329"/>
    </row>
    <row r="91" spans="2:5">
      <c r="B91" s="795"/>
      <c r="C91" s="231" t="s">
        <v>2440</v>
      </c>
      <c r="D91" s="796">
        <f>2.79*C9^0.764*C10^0.899*C12^0.178*C14^0.066</f>
        <v>314475.53953455779</v>
      </c>
      <c r="E91" s="796">
        <f>5.99*C9^0.777*C10^0.696*C12^0.263*C14^0</f>
        <v>672583.08589727071</v>
      </c>
    </row>
    <row r="92" spans="2:5">
      <c r="B92" s="795"/>
      <c r="C92" s="231" t="s">
        <v>2441</v>
      </c>
      <c r="D92" s="797">
        <f>D91*C26</f>
        <v>49580213.563018337</v>
      </c>
      <c r="E92" s="797">
        <f>E91*C26</f>
        <v>106039449.3225636</v>
      </c>
    </row>
    <row r="93" spans="2:5">
      <c r="B93" s="798"/>
      <c r="C93" s="799"/>
      <c r="D93" s="800"/>
      <c r="E93" s="800"/>
    </row>
    <row r="94" spans="2:5">
      <c r="B94" s="801" t="s">
        <v>2442</v>
      </c>
      <c r="C94" s="794"/>
      <c r="D94" s="329"/>
      <c r="E94" s="329"/>
    </row>
    <row r="95" spans="2:5">
      <c r="B95" s="795"/>
      <c r="C95" s="440" t="s">
        <v>2443</v>
      </c>
      <c r="D95" s="792"/>
      <c r="E95" s="802" t="str">
        <f>E52</f>
        <v>O</v>
      </c>
    </row>
    <row r="96" spans="2:5">
      <c r="B96" s="795"/>
      <c r="C96" s="231" t="s">
        <v>2444</v>
      </c>
      <c r="D96" s="796">
        <f>0.13*D84</f>
        <v>1723555.981614273</v>
      </c>
      <c r="E96" s="796">
        <f>IF(E95="C",0.076*E84,0.13*E84)</f>
        <v>2760145.0679431204</v>
      </c>
    </row>
    <row r="97" spans="2:5">
      <c r="B97" s="795"/>
      <c r="C97" s="231" t="s">
        <v>2445</v>
      </c>
      <c r="D97" s="797">
        <f>D96*C28</f>
        <v>241297837.42599821</v>
      </c>
      <c r="E97" s="797">
        <f>E96*C28</f>
        <v>386420309.51203686</v>
      </c>
    </row>
    <row r="98" spans="2:5">
      <c r="B98" s="798"/>
      <c r="C98" s="799"/>
      <c r="D98" s="800"/>
      <c r="E98" s="800"/>
    </row>
    <row r="99" spans="2:5">
      <c r="B99" s="793" t="s">
        <v>2448</v>
      </c>
      <c r="C99" s="794"/>
      <c r="D99" s="329"/>
      <c r="E99" s="329"/>
    </row>
    <row r="100" spans="2:5">
      <c r="B100" s="795" t="s">
        <v>2459</v>
      </c>
      <c r="C100" s="440" t="s">
        <v>2460</v>
      </c>
      <c r="D100" s="813" t="str">
        <f>D61</f>
        <v xml:space="preserve"> -</v>
      </c>
      <c r="E100" s="792"/>
    </row>
    <row r="101" spans="2:5">
      <c r="B101" s="795"/>
      <c r="C101" s="440" t="s">
        <v>2450</v>
      </c>
      <c r="D101" s="802" t="str">
        <f>D62</f>
        <v>TP</v>
      </c>
      <c r="E101" s="792"/>
    </row>
    <row r="102" spans="2:5">
      <c r="B102" s="795"/>
      <c r="C102" s="440" t="s">
        <v>2451</v>
      </c>
      <c r="D102" s="806">
        <f>D63</f>
        <v>1</v>
      </c>
      <c r="E102" s="792"/>
    </row>
    <row r="103" spans="2:5">
      <c r="B103" s="795"/>
      <c r="C103" s="231" t="s">
        <v>2452</v>
      </c>
      <c r="D103" s="807">
        <f>IF(D$62="TJ",(109*D$61^0.836)*D$63*C$12*G$9*G$11,IF(D$62="TF",((130*D$61^0.836)*D$63*C$12*G$9*G$11),IF(D$62="TP",(C$12*C$19*C$21*C$22))))</f>
        <v>1192024838.9558938</v>
      </c>
      <c r="E103" s="807">
        <f>D103</f>
        <v>1192024838.9558938</v>
      </c>
    </row>
    <row r="104" spans="2:5">
      <c r="B104" s="798"/>
      <c r="C104" s="799"/>
      <c r="D104" s="800"/>
      <c r="E104" s="800"/>
    </row>
    <row r="105" spans="2:5">
      <c r="B105" s="808" t="s">
        <v>2461</v>
      </c>
      <c r="C105" s="794"/>
      <c r="D105" s="809">
        <f>SUM(D81,D85,D88,D92,D97,D103)</f>
        <v>4503559306.3342295</v>
      </c>
      <c r="E105" s="809">
        <f>SUM(E81,E85,E88,E92,E97,E103)</f>
        <v>5949737224.7684021</v>
      </c>
    </row>
    <row r="106" spans="2:5">
      <c r="B106" s="798"/>
      <c r="C106" s="799"/>
      <c r="D106" s="800"/>
      <c r="E106" s="800"/>
    </row>
    <row r="107" spans="2:5">
      <c r="B107" s="793" t="s">
        <v>2454</v>
      </c>
      <c r="C107" s="794"/>
      <c r="D107" s="329"/>
      <c r="E107" s="329"/>
    </row>
    <row r="108" spans="2:5">
      <c r="B108" s="795"/>
      <c r="C108" s="440" t="s">
        <v>2455</v>
      </c>
      <c r="D108" s="806">
        <f>D69</f>
        <v>10</v>
      </c>
      <c r="E108" s="806">
        <f>D108</f>
        <v>10</v>
      </c>
    </row>
    <row r="109" spans="2:5">
      <c r="B109" s="795"/>
      <c r="C109" s="231" t="s">
        <v>2456</v>
      </c>
      <c r="D109" s="797">
        <f>(D108/100)*D105</f>
        <v>450355930.63342297</v>
      </c>
      <c r="E109" s="797">
        <f>(E108/100)*E105</f>
        <v>594973722.47684026</v>
      </c>
    </row>
    <row r="110" spans="2:5">
      <c r="B110" s="798"/>
      <c r="C110" s="799"/>
      <c r="D110" s="800"/>
      <c r="E110" s="800"/>
    </row>
    <row r="111" spans="2:5">
      <c r="B111" s="810" t="s">
        <v>2462</v>
      </c>
      <c r="C111" s="811"/>
      <c r="D111" s="812">
        <f>D105+D109</f>
        <v>4953915236.9676523</v>
      </c>
      <c r="E111" s="812">
        <f>E105+E109</f>
        <v>6544710947.2452421</v>
      </c>
    </row>
    <row r="113" spans="2:7">
      <c r="B113" s="307" t="s">
        <v>2463</v>
      </c>
      <c r="D113" s="814">
        <f>D70+D109</f>
        <v>452051111.0595926</v>
      </c>
      <c r="E113" s="814">
        <f>E70+E109</f>
        <v>598005058.2082237</v>
      </c>
    </row>
    <row r="115" spans="2:7">
      <c r="B115" s="307" t="s">
        <v>2464</v>
      </c>
    </row>
    <row r="117" spans="2:7">
      <c r="B117" s="801" t="s">
        <v>2465</v>
      </c>
      <c r="C117" s="794"/>
      <c r="D117" s="793"/>
      <c r="E117" s="815"/>
    </row>
    <row r="118" spans="2:7">
      <c r="B118" s="798" t="s">
        <v>2466</v>
      </c>
      <c r="C118" s="799"/>
      <c r="D118" s="816">
        <f>C13</f>
        <v>1700</v>
      </c>
      <c r="E118" s="817">
        <f>D118</f>
        <v>1700</v>
      </c>
    </row>
    <row r="119" spans="2:7">
      <c r="B119" s="793" t="s">
        <v>2467</v>
      </c>
      <c r="C119" s="794"/>
      <c r="D119" s="818">
        <f>D72/D118</f>
        <v>10968.814522273997</v>
      </c>
      <c r="E119" s="819">
        <f>E72/E118</f>
        <v>19614.525320716479</v>
      </c>
    </row>
    <row r="120" spans="2:7">
      <c r="B120" s="798"/>
      <c r="C120" s="799"/>
      <c r="D120" s="798"/>
      <c r="E120" s="817"/>
    </row>
    <row r="121" spans="2:7">
      <c r="B121" s="808" t="s">
        <v>2468</v>
      </c>
      <c r="C121" s="794"/>
      <c r="D121" s="793"/>
      <c r="E121" s="815"/>
    </row>
    <row r="122" spans="2:7">
      <c r="B122" s="820">
        <v>1</v>
      </c>
      <c r="C122" s="239">
        <f>D118</f>
        <v>1700</v>
      </c>
      <c r="D122" s="821">
        <f>D111/C12 + D119</f>
        <v>121055.81978822182</v>
      </c>
      <c r="E122" s="822">
        <f>E111/C12 + E119</f>
        <v>165052.54637061077</v>
      </c>
    </row>
    <row r="123" spans="2:7">
      <c r="B123" s="816">
        <f>C122  +1</f>
        <v>1701</v>
      </c>
      <c r="C123" s="823">
        <f>C12</f>
        <v>45000</v>
      </c>
      <c r="D123" s="824">
        <f>D111/C12</f>
        <v>110087.00526594782</v>
      </c>
      <c r="E123" s="825">
        <f>E111/C12</f>
        <v>145438.02104989428</v>
      </c>
    </row>
    <row r="126" spans="2:7">
      <c r="B126" s="307" t="s">
        <v>2469</v>
      </c>
      <c r="D126" s="791" t="s">
        <v>2426</v>
      </c>
      <c r="E126" s="791" t="s">
        <v>2427</v>
      </c>
      <c r="F126" s="826" t="s">
        <v>2490</v>
      </c>
      <c r="G126" s="826" t="s">
        <v>1812</v>
      </c>
    </row>
    <row r="127" spans="2:7">
      <c r="D127" s="800"/>
      <c r="E127" s="800"/>
      <c r="F127" s="800"/>
      <c r="G127" s="800"/>
    </row>
    <row r="128" spans="2:7">
      <c r="B128" s="335" t="s">
        <v>2470</v>
      </c>
      <c r="C128" s="329" t="s">
        <v>2430</v>
      </c>
      <c r="D128" s="857">
        <f>(D35+D81)</f>
        <v>17007162.15947542</v>
      </c>
      <c r="E128" s="857">
        <f>(E35+E81)</f>
        <v>88744347.56703347</v>
      </c>
      <c r="F128" s="827">
        <f>E128-D128</f>
        <v>71737185.407558054</v>
      </c>
      <c r="G128" s="828">
        <f t="shared" ref="G128:G135" si="0">(E128-D128)/D128</f>
        <v>4.2180573534186117</v>
      </c>
    </row>
    <row r="129" spans="2:7">
      <c r="B129" s="335" t="s">
        <v>2471</v>
      </c>
      <c r="C129" s="792" t="s">
        <v>2432</v>
      </c>
      <c r="D129" s="858">
        <f>D38</f>
        <v>193253.38074756201</v>
      </c>
      <c r="E129" s="858">
        <f>E38</f>
        <v>5612849.5358813265</v>
      </c>
      <c r="F129" s="827">
        <f t="shared" ref="F129:F135" si="1">E129-D129</f>
        <v>5419596.1551337643</v>
      </c>
      <c r="G129" s="829">
        <f t="shared" si="0"/>
        <v>28.043991438437669</v>
      </c>
    </row>
    <row r="130" spans="2:7">
      <c r="B130" s="94" t="s">
        <v>2472</v>
      </c>
      <c r="C130" s="792" t="s">
        <v>2436</v>
      </c>
      <c r="D130" s="858">
        <f>D42+D85</f>
        <v>1680870880.2281747</v>
      </c>
      <c r="E130" s="858">
        <f>E42+E85</f>
        <v>2684802676.7508349</v>
      </c>
      <c r="F130" s="827">
        <f t="shared" si="1"/>
        <v>1003931796.5226603</v>
      </c>
      <c r="G130" s="829">
        <f t="shared" si="0"/>
        <v>0.59726883744120707</v>
      </c>
    </row>
    <row r="131" spans="2:7">
      <c r="B131" s="94" t="s">
        <v>2473</v>
      </c>
      <c r="C131" s="792" t="s">
        <v>2474</v>
      </c>
      <c r="D131" s="858">
        <f>D45+D88</f>
        <v>1331256310.7773054</v>
      </c>
      <c r="E131" s="858">
        <f>E45+E88</f>
        <v>1507963348.23559</v>
      </c>
      <c r="F131" s="827">
        <f t="shared" si="1"/>
        <v>176707037.45828462</v>
      </c>
      <c r="G131" s="829">
        <f t="shared" si="0"/>
        <v>0.13273705148117373</v>
      </c>
    </row>
    <row r="132" spans="2:7">
      <c r="B132" s="94" t="s">
        <v>2475</v>
      </c>
      <c r="C132" s="792" t="s">
        <v>2441</v>
      </c>
      <c r="D132" s="858">
        <f>D49+D92</f>
        <v>56942904.417873666</v>
      </c>
      <c r="E132" s="858">
        <f>E49+E92</f>
        <v>112373369.30563757</v>
      </c>
      <c r="F132" s="827">
        <f t="shared" si="1"/>
        <v>55430464.887763903</v>
      </c>
      <c r="G132" s="829">
        <f t="shared" si="0"/>
        <v>0.9734393679849771</v>
      </c>
    </row>
    <row r="133" spans="2:7">
      <c r="B133" s="94" t="s">
        <v>2476</v>
      </c>
      <c r="C133" s="792" t="s">
        <v>2477</v>
      </c>
      <c r="D133" s="858">
        <f>D54+D97</f>
        <v>242177406.74598518</v>
      </c>
      <c r="E133" s="858">
        <f>E54+E97</f>
        <v>386822424.92768615</v>
      </c>
      <c r="F133" s="827">
        <f t="shared" si="1"/>
        <v>144645018.18170097</v>
      </c>
      <c r="G133" s="829">
        <f t="shared" si="0"/>
        <v>0.5972688374412074</v>
      </c>
    </row>
    <row r="134" spans="2:7">
      <c r="B134" s="94" t="s">
        <v>753</v>
      </c>
      <c r="C134" s="792" t="s">
        <v>2452</v>
      </c>
      <c r="D134" s="859">
        <f>D64+D103</f>
        <v>1192051328.3967595</v>
      </c>
      <c r="E134" s="859">
        <f>E64+E103</f>
        <v>1192051328.3967595</v>
      </c>
      <c r="F134" s="827">
        <f t="shared" si="1"/>
        <v>0</v>
      </c>
      <c r="G134" s="829">
        <f t="shared" si="0"/>
        <v>0</v>
      </c>
    </row>
    <row r="135" spans="2:7">
      <c r="B135" s="94" t="s">
        <v>2419</v>
      </c>
      <c r="C135" s="800" t="s">
        <v>2478</v>
      </c>
      <c r="D135" s="860">
        <f>D70+D109</f>
        <v>452051111.0595926</v>
      </c>
      <c r="E135" s="860">
        <f>E70+E109</f>
        <v>598005058.2082237</v>
      </c>
      <c r="F135" s="861">
        <f t="shared" si="1"/>
        <v>145953947.1486311</v>
      </c>
      <c r="G135" s="830">
        <f t="shared" si="0"/>
        <v>0.32287045331338737</v>
      </c>
    </row>
  </sheetData>
  <printOptions gridLines="1" gridLinesSet="0"/>
  <pageMargins left="0.75" right="0.75" top="1" bottom="1" header="0.5" footer="0.5"/>
  <pageSetup orientation="portrait" horizontalDpi="204" verticalDpi="196" r:id="rId1"/>
  <headerFooter alignWithMargins="0"/>
  <rowBreaks count="1" manualBreakCount="1">
    <brk id="49" max="65535" man="1"/>
  </rowBreak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2:O90"/>
  <sheetViews>
    <sheetView zoomScale="70" zoomScaleNormal="70" workbookViewId="0"/>
  </sheetViews>
  <sheetFormatPr defaultColWidth="9.109375" defaultRowHeight="13.2"/>
  <cols>
    <col min="1" max="1" width="4.44140625" style="303" customWidth="1"/>
    <col min="2" max="6" width="9.109375" style="303"/>
    <col min="7" max="7" width="9.44140625" style="303" bestFit="1" customWidth="1"/>
    <col min="8" max="16384" width="9.109375" style="303"/>
  </cols>
  <sheetData>
    <row r="2" spans="2:14" ht="21">
      <c r="B2" s="20" t="s">
        <v>972</v>
      </c>
    </row>
    <row r="3" spans="2:14" ht="22.8">
      <c r="B3" s="304"/>
      <c r="M3" s="1351" t="s">
        <v>2761</v>
      </c>
    </row>
    <row r="4" spans="2:14" ht="15">
      <c r="B4" s="304"/>
      <c r="F4" s="94" t="s">
        <v>973</v>
      </c>
      <c r="G4" s="305"/>
      <c r="I4" s="850">
        <f>'11'!AD10</f>
        <v>0.45</v>
      </c>
    </row>
    <row r="5" spans="2:14">
      <c r="B5" s="307" t="s">
        <v>974</v>
      </c>
      <c r="F5" s="308"/>
      <c r="G5" s="309"/>
      <c r="H5" s="101" t="s">
        <v>975</v>
      </c>
      <c r="I5" s="310">
        <v>0.2</v>
      </c>
    </row>
    <row r="6" spans="2:14">
      <c r="E6" s="307" t="s">
        <v>976</v>
      </c>
      <c r="F6" s="101"/>
      <c r="G6" s="311"/>
      <c r="H6" s="309"/>
      <c r="I6" s="251"/>
      <c r="K6" s="308"/>
      <c r="L6" s="239"/>
      <c r="M6" s="309"/>
      <c r="N6" s="239"/>
    </row>
    <row r="7" spans="2:14">
      <c r="B7" s="307" t="s">
        <v>977</v>
      </c>
      <c r="E7" s="307" t="s">
        <v>978</v>
      </c>
      <c r="G7" s="94"/>
      <c r="H7" s="96" t="s">
        <v>979</v>
      </c>
      <c r="K7" s="239"/>
      <c r="L7" s="312"/>
      <c r="M7" s="239"/>
      <c r="N7" s="313"/>
    </row>
    <row r="8" spans="2:14">
      <c r="B8" s="314" t="s">
        <v>196</v>
      </c>
      <c r="C8" s="314" t="s">
        <v>197</v>
      </c>
      <c r="E8" s="314" t="s">
        <v>196</v>
      </c>
      <c r="F8" s="314" t="s">
        <v>197</v>
      </c>
      <c r="G8" s="94"/>
      <c r="H8" s="315" t="s">
        <v>980</v>
      </c>
      <c r="I8" s="316">
        <f>'6'!N14*'5'!T15</f>
        <v>12.674999999999999</v>
      </c>
      <c r="J8" s="315" t="s">
        <v>188</v>
      </c>
    </row>
    <row r="9" spans="2:14">
      <c r="B9" s="317">
        <f>'4'!B87</f>
        <v>0</v>
      </c>
      <c r="C9" s="317">
        <f>'4'!C87</f>
        <v>0</v>
      </c>
      <c r="E9" s="316">
        <f>'4'!E87</f>
        <v>0</v>
      </c>
      <c r="F9" s="316">
        <f>'4'!F87</f>
        <v>6.4692627650146219</v>
      </c>
      <c r="G9" s="318"/>
      <c r="H9" s="315" t="s">
        <v>981</v>
      </c>
      <c r="I9" s="316">
        <f>'6'!M14*'5'!T15</f>
        <v>12.674999999999999</v>
      </c>
      <c r="J9" s="315" t="s">
        <v>188</v>
      </c>
    </row>
    <row r="10" spans="2:14">
      <c r="B10" s="317">
        <f>'4'!B88</f>
        <v>4.3859408576370313</v>
      </c>
      <c r="C10" s="317">
        <f>'4'!C88</f>
        <v>0</v>
      </c>
      <c r="E10" s="316">
        <f>'4'!E88</f>
        <v>4.3859408576370313</v>
      </c>
      <c r="F10" s="316">
        <f>'4'!F88</f>
        <v>6.4692627650146219</v>
      </c>
      <c r="G10" s="318"/>
      <c r="H10" s="319" t="s">
        <v>982</v>
      </c>
      <c r="I10" s="316">
        <f>'6'!N16</f>
        <v>0</v>
      </c>
      <c r="J10" s="315" t="s">
        <v>188</v>
      </c>
    </row>
    <row r="11" spans="2:14">
      <c r="B11" s="317">
        <f>'4'!B89</f>
        <v>4.3859408576370313</v>
      </c>
      <c r="C11" s="317">
        <f>'4'!C89</f>
        <v>12.938525530029244</v>
      </c>
      <c r="D11" s="320"/>
      <c r="F11" s="94"/>
      <c r="G11" s="94"/>
      <c r="H11" s="315" t="s">
        <v>983</v>
      </c>
      <c r="I11" s="316">
        <f>'6'!M16</f>
        <v>0</v>
      </c>
      <c r="J11" s="315" t="s">
        <v>188</v>
      </c>
    </row>
    <row r="12" spans="2:14">
      <c r="B12" s="317">
        <f>'4'!B90</f>
        <v>0</v>
      </c>
      <c r="C12" s="317">
        <f>'4'!C90</f>
        <v>12.938525530029244</v>
      </c>
      <c r="D12" s="320"/>
      <c r="F12" s="94"/>
      <c r="G12" s="94"/>
      <c r="H12" s="319" t="s">
        <v>984</v>
      </c>
      <c r="I12" s="306">
        <v>0</v>
      </c>
      <c r="J12" s="315" t="s">
        <v>188</v>
      </c>
    </row>
    <row r="13" spans="2:14">
      <c r="B13" s="317">
        <f>'4'!B91</f>
        <v>0</v>
      </c>
      <c r="C13" s="317">
        <f>'4'!C91</f>
        <v>0</v>
      </c>
      <c r="E13" s="319" t="s">
        <v>985</v>
      </c>
      <c r="F13" s="319"/>
      <c r="G13" s="321"/>
      <c r="H13" s="319" t="s">
        <v>986</v>
      </c>
      <c r="I13" s="322">
        <f>E$9+((E$10-E$9)/4)+I8-(I21+((I22-I21)/4))</f>
        <v>12.204919837704528</v>
      </c>
      <c r="J13" s="319" t="s">
        <v>188</v>
      </c>
    </row>
    <row r="14" spans="2:14">
      <c r="B14" s="309"/>
      <c r="C14" s="309"/>
      <c r="D14" s="323"/>
      <c r="E14" s="319" t="s">
        <v>196</v>
      </c>
      <c r="F14" s="319" t="s">
        <v>197</v>
      </c>
      <c r="G14" s="321"/>
      <c r="H14" s="319" t="s">
        <v>987</v>
      </c>
      <c r="I14" s="322">
        <f>E$9+((E$10-E$9)/4)+I9-(I23+((I24-I23)/4))</f>
        <v>12.977739179687477</v>
      </c>
      <c r="J14" s="319" t="s">
        <v>188</v>
      </c>
    </row>
    <row r="15" spans="2:14">
      <c r="C15" s="324"/>
      <c r="E15" s="319">
        <f>E9</f>
        <v>0</v>
      </c>
      <c r="F15" s="325">
        <f>I5</f>
        <v>0.2</v>
      </c>
      <c r="G15" s="326"/>
      <c r="K15" s="323"/>
    </row>
    <row r="16" spans="2:14">
      <c r="B16" s="309"/>
      <c r="C16" s="324"/>
      <c r="D16" s="323"/>
      <c r="E16" s="319">
        <f>E10</f>
        <v>4.3859408576370313</v>
      </c>
      <c r="F16" s="325">
        <f>I5</f>
        <v>0.2</v>
      </c>
      <c r="G16" s="326"/>
      <c r="H16" s="94"/>
      <c r="I16" s="309"/>
      <c r="J16" s="94"/>
      <c r="K16" s="323"/>
    </row>
    <row r="18" spans="2:11">
      <c r="F18" s="309"/>
      <c r="G18" s="309"/>
      <c r="H18" s="96" t="s">
        <v>988</v>
      </c>
    </row>
    <row r="19" spans="2:11">
      <c r="B19" s="96" t="s">
        <v>989</v>
      </c>
      <c r="C19" s="223"/>
      <c r="E19" s="96" t="s">
        <v>990</v>
      </c>
      <c r="F19" s="239"/>
      <c r="G19" s="239"/>
      <c r="H19" s="96" t="s">
        <v>991</v>
      </c>
    </row>
    <row r="20" spans="2:11">
      <c r="B20" s="319" t="s">
        <v>196</v>
      </c>
      <c r="C20" s="315" t="s">
        <v>197</v>
      </c>
      <c r="E20" s="327" t="s">
        <v>196</v>
      </c>
      <c r="F20" s="328" t="s">
        <v>197</v>
      </c>
      <c r="G20" s="239"/>
      <c r="H20" s="328"/>
      <c r="I20" s="329" t="s">
        <v>196</v>
      </c>
      <c r="J20" s="329" t="s">
        <v>197</v>
      </c>
    </row>
    <row r="21" spans="2:11">
      <c r="B21" s="330">
        <f>'6'!N78</f>
        <v>0</v>
      </c>
      <c r="C21" s="330">
        <f>'6'!O78</f>
        <v>0</v>
      </c>
      <c r="D21" s="191"/>
      <c r="E21" s="330">
        <f>'6'!B78</f>
        <v>0</v>
      </c>
      <c r="F21" s="330">
        <f>'6'!C78</f>
        <v>0</v>
      </c>
      <c r="G21" s="191"/>
      <c r="H21" s="330" t="s">
        <v>324</v>
      </c>
      <c r="I21" s="330">
        <f>'6'!R78</f>
        <v>0.60286871849851953</v>
      </c>
      <c r="J21" s="330">
        <f>'6'!S78</f>
        <v>2.2499366877304139</v>
      </c>
    </row>
    <row r="22" spans="2:11">
      <c r="B22" s="330">
        <f>'6'!N79</f>
        <v>4.7201468973365328</v>
      </c>
      <c r="C22" s="330">
        <f>'6'!O79</f>
        <v>0</v>
      </c>
      <c r="D22" s="191"/>
      <c r="E22" s="330">
        <f>'6'!B79</f>
        <v>3.503250473208646</v>
      </c>
      <c r="F22" s="330">
        <f>'6'!C79</f>
        <v>0</v>
      </c>
      <c r="G22" s="191"/>
      <c r="H22" s="330"/>
      <c r="I22" s="330">
        <f>'6'!R79</f>
        <v>4.4576553513233543</v>
      </c>
      <c r="J22" s="330">
        <f>'6'!S79</f>
        <v>2.2499366877304139</v>
      </c>
    </row>
    <row r="23" spans="2:11">
      <c r="B23" s="330">
        <f>'6'!N80</f>
        <v>4.1474380696714164</v>
      </c>
      <c r="C23" s="330">
        <f>'6'!O80</f>
        <v>4.908952773229994</v>
      </c>
      <c r="D23" s="191"/>
      <c r="E23" s="330">
        <f>'6'!B80</f>
        <v>2.2732209670706727</v>
      </c>
      <c r="F23" s="330">
        <f>'6'!C80</f>
        <v>4.9045506624921051</v>
      </c>
      <c r="G23" s="191"/>
      <c r="H23" s="330" t="s">
        <v>538</v>
      </c>
      <c r="I23" s="330">
        <f>'6'!R80</f>
        <v>7.8499063108347478E-2</v>
      </c>
      <c r="J23" s="330">
        <f>'6'!S80</f>
        <v>2.2479190536422147</v>
      </c>
    </row>
    <row r="24" spans="2:11">
      <c r="B24" s="330">
        <f>'6'!N81</f>
        <v>1.3153499312694972</v>
      </c>
      <c r="C24" s="330">
        <f>'6'!O81</f>
        <v>4.908952773229994</v>
      </c>
      <c r="D24" s="191"/>
      <c r="E24" s="330">
        <f>'6'!B81</f>
        <v>0.17127068314548544</v>
      </c>
      <c r="F24" s="330">
        <f>'6'!C81</f>
        <v>4.9045506624921051</v>
      </c>
      <c r="G24" s="191"/>
      <c r="H24" s="330"/>
      <c r="I24" s="330">
        <f>'6'!R81</f>
        <v>2.9394869495620748</v>
      </c>
      <c r="J24" s="330">
        <f>'6'!S81</f>
        <v>2.2479190536422147</v>
      </c>
    </row>
    <row r="25" spans="2:11">
      <c r="B25" s="330">
        <f>'6'!N82</f>
        <v>0</v>
      </c>
      <c r="C25" s="330">
        <f>'6'!O82</f>
        <v>0</v>
      </c>
      <c r="D25" s="191"/>
      <c r="E25" s="330">
        <f>'6'!B82</f>
        <v>0</v>
      </c>
      <c r="F25" s="330">
        <f>'6'!C82</f>
        <v>0</v>
      </c>
      <c r="G25" s="191"/>
      <c r="H25" s="330"/>
      <c r="I25" s="330"/>
      <c r="J25" s="330"/>
    </row>
    <row r="26" spans="2:11">
      <c r="F26" s="309"/>
      <c r="G26" s="309"/>
      <c r="H26" s="94"/>
    </row>
    <row r="27" spans="2:11">
      <c r="B27" s="331">
        <f>B21+I$13</f>
        <v>12.204919837704528</v>
      </c>
      <c r="C27" s="332">
        <f>C21+I$10</f>
        <v>0</v>
      </c>
      <c r="E27" s="332">
        <f>E21+I$14</f>
        <v>12.977739179687477</v>
      </c>
      <c r="F27" s="309">
        <f>F21+I$12</f>
        <v>0</v>
      </c>
      <c r="G27" s="309"/>
      <c r="H27" s="94"/>
      <c r="I27" s="324">
        <f>I21+I$13</f>
        <v>12.807788556203048</v>
      </c>
      <c r="J27" s="332">
        <f>J21+I$10</f>
        <v>2.2499366877304139</v>
      </c>
      <c r="K27" s="333">
        <f>I$5</f>
        <v>0.2</v>
      </c>
    </row>
    <row r="28" spans="2:11">
      <c r="B28" s="331">
        <f>B22+I$13</f>
        <v>16.92506673504106</v>
      </c>
      <c r="C28" s="332">
        <f>C22+I$10</f>
        <v>0</v>
      </c>
      <c r="E28" s="332">
        <f>E22+I$14</f>
        <v>16.480989652896124</v>
      </c>
      <c r="F28" s="309">
        <f>F22+I$12</f>
        <v>0</v>
      </c>
      <c r="G28" s="309"/>
      <c r="H28" s="94"/>
      <c r="I28" s="324">
        <f>I22+I$13</f>
        <v>16.662575189027883</v>
      </c>
      <c r="J28" s="332">
        <f>J22+I$10</f>
        <v>2.2499366877304139</v>
      </c>
      <c r="K28" s="333">
        <f>I$5</f>
        <v>0.2</v>
      </c>
    </row>
    <row r="29" spans="2:11">
      <c r="B29" s="331">
        <f>B23+I$13</f>
        <v>16.352357907375946</v>
      </c>
      <c r="C29" s="332">
        <f>C23+I$10</f>
        <v>4.908952773229994</v>
      </c>
      <c r="E29" s="332">
        <f>E23+I$14</f>
        <v>15.25096014675815</v>
      </c>
      <c r="F29" s="309">
        <f>F23+I$12</f>
        <v>4.9045506624921051</v>
      </c>
      <c r="G29" s="309"/>
      <c r="H29" s="94"/>
      <c r="I29" s="324">
        <f>I23+I$14</f>
        <v>13.056238242795825</v>
      </c>
      <c r="J29" s="332">
        <f>J23+I$12</f>
        <v>2.2479190536422147</v>
      </c>
      <c r="K29" s="333">
        <f>IF(I$11=0,$I$5,I$11)</f>
        <v>0.2</v>
      </c>
    </row>
    <row r="30" spans="2:11">
      <c r="B30" s="331">
        <f>B24+I$13</f>
        <v>13.520269768974025</v>
      </c>
      <c r="C30" s="332">
        <f>C24+I$10</f>
        <v>4.908952773229994</v>
      </c>
      <c r="E30" s="332">
        <f>E24+I$14</f>
        <v>13.149009862832962</v>
      </c>
      <c r="F30" s="309">
        <f>F24+I$12</f>
        <v>4.9045506624921051</v>
      </c>
      <c r="G30" s="309"/>
      <c r="H30" s="94"/>
      <c r="I30" s="324">
        <f>I24+I$14</f>
        <v>15.917226129249553</v>
      </c>
      <c r="J30" s="332">
        <f>J24+I$12</f>
        <v>2.2479190536422147</v>
      </c>
      <c r="K30" s="333">
        <f>IF(I$11=0,$I$5,I$11)</f>
        <v>0.2</v>
      </c>
    </row>
    <row r="31" spans="2:11">
      <c r="B31" s="331">
        <f>B25+I$13</f>
        <v>12.204919837704528</v>
      </c>
      <c r="C31" s="332">
        <f>C25+I$10</f>
        <v>0</v>
      </c>
      <c r="E31" s="332">
        <f>E25+I$14</f>
        <v>12.977739179687477</v>
      </c>
      <c r="F31" s="309">
        <f>F25+I$12</f>
        <v>0</v>
      </c>
      <c r="G31" s="309"/>
      <c r="H31" s="94"/>
    </row>
    <row r="32" spans="2:11">
      <c r="F32" s="309"/>
      <c r="G32" s="309"/>
      <c r="H32" s="94"/>
    </row>
    <row r="33" spans="2:12">
      <c r="B33" s="307" t="s">
        <v>992</v>
      </c>
      <c r="E33" s="307" t="s">
        <v>993</v>
      </c>
      <c r="F33" s="309"/>
      <c r="G33" s="309"/>
      <c r="H33" s="96" t="s">
        <v>451</v>
      </c>
    </row>
    <row r="34" spans="2:12">
      <c r="B34" s="319" t="s">
        <v>196</v>
      </c>
      <c r="C34" s="316" t="s">
        <v>197</v>
      </c>
      <c r="E34" s="319" t="s">
        <v>196</v>
      </c>
      <c r="F34" s="316" t="s">
        <v>197</v>
      </c>
      <c r="G34" s="309"/>
      <c r="H34" s="319" t="s">
        <v>196</v>
      </c>
      <c r="I34" s="316" t="s">
        <v>197</v>
      </c>
    </row>
    <row r="35" spans="2:12">
      <c r="B35" s="303">
        <v>0</v>
      </c>
      <c r="C35" s="332">
        <f>I10</f>
        <v>0</v>
      </c>
      <c r="E35" s="332">
        <f>-F23-I12</f>
        <v>-4.9045506624921051</v>
      </c>
      <c r="F35" s="333">
        <f>IF($I$11=0,$I$5,$I$11)</f>
        <v>0.2</v>
      </c>
      <c r="G35" s="309"/>
      <c r="H35" s="101">
        <f>-C11</f>
        <v>-12.938525530029244</v>
      </c>
      <c r="I35" s="326">
        <f>IF(I$11=0,$I$5,0)</f>
        <v>0.2</v>
      </c>
    </row>
    <row r="36" spans="2:12">
      <c r="B36" s="303">
        <f>B35</f>
        <v>0</v>
      </c>
      <c r="C36" s="332">
        <f>C35+C23</f>
        <v>4.908952773229994</v>
      </c>
      <c r="E36" s="334">
        <f>-I12</f>
        <v>0</v>
      </c>
      <c r="F36" s="333">
        <f>IF($I$11=0,$I$5,$I$11)</f>
        <v>0.2</v>
      </c>
      <c r="G36" s="309"/>
      <c r="H36" s="101">
        <f>C12</f>
        <v>12.938525530029244</v>
      </c>
      <c r="I36" s="326">
        <f>IF(I$11=0,$I$5,0)</f>
        <v>0.2</v>
      </c>
    </row>
    <row r="37" spans="2:12">
      <c r="E37" s="332">
        <f>F23+I12</f>
        <v>4.9045506624921051</v>
      </c>
      <c r="F37" s="333">
        <f>IF($I$11=0,$I$5,$I$11)</f>
        <v>0.2</v>
      </c>
      <c r="G37" s="309"/>
      <c r="H37" s="94"/>
    </row>
    <row r="38" spans="2:12">
      <c r="E38" s="332">
        <f>I12</f>
        <v>0</v>
      </c>
      <c r="F38" s="333">
        <f>IF($I$11=0,$I$5,$I$11)</f>
        <v>0.2</v>
      </c>
      <c r="G38" s="309"/>
      <c r="H38" s="94"/>
    </row>
    <row r="39" spans="2:12">
      <c r="F39" s="309"/>
      <c r="G39" s="309"/>
      <c r="H39" s="94"/>
    </row>
    <row r="40" spans="2:12">
      <c r="F40" s="309"/>
      <c r="G40" s="309"/>
      <c r="H40" s="94"/>
    </row>
    <row r="41" spans="2:12">
      <c r="F41" s="335"/>
    </row>
    <row r="42" spans="2:12">
      <c r="B42" s="335"/>
    </row>
    <row r="44" spans="2:12">
      <c r="B44" s="336" t="s">
        <v>994</v>
      </c>
      <c r="C44" s="319"/>
      <c r="D44" s="337"/>
      <c r="F44" s="94"/>
      <c r="G44" s="96"/>
      <c r="H44" s="94"/>
      <c r="I44" s="338"/>
      <c r="J44" s="303" t="s">
        <v>2775</v>
      </c>
    </row>
    <row r="45" spans="2:12">
      <c r="B45" s="339"/>
      <c r="C45" s="340" t="s">
        <v>34</v>
      </c>
      <c r="D45" s="340" t="s">
        <v>34</v>
      </c>
      <c r="E45" s="319" t="s">
        <v>995</v>
      </c>
      <c r="F45" s="340" t="s">
        <v>996</v>
      </c>
      <c r="G45" s="340" t="s">
        <v>996</v>
      </c>
      <c r="H45" s="195"/>
      <c r="I45" s="195"/>
      <c r="J45" s="332"/>
      <c r="K45" s="303" t="s">
        <v>2776</v>
      </c>
      <c r="L45" s="303" t="s">
        <v>2777</v>
      </c>
    </row>
    <row r="46" spans="2:12">
      <c r="B46" s="319" t="s">
        <v>997</v>
      </c>
      <c r="C46" s="340" t="s">
        <v>263</v>
      </c>
      <c r="D46" s="340" t="s">
        <v>264</v>
      </c>
      <c r="E46" s="341" t="s">
        <v>997</v>
      </c>
      <c r="F46" s="319" t="s">
        <v>263</v>
      </c>
      <c r="G46" s="315" t="s">
        <v>264</v>
      </c>
      <c r="H46" s="195"/>
      <c r="I46" s="195"/>
      <c r="J46" s="332" t="s">
        <v>56</v>
      </c>
      <c r="K46" s="331">
        <f>(-1)*E47/B57</f>
        <v>0.39809537446583393</v>
      </c>
      <c r="L46" s="331">
        <f>(((-1)*E47)+B10)/B57</f>
        <v>0.60571387660249809</v>
      </c>
    </row>
    <row r="47" spans="2:12">
      <c r="B47" s="342">
        <f>'5'!AB9</f>
        <v>0</v>
      </c>
      <c r="C47" s="340">
        <f>'5'!AF9</f>
        <v>0</v>
      </c>
      <c r="D47" s="340">
        <f>'5'!AG9</f>
        <v>0</v>
      </c>
      <c r="E47" s="342">
        <f t="shared" ref="E47:E57" si="0">B47+E$9+(0.25*(E$10-E$9))-(I$4*B$57)</f>
        <v>-8.4097647855907418</v>
      </c>
      <c r="F47" s="340">
        <f>C47/2</f>
        <v>0</v>
      </c>
      <c r="G47" s="340">
        <f>D47/2</f>
        <v>0</v>
      </c>
      <c r="H47" s="231"/>
      <c r="I47" s="231"/>
      <c r="J47" s="324" t="s">
        <v>2778</v>
      </c>
      <c r="K47" s="331">
        <f>((-1)*E47+E27)/B57</f>
        <v>1.0124262232084364</v>
      </c>
      <c r="L47" s="331">
        <f>((-1)*E47+E28)/B57</f>
        <v>1.1782605651354729</v>
      </c>
    </row>
    <row r="48" spans="2:12">
      <c r="B48" s="342">
        <f>'5'!AB10</f>
        <v>2.1125000000000003</v>
      </c>
      <c r="C48" s="340">
        <f>'5'!AF10</f>
        <v>2.5</v>
      </c>
      <c r="D48" s="340">
        <f>'5'!AG10</f>
        <v>2.5</v>
      </c>
      <c r="E48" s="342">
        <f t="shared" si="0"/>
        <v>-6.2972647855907411</v>
      </c>
      <c r="F48" s="340">
        <f t="shared" ref="F48:G57" si="1">C48/2</f>
        <v>1.25</v>
      </c>
      <c r="G48" s="340">
        <f t="shared" si="1"/>
        <v>1.25</v>
      </c>
      <c r="H48" s="231"/>
      <c r="I48" s="231"/>
      <c r="J48" s="324" t="s">
        <v>2779</v>
      </c>
      <c r="K48" s="331">
        <f>((-1)*E47+B27)/B57</f>
        <v>0.9758430590909003</v>
      </c>
      <c r="L48" s="331">
        <f>((-1)*E47+B28)/B57</f>
        <v>1.1992819654736948</v>
      </c>
    </row>
    <row r="49" spans="2:15">
      <c r="B49" s="342">
        <f>'5'!AB11</f>
        <v>4.2250000000000005</v>
      </c>
      <c r="C49" s="340">
        <f>'5'!AF11</f>
        <v>3</v>
      </c>
      <c r="D49" s="340">
        <f>'5'!AG11</f>
        <v>3.5</v>
      </c>
      <c r="E49" s="342">
        <f t="shared" si="0"/>
        <v>-4.1847647855907413</v>
      </c>
      <c r="F49" s="340">
        <f t="shared" si="1"/>
        <v>1.5</v>
      </c>
      <c r="G49" s="340">
        <f t="shared" si="1"/>
        <v>1.75</v>
      </c>
      <c r="H49" s="231"/>
      <c r="I49" s="231"/>
      <c r="J49" s="309"/>
    </row>
    <row r="50" spans="2:15">
      <c r="B50" s="342">
        <f>'5'!AB12</f>
        <v>6.3374999999999995</v>
      </c>
      <c r="C50" s="340">
        <f>'5'!AF12</f>
        <v>2.9</v>
      </c>
      <c r="D50" s="340">
        <f>'5'!AG12</f>
        <v>3.25</v>
      </c>
      <c r="E50" s="342">
        <f t="shared" si="0"/>
        <v>-2.0722647855907423</v>
      </c>
      <c r="F50" s="340">
        <f t="shared" si="1"/>
        <v>1.45</v>
      </c>
      <c r="G50" s="340">
        <f t="shared" si="1"/>
        <v>1.625</v>
      </c>
      <c r="H50" s="231"/>
      <c r="I50" s="231"/>
      <c r="J50" s="239"/>
    </row>
    <row r="51" spans="2:15">
      <c r="B51" s="342">
        <f>'5'!AB13</f>
        <v>8.4500000000000011</v>
      </c>
      <c r="C51" s="340">
        <f>'5'!AF13</f>
        <v>2.5</v>
      </c>
      <c r="D51" s="340">
        <f>'5'!AG13</f>
        <v>3</v>
      </c>
      <c r="E51" s="342">
        <f t="shared" si="0"/>
        <v>4.0235214409259257E-2</v>
      </c>
      <c r="F51" s="340">
        <f t="shared" si="1"/>
        <v>1.25</v>
      </c>
      <c r="G51" s="340">
        <f t="shared" si="1"/>
        <v>1.5</v>
      </c>
      <c r="H51" s="231"/>
      <c r="I51" s="231"/>
      <c r="J51" s="239"/>
    </row>
    <row r="52" spans="2:15">
      <c r="B52" s="342">
        <f>'5'!AB14</f>
        <v>10.5625</v>
      </c>
      <c r="C52" s="340">
        <f>'5'!AF14</f>
        <v>2.25</v>
      </c>
      <c r="D52" s="340">
        <f>'5'!AG14</f>
        <v>2.5</v>
      </c>
      <c r="E52" s="342">
        <f t="shared" si="0"/>
        <v>2.1527352144092582</v>
      </c>
      <c r="F52" s="340">
        <f t="shared" si="1"/>
        <v>1.125</v>
      </c>
      <c r="G52" s="340">
        <f t="shared" si="1"/>
        <v>1.25</v>
      </c>
      <c r="H52" s="231"/>
      <c r="I52" s="231"/>
      <c r="J52" s="96"/>
    </row>
    <row r="53" spans="2:15">
      <c r="B53" s="342">
        <f>'5'!AB15</f>
        <v>12.674999999999999</v>
      </c>
      <c r="C53" s="340">
        <f>'5'!AF15</f>
        <v>2</v>
      </c>
      <c r="D53" s="340">
        <f>'5'!AG15</f>
        <v>2</v>
      </c>
      <c r="E53" s="342">
        <f t="shared" si="0"/>
        <v>4.2652352144092571</v>
      </c>
      <c r="F53" s="340">
        <f t="shared" si="1"/>
        <v>1</v>
      </c>
      <c r="G53" s="340">
        <f t="shared" si="1"/>
        <v>1</v>
      </c>
      <c r="H53" s="231"/>
      <c r="I53" s="231"/>
      <c r="J53" s="239"/>
    </row>
    <row r="54" spans="2:15">
      <c r="B54" s="342">
        <f>'5'!AB16</f>
        <v>14.7875</v>
      </c>
      <c r="C54" s="340">
        <f>'5'!AF16</f>
        <v>1.75</v>
      </c>
      <c r="D54" s="340">
        <f>'5'!AG16</f>
        <v>1.5</v>
      </c>
      <c r="E54" s="342">
        <f t="shared" si="0"/>
        <v>6.3777352144092578</v>
      </c>
      <c r="F54" s="340">
        <f t="shared" si="1"/>
        <v>0.875</v>
      </c>
      <c r="G54" s="340">
        <f t="shared" si="1"/>
        <v>0.75</v>
      </c>
      <c r="H54" s="231"/>
      <c r="I54" s="231"/>
      <c r="J54" s="94"/>
    </row>
    <row r="55" spans="2:15">
      <c r="B55" s="342">
        <f>'5'!AB17</f>
        <v>16.900000000000002</v>
      </c>
      <c r="C55" s="340">
        <f>'5'!AF17</f>
        <v>1.5</v>
      </c>
      <c r="D55" s="340">
        <f>'5'!AG17</f>
        <v>1</v>
      </c>
      <c r="E55" s="342">
        <f t="shared" si="0"/>
        <v>8.4902352144092621</v>
      </c>
      <c r="F55" s="340">
        <f t="shared" si="1"/>
        <v>0.75</v>
      </c>
      <c r="G55" s="340">
        <f t="shared" si="1"/>
        <v>0.5</v>
      </c>
      <c r="H55" s="231"/>
      <c r="I55" s="231"/>
      <c r="J55" s="94"/>
    </row>
    <row r="56" spans="2:15">
      <c r="B56" s="342">
        <f>'5'!AB18</f>
        <v>19.012499999999999</v>
      </c>
      <c r="C56" s="340">
        <f>'5'!AF18</f>
        <v>1.25</v>
      </c>
      <c r="D56" s="340">
        <f>'5'!AG18</f>
        <v>0.5</v>
      </c>
      <c r="E56" s="342">
        <f t="shared" si="0"/>
        <v>10.602735214409259</v>
      </c>
      <c r="F56" s="340">
        <f t="shared" si="1"/>
        <v>0.625</v>
      </c>
      <c r="G56" s="340">
        <f t="shared" si="1"/>
        <v>0.25</v>
      </c>
      <c r="H56" s="231"/>
      <c r="I56" s="231"/>
      <c r="J56" s="239"/>
    </row>
    <row r="57" spans="2:15">
      <c r="B57" s="342">
        <f>'5'!AB19</f>
        <v>21.125</v>
      </c>
      <c r="C57" s="340">
        <f>'5'!AF19</f>
        <v>1</v>
      </c>
      <c r="D57" s="340">
        <f>'5'!AG19</f>
        <v>0.25</v>
      </c>
      <c r="E57" s="342">
        <f t="shared" si="0"/>
        <v>12.715235214409256</v>
      </c>
      <c r="F57" s="340">
        <f t="shared" si="1"/>
        <v>0.5</v>
      </c>
      <c r="G57" s="340">
        <f t="shared" si="1"/>
        <v>0.125</v>
      </c>
      <c r="H57" s="231"/>
      <c r="I57" s="231"/>
      <c r="J57" s="239"/>
    </row>
    <row r="58" spans="2:15">
      <c r="F58" s="239"/>
      <c r="G58" s="309"/>
      <c r="H58" s="309"/>
      <c r="I58" s="239"/>
      <c r="J58" s="239"/>
    </row>
    <row r="59" spans="2:15">
      <c r="F59" s="239"/>
      <c r="G59" s="321"/>
      <c r="H59" s="334"/>
      <c r="I59" s="334"/>
      <c r="J59" s="239"/>
    </row>
    <row r="60" spans="2:15">
      <c r="F60" s="239"/>
      <c r="G60" s="96"/>
      <c r="H60" s="239"/>
      <c r="I60" s="239"/>
      <c r="J60" s="239"/>
    </row>
    <row r="61" spans="2:15">
      <c r="B61" s="96" t="s">
        <v>998</v>
      </c>
      <c r="C61" s="94"/>
      <c r="D61" s="338"/>
      <c r="E61" s="94"/>
      <c r="F61" s="239"/>
      <c r="G61" s="440" t="s">
        <v>2603</v>
      </c>
      <c r="H61" s="231"/>
      <c r="I61" s="231"/>
      <c r="J61" s="231"/>
      <c r="K61" s="440" t="s">
        <v>2605</v>
      </c>
      <c r="N61" s="440" t="s">
        <v>2604</v>
      </c>
    </row>
    <row r="62" spans="2:15">
      <c r="C62" s="319" t="s">
        <v>264</v>
      </c>
      <c r="D62" s="319" t="s">
        <v>999</v>
      </c>
      <c r="E62" s="195" t="s">
        <v>1000</v>
      </c>
      <c r="F62" s="343"/>
      <c r="G62" s="231" t="s">
        <v>264</v>
      </c>
      <c r="H62" s="231" t="s">
        <v>999</v>
      </c>
      <c r="I62" s="231" t="s">
        <v>2602</v>
      </c>
      <c r="J62" s="231"/>
      <c r="K62" s="303" t="s">
        <v>196</v>
      </c>
      <c r="L62" s="303" t="s">
        <v>197</v>
      </c>
      <c r="N62" s="303" t="s">
        <v>196</v>
      </c>
      <c r="O62" s="303" t="s">
        <v>197</v>
      </c>
    </row>
    <row r="63" spans="2:15">
      <c r="B63" s="195"/>
      <c r="C63" s="332">
        <f>(-MAX(D$47:D$57)/2)</f>
        <v>-1.75</v>
      </c>
      <c r="D63" s="334">
        <f>(((1-((C63/C$63)^2))^0.5)*((MAX(C$47:C$57)/2)))</f>
        <v>0</v>
      </c>
      <c r="E63" s="334">
        <f>-D63</f>
        <v>0</v>
      </c>
      <c r="F63" s="343"/>
      <c r="G63" s="332">
        <f>IF('2'!F$21=1,0,IF('2'!F$21=2,-'7b'!BA$19/2,IF('2'!F$21=3,0,IF('2'!F$21=4,-'7b'!BA$19/2,IF('2'!F$21=5,0,'7b'!BA$19/2)))))</f>
        <v>-3</v>
      </c>
      <c r="H63" s="334">
        <f>IF('2'!F$21=1,0,IF('2'!F$21=2,(((1-((G63/G$63)^2))^0.5)*(('7b'!BA$19/2))),IF('2'!F$21=3,0,IF('2'!F$21=4,(((1-((G63/G$63)^2))^0.5)*(('7b'!BA$19/2))),IF('2'!F$21=5,0,(((1-((G63/G$63)^2))^0.5)*(('7b'!BA$19/2))))))))</f>
        <v>0</v>
      </c>
      <c r="I63" s="334">
        <f>-H63</f>
        <v>0</v>
      </c>
      <c r="K63" s="324">
        <f>IF('2'!F$21=1,0,IF('2'!F$21=2,E47,IF('2'!F$21=3,0,IF('2'!F$21=4,E47,IF('2'!F$21=5,0,E47)))))</f>
        <v>-8.4097647855907418</v>
      </c>
      <c r="L63" s="324">
        <v>0</v>
      </c>
      <c r="N63" s="324">
        <f>K63</f>
        <v>-8.4097647855907418</v>
      </c>
      <c r="O63" s="324">
        <f>L63</f>
        <v>0</v>
      </c>
    </row>
    <row r="64" spans="2:15">
      <c r="C64" s="332">
        <f t="shared" ref="C64:C88" si="2">C63+((MAX(D$47:D$57))/25)</f>
        <v>-1.6099999999999999</v>
      </c>
      <c r="D64" s="334">
        <f t="shared" ref="D64:D87" si="3">(((1-((C64/C$63)^2))^0.5)*((MAX(C$47:C$57)/2)))</f>
        <v>0.58787753826796307</v>
      </c>
      <c r="E64" s="334">
        <f t="shared" ref="E64:E88" si="4">-D64</f>
        <v>-0.58787753826796307</v>
      </c>
      <c r="F64" s="309"/>
      <c r="G64" s="332">
        <f>IF('2'!F$21=1,0,IF('2'!F$21=2,G63+'7b'!BA$19/25,IF('2'!F$21=3,0,IF('2'!F$21=4,G63+'7b'!BA$19/25,IF('2'!F$21=5,0,G63+'7b'!BA$19/25)))))</f>
        <v>-2.76</v>
      </c>
      <c r="H64" s="334">
        <f>IF('2'!F$21=1,0,IF('2'!F$21=2,(((1-((G64/G$63)^2))^0.5)*(('7b'!BA$19/2))),IF('2'!F$21=3,0,IF('2'!F$21=4,(((1-((G64/G$63)^2))^0.5)*(('7b'!BA$19/2))),IF('2'!F$21=5,0,(((1-((G64/G$63)^2))^0.5)*(('7b'!BA$19/2))))))))</f>
        <v>1.1757550765359261</v>
      </c>
      <c r="I64" s="334">
        <f t="shared" ref="I64:I88" si="5">-H64</f>
        <v>-1.1757550765359261</v>
      </c>
      <c r="K64" s="324">
        <f>K63</f>
        <v>-8.4097647855907418</v>
      </c>
      <c r="L64" s="324">
        <f>IF('2'!F$21=1,0,IF('2'!F$21=2,'7b'!BA19/2,IF('2'!F$21=3,0,IF('2'!F$21=4,'7b'!BA19/2,IF('2'!F$21=5,0,'7b'!BA19/2)))))</f>
        <v>3</v>
      </c>
      <c r="N64" s="324">
        <f>K64</f>
        <v>-8.4097647855907418</v>
      </c>
      <c r="O64" s="324">
        <f>L64</f>
        <v>3</v>
      </c>
    </row>
    <row r="65" spans="2:9">
      <c r="B65" s="195"/>
      <c r="C65" s="332">
        <f t="shared" si="2"/>
        <v>-1.4699999999999998</v>
      </c>
      <c r="D65" s="334">
        <f t="shared" si="3"/>
        <v>0.81387959797503251</v>
      </c>
      <c r="E65" s="334">
        <f t="shared" si="4"/>
        <v>-0.81387959797503251</v>
      </c>
      <c r="F65" s="239"/>
      <c r="G65" s="332">
        <f>IF('2'!F$21=1,0,IF('2'!F$21=2,G64+'7b'!BA$19/25,IF('2'!F$21=3,0,IF('2'!F$21=4,G64+'7b'!BA$19/25,IF('2'!F$21=5,0,G64+'7b'!BA$19/25)))))</f>
        <v>-2.5199999999999996</v>
      </c>
      <c r="H65" s="334">
        <f>IF('2'!F$21=1,0,IF('2'!F$21=2,(((1-((G65/G$63)^2))^0.5)*(('7b'!BA$19/2))),IF('2'!F$21=3,0,IF('2'!F$21=4,(((1-((G65/G$63)^2))^0.5)*(('7b'!BA$19/2))),IF('2'!F$21=5,0,(((1-((G65/G$63)^2))^0.5)*(('7b'!BA$19/2))))))))</f>
        <v>1.627759195950065</v>
      </c>
      <c r="I65" s="334">
        <f t="shared" si="5"/>
        <v>-1.627759195950065</v>
      </c>
    </row>
    <row r="66" spans="2:9">
      <c r="B66" s="239"/>
      <c r="C66" s="332">
        <f t="shared" si="2"/>
        <v>-1.3299999999999996</v>
      </c>
      <c r="D66" s="334">
        <f t="shared" si="3"/>
        <v>0.97488460855631565</v>
      </c>
      <c r="E66" s="334">
        <f t="shared" si="4"/>
        <v>-0.97488460855631565</v>
      </c>
      <c r="F66" s="239"/>
      <c r="G66" s="332">
        <f>IF('2'!F$21=1,0,IF('2'!F$21=2,G65+'7b'!BA$19/25,IF('2'!F$21=3,0,IF('2'!F$21=4,G65+'7b'!BA$19/25,IF('2'!F$21=5,0,G65+'7b'!BA$19/25)))))</f>
        <v>-2.2799999999999994</v>
      </c>
      <c r="H66" s="334">
        <f>IF('2'!F$21=1,0,IF('2'!F$21=2,(((1-((G66/G$63)^2))^0.5)*(('7b'!BA$19/2))),IF('2'!F$21=3,0,IF('2'!F$21=4,(((1-((G66/G$63)^2))^0.5)*(('7b'!BA$19/2))),IF('2'!F$21=5,0,(((1-((G66/G$63)^2))^0.5)*(('7b'!BA$19/2))))))))</f>
        <v>1.9497692171126313</v>
      </c>
      <c r="I66" s="334">
        <f t="shared" si="5"/>
        <v>-1.9497692171126313</v>
      </c>
    </row>
    <row r="67" spans="2:9">
      <c r="B67" s="96"/>
      <c r="C67" s="332">
        <f t="shared" si="2"/>
        <v>-1.1899999999999995</v>
      </c>
      <c r="D67" s="334">
        <f t="shared" si="3"/>
        <v>1.099818166789402</v>
      </c>
      <c r="E67" s="334">
        <f t="shared" si="4"/>
        <v>-1.099818166789402</v>
      </c>
      <c r="F67" s="239"/>
      <c r="G67" s="332">
        <f>IF('2'!F$21=1,0,IF('2'!F$21=2,G66+'7b'!BA$19/25,IF('2'!F$21=3,0,IF('2'!F$21=4,G66+'7b'!BA$19/25,IF('2'!F$21=5,0,G66+'7b'!BA$19/25)))))</f>
        <v>-2.0399999999999991</v>
      </c>
      <c r="H67" s="334">
        <f>IF('2'!F$21=1,0,IF('2'!F$21=2,(((1-((G67/G$63)^2))^0.5)*(('7b'!BA$19/2))),IF('2'!F$21=3,0,IF('2'!F$21=4,(((1-((G67/G$63)^2))^0.5)*(('7b'!BA$19/2))),IF('2'!F$21=5,0,(((1-((G67/G$63)^2))^0.5)*(('7b'!BA$19/2))))))))</f>
        <v>2.1996363335788041</v>
      </c>
      <c r="I67" s="334">
        <f t="shared" si="5"/>
        <v>-2.1996363335788041</v>
      </c>
    </row>
    <row r="68" spans="2:9">
      <c r="B68" s="239"/>
      <c r="C68" s="332">
        <f t="shared" si="2"/>
        <v>-1.0499999999999994</v>
      </c>
      <c r="D68" s="334">
        <f t="shared" si="3"/>
        <v>1.2000000000000004</v>
      </c>
      <c r="E68" s="334">
        <f t="shared" si="4"/>
        <v>-1.2000000000000004</v>
      </c>
      <c r="F68" s="239"/>
      <c r="G68" s="332">
        <f>IF('2'!F$21=1,0,IF('2'!F$21=2,G67+'7b'!BA$19/25,IF('2'!F$21=3,0,IF('2'!F$21=4,G67+'7b'!BA$19/25,IF('2'!F$21=5,0,G67+'7b'!BA$19/25)))))</f>
        <v>-1.7999999999999992</v>
      </c>
      <c r="H68" s="334">
        <f>IF('2'!F$21=1,0,IF('2'!F$21=2,(((1-((G68/G$63)^2))^0.5)*(('7b'!BA$19/2))),IF('2'!F$21=3,0,IF('2'!F$21=4,(((1-((G68/G$63)^2))^0.5)*(('7b'!BA$19/2))),IF('2'!F$21=5,0,(((1-((G68/G$63)^2))^0.5)*(('7b'!BA$19/2))))))))</f>
        <v>2.4000000000000008</v>
      </c>
      <c r="I68" s="334">
        <f t="shared" si="5"/>
        <v>-2.4000000000000008</v>
      </c>
    </row>
    <row r="69" spans="2:9">
      <c r="B69" s="96"/>
      <c r="C69" s="332">
        <f t="shared" si="2"/>
        <v>-0.90999999999999936</v>
      </c>
      <c r="D69" s="334">
        <f t="shared" si="3"/>
        <v>1.2812493902437576</v>
      </c>
      <c r="E69" s="334">
        <f t="shared" si="4"/>
        <v>-1.2812493902437576</v>
      </c>
      <c r="F69" s="239"/>
      <c r="G69" s="332">
        <f>IF('2'!F$21=1,0,IF('2'!F$21=2,G68+'7b'!BA$19/25,IF('2'!F$21=3,0,IF('2'!F$21=4,G68+'7b'!BA$19/25,IF('2'!F$21=5,0,G68+'7b'!BA$19/25)))))</f>
        <v>-1.5599999999999992</v>
      </c>
      <c r="H69" s="334">
        <f>IF('2'!F$21=1,0,IF('2'!F$21=2,(((1-((G69/G$63)^2))^0.5)*(('7b'!BA$19/2))),IF('2'!F$21=3,0,IF('2'!F$21=4,(((1-((G69/G$63)^2))^0.5)*(('7b'!BA$19/2))),IF('2'!F$21=5,0,(((1-((G69/G$63)^2))^0.5)*(('7b'!BA$19/2))))))))</f>
        <v>2.5624987804875152</v>
      </c>
      <c r="I69" s="334">
        <f t="shared" si="5"/>
        <v>-2.5624987804875152</v>
      </c>
    </row>
    <row r="70" spans="2:9">
      <c r="B70" s="239"/>
      <c r="C70" s="332">
        <f t="shared" si="2"/>
        <v>-0.76999999999999935</v>
      </c>
      <c r="D70" s="334">
        <f t="shared" si="3"/>
        <v>1.3469966592386191</v>
      </c>
      <c r="E70" s="334">
        <f t="shared" si="4"/>
        <v>-1.3469966592386191</v>
      </c>
      <c r="F70" s="239"/>
      <c r="G70" s="332">
        <f>IF('2'!F$21=1,0,IF('2'!F$21=2,G69+'7b'!BA$19/25,IF('2'!F$21=3,0,IF('2'!F$21=4,G69+'7b'!BA$19/25,IF('2'!F$21=5,0,G69+'7b'!BA$19/25)))))</f>
        <v>-1.3199999999999992</v>
      </c>
      <c r="H70" s="334">
        <f>IF('2'!F$21=1,0,IF('2'!F$21=2,(((1-((G70/G$63)^2))^0.5)*(('7b'!BA$19/2))),IF('2'!F$21=3,0,IF('2'!F$21=4,(((1-((G70/G$63)^2))^0.5)*(('7b'!BA$19/2))),IF('2'!F$21=5,0,(((1-((G70/G$63)^2))^0.5)*(('7b'!BA$19/2))))))))</f>
        <v>2.6939933184772382</v>
      </c>
      <c r="I70" s="334">
        <f t="shared" si="5"/>
        <v>-2.6939933184772382</v>
      </c>
    </row>
    <row r="71" spans="2:9">
      <c r="B71" s="309"/>
      <c r="C71" s="332">
        <f t="shared" si="2"/>
        <v>-0.62999999999999934</v>
      </c>
      <c r="D71" s="334">
        <f t="shared" si="3"/>
        <v>1.3994284547628724</v>
      </c>
      <c r="E71" s="334">
        <f t="shared" si="4"/>
        <v>-1.3994284547628724</v>
      </c>
      <c r="F71" s="239"/>
      <c r="G71" s="332">
        <f>IF('2'!F$21=1,0,IF('2'!F$21=2,G70+'7b'!BA$19/25,IF('2'!F$21=3,0,IF('2'!F$21=4,G70+'7b'!BA$19/25,IF('2'!F$21=5,0,G70+'7b'!BA$19/25)))))</f>
        <v>-1.0799999999999992</v>
      </c>
      <c r="H71" s="334">
        <f>IF('2'!F$21=1,0,IF('2'!F$21=2,(((1-((G71/G$63)^2))^0.5)*(('7b'!BA$19/2))),IF('2'!F$21=3,0,IF('2'!F$21=4,(((1-((G71/G$63)^2))^0.5)*(('7b'!BA$19/2))),IF('2'!F$21=5,0,(((1-((G71/G$63)^2))^0.5)*(('7b'!BA$19/2))))))))</f>
        <v>2.7988569095257443</v>
      </c>
      <c r="I71" s="334">
        <f t="shared" si="5"/>
        <v>-2.7988569095257443</v>
      </c>
    </row>
    <row r="72" spans="2:9">
      <c r="B72" s="309"/>
      <c r="C72" s="332">
        <f t="shared" si="2"/>
        <v>-0.48999999999999932</v>
      </c>
      <c r="D72" s="334">
        <f t="shared" si="3"/>
        <v>1.4400000000000002</v>
      </c>
      <c r="E72" s="334">
        <f t="shared" si="4"/>
        <v>-1.4400000000000002</v>
      </c>
      <c r="F72" s="239"/>
      <c r="G72" s="332">
        <f>IF('2'!F$21=1,0,IF('2'!F$21=2,G71+'7b'!BA$19/25,IF('2'!F$21=3,0,IF('2'!F$21=4,G71+'7b'!BA$19/25,IF('2'!F$21=5,0,G71+'7b'!BA$19/25)))))</f>
        <v>-0.83999999999999919</v>
      </c>
      <c r="H72" s="334">
        <f>IF('2'!F$21=1,0,IF('2'!F$21=2,(((1-((G72/G$63)^2))^0.5)*(('7b'!BA$19/2))),IF('2'!F$21=3,0,IF('2'!F$21=4,(((1-((G72/G$63)^2))^0.5)*(('7b'!BA$19/2))),IF('2'!F$21=5,0,(((1-((G72/G$63)^2))^0.5)*(('7b'!BA$19/2))))))))</f>
        <v>2.8800000000000003</v>
      </c>
      <c r="I72" s="334">
        <f t="shared" si="5"/>
        <v>-2.8800000000000003</v>
      </c>
    </row>
    <row r="73" spans="2:9">
      <c r="B73" s="309"/>
      <c r="C73" s="332">
        <f t="shared" si="2"/>
        <v>-0.34999999999999931</v>
      </c>
      <c r="D73" s="334">
        <f t="shared" si="3"/>
        <v>1.4696938456699069</v>
      </c>
      <c r="E73" s="334">
        <f t="shared" si="4"/>
        <v>-1.4696938456699069</v>
      </c>
      <c r="F73" s="239"/>
      <c r="G73" s="332">
        <f>IF('2'!F$21=1,0,IF('2'!F$21=2,G72+'7b'!BA$19/25,IF('2'!F$21=3,0,IF('2'!F$21=4,G72+'7b'!BA$19/25,IF('2'!F$21=5,0,G72+'7b'!BA$19/25)))))</f>
        <v>-0.5999999999999992</v>
      </c>
      <c r="H73" s="334">
        <f>IF('2'!F$21=1,0,IF('2'!F$21=2,(((1-((G73/G$63)^2))^0.5)*(('7b'!BA$19/2))),IF('2'!F$21=3,0,IF('2'!F$21=4,(((1-((G73/G$63)^2))^0.5)*(('7b'!BA$19/2))),IF('2'!F$21=5,0,(((1-((G73/G$63)^2))^0.5)*(('7b'!BA$19/2))))))))</f>
        <v>2.9393876913398138</v>
      </c>
      <c r="I73" s="334">
        <f t="shared" si="5"/>
        <v>-2.9393876913398138</v>
      </c>
    </row>
    <row r="74" spans="2:9">
      <c r="B74" s="309"/>
      <c r="C74" s="332">
        <f t="shared" si="2"/>
        <v>-0.2099999999999993</v>
      </c>
      <c r="D74" s="334">
        <f t="shared" si="3"/>
        <v>1.4891608375189027</v>
      </c>
      <c r="E74" s="334">
        <f t="shared" si="4"/>
        <v>-1.4891608375189027</v>
      </c>
      <c r="F74" s="239"/>
      <c r="G74" s="332">
        <f>IF('2'!F$21=1,0,IF('2'!F$21=2,G73+'7b'!BA$19/25,IF('2'!F$21=3,0,IF('2'!F$21=4,G73+'7b'!BA$19/25,IF('2'!F$21=5,0,G73+'7b'!BA$19/25)))))</f>
        <v>-0.35999999999999921</v>
      </c>
      <c r="H74" s="334">
        <f>IF('2'!F$21=1,0,IF('2'!F$21=2,(((1-((G74/G$63)^2))^0.5)*(('7b'!BA$19/2))),IF('2'!F$21=3,0,IF('2'!F$21=4,(((1-((G74/G$63)^2))^0.5)*(('7b'!BA$19/2))),IF('2'!F$21=5,0,(((1-((G74/G$63)^2))^0.5)*(('7b'!BA$19/2))))))))</f>
        <v>2.9783216750378054</v>
      </c>
      <c r="I74" s="334">
        <f t="shared" si="5"/>
        <v>-2.9783216750378054</v>
      </c>
    </row>
    <row r="75" spans="2:9">
      <c r="B75" s="309"/>
      <c r="C75" s="332">
        <f t="shared" si="2"/>
        <v>-6.9999999999999285E-2</v>
      </c>
      <c r="D75" s="334">
        <f t="shared" si="3"/>
        <v>1.4987995196156156</v>
      </c>
      <c r="E75" s="334">
        <f t="shared" si="4"/>
        <v>-1.4987995196156156</v>
      </c>
      <c r="F75" s="239"/>
      <c r="G75" s="332">
        <f>IF('2'!F$21=1,0,IF('2'!F$21=2,G74+'7b'!BA$19/25,IF('2'!F$21=3,0,IF('2'!F$21=4,G74+'7b'!BA$19/25,IF('2'!F$21=5,0,G74+'7b'!BA$19/25)))))</f>
        <v>-0.11999999999999922</v>
      </c>
      <c r="H75" s="334">
        <f>IF('2'!F$21=1,0,IF('2'!F$21=2,(((1-((G75/G$63)^2))^0.5)*(('7b'!BA$19/2))),IF('2'!F$21=3,0,IF('2'!F$21=4,(((1-((G75/G$63)^2))^0.5)*(('7b'!BA$19/2))),IF('2'!F$21=5,0,(((1-((G75/G$63)^2))^0.5)*(('7b'!BA$19/2))))))))</f>
        <v>2.9975990392312313</v>
      </c>
      <c r="I75" s="334">
        <f t="shared" si="5"/>
        <v>-2.9975990392312313</v>
      </c>
    </row>
    <row r="76" spans="2:9">
      <c r="B76" s="239"/>
      <c r="C76" s="332">
        <f t="shared" si="2"/>
        <v>7.0000000000000728E-2</v>
      </c>
      <c r="D76" s="334">
        <f t="shared" si="3"/>
        <v>1.4987995196156154</v>
      </c>
      <c r="E76" s="334">
        <f t="shared" si="4"/>
        <v>-1.4987995196156154</v>
      </c>
      <c r="F76" s="239"/>
      <c r="G76" s="332">
        <f>IF('2'!F$21=1,0,IF('2'!F$21=2,G75+'7b'!BA$19/25,IF('2'!F$21=3,0,IF('2'!F$21=4,G75+'7b'!BA$19/25,IF('2'!F$21=5,0,G75+'7b'!BA$19/25)))))</f>
        <v>0.12000000000000077</v>
      </c>
      <c r="H76" s="334">
        <f>IF('2'!F$21=1,0,IF('2'!F$21=2,(((1-((G76/G$63)^2))^0.5)*(('7b'!BA$19/2))),IF('2'!F$21=3,0,IF('2'!F$21=4,(((1-((G76/G$63)^2))^0.5)*(('7b'!BA$19/2))),IF('2'!F$21=5,0,(((1-((G76/G$63)^2))^0.5)*(('7b'!BA$19/2))))))))</f>
        <v>2.9975990392312308</v>
      </c>
      <c r="I76" s="334">
        <f t="shared" si="5"/>
        <v>-2.9975990392312308</v>
      </c>
    </row>
    <row r="77" spans="2:9">
      <c r="B77" s="96"/>
      <c r="C77" s="332">
        <f t="shared" si="2"/>
        <v>0.21000000000000074</v>
      </c>
      <c r="D77" s="334">
        <f t="shared" si="3"/>
        <v>1.4891608375189027</v>
      </c>
      <c r="E77" s="334">
        <f t="shared" si="4"/>
        <v>-1.4891608375189027</v>
      </c>
      <c r="F77" s="239"/>
      <c r="G77" s="332">
        <f>IF('2'!F$21=1,0,IF('2'!F$21=2,G76+'7b'!BA$19/25,IF('2'!F$21=3,0,IF('2'!F$21=4,G76+'7b'!BA$19/25,IF('2'!F$21=5,0,G76+'7b'!BA$19/25)))))</f>
        <v>0.36000000000000076</v>
      </c>
      <c r="H77" s="334">
        <f>IF('2'!F$21=1,0,IF('2'!F$21=2,(((1-((G77/G$63)^2))^0.5)*(('7b'!BA$19/2))),IF('2'!F$21=3,0,IF('2'!F$21=4,(((1-((G77/G$63)^2))^0.5)*(('7b'!BA$19/2))),IF('2'!F$21=5,0,(((1-((G77/G$63)^2))^0.5)*(('7b'!BA$19/2))))))))</f>
        <v>2.9783216750378054</v>
      </c>
      <c r="I77" s="334">
        <f t="shared" si="5"/>
        <v>-2.9783216750378054</v>
      </c>
    </row>
    <row r="78" spans="2:9">
      <c r="B78" s="338"/>
      <c r="C78" s="332">
        <f t="shared" si="2"/>
        <v>0.35000000000000075</v>
      </c>
      <c r="D78" s="334">
        <f t="shared" si="3"/>
        <v>1.4696938456699069</v>
      </c>
      <c r="E78" s="334">
        <f t="shared" si="4"/>
        <v>-1.4696938456699069</v>
      </c>
      <c r="F78" s="239"/>
      <c r="G78" s="332">
        <f>IF('2'!F$21=1,0,IF('2'!F$21=2,G77+'7b'!BA$19/25,IF('2'!F$21=3,0,IF('2'!F$21=4,G77+'7b'!BA$19/25,IF('2'!F$21=5,0,G77+'7b'!BA$19/25)))))</f>
        <v>0.60000000000000075</v>
      </c>
      <c r="H78" s="334">
        <f>IF('2'!F$21=1,0,IF('2'!F$21=2,(((1-((G78/G$63)^2))^0.5)*(('7b'!BA$19/2))),IF('2'!F$21=3,0,IF('2'!F$21=4,(((1-((G78/G$63)^2))^0.5)*(('7b'!BA$19/2))),IF('2'!F$21=5,0,(((1-((G78/G$63)^2))^0.5)*(('7b'!BA$19/2))))))))</f>
        <v>2.9393876913398138</v>
      </c>
      <c r="I78" s="334">
        <f t="shared" si="5"/>
        <v>-2.9393876913398138</v>
      </c>
    </row>
    <row r="79" spans="2:9">
      <c r="B79" s="334"/>
      <c r="C79" s="332">
        <f t="shared" si="2"/>
        <v>0.49000000000000077</v>
      </c>
      <c r="D79" s="334">
        <f t="shared" si="3"/>
        <v>1.4399999999999997</v>
      </c>
      <c r="E79" s="334">
        <f t="shared" si="4"/>
        <v>-1.4399999999999997</v>
      </c>
      <c r="F79" s="239"/>
      <c r="G79" s="332">
        <f>IF('2'!F$21=1,0,IF('2'!F$21=2,G78+'7b'!BA$19/25,IF('2'!F$21=3,0,IF('2'!F$21=4,G78+'7b'!BA$19/25,IF('2'!F$21=5,0,G78+'7b'!BA$19/25)))))</f>
        <v>0.84000000000000075</v>
      </c>
      <c r="H79" s="334">
        <f>IF('2'!F$21=1,0,IF('2'!F$21=2,(((1-((G79/G$63)^2))^0.5)*(('7b'!BA$19/2))),IF('2'!F$21=3,0,IF('2'!F$21=4,(((1-((G79/G$63)^2))^0.5)*(('7b'!BA$19/2))),IF('2'!F$21=5,0,(((1-((G79/G$63)^2))^0.5)*(('7b'!BA$19/2))))))))</f>
        <v>2.88</v>
      </c>
      <c r="I79" s="334">
        <f t="shared" si="5"/>
        <v>-2.88</v>
      </c>
    </row>
    <row r="80" spans="2:9">
      <c r="B80" s="334"/>
      <c r="C80" s="332">
        <f t="shared" si="2"/>
        <v>0.63000000000000078</v>
      </c>
      <c r="D80" s="334">
        <f t="shared" si="3"/>
        <v>1.3994284547628719</v>
      </c>
      <c r="E80" s="334">
        <f t="shared" si="4"/>
        <v>-1.3994284547628719</v>
      </c>
      <c r="F80" s="239"/>
      <c r="G80" s="332">
        <f>IF('2'!F$21=1,0,IF('2'!F$21=2,G79+'7b'!BA$19/25,IF('2'!F$21=3,0,IF('2'!F$21=4,G79+'7b'!BA$19/25,IF('2'!F$21=5,0,G79+'7b'!BA$19/25)))))</f>
        <v>1.0800000000000007</v>
      </c>
      <c r="H80" s="334">
        <f>IF('2'!F$21=1,0,IF('2'!F$21=2,(((1-((G80/G$63)^2))^0.5)*(('7b'!BA$19/2))),IF('2'!F$21=3,0,IF('2'!F$21=4,(((1-((G80/G$63)^2))^0.5)*(('7b'!BA$19/2))),IF('2'!F$21=5,0,(((1-((G80/G$63)^2))^0.5)*(('7b'!BA$19/2))))))))</f>
        <v>2.7988569095257443</v>
      </c>
      <c r="I80" s="334">
        <f t="shared" si="5"/>
        <v>-2.7988569095257443</v>
      </c>
    </row>
    <row r="81" spans="2:9">
      <c r="B81" s="239"/>
      <c r="C81" s="332">
        <f t="shared" si="2"/>
        <v>0.77000000000000079</v>
      </c>
      <c r="D81" s="334">
        <f t="shared" si="3"/>
        <v>1.3469966592386184</v>
      </c>
      <c r="E81" s="334">
        <f t="shared" si="4"/>
        <v>-1.3469966592386184</v>
      </c>
      <c r="F81" s="239"/>
      <c r="G81" s="332">
        <f>IF('2'!F$21=1,0,IF('2'!F$21=2,G80+'7b'!BA$19/25,IF('2'!F$21=3,0,IF('2'!F$21=4,G80+'7b'!BA$19/25,IF('2'!F$21=5,0,G80+'7b'!BA$19/25)))))</f>
        <v>1.3200000000000007</v>
      </c>
      <c r="H81" s="334">
        <f>IF('2'!F$21=1,0,IF('2'!F$21=2,(((1-((G81/G$63)^2))^0.5)*(('7b'!BA$19/2))),IF('2'!F$21=3,0,IF('2'!F$21=4,(((1-((G81/G$63)^2))^0.5)*(('7b'!BA$19/2))),IF('2'!F$21=5,0,(((1-((G81/G$63)^2))^0.5)*(('7b'!BA$19/2))))))))</f>
        <v>2.6939933184772373</v>
      </c>
      <c r="I81" s="334">
        <f t="shared" si="5"/>
        <v>-2.6939933184772373</v>
      </c>
    </row>
    <row r="82" spans="2:9">
      <c r="B82" s="239"/>
      <c r="C82" s="332">
        <f t="shared" si="2"/>
        <v>0.91000000000000081</v>
      </c>
      <c r="D82" s="334">
        <f t="shared" si="3"/>
        <v>1.2812493902437569</v>
      </c>
      <c r="E82" s="334">
        <f t="shared" si="4"/>
        <v>-1.2812493902437569</v>
      </c>
      <c r="F82" s="239"/>
      <c r="G82" s="332">
        <f>IF('2'!F$21=1,0,IF('2'!F$21=2,G81+'7b'!BA$19/25,IF('2'!F$21=3,0,IF('2'!F$21=4,G81+'7b'!BA$19/25,IF('2'!F$21=5,0,G81+'7b'!BA$19/25)))))</f>
        <v>1.5600000000000007</v>
      </c>
      <c r="H82" s="334">
        <f>IF('2'!F$21=1,0,IF('2'!F$21=2,(((1-((G82/G$63)^2))^0.5)*(('7b'!BA$19/2))),IF('2'!F$21=3,0,IF('2'!F$21=4,(((1-((G82/G$63)^2))^0.5)*(('7b'!BA$19/2))),IF('2'!F$21=5,0,(((1-((G82/G$63)^2))^0.5)*(('7b'!BA$19/2))))))))</f>
        <v>2.5624987804875143</v>
      </c>
      <c r="I82" s="334">
        <f t="shared" si="5"/>
        <v>-2.5624987804875143</v>
      </c>
    </row>
    <row r="83" spans="2:9">
      <c r="C83" s="332">
        <f t="shared" si="2"/>
        <v>1.0500000000000007</v>
      </c>
      <c r="D83" s="334">
        <f t="shared" si="3"/>
        <v>1.1999999999999995</v>
      </c>
      <c r="E83" s="334">
        <f t="shared" si="4"/>
        <v>-1.1999999999999995</v>
      </c>
      <c r="G83" s="332">
        <f>IF('2'!F$21=1,0,IF('2'!F$21=2,G82+'7b'!BA$19/25,IF('2'!F$21=3,0,IF('2'!F$21=4,G82+'7b'!BA$19/25,IF('2'!F$21=5,0,G82+'7b'!BA$19/25)))))</f>
        <v>1.8000000000000007</v>
      </c>
      <c r="H83" s="334">
        <f>IF('2'!F$21=1,0,IF('2'!F$21=2,(((1-((G83/G$63)^2))^0.5)*(('7b'!BA$19/2))),IF('2'!F$21=3,0,IF('2'!F$21=4,(((1-((G83/G$63)^2))^0.5)*(('7b'!BA$19/2))),IF('2'!F$21=5,0,(((1-((G83/G$63)^2))^0.5)*(('7b'!BA$19/2))))))))</f>
        <v>2.3999999999999995</v>
      </c>
      <c r="I83" s="334">
        <f t="shared" si="5"/>
        <v>-2.3999999999999995</v>
      </c>
    </row>
    <row r="84" spans="2:9">
      <c r="C84" s="332">
        <f t="shared" si="2"/>
        <v>1.1900000000000008</v>
      </c>
      <c r="D84" s="334">
        <f t="shared" si="3"/>
        <v>1.0998181667894009</v>
      </c>
      <c r="E84" s="334">
        <f t="shared" si="4"/>
        <v>-1.0998181667894009</v>
      </c>
      <c r="G84" s="332">
        <f>IF('2'!F$21=1,0,IF('2'!F$21=2,G83+'7b'!BA$19/25,IF('2'!F$21=3,0,IF('2'!F$21=4,G83+'7b'!BA$19/25,IF('2'!F$21=5,0,G83+'7b'!BA$19/25)))))</f>
        <v>2.0400000000000009</v>
      </c>
      <c r="H84" s="334">
        <f>IF('2'!F$21=1,0,IF('2'!F$21=2,(((1-((G84/G$63)^2))^0.5)*(('7b'!BA$19/2))),IF('2'!F$21=3,0,IF('2'!F$21=4,(((1-((G84/G$63)^2))^0.5)*(('7b'!BA$19/2))),IF('2'!F$21=5,0,(((1-((G84/G$63)^2))^0.5)*(('7b'!BA$19/2))))))))</f>
        <v>2.1996363335788027</v>
      </c>
      <c r="I84" s="334">
        <f t="shared" si="5"/>
        <v>-2.1996363335788027</v>
      </c>
    </row>
    <row r="85" spans="2:9">
      <c r="C85" s="332">
        <f t="shared" si="2"/>
        <v>1.330000000000001</v>
      </c>
      <c r="D85" s="334">
        <f t="shared" si="3"/>
        <v>0.97488460855631409</v>
      </c>
      <c r="E85" s="334">
        <f t="shared" si="4"/>
        <v>-0.97488460855631409</v>
      </c>
      <c r="G85" s="332">
        <f>IF('2'!F$21=1,0,IF('2'!F$21=2,G84+'7b'!BA$19/25,IF('2'!F$21=3,0,IF('2'!F$21=4,G84+'7b'!BA$19/25,IF('2'!F$21=5,0,G84+'7b'!BA$19/25)))))</f>
        <v>2.2800000000000011</v>
      </c>
      <c r="H85" s="334">
        <f>IF('2'!F$21=1,0,IF('2'!F$21=2,(((1-((G85/G$63)^2))^0.5)*(('7b'!BA$19/2))),IF('2'!F$21=3,0,IF('2'!F$21=4,(((1-((G85/G$63)^2))^0.5)*(('7b'!BA$19/2))),IF('2'!F$21=5,0,(((1-((G85/G$63)^2))^0.5)*(('7b'!BA$19/2))))))))</f>
        <v>1.9497692171126293</v>
      </c>
      <c r="I85" s="334">
        <f t="shared" si="5"/>
        <v>-1.9497692171126293</v>
      </c>
    </row>
    <row r="86" spans="2:9">
      <c r="C86" s="332">
        <f t="shared" si="2"/>
        <v>1.4700000000000011</v>
      </c>
      <c r="D86" s="334">
        <f t="shared" si="3"/>
        <v>0.81387959797503062</v>
      </c>
      <c r="E86" s="334">
        <f t="shared" si="4"/>
        <v>-0.81387959797503062</v>
      </c>
      <c r="G86" s="332">
        <f>IF('2'!F$21=1,0,IF('2'!F$21=2,G85+'7b'!BA$19/25,IF('2'!F$21=3,0,IF('2'!F$21=4,G85+'7b'!BA$19/25,IF('2'!F$21=5,0,G85+'7b'!BA$19/25)))))</f>
        <v>2.5200000000000014</v>
      </c>
      <c r="H86" s="334">
        <f>IF('2'!F$21=1,0,IF('2'!F$21=2,(((1-((G86/G$63)^2))^0.5)*(('7b'!BA$19/2))),IF('2'!F$21=3,0,IF('2'!F$21=4,(((1-((G86/G$63)^2))^0.5)*(('7b'!BA$19/2))),IF('2'!F$21=5,0,(((1-((G86/G$63)^2))^0.5)*(('7b'!BA$19/2))))))))</f>
        <v>1.6277591959500624</v>
      </c>
      <c r="I86" s="334">
        <f t="shared" si="5"/>
        <v>-1.6277591959500624</v>
      </c>
    </row>
    <row r="87" spans="2:9">
      <c r="C87" s="332">
        <f t="shared" si="2"/>
        <v>1.6100000000000012</v>
      </c>
      <c r="D87" s="334">
        <f t="shared" si="3"/>
        <v>0.58787753826796041</v>
      </c>
      <c r="E87" s="334">
        <f t="shared" si="4"/>
        <v>-0.58787753826796041</v>
      </c>
      <c r="G87" s="332">
        <f>IF('2'!F$21=1,0,IF('2'!F$21=2,G86+'7b'!BA$19/25,IF('2'!F$21=3,0,IF('2'!F$21=4,G86+'7b'!BA$19/25,IF('2'!F$21=5,0,G86+'7b'!BA$19/25)))))</f>
        <v>2.7600000000000016</v>
      </c>
      <c r="H87" s="334">
        <f>IF('2'!F$21=1,0,IF('2'!F$21=2,(((1-((G87/G$63)^2))^0.5)*(('7b'!BA$19/2))),IF('2'!F$21=3,0,IF('2'!F$21=4,(((1-((G87/G$63)^2))^0.5)*(('7b'!BA$19/2))),IF('2'!F$21=5,0,(((1-((G87/G$63)^2))^0.5)*(('7b'!BA$19/2))))))))</f>
        <v>1.1757550765359219</v>
      </c>
      <c r="I87" s="334">
        <f t="shared" si="5"/>
        <v>-1.1757550765359219</v>
      </c>
    </row>
    <row r="88" spans="2:9">
      <c r="C88" s="332">
        <f t="shared" si="2"/>
        <v>1.7500000000000013</v>
      </c>
      <c r="D88" s="334" t="e">
        <f>(((1-((C88/C$63)^2))^0.5)*((MAX(C$47:C$57)/2)))</f>
        <v>#NUM!</v>
      </c>
      <c r="E88" s="334" t="e">
        <f t="shared" si="4"/>
        <v>#NUM!</v>
      </c>
      <c r="G88" s="332">
        <f>IF('2'!F$21=1,0,IF('2'!F$21=2,G87+'7b'!BA$19/25,IF('2'!F$21=3,0,IF('2'!F$21=4,G87+'7b'!BA$19/25,IF('2'!F$21=5,0,G87+'7b'!BA$19/25)))))</f>
        <v>3.0000000000000018</v>
      </c>
      <c r="H88" s="334">
        <f>H63</f>
        <v>0</v>
      </c>
      <c r="I88" s="334">
        <f t="shared" si="5"/>
        <v>0</v>
      </c>
    </row>
    <row r="89" spans="2:9">
      <c r="C89" s="332"/>
    </row>
    <row r="90" spans="2:9">
      <c r="C90" s="332"/>
    </row>
  </sheetData>
  <printOptions gridLines="1" gridLinesSet="0"/>
  <pageMargins left="0.75" right="0.75" top="1" bottom="1" header="0.5" footer="0.5"/>
  <pageSetup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D544D-330E-4BB4-A58D-8E8AC9F25F8D}">
  <dimension ref="A1"/>
  <sheetViews>
    <sheetView workbookViewId="0"/>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legal</vt:lpstr>
      <vt:lpstr>legend</vt:lpstr>
      <vt:lpstr>compliance</vt:lpstr>
      <vt:lpstr>2</vt:lpstr>
      <vt:lpstr>3</vt:lpstr>
      <vt:lpstr>4</vt:lpstr>
      <vt:lpstr>5</vt:lpstr>
      <vt:lpstr>6</vt:lpstr>
      <vt:lpstr>7a</vt:lpstr>
      <vt:lpstr>7b</vt:lpstr>
      <vt:lpstr>8</vt:lpstr>
      <vt:lpstr>9</vt:lpstr>
      <vt:lpstr>10</vt:lpstr>
      <vt:lpstr>11</vt:lpstr>
      <vt:lpstr>12</vt:lpstr>
      <vt:lpstr>3-view</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iterative take-off weight</dc:title>
  <dc:creator>TCC</dc:creator>
  <dc:description>from first choice original</dc:description>
  <cp:lastModifiedBy>Leandro</cp:lastModifiedBy>
  <dcterms:created xsi:type="dcterms:W3CDTF">2002-08-27T17:50:51Z</dcterms:created>
  <dcterms:modified xsi:type="dcterms:W3CDTF">2020-12-10T23:20:36Z</dcterms:modified>
</cp:coreProperties>
</file>