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ash_University\Year5\Honours_Final\"/>
    </mc:Choice>
  </mc:AlternateContent>
  <xr:revisionPtr revIDLastSave="0" documentId="13_ncr:1_{7897E318-15D4-46F1-BF46-D6CA28AA1C55}" xr6:coauthVersionLast="47" xr6:coauthVersionMax="47" xr10:uidLastSave="{00000000-0000-0000-0000-000000000000}"/>
  <bookViews>
    <workbookView xWindow="-28920" yWindow="-120" windowWidth="29040" windowHeight="16440" activeTab="6" xr2:uid="{52DF0958-0AB4-4740-8193-FA00E6A62DB5}"/>
  </bookViews>
  <sheets>
    <sheet name="Old" sheetId="1" r:id="rId1"/>
    <sheet name="New" sheetId="3" r:id="rId2"/>
    <sheet name="general data" sheetId="5" r:id="rId3"/>
    <sheet name="new_data" sheetId="6" r:id="rId4"/>
    <sheet name="latest_data" sheetId="10" r:id="rId5"/>
    <sheet name="correlation_coefficients" sheetId="8" r:id="rId6"/>
    <sheet name="t-test" sheetId="9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9" l="1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I25" i="10"/>
  <c r="I24" i="10"/>
  <c r="I17" i="10"/>
  <c r="I16" i="10"/>
  <c r="I9" i="10"/>
  <c r="I8" i="10"/>
  <c r="H9" i="10"/>
  <c r="AD25" i="10"/>
  <c r="AB25" i="10"/>
  <c r="AA25" i="10"/>
  <c r="T25" i="10"/>
  <c r="R25" i="10"/>
  <c r="Q25" i="10"/>
  <c r="J25" i="10"/>
  <c r="H25" i="10"/>
  <c r="G25" i="10"/>
  <c r="AD24" i="10"/>
  <c r="AB24" i="10"/>
  <c r="AA24" i="10"/>
  <c r="T24" i="10"/>
  <c r="R24" i="10"/>
  <c r="Q24" i="10"/>
  <c r="J24" i="10"/>
  <c r="H24" i="10"/>
  <c r="G24" i="10"/>
  <c r="AE23" i="10"/>
  <c r="Z23" i="10"/>
  <c r="U23" i="10"/>
  <c r="P23" i="10"/>
  <c r="K23" i="10"/>
  <c r="F23" i="10"/>
  <c r="AE22" i="10"/>
  <c r="Z22" i="10"/>
  <c r="U22" i="10"/>
  <c r="P22" i="10"/>
  <c r="K22" i="10"/>
  <c r="F22" i="10"/>
  <c r="AD17" i="10"/>
  <c r="AB17" i="10"/>
  <c r="AA17" i="10"/>
  <c r="T17" i="10"/>
  <c r="R17" i="10"/>
  <c r="Q17" i="10"/>
  <c r="J17" i="10"/>
  <c r="H17" i="10"/>
  <c r="G17" i="10"/>
  <c r="AD16" i="10"/>
  <c r="AB16" i="10"/>
  <c r="AA16" i="10"/>
  <c r="T16" i="10"/>
  <c r="R16" i="10"/>
  <c r="Q16" i="10"/>
  <c r="J16" i="10"/>
  <c r="H16" i="10"/>
  <c r="G16" i="10"/>
  <c r="AE15" i="10"/>
  <c r="Z15" i="10"/>
  <c r="U15" i="10"/>
  <c r="P15" i="10"/>
  <c r="K15" i="10"/>
  <c r="F15" i="10"/>
  <c r="AE14" i="10"/>
  <c r="Z14" i="10"/>
  <c r="U14" i="10"/>
  <c r="P14" i="10"/>
  <c r="F14" i="10"/>
  <c r="K16" i="10" s="1"/>
  <c r="AD9" i="10"/>
  <c r="AB9" i="10"/>
  <c r="AA9" i="10"/>
  <c r="T9" i="10"/>
  <c r="R9" i="10"/>
  <c r="Q9" i="10"/>
  <c r="J9" i="10"/>
  <c r="G9" i="10"/>
  <c r="AE8" i="10"/>
  <c r="AD8" i="10"/>
  <c r="AB8" i="10"/>
  <c r="AA8" i="10"/>
  <c r="T8" i="10"/>
  <c r="R8" i="10"/>
  <c r="Q8" i="10"/>
  <c r="J8" i="10"/>
  <c r="H8" i="10"/>
  <c r="G8" i="10"/>
  <c r="AE7" i="10"/>
  <c r="Z7" i="10"/>
  <c r="U7" i="10"/>
  <c r="P7" i="10"/>
  <c r="K7" i="10"/>
  <c r="F7" i="10"/>
  <c r="U6" i="10"/>
  <c r="P6" i="10"/>
  <c r="K6" i="10"/>
  <c r="F6" i="10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25" i="9"/>
  <c r="G21" i="9"/>
  <c r="G19" i="9"/>
  <c r="G17" i="9"/>
  <c r="G20" i="9"/>
  <c r="G16" i="9"/>
  <c r="G15" i="9"/>
  <c r="G18" i="9"/>
  <c r="G12" i="9"/>
  <c r="G13" i="9"/>
  <c r="G14" i="9"/>
  <c r="G11" i="9"/>
  <c r="G10" i="9"/>
  <c r="G9" i="9"/>
  <c r="G7" i="9"/>
  <c r="G8" i="9"/>
  <c r="G5" i="9"/>
  <c r="G6" i="9"/>
  <c r="G4" i="9"/>
  <c r="X25" i="6"/>
  <c r="Y23" i="6"/>
  <c r="V24" i="6"/>
  <c r="V25" i="6"/>
  <c r="Q15" i="6"/>
  <c r="Q17" i="6" s="1"/>
  <c r="W25" i="6"/>
  <c r="P25" i="6"/>
  <c r="O25" i="6"/>
  <c r="N25" i="6"/>
  <c r="I25" i="6"/>
  <c r="H25" i="6"/>
  <c r="G25" i="6"/>
  <c r="F25" i="6"/>
  <c r="X24" i="6"/>
  <c r="W24" i="6"/>
  <c r="O24" i="6"/>
  <c r="N24" i="6"/>
  <c r="I24" i="6"/>
  <c r="H24" i="6"/>
  <c r="G24" i="6"/>
  <c r="F24" i="6"/>
  <c r="Y25" i="6"/>
  <c r="U23" i="6"/>
  <c r="Q23" i="6"/>
  <c r="Q25" i="6" s="1"/>
  <c r="M23" i="6"/>
  <c r="I23" i="6"/>
  <c r="E23" i="6"/>
  <c r="Y22" i="6"/>
  <c r="Y24" i="6" s="1"/>
  <c r="U22" i="6"/>
  <c r="Q22" i="6"/>
  <c r="Q24" i="6" s="1"/>
  <c r="P24" i="6"/>
  <c r="M22" i="6"/>
  <c r="I22" i="6"/>
  <c r="E22" i="6"/>
  <c r="X17" i="6"/>
  <c r="W17" i="6"/>
  <c r="V17" i="6"/>
  <c r="P17" i="6"/>
  <c r="O17" i="6"/>
  <c r="N17" i="6"/>
  <c r="I17" i="6"/>
  <c r="H17" i="6"/>
  <c r="G17" i="6"/>
  <c r="F17" i="6"/>
  <c r="X16" i="6"/>
  <c r="W16" i="6"/>
  <c r="V16" i="6"/>
  <c r="P16" i="6"/>
  <c r="O16" i="6"/>
  <c r="N16" i="6"/>
  <c r="I16" i="6"/>
  <c r="H16" i="6"/>
  <c r="G16" i="6"/>
  <c r="F16" i="6"/>
  <c r="Y15" i="6"/>
  <c r="Y17" i="6" s="1"/>
  <c r="U15" i="6"/>
  <c r="M15" i="6"/>
  <c r="I15" i="6"/>
  <c r="E15" i="6"/>
  <c r="Y14" i="6"/>
  <c r="Y16" i="6" s="1"/>
  <c r="U14" i="6"/>
  <c r="Q14" i="6"/>
  <c r="Q16" i="6" s="1"/>
  <c r="M14" i="6"/>
  <c r="E14" i="6"/>
  <c r="X9" i="6"/>
  <c r="W9" i="6"/>
  <c r="V9" i="6"/>
  <c r="Q9" i="6"/>
  <c r="P9" i="6"/>
  <c r="O9" i="6"/>
  <c r="N9" i="6"/>
  <c r="I9" i="6"/>
  <c r="H9" i="6"/>
  <c r="G9" i="6"/>
  <c r="F9" i="6"/>
  <c r="Y8" i="6"/>
  <c r="X8" i="6"/>
  <c r="W8" i="6"/>
  <c r="V8" i="6"/>
  <c r="P8" i="6"/>
  <c r="O8" i="6"/>
  <c r="N8" i="6"/>
  <c r="H8" i="6"/>
  <c r="G8" i="6"/>
  <c r="F8" i="6"/>
  <c r="Y7" i="6"/>
  <c r="Y9" i="6" s="1"/>
  <c r="U7" i="6"/>
  <c r="Q7" i="6"/>
  <c r="M7" i="6"/>
  <c r="I7" i="6"/>
  <c r="E7" i="6"/>
  <c r="Q6" i="6"/>
  <c r="Q8" i="6" s="1"/>
  <c r="M6" i="6"/>
  <c r="I6" i="6"/>
  <c r="I8" i="6" s="1"/>
  <c r="E6" i="6"/>
  <c r="L22" i="5"/>
  <c r="Q14" i="5"/>
  <c r="Q16" i="5" s="1"/>
  <c r="M14" i="5"/>
  <c r="M6" i="5"/>
  <c r="Q15" i="5"/>
  <c r="M15" i="5"/>
  <c r="Q6" i="5"/>
  <c r="Q9" i="5"/>
  <c r="Q7" i="5"/>
  <c r="Q23" i="5"/>
  <c r="Q25" i="5" s="1"/>
  <c r="I7" i="5"/>
  <c r="I23" i="5"/>
  <c r="Y23" i="5"/>
  <c r="Y7" i="5"/>
  <c r="Y8" i="5"/>
  <c r="U23" i="5"/>
  <c r="Y22" i="5"/>
  <c r="Y24" i="5" s="1"/>
  <c r="U22" i="5"/>
  <c r="U7" i="5"/>
  <c r="Y15" i="5"/>
  <c r="U15" i="5"/>
  <c r="Y14" i="5"/>
  <c r="U14" i="5"/>
  <c r="Y16" i="5" s="1"/>
  <c r="I15" i="5"/>
  <c r="I17" i="5" s="1"/>
  <c r="E15" i="5"/>
  <c r="E23" i="5"/>
  <c r="E22" i="5"/>
  <c r="I22" i="5"/>
  <c r="I24" i="5" s="1"/>
  <c r="E14" i="5"/>
  <c r="E7" i="5"/>
  <c r="I6" i="5"/>
  <c r="E6" i="5"/>
  <c r="I8" i="5" s="1"/>
  <c r="V25" i="5"/>
  <c r="V24" i="5"/>
  <c r="W25" i="5"/>
  <c r="X24" i="5"/>
  <c r="W24" i="5"/>
  <c r="O25" i="5"/>
  <c r="N25" i="5"/>
  <c r="O24" i="5"/>
  <c r="N24" i="5"/>
  <c r="G25" i="5"/>
  <c r="F25" i="5"/>
  <c r="G24" i="5"/>
  <c r="F24" i="5"/>
  <c r="Y17" i="5"/>
  <c r="X17" i="5"/>
  <c r="W17" i="5"/>
  <c r="V17" i="5"/>
  <c r="X16" i="5"/>
  <c r="W16" i="5"/>
  <c r="V16" i="5"/>
  <c r="O17" i="5"/>
  <c r="N17" i="5"/>
  <c r="O16" i="5"/>
  <c r="N16" i="5"/>
  <c r="G17" i="5"/>
  <c r="F17" i="5"/>
  <c r="G16" i="5"/>
  <c r="F16" i="5"/>
  <c r="V8" i="5"/>
  <c r="X9" i="5"/>
  <c r="W9" i="5"/>
  <c r="V9" i="5"/>
  <c r="X8" i="5"/>
  <c r="W8" i="5"/>
  <c r="O9" i="5"/>
  <c r="N9" i="5"/>
  <c r="O8" i="5"/>
  <c r="N8" i="5"/>
  <c r="G9" i="5"/>
  <c r="F9" i="5"/>
  <c r="G8" i="5"/>
  <c r="F8" i="5"/>
  <c r="Y25" i="5"/>
  <c r="X25" i="5"/>
  <c r="M23" i="5"/>
  <c r="L23" i="5"/>
  <c r="P25" i="5" s="1"/>
  <c r="H25" i="5"/>
  <c r="Q22" i="5"/>
  <c r="P22" i="5"/>
  <c r="M22" i="5"/>
  <c r="H24" i="5"/>
  <c r="P17" i="5"/>
  <c r="H17" i="5"/>
  <c r="P16" i="5"/>
  <c r="Y9" i="5"/>
  <c r="M7" i="5"/>
  <c r="P9" i="5"/>
  <c r="I9" i="5"/>
  <c r="H9" i="5"/>
  <c r="Q8" i="5"/>
  <c r="P8" i="5"/>
  <c r="H8" i="5"/>
  <c r="R14" i="3"/>
  <c r="Z14" i="3"/>
  <c r="Z15" i="3"/>
  <c r="R23" i="3"/>
  <c r="Z6" i="3"/>
  <c r="V22" i="3"/>
  <c r="M23" i="3"/>
  <c r="N23" i="3"/>
  <c r="Z22" i="3"/>
  <c r="Z7" i="3"/>
  <c r="Z23" i="3"/>
  <c r="Q15" i="3"/>
  <c r="R15" i="3"/>
  <c r="V7" i="3"/>
  <c r="V15" i="3"/>
  <c r="U23" i="3"/>
  <c r="V23" i="3"/>
  <c r="V6" i="3"/>
  <c r="V14" i="3"/>
  <c r="N15" i="3"/>
  <c r="R6" i="3"/>
  <c r="R7" i="3"/>
  <c r="Q22" i="3"/>
  <c r="R22" i="3"/>
  <c r="N7" i="3"/>
  <c r="N6" i="3"/>
  <c r="N22" i="3"/>
  <c r="I15" i="3"/>
  <c r="M6" i="3"/>
  <c r="M22" i="3"/>
  <c r="J23" i="3"/>
  <c r="I23" i="3"/>
  <c r="G23" i="3"/>
  <c r="F23" i="3"/>
  <c r="E23" i="3"/>
  <c r="J22" i="3"/>
  <c r="I22" i="3"/>
  <c r="F22" i="3"/>
  <c r="E22" i="3"/>
  <c r="J15" i="3"/>
  <c r="F15" i="3"/>
  <c r="E15" i="3"/>
  <c r="N14" i="3"/>
  <c r="M14" i="3"/>
  <c r="H14" i="3"/>
  <c r="J14" i="3" s="1"/>
  <c r="F14" i="3"/>
  <c r="E14" i="3"/>
  <c r="M7" i="3"/>
  <c r="J7" i="3"/>
  <c r="I7" i="3"/>
  <c r="F7" i="3"/>
  <c r="E7" i="3"/>
  <c r="J6" i="3"/>
  <c r="I6" i="3"/>
  <c r="F6" i="3"/>
  <c r="E6" i="3"/>
  <c r="O17" i="1"/>
  <c r="N17" i="1"/>
  <c r="O24" i="1"/>
  <c r="N24" i="1"/>
  <c r="O16" i="1"/>
  <c r="N16" i="1"/>
  <c r="K25" i="1"/>
  <c r="J25" i="1"/>
  <c r="G25" i="1"/>
  <c r="F25" i="1"/>
  <c r="K33" i="1"/>
  <c r="J33" i="1"/>
  <c r="H33" i="1"/>
  <c r="G33" i="1"/>
  <c r="F33" i="1"/>
  <c r="S32" i="1"/>
  <c r="R32" i="1"/>
  <c r="O32" i="1"/>
  <c r="N32" i="1"/>
  <c r="K32" i="1"/>
  <c r="J32" i="1"/>
  <c r="G32" i="1"/>
  <c r="F32" i="1"/>
  <c r="K24" i="1"/>
  <c r="J24" i="1"/>
  <c r="I24" i="1"/>
  <c r="G24" i="1"/>
  <c r="F24" i="1"/>
  <c r="K17" i="1"/>
  <c r="J17" i="1"/>
  <c r="G17" i="1"/>
  <c r="F17" i="1"/>
  <c r="K16" i="1"/>
  <c r="J16" i="1"/>
  <c r="G16" i="1"/>
  <c r="F16" i="1"/>
  <c r="K24" i="10" l="1"/>
  <c r="AE25" i="10"/>
  <c r="U25" i="10"/>
  <c r="AE16" i="10"/>
  <c r="U17" i="10"/>
  <c r="U24" i="10"/>
  <c r="AE9" i="10"/>
  <c r="K17" i="10"/>
  <c r="U9" i="10"/>
  <c r="U16" i="10"/>
  <c r="K9" i="10"/>
  <c r="K8" i="10"/>
  <c r="AE17" i="10"/>
  <c r="U8" i="10"/>
  <c r="AE24" i="10"/>
  <c r="K25" i="10"/>
  <c r="Q17" i="5"/>
  <c r="P24" i="5"/>
  <c r="Q24" i="5"/>
  <c r="I25" i="5"/>
  <c r="H16" i="5"/>
  <c r="I16" i="5"/>
  <c r="I14" i="3"/>
</calcChain>
</file>

<file path=xl/sharedStrings.xml><?xml version="1.0" encoding="utf-8"?>
<sst xmlns="http://schemas.openxmlformats.org/spreadsheetml/2006/main" count="728" uniqueCount="79">
  <si>
    <t>TSN = Total number of generated samples</t>
  </si>
  <si>
    <t>DSN = Number of detected discriminatory samples</t>
  </si>
  <si>
    <t>DSS = average consumed time for gneerating a discriminatory sample</t>
  </si>
  <si>
    <t>SUR = Success rate for generating discriminatory samples</t>
  </si>
  <si>
    <t>KOSEI</t>
  </si>
  <si>
    <t>TSN</t>
  </si>
  <si>
    <t>DSN</t>
  </si>
  <si>
    <t>DSS</t>
  </si>
  <si>
    <t>SUR</t>
  </si>
  <si>
    <t>KOSEI ISA-Directed</t>
  </si>
  <si>
    <t>Census (gender)</t>
  </si>
  <si>
    <t>Bank (age)</t>
  </si>
  <si>
    <t>using MLPC model</t>
  </si>
  <si>
    <t>using RF model</t>
  </si>
  <si>
    <t>Aequitas</t>
  </si>
  <si>
    <t>Aequitas ISA-Directed</t>
  </si>
  <si>
    <t>using DT model</t>
  </si>
  <si>
    <t>Ran 25 times</t>
  </si>
  <si>
    <t>ExpGA</t>
  </si>
  <si>
    <t>ExpGA ISA-Directed</t>
  </si>
  <si>
    <t>Dataset</t>
  </si>
  <si>
    <t>k</t>
  </si>
  <si>
    <t>MLPC</t>
  </si>
  <si>
    <t>RF</t>
  </si>
  <si>
    <t>DT</t>
  </si>
  <si>
    <t>DSS = average execution time</t>
  </si>
  <si>
    <t xml:space="preserve">       NaN</t>
  </si>
  <si>
    <t>Bank</t>
  </si>
  <si>
    <t>Expga RF</t>
  </si>
  <si>
    <t>KOSEI RF</t>
  </si>
  <si>
    <t>Aequitas RF</t>
  </si>
  <si>
    <t>Expga MLPC</t>
  </si>
  <si>
    <t>KOSEI MLPC</t>
  </si>
  <si>
    <t>Aequitas MLPC</t>
  </si>
  <si>
    <t>Expga DT</t>
  </si>
  <si>
    <t>KOSEI DT</t>
  </si>
  <si>
    <t>Aequitas DT</t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</si>
  <si>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</si>
  <si>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</si>
  <si>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</si>
  <si>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</si>
  <si>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</si>
  <si>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</si>
  <si>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</si>
  <si>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</si>
  <si>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</si>
  <si>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day,</t>
  </si>
  <si>
    <t>month</t>
  </si>
  <si>
    <t>duration</t>
  </si>
  <si>
    <t>campaign</t>
  </si>
  <si>
    <t>pdays</t>
  </si>
  <si>
    <t>previous</t>
  </si>
  <si>
    <t>poutcome</t>
  </si>
  <si>
    <t>Census</t>
  </si>
  <si>
    <t>workclass</t>
  </si>
  <si>
    <t>fnlwgt</t>
  </si>
  <si>
    <t>marital_status</t>
  </si>
  <si>
    <t>occupation</t>
  </si>
  <si>
    <t>relationship</t>
  </si>
  <si>
    <t>race</t>
  </si>
  <si>
    <t>sex</t>
  </si>
  <si>
    <t>capital_gain,</t>
  </si>
  <si>
    <t>capital_loss</t>
  </si>
  <si>
    <t>hours_per_week</t>
  </si>
  <si>
    <t>native_country</t>
  </si>
  <si>
    <t>Feature</t>
  </si>
  <si>
    <t>Fairness Testing Algorithm</t>
  </si>
  <si>
    <t>Classifier</t>
  </si>
  <si>
    <t>t-statistic</t>
  </si>
  <si>
    <t>p-value</t>
  </si>
  <si>
    <t>Reject Null Hypothesis</t>
  </si>
  <si>
    <t>Time</t>
  </si>
  <si>
    <t>SUR P-value</t>
  </si>
  <si>
    <t>Time P-Value</t>
  </si>
  <si>
    <t>Reject Time Null</t>
  </si>
  <si>
    <t>Reject SUR Null</t>
  </si>
  <si>
    <t>N</t>
  </si>
  <si>
    <t>Y</t>
  </si>
  <si>
    <t>Combined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</si>
</sst>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5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64" fontId="0" fillId="0" borderId="8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10" fontId="0" fillId="0" borderId="0" xfId="0" applyNumberFormat="1"/>
    <xf numFmtId="10" fontId="0" fillId="0" borderId="6" xfId="0" applyNumberFormat="1" applyBorder="1"/>
    <xf numFmtId="10" fontId="0" fillId="0" borderId="9" xfId="0" applyNumberFormat="1" applyBorder="1"/>
    <xf numFmtId="1" fontId="0" fillId="2" borderId="5" xfId="0" applyNumberFormat="1" applyFill="1" applyBorder="1"/>
    <xf numFmtId="1" fontId="0" fillId="2" borderId="0" xfId="0" applyNumberFormat="1" applyFill="1"/>
    <xf numFmtId="10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0" fontId="0" fillId="2" borderId="9" xfId="0" applyNumberFormat="1" applyFill="1" applyBorder="1"/>
    <xf numFmtId="165" fontId="0" fillId="0" borderId="0" xfId="0" applyNumberFormat="1"/>
    <xf numFmtId="165" fontId="0" fillId="0" borderId="8" xfId="0" applyNumberFormat="1" applyBorder="1"/>
    <xf numFmtId="166" fontId="0" fillId="0" borderId="0" xfId="0" applyNumberFormat="1"/>
    <xf numFmtId="166" fontId="0" fillId="0" borderId="8" xfId="0" applyNumberFormat="1" applyBorder="1"/>
    <xf numFmtId="1" fontId="0" fillId="3" borderId="5" xfId="0" applyNumberFormat="1" applyFill="1" applyBorder="1"/>
    <xf numFmtId="1" fontId="0" fillId="3" borderId="0" xfId="0" applyNumberFormat="1" applyFill="1"/>
    <xf numFmtId="10" fontId="0" fillId="3" borderId="6" xfId="0" applyNumberFormat="1" applyFill="1" applyBorder="1"/>
    <xf numFmtId="166" fontId="0" fillId="2" borderId="8" xfId="0" applyNumberFormat="1" applyFill="1" applyBorder="1"/>
    <xf numFmtId="165" fontId="0" fillId="2" borderId="0" xfId="0" applyNumberFormat="1" applyFill="1"/>
    <xf numFmtId="165" fontId="0" fillId="2" borderId="8" xfId="0" applyNumberFormat="1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3" fontId="0" fillId="4" borderId="5" xfId="0" applyNumberFormat="1" applyFill="1" applyBorder="1"/>
    <xf numFmtId="3" fontId="0" fillId="4" borderId="0" xfId="0" applyNumberFormat="1" applyFill="1"/>
    <xf numFmtId="166" fontId="0" fillId="4" borderId="0" xfId="0" applyNumberFormat="1" applyFill="1"/>
    <xf numFmtId="10" fontId="0" fillId="4" borderId="6" xfId="0" applyNumberFormat="1" applyFill="1" applyBorder="1"/>
    <xf numFmtId="165" fontId="0" fillId="4" borderId="0" xfId="0" applyNumberFormat="1" applyFill="1"/>
    <xf numFmtId="3" fontId="0" fillId="4" borderId="7" xfId="0" applyNumberFormat="1" applyFill="1" applyBorder="1"/>
    <xf numFmtId="3" fontId="0" fillId="4" borderId="8" xfId="0" applyNumberFormat="1" applyFill="1" applyBorder="1"/>
    <xf numFmtId="166" fontId="0" fillId="4" borderId="8" xfId="0" applyNumberFormat="1" applyFill="1" applyBorder="1"/>
    <xf numFmtId="10" fontId="0" fillId="4" borderId="9" xfId="0" applyNumberFormat="1" applyFill="1" applyBorder="1"/>
    <xf numFmtId="165" fontId="0" fillId="4" borderId="8" xfId="0" applyNumberFormat="1" applyFill="1" applyBorder="1"/>
    <xf numFmtId="1" fontId="0" fillId="4" borderId="5" xfId="0" applyNumberFormat="1" applyFill="1" applyBorder="1"/>
    <xf numFmtId="1" fontId="0" fillId="4" borderId="0" xfId="0" applyNumberFormat="1" applyFill="1"/>
    <xf numFmtId="1" fontId="0" fillId="4" borderId="7" xfId="0" applyNumberFormat="1" applyFill="1" applyBorder="1"/>
    <xf numFmtId="1" fontId="0" fillId="4" borderId="8" xfId="0" applyNumberFormat="1" applyFill="1" applyBorder="1"/>
    <xf numFmtId="165" fontId="0" fillId="3" borderId="0" xfId="0" applyNumberFormat="1" applyFill="1"/>
    <xf numFmtId="3" fontId="0" fillId="3" borderId="5" xfId="0" applyNumberFormat="1" applyFill="1" applyBorder="1"/>
    <xf numFmtId="3" fontId="0" fillId="3" borderId="0" xfId="0" applyNumberFormat="1" applyFill="1"/>
    <xf numFmtId="3" fontId="0" fillId="3" borderId="7" xfId="0" applyNumberFormat="1" applyFill="1" applyBorder="1"/>
    <xf numFmtId="3" fontId="0" fillId="3" borderId="8" xfId="0" applyNumberFormat="1" applyFill="1" applyBorder="1"/>
    <xf numFmtId="166" fontId="0" fillId="3" borderId="8" xfId="0" applyNumberFormat="1" applyFill="1" applyBorder="1"/>
    <xf numFmtId="10" fontId="0" fillId="3" borderId="9" xfId="0" applyNumberFormat="1" applyFill="1" applyBorder="1"/>
    <xf numFmtId="165" fontId="0" fillId="3" borderId="8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2" fontId="0" fillId="0" borderId="0" xfId="0" applyNumberFormat="1"/>
    <xf numFmtId="3" fontId="0" fillId="5" borderId="5" xfId="0" applyNumberFormat="1" applyFill="1" applyBorder="1"/>
    <xf numFmtId="3" fontId="0" fillId="5" borderId="0" xfId="0" applyNumberFormat="1" applyFill="1"/>
    <xf numFmtId="2" fontId="0" fillId="5" borderId="0" xfId="0" applyNumberFormat="1" applyFill="1"/>
    <xf numFmtId="10" fontId="0" fillId="5" borderId="6" xfId="0" applyNumberFormat="1" applyFill="1" applyBorder="1"/>
    <xf numFmtId="3" fontId="0" fillId="5" borderId="7" xfId="0" applyNumberFormat="1" applyFill="1" applyBorder="1"/>
    <xf numFmtId="3" fontId="0" fillId="5" borderId="8" xfId="0" applyNumberFormat="1" applyFill="1" applyBorder="1"/>
    <xf numFmtId="2" fontId="0" fillId="5" borderId="8" xfId="0" applyNumberFormat="1" applyFill="1" applyBorder="1"/>
    <xf numFmtId="10" fontId="0" fillId="5" borderId="9" xfId="0" applyNumberFormat="1" applyFill="1" applyBorder="1"/>
    <xf numFmtId="2" fontId="0" fillId="0" borderId="8" xfId="0" applyNumberFormat="1" applyBorder="1"/>
    <xf numFmtId="10" fontId="0" fillId="2" borderId="0" xfId="0" applyNumberFormat="1" applyFill="1"/>
    <xf numFmtId="2" fontId="0" fillId="2" borderId="0" xfId="0" applyNumberFormat="1" applyFill="1"/>
    <xf numFmtId="0" fontId="2" fillId="0" borderId="0" xfId="0" applyFont="1" applyAlignment="1">
      <alignment vertical="center"/>
    </xf>
    <xf numFmtId="11" fontId="0" fillId="0" borderId="0" xfId="0" applyNumberFormat="1"/>
    <xf numFmtId="164" fontId="1" fillId="0" borderId="0" xfId="0" applyNumberFormat="1" applyFont="1"/>
    <xf numFmtId="164" fontId="0" fillId="5" borderId="0" xfId="0" applyNumberFormat="1" applyFill="1"/>
    <xf numFmtId="164" fontId="0" fillId="5" borderId="8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E9E6-F93D-496F-9313-67E47F107E57}">
  <dimension ref="B2:S33"/>
  <sheetViews>
    <sheetView topLeftCell="A13" zoomScale="130" zoomScaleNormal="130" workbookViewId="0">
      <selection activeCell="E39" sqref="E39"/>
    </sheetView>
  </sheetViews>
  <sheetFormatPr defaultRowHeight="15"/>
  <cols>
    <col min="3" max="3" width="15.42578125" bestFit="1" customWidth="1"/>
    <col min="6" max="6" width="9.140625" style="3"/>
    <col min="7" max="7" width="9.140625" style="14"/>
    <col min="10" max="10" width="9.140625" style="3"/>
    <col min="11" max="11" width="9.140625" style="14"/>
    <col min="12" max="13" width="9.140625" style="4"/>
    <col min="14" max="14" width="9.140625" style="3"/>
    <col min="15" max="15" width="9.140625" style="14"/>
    <col min="16" max="17" width="9.140625" style="4"/>
    <col min="19" max="19" width="9.140625" style="14"/>
  </cols>
  <sheetData>
    <row r="2" spans="2:19">
      <c r="B2" t="s">
        <v>0</v>
      </c>
    </row>
    <row r="3" spans="2:19">
      <c r="B3" t="s">
        <v>1</v>
      </c>
    </row>
    <row r="4" spans="2:19">
      <c r="B4" t="s">
        <v>2</v>
      </c>
    </row>
    <row r="5" spans="2:19">
      <c r="B5" t="s">
        <v>3</v>
      </c>
    </row>
    <row r="9" spans="2:19">
      <c r="E9" t="s">
        <v>17</v>
      </c>
    </row>
    <row r="12" spans="2:19">
      <c r="E12" s="1" t="s">
        <v>12</v>
      </c>
    </row>
    <row r="14" spans="2:19">
      <c r="D14" s="77" t="s">
        <v>4</v>
      </c>
      <c r="E14" s="78"/>
      <c r="F14" s="78"/>
      <c r="G14" s="79"/>
      <c r="H14" s="77" t="s">
        <v>9</v>
      </c>
      <c r="I14" s="78"/>
      <c r="J14" s="78"/>
      <c r="K14" s="79"/>
      <c r="L14" s="77" t="s">
        <v>14</v>
      </c>
      <c r="M14" s="78"/>
      <c r="N14" s="78"/>
      <c r="O14" s="79"/>
      <c r="P14" s="77" t="s">
        <v>15</v>
      </c>
      <c r="Q14" s="78"/>
      <c r="R14" s="78"/>
      <c r="S14" s="79"/>
    </row>
    <row r="15" spans="2:19">
      <c r="D15" s="5" t="s">
        <v>5</v>
      </c>
      <c r="E15" t="s">
        <v>6</v>
      </c>
      <c r="F15" s="3" t="s">
        <v>7</v>
      </c>
      <c r="G15" s="15" t="s">
        <v>8</v>
      </c>
      <c r="H15" s="5" t="s">
        <v>5</v>
      </c>
      <c r="I15" t="s">
        <v>6</v>
      </c>
      <c r="J15" s="3" t="s">
        <v>7</v>
      </c>
      <c r="K15" s="15" t="s">
        <v>8</v>
      </c>
      <c r="L15" s="10" t="s">
        <v>5</v>
      </c>
      <c r="M15" s="4" t="s">
        <v>6</v>
      </c>
      <c r="N15" s="3" t="s">
        <v>7</v>
      </c>
      <c r="O15" s="15" t="s">
        <v>8</v>
      </c>
      <c r="P15" s="10" t="s">
        <v>5</v>
      </c>
      <c r="Q15" s="4" t="s">
        <v>6</v>
      </c>
      <c r="R15" t="s">
        <v>7</v>
      </c>
      <c r="S15" s="15" t="s">
        <v>8</v>
      </c>
    </row>
    <row r="16" spans="2:19">
      <c r="C16" t="s">
        <v>10</v>
      </c>
      <c r="D16" s="6">
        <v>44098.52</v>
      </c>
      <c r="E16" s="2">
        <v>27296.32</v>
      </c>
      <c r="F16" s="3">
        <f>103.276120014/27296.32</f>
        <v>3.7835180718133435E-3</v>
      </c>
      <c r="G16" s="15">
        <f>E16/D16</f>
        <v>0.61898494552651662</v>
      </c>
      <c r="H16" s="6">
        <v>52887.32</v>
      </c>
      <c r="I16" s="2">
        <v>32730.52</v>
      </c>
      <c r="J16" s="3">
        <f>113.093840017/I16</f>
        <v>3.4553022688609898E-3</v>
      </c>
      <c r="K16" s="15">
        <f>I16/H16</f>
        <v>0.61887272790529002</v>
      </c>
      <c r="L16" s="10">
        <v>2887.6</v>
      </c>
      <c r="M16" s="4">
        <v>368.68</v>
      </c>
      <c r="N16" s="3">
        <f>468.438400011/M16</f>
        <v>1.2705826191032874</v>
      </c>
      <c r="O16" s="15">
        <f>M16/L16</f>
        <v>0.12767696356836128</v>
      </c>
      <c r="P16" s="10"/>
      <c r="S16" s="15"/>
    </row>
    <row r="17" spans="3:19">
      <c r="C17" t="s">
        <v>11</v>
      </c>
      <c r="D17" s="7">
        <v>48122.28</v>
      </c>
      <c r="E17" s="8">
        <v>28958.84</v>
      </c>
      <c r="F17" s="9">
        <f>60.1888722394/E17</f>
        <v>2.0784282878526903E-3</v>
      </c>
      <c r="G17" s="16">
        <f>E17/D17</f>
        <v>0.60177614194506168</v>
      </c>
      <c r="H17" s="7">
        <v>62887.360000000001</v>
      </c>
      <c r="I17" s="8">
        <v>29795.52</v>
      </c>
      <c r="J17" s="9">
        <f>19.6977600098/I17</f>
        <v>6.610980445986511E-4</v>
      </c>
      <c r="K17" s="16">
        <f>I17/H17</f>
        <v>0.4737918716893188</v>
      </c>
      <c r="L17" s="11">
        <v>4843.04</v>
      </c>
      <c r="M17" s="12">
        <v>1530.8</v>
      </c>
      <c r="N17" s="9">
        <f>31.9777913834/M17</f>
        <v>2.0889594580219495E-2</v>
      </c>
      <c r="O17" s="16">
        <f>M17/L17</f>
        <v>0.31608246060325745</v>
      </c>
      <c r="P17" s="11"/>
      <c r="Q17" s="12"/>
      <c r="R17" s="13"/>
      <c r="S17" s="16"/>
    </row>
    <row r="20" spans="3:19">
      <c r="E20" s="1" t="s">
        <v>13</v>
      </c>
    </row>
    <row r="22" spans="3:19">
      <c r="D22" s="77" t="s">
        <v>4</v>
      </c>
      <c r="E22" s="78"/>
      <c r="F22" s="78"/>
      <c r="G22" s="79"/>
      <c r="H22" s="77" t="s">
        <v>9</v>
      </c>
      <c r="I22" s="78"/>
      <c r="J22" s="78"/>
      <c r="K22" s="79"/>
      <c r="L22" s="77" t="s">
        <v>14</v>
      </c>
      <c r="M22" s="78"/>
      <c r="N22" s="78"/>
      <c r="O22" s="79"/>
      <c r="P22" s="77" t="s">
        <v>15</v>
      </c>
      <c r="Q22" s="78"/>
      <c r="R22" s="78"/>
      <c r="S22" s="79"/>
    </row>
    <row r="23" spans="3:19">
      <c r="D23" s="5" t="s">
        <v>5</v>
      </c>
      <c r="E23" t="s">
        <v>6</v>
      </c>
      <c r="F23" s="3" t="s">
        <v>7</v>
      </c>
      <c r="G23" s="15" t="s">
        <v>8</v>
      </c>
      <c r="H23" s="5" t="s">
        <v>5</v>
      </c>
      <c r="I23" t="s">
        <v>6</v>
      </c>
      <c r="J23" s="3" t="s">
        <v>7</v>
      </c>
      <c r="K23" s="15" t="s">
        <v>8</v>
      </c>
      <c r="L23" s="10" t="s">
        <v>5</v>
      </c>
      <c r="M23" s="4" t="s">
        <v>6</v>
      </c>
      <c r="N23" s="3" t="s">
        <v>7</v>
      </c>
      <c r="O23" s="15" t="s">
        <v>8</v>
      </c>
      <c r="P23" s="10" t="s">
        <v>5</v>
      </c>
      <c r="Q23" s="4" t="s">
        <v>6</v>
      </c>
      <c r="R23" t="s">
        <v>7</v>
      </c>
      <c r="S23" s="15" t="s">
        <v>8</v>
      </c>
    </row>
    <row r="24" spans="3:19">
      <c r="C24" t="s">
        <v>10</v>
      </c>
      <c r="D24" s="6">
        <v>30896.2</v>
      </c>
      <c r="E24" s="2">
        <v>18305.240000000002</v>
      </c>
      <c r="F24" s="3">
        <f>59.0000298966/E24</f>
        <v>3.223122444535007E-3</v>
      </c>
      <c r="G24" s="15">
        <f>E24/D24</f>
        <v>0.59247545005534663</v>
      </c>
      <c r="H24" s="6">
        <v>38412.36</v>
      </c>
      <c r="I24" s="2">
        <f>23806</f>
        <v>23806</v>
      </c>
      <c r="J24" s="3">
        <f>61.5569125665/I24</f>
        <v>2.5857730222002859E-3</v>
      </c>
      <c r="K24" s="15">
        <f>I24/H24</f>
        <v>0.61974843513910627</v>
      </c>
      <c r="L24" s="10">
        <v>2570.44</v>
      </c>
      <c r="M24" s="4">
        <v>231.72</v>
      </c>
      <c r="N24" s="3">
        <f>343.006240015/M24</f>
        <v>1.4802616952140515</v>
      </c>
      <c r="O24" s="15">
        <f>M24/L24</f>
        <v>9.0147990227354063E-2</v>
      </c>
      <c r="P24" s="10"/>
      <c r="S24" s="15"/>
    </row>
    <row r="25" spans="3:19">
      <c r="C25" t="s">
        <v>11</v>
      </c>
      <c r="D25" s="7">
        <v>257392.64000000001</v>
      </c>
      <c r="E25" s="8">
        <v>160088.68</v>
      </c>
      <c r="F25" s="9">
        <f>427.534279995/E25</f>
        <v>2.6706090648945325E-3</v>
      </c>
      <c r="G25" s="16">
        <f>E25/D25</f>
        <v>0.62196292792210373</v>
      </c>
      <c r="H25" s="7">
        <v>255903.8</v>
      </c>
      <c r="I25" s="8">
        <v>119737</v>
      </c>
      <c r="J25" s="9">
        <f>439.964559984/I25</f>
        <v>3.6744244467791913E-3</v>
      </c>
      <c r="K25" s="16">
        <f>I25/H25</f>
        <v>0.46789848372708809</v>
      </c>
      <c r="L25" s="11"/>
      <c r="M25" s="12"/>
      <c r="N25" s="9"/>
      <c r="O25" s="16"/>
      <c r="P25" s="11"/>
      <c r="Q25" s="12"/>
      <c r="R25" s="13"/>
      <c r="S25" s="16"/>
    </row>
    <row r="28" spans="3:19">
      <c r="E28" s="1" t="s">
        <v>16</v>
      </c>
    </row>
    <row r="30" spans="3:19">
      <c r="D30" s="77" t="s">
        <v>4</v>
      </c>
      <c r="E30" s="78"/>
      <c r="F30" s="78"/>
      <c r="G30" s="79"/>
      <c r="H30" s="77" t="s">
        <v>9</v>
      </c>
      <c r="I30" s="78"/>
      <c r="J30" s="78"/>
      <c r="K30" s="79"/>
      <c r="L30" s="77" t="s">
        <v>14</v>
      </c>
      <c r="M30" s="78"/>
      <c r="N30" s="78"/>
      <c r="O30" s="79"/>
      <c r="P30" s="77" t="s">
        <v>15</v>
      </c>
      <c r="Q30" s="78"/>
      <c r="R30" s="78"/>
      <c r="S30" s="79"/>
    </row>
    <row r="31" spans="3:19">
      <c r="D31" s="5" t="s">
        <v>5</v>
      </c>
      <c r="E31" t="s">
        <v>6</v>
      </c>
      <c r="F31" s="3" t="s">
        <v>7</v>
      </c>
      <c r="G31" s="15" t="s">
        <v>8</v>
      </c>
      <c r="H31" s="5" t="s">
        <v>5</v>
      </c>
      <c r="I31" t="s">
        <v>6</v>
      </c>
      <c r="J31" s="3" t="s">
        <v>7</v>
      </c>
      <c r="K31" s="15" t="s">
        <v>8</v>
      </c>
      <c r="L31" s="10" t="s">
        <v>5</v>
      </c>
      <c r="M31" s="4" t="s">
        <v>6</v>
      </c>
      <c r="N31" s="3" t="s">
        <v>7</v>
      </c>
      <c r="O31" s="15" t="s">
        <v>8</v>
      </c>
      <c r="P31" s="10" t="s">
        <v>5</v>
      </c>
      <c r="Q31" s="4" t="s">
        <v>6</v>
      </c>
      <c r="R31" t="s">
        <v>7</v>
      </c>
      <c r="S31" s="15" t="s">
        <v>8</v>
      </c>
    </row>
    <row r="32" spans="3:19">
      <c r="C32" t="s">
        <v>10</v>
      </c>
      <c r="D32" s="6">
        <v>2247.6</v>
      </c>
      <c r="E32" s="2">
        <v>1530.28</v>
      </c>
      <c r="F32" s="3">
        <f>3.54327999115/E32</f>
        <v>2.3154455335951591E-3</v>
      </c>
      <c r="G32" s="15">
        <f>E32/D32</f>
        <v>0.68085068517529812</v>
      </c>
      <c r="H32" s="6">
        <v>2159.2800000000002</v>
      </c>
      <c r="I32" s="2">
        <v>1476.6</v>
      </c>
      <c r="J32" s="3">
        <f>3.49272001266/I32</f>
        <v>2.3653799354327511E-3</v>
      </c>
      <c r="K32" s="15">
        <f>I32/H32</f>
        <v>0.68383905746359885</v>
      </c>
      <c r="L32" s="10">
        <v>4618.4799999999996</v>
      </c>
      <c r="M32" s="4">
        <v>2265</v>
      </c>
      <c r="N32" s="3">
        <f>46.2241999722/M32</f>
        <v>2.0408035307814567E-2</v>
      </c>
      <c r="O32" s="15">
        <f>M32/L32</f>
        <v>0.49042109092168856</v>
      </c>
      <c r="P32" s="10">
        <v>4246.04</v>
      </c>
      <c r="Q32" s="4">
        <v>2159.4</v>
      </c>
      <c r="R32">
        <f>49.4491600227/Q32</f>
        <v>2.2899490609752708E-2</v>
      </c>
      <c r="S32" s="15">
        <f>Q32/P32</f>
        <v>0.50856798334448106</v>
      </c>
    </row>
    <row r="33" spans="3:19">
      <c r="C33" t="s">
        <v>11</v>
      </c>
      <c r="D33" s="7">
        <v>68436.800000000003</v>
      </c>
      <c r="E33" s="8">
        <v>44995.64</v>
      </c>
      <c r="F33" s="9">
        <f>65.7527272442/E33</f>
        <v>1.4613133015598846E-3</v>
      </c>
      <c r="G33" s="16">
        <f>E33/D33</f>
        <v>0.65747726369438664</v>
      </c>
      <c r="H33" s="7">
        <f>544940.68</f>
        <v>544940.68000000005</v>
      </c>
      <c r="I33" s="8">
        <v>318601.2</v>
      </c>
      <c r="J33" s="9">
        <f>58.4416252978/I33</f>
        <v>1.8343190577373844E-4</v>
      </c>
      <c r="K33" s="16">
        <f>I33/H33</f>
        <v>0.58465299379007629</v>
      </c>
      <c r="L33" s="11"/>
      <c r="M33" s="12"/>
      <c r="N33" s="9"/>
      <c r="O33" s="16"/>
      <c r="P33" s="11"/>
      <c r="Q33" s="12"/>
      <c r="R33" s="13"/>
      <c r="S33" s="16"/>
    </row>
  </sheetData>
  <mergeCells count="12">
    <mergeCell ref="D30:G30"/>
    <mergeCell ref="H30:K30"/>
    <mergeCell ref="L30:O30"/>
    <mergeCell ref="P30:S30"/>
    <mergeCell ref="D14:G14"/>
    <mergeCell ref="H14:K14"/>
    <mergeCell ref="L14:O14"/>
    <mergeCell ref="P14:S14"/>
    <mergeCell ref="D22:G22"/>
    <mergeCell ref="H22:K22"/>
    <mergeCell ref="L22:O22"/>
    <mergeCell ref="P22:S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6DAA-BB3C-4C8B-973A-C6C3535B442D}">
  <dimension ref="B2:Z34"/>
  <sheetViews>
    <sheetView zoomScaleNormal="100" workbookViewId="0">
      <selection activeCell="B2" sqref="B2:Z23"/>
    </sheetView>
  </sheetViews>
  <sheetFormatPr defaultRowHeight="15"/>
  <cols>
    <col min="2" max="2" width="15.42578125" bestFit="1" customWidth="1"/>
    <col min="5" max="5" width="9.140625" style="25"/>
    <col min="9" max="9" width="9.140625" style="25"/>
    <col min="13" max="13" width="9.140625" style="25"/>
    <col min="15" max="15" width="9.140625" style="4"/>
    <col min="17" max="17" width="9.140625" style="25"/>
    <col min="18" max="18" width="11.85546875" customWidth="1"/>
    <col min="21" max="21" width="9.140625" style="23"/>
    <col min="22" max="22" width="9.140625" style="14"/>
    <col min="25" max="25" width="9.140625" style="23"/>
    <col min="26" max="26" width="9.140625" style="14"/>
  </cols>
  <sheetData>
    <row r="2" spans="2:26">
      <c r="D2" s="1" t="s">
        <v>12</v>
      </c>
      <c r="F2" s="14"/>
      <c r="J2" s="14"/>
      <c r="K2" s="4"/>
      <c r="L2" s="4"/>
      <c r="N2" s="14"/>
      <c r="P2" s="4"/>
      <c r="R2" s="14"/>
    </row>
    <row r="3" spans="2:26">
      <c r="F3" s="14"/>
      <c r="J3" s="14"/>
      <c r="K3" s="4"/>
      <c r="L3" s="4"/>
      <c r="N3" s="14"/>
      <c r="P3" s="4"/>
      <c r="R3" s="14"/>
    </row>
    <row r="4" spans="2:26">
      <c r="C4" s="77" t="s">
        <v>4</v>
      </c>
      <c r="D4" s="78"/>
      <c r="E4" s="78"/>
      <c r="F4" s="79"/>
      <c r="G4" s="77" t="s">
        <v>9</v>
      </c>
      <c r="H4" s="78"/>
      <c r="I4" s="78"/>
      <c r="J4" s="79"/>
      <c r="K4" s="77" t="s">
        <v>14</v>
      </c>
      <c r="L4" s="78"/>
      <c r="M4" s="78"/>
      <c r="N4" s="79"/>
      <c r="O4" s="77" t="s">
        <v>15</v>
      </c>
      <c r="P4" s="78"/>
      <c r="Q4" s="78"/>
      <c r="R4" s="79"/>
      <c r="S4" s="77" t="s">
        <v>18</v>
      </c>
      <c r="T4" s="78"/>
      <c r="U4" s="78"/>
      <c r="V4" s="79"/>
      <c r="W4" s="77" t="s">
        <v>19</v>
      </c>
      <c r="X4" s="78"/>
      <c r="Y4" s="78"/>
      <c r="Z4" s="79"/>
    </row>
    <row r="5" spans="2:26">
      <c r="B5" s="33" t="s">
        <v>20</v>
      </c>
      <c r="C5" s="5" t="s">
        <v>5</v>
      </c>
      <c r="D5" t="s">
        <v>6</v>
      </c>
      <c r="E5" s="25" t="s">
        <v>7</v>
      </c>
      <c r="F5" s="15" t="s">
        <v>8</v>
      </c>
      <c r="G5" s="5" t="s">
        <v>5</v>
      </c>
      <c r="H5" t="s">
        <v>6</v>
      </c>
      <c r="I5" s="25" t="s">
        <v>7</v>
      </c>
      <c r="J5" s="15" t="s">
        <v>8</v>
      </c>
      <c r="K5" s="10" t="s">
        <v>5</v>
      </c>
      <c r="L5" s="4" t="s">
        <v>6</v>
      </c>
      <c r="M5" s="25" t="s">
        <v>7</v>
      </c>
      <c r="N5" s="15" t="s">
        <v>8</v>
      </c>
      <c r="O5" s="10" t="s">
        <v>5</v>
      </c>
      <c r="P5" s="4" t="s">
        <v>6</v>
      </c>
      <c r="Q5" s="25" t="s">
        <v>7</v>
      </c>
      <c r="R5" s="15" t="s">
        <v>8</v>
      </c>
      <c r="S5" s="10" t="s">
        <v>5</v>
      </c>
      <c r="T5" s="4" t="s">
        <v>6</v>
      </c>
      <c r="U5" s="23" t="s">
        <v>7</v>
      </c>
      <c r="V5" s="15" t="s">
        <v>8</v>
      </c>
      <c r="W5" s="10" t="s">
        <v>5</v>
      </c>
      <c r="X5" s="4" t="s">
        <v>6</v>
      </c>
      <c r="Y5" s="23" t="s">
        <v>7</v>
      </c>
      <c r="Z5" s="15" t="s">
        <v>8</v>
      </c>
    </row>
    <row r="6" spans="2:26">
      <c r="B6" s="34" t="s">
        <v>10</v>
      </c>
      <c r="C6" s="6">
        <v>44098.52</v>
      </c>
      <c r="D6" s="2">
        <v>27296.32</v>
      </c>
      <c r="E6" s="25">
        <f>103.276120014/27296.32</f>
        <v>3.7835180718133435E-3</v>
      </c>
      <c r="F6" s="15">
        <f>D6/C6</f>
        <v>0.61898494552651662</v>
      </c>
      <c r="G6" s="6">
        <v>52887.32</v>
      </c>
      <c r="H6" s="2">
        <v>32730.52</v>
      </c>
      <c r="I6" s="25">
        <f>113.093840017/H6</f>
        <v>3.4553022688609898E-3</v>
      </c>
      <c r="J6" s="15">
        <f>H6/G6</f>
        <v>0.61887272790529002</v>
      </c>
      <c r="K6" s="10">
        <v>22656.6</v>
      </c>
      <c r="L6" s="4">
        <v>5166.8</v>
      </c>
      <c r="M6" s="25">
        <f>1014.21075996/L6</f>
        <v>0.19629379112022916</v>
      </c>
      <c r="N6" s="15">
        <f>0.2360279625</f>
        <v>0.23602796249999999</v>
      </c>
      <c r="O6" s="10">
        <v>21564.68</v>
      </c>
      <c r="P6" s="4">
        <v>3772.8</v>
      </c>
      <c r="Q6" s="25">
        <v>0.39690174464099998</v>
      </c>
      <c r="R6" s="15">
        <f>0.187939421018</f>
        <v>0.18793942101800001</v>
      </c>
      <c r="S6" s="10">
        <v>55515.28</v>
      </c>
      <c r="T6" s="4">
        <v>36633.08</v>
      </c>
      <c r="U6" s="23">
        <v>1.02033622588673E-2</v>
      </c>
      <c r="V6" s="15">
        <f>0.659882469743322</f>
        <v>0.65988246974332199</v>
      </c>
      <c r="W6" s="10">
        <v>81260.56</v>
      </c>
      <c r="X6" s="4">
        <v>44835.08</v>
      </c>
      <c r="Y6" s="23">
        <v>8.6818374392281794E-3</v>
      </c>
      <c r="Z6" s="15">
        <f>0.551745908168678</f>
        <v>0.55174590816867797</v>
      </c>
    </row>
    <row r="7" spans="2:26">
      <c r="B7" s="35" t="s">
        <v>11</v>
      </c>
      <c r="C7" s="7">
        <v>48122.28</v>
      </c>
      <c r="D7" s="8">
        <v>28958.84</v>
      </c>
      <c r="E7" s="26">
        <f>60.1888722394/D7</f>
        <v>2.0784282878526903E-3</v>
      </c>
      <c r="F7" s="16">
        <f>D7/C7</f>
        <v>0.60177614194506168</v>
      </c>
      <c r="G7" s="7">
        <v>62887.360000000001</v>
      </c>
      <c r="H7" s="8">
        <v>29795.52</v>
      </c>
      <c r="I7" s="26">
        <f>19.6977600098/H7</f>
        <v>6.610980445986511E-4</v>
      </c>
      <c r="J7" s="16">
        <f>H7/G7</f>
        <v>0.4737918716893188</v>
      </c>
      <c r="K7" s="11">
        <v>4843.04</v>
      </c>
      <c r="L7" s="12">
        <v>1530.8</v>
      </c>
      <c r="M7" s="26">
        <f>31.9777913834/L7</f>
        <v>2.0889594580219495E-2</v>
      </c>
      <c r="N7" s="16">
        <f>0.319777913834</f>
        <v>0.319777913834</v>
      </c>
      <c r="O7" s="11">
        <v>5260.76</v>
      </c>
      <c r="P7" s="12">
        <v>1370.96</v>
      </c>
      <c r="Q7" s="26">
        <v>0.252147387695</v>
      </c>
      <c r="R7" s="16">
        <f>0.264446342309</f>
        <v>0.26444634230899999</v>
      </c>
      <c r="S7" s="11">
        <v>44320.160000000003</v>
      </c>
      <c r="T7" s="12">
        <v>11343.32</v>
      </c>
      <c r="U7" s="24">
        <v>7.2003325896721704E-2</v>
      </c>
      <c r="V7" s="16">
        <f>0.232944897762595</f>
        <v>0.232944897762595</v>
      </c>
      <c r="W7" s="11">
        <v>70674.52</v>
      </c>
      <c r="X7" s="12">
        <v>14335.04</v>
      </c>
      <c r="Y7" s="24">
        <v>1.5778135649961202E-2</v>
      </c>
      <c r="Z7" s="16">
        <f>0.202862373601151</f>
        <v>0.202862373601151</v>
      </c>
    </row>
    <row r="8" spans="2:26">
      <c r="F8" s="14"/>
      <c r="J8" s="14"/>
      <c r="K8" s="4"/>
      <c r="L8" s="4"/>
      <c r="N8" s="14"/>
      <c r="P8" s="4"/>
      <c r="R8" s="14"/>
    </row>
    <row r="9" spans="2:26">
      <c r="F9" s="14"/>
      <c r="J9" s="14"/>
      <c r="K9" s="4"/>
      <c r="L9" s="4"/>
      <c r="N9" s="14"/>
      <c r="P9" s="4"/>
      <c r="R9" s="14"/>
    </row>
    <row r="10" spans="2:26">
      <c r="D10" s="1" t="s">
        <v>13</v>
      </c>
      <c r="F10" s="14"/>
      <c r="J10" s="14"/>
      <c r="K10" s="4"/>
      <c r="L10" s="4"/>
      <c r="N10" s="14"/>
      <c r="P10" s="4"/>
      <c r="R10" s="14"/>
    </row>
    <row r="11" spans="2:26">
      <c r="F11" s="14"/>
      <c r="J11" s="14"/>
      <c r="K11" s="4"/>
      <c r="L11" s="4"/>
      <c r="N11" s="14"/>
      <c r="P11" s="4"/>
      <c r="R11" s="14"/>
    </row>
    <row r="12" spans="2:26">
      <c r="C12" s="77" t="s">
        <v>4</v>
      </c>
      <c r="D12" s="78"/>
      <c r="E12" s="78"/>
      <c r="F12" s="79"/>
      <c r="G12" s="77" t="s">
        <v>9</v>
      </c>
      <c r="H12" s="78"/>
      <c r="I12" s="78"/>
      <c r="J12" s="79"/>
      <c r="K12" s="77" t="s">
        <v>14</v>
      </c>
      <c r="L12" s="78"/>
      <c r="M12" s="78"/>
      <c r="N12" s="79"/>
      <c r="O12" s="77" t="s">
        <v>15</v>
      </c>
      <c r="P12" s="78"/>
      <c r="Q12" s="78"/>
      <c r="R12" s="79"/>
      <c r="S12" s="77" t="s">
        <v>18</v>
      </c>
      <c r="T12" s="78"/>
      <c r="U12" s="78"/>
      <c r="V12" s="79"/>
      <c r="W12" s="77" t="s">
        <v>19</v>
      </c>
      <c r="X12" s="78"/>
      <c r="Y12" s="78"/>
      <c r="Z12" s="79"/>
    </row>
    <row r="13" spans="2:26">
      <c r="B13" s="33" t="s">
        <v>20</v>
      </c>
      <c r="C13" s="5" t="s">
        <v>5</v>
      </c>
      <c r="D13" t="s">
        <v>6</v>
      </c>
      <c r="E13" s="25" t="s">
        <v>7</v>
      </c>
      <c r="F13" s="15" t="s">
        <v>8</v>
      </c>
      <c r="G13" s="5" t="s">
        <v>5</v>
      </c>
      <c r="H13" t="s">
        <v>6</v>
      </c>
      <c r="I13" s="25" t="s">
        <v>7</v>
      </c>
      <c r="J13" s="15" t="s">
        <v>8</v>
      </c>
      <c r="K13" s="10" t="s">
        <v>5</v>
      </c>
      <c r="L13" s="4" t="s">
        <v>6</v>
      </c>
      <c r="M13" s="25" t="s">
        <v>7</v>
      </c>
      <c r="N13" s="15" t="s">
        <v>8</v>
      </c>
      <c r="O13" s="10" t="s">
        <v>5</v>
      </c>
      <c r="P13" s="4" t="s">
        <v>6</v>
      </c>
      <c r="Q13" s="25" t="s">
        <v>7</v>
      </c>
      <c r="R13" s="15" t="s">
        <v>8</v>
      </c>
      <c r="S13" s="10" t="s">
        <v>5</v>
      </c>
      <c r="T13" s="4" t="s">
        <v>6</v>
      </c>
      <c r="U13" s="23" t="s">
        <v>7</v>
      </c>
      <c r="V13" s="15" t="s">
        <v>8</v>
      </c>
      <c r="W13" s="10" t="s">
        <v>5</v>
      </c>
      <c r="X13" s="4" t="s">
        <v>6</v>
      </c>
      <c r="Y13" s="23" t="s">
        <v>7</v>
      </c>
      <c r="Z13" s="15" t="s">
        <v>8</v>
      </c>
    </row>
    <row r="14" spans="2:26">
      <c r="B14" s="34" t="s">
        <v>10</v>
      </c>
      <c r="C14" s="6">
        <v>30896.2</v>
      </c>
      <c r="D14" s="2">
        <v>18305.240000000002</v>
      </c>
      <c r="E14" s="25">
        <f>59.0000298966/D14</f>
        <v>3.223122444535007E-3</v>
      </c>
      <c r="F14" s="15">
        <f>D14/C14</f>
        <v>0.59247545005534663</v>
      </c>
      <c r="G14" s="6">
        <v>38412.36</v>
      </c>
      <c r="H14" s="2">
        <f>23806</f>
        <v>23806</v>
      </c>
      <c r="I14" s="25">
        <f>61.5569125665/H14</f>
        <v>2.5857730222002859E-3</v>
      </c>
      <c r="J14" s="15">
        <f>H14/G14</f>
        <v>0.61974843513910627</v>
      </c>
      <c r="K14" s="10">
        <v>2570.44</v>
      </c>
      <c r="L14" s="4">
        <v>231.72</v>
      </c>
      <c r="M14" s="25">
        <f>343.006240015/L14</f>
        <v>1.4802616952140515</v>
      </c>
      <c r="N14" s="15">
        <f>L14/K14</f>
        <v>9.0147990227354063E-2</v>
      </c>
      <c r="O14" s="4">
        <v>7084.44</v>
      </c>
      <c r="P14" s="4">
        <v>1755.96</v>
      </c>
      <c r="Q14" s="25">
        <v>0.13470635712000001</v>
      </c>
      <c r="R14" s="15">
        <f>0.246622422561</f>
        <v>0.246622422561</v>
      </c>
      <c r="S14" s="10">
        <v>55600.68</v>
      </c>
      <c r="T14" s="4">
        <v>38805.919999999998</v>
      </c>
      <c r="U14" s="23">
        <v>9.6589824609999795E-3</v>
      </c>
      <c r="V14" s="15">
        <f>0.697936026591963</f>
        <v>0.69793602659196297</v>
      </c>
      <c r="W14" s="17">
        <v>64500.88</v>
      </c>
      <c r="X14" s="18">
        <v>44698.92</v>
      </c>
      <c r="Y14" s="31">
        <v>7.7931286510935904E-4</v>
      </c>
      <c r="Z14" s="19">
        <f>0.692974481837855</f>
        <v>0.69297448183785504</v>
      </c>
    </row>
    <row r="15" spans="2:26">
      <c r="B15" s="35" t="s">
        <v>11</v>
      </c>
      <c r="C15" s="7">
        <v>257392.64000000001</v>
      </c>
      <c r="D15" s="8">
        <v>160088.68</v>
      </c>
      <c r="E15" s="26">
        <f>427.534279995/D15</f>
        <v>2.6706090648945325E-3</v>
      </c>
      <c r="F15" s="16">
        <f>D15/C15</f>
        <v>0.62196292792210373</v>
      </c>
      <c r="G15" s="7">
        <v>255903.8</v>
      </c>
      <c r="H15" s="8">
        <v>119737</v>
      </c>
      <c r="I15" s="26">
        <f>439.964559984/H15</f>
        <v>3.6744244467791913E-3</v>
      </c>
      <c r="J15" s="16">
        <f>H15/G15</f>
        <v>0.46789848372708809</v>
      </c>
      <c r="K15" s="11">
        <v>12894.72</v>
      </c>
      <c r="L15" s="12">
        <v>6653.84</v>
      </c>
      <c r="M15" s="26">
        <v>0.41677748738499998</v>
      </c>
      <c r="N15" s="16">
        <f>0.516229388841</f>
        <v>0.516229388841</v>
      </c>
      <c r="O15" s="20">
        <v>15535.84</v>
      </c>
      <c r="P15" s="21">
        <v>7148.88</v>
      </c>
      <c r="Q15" s="30">
        <f>0.966287252578</f>
        <v>0.96628725257799997</v>
      </c>
      <c r="R15" s="22">
        <f>0.466064149112</f>
        <v>0.466064149112</v>
      </c>
      <c r="S15" s="11">
        <v>51922.2</v>
      </c>
      <c r="T15" s="12">
        <v>40313.32</v>
      </c>
      <c r="U15" s="24">
        <v>9.54076675573781E-3</v>
      </c>
      <c r="V15" s="16">
        <f>0.7764193639493</f>
        <v>0.7764193639493</v>
      </c>
      <c r="W15" s="20">
        <v>58023.76</v>
      </c>
      <c r="X15" s="21">
        <v>43282.44</v>
      </c>
      <c r="Y15" s="32">
        <v>7.9658539794486699E-3</v>
      </c>
      <c r="Z15" s="22">
        <f>0.745946522916794</f>
        <v>0.74594652291679397</v>
      </c>
    </row>
    <row r="16" spans="2:26">
      <c r="F16" s="14"/>
      <c r="J16" s="14"/>
      <c r="K16" s="4"/>
      <c r="L16" s="4"/>
      <c r="N16" s="14"/>
      <c r="P16" s="4"/>
      <c r="R16" s="14"/>
    </row>
    <row r="17" spans="2:26">
      <c r="F17" s="14"/>
      <c r="J17" s="14"/>
      <c r="K17" s="4"/>
      <c r="L17" s="4"/>
      <c r="N17" s="14"/>
      <c r="P17" s="4"/>
      <c r="R17" s="14"/>
    </row>
    <row r="18" spans="2:26">
      <c r="D18" s="1" t="s">
        <v>16</v>
      </c>
      <c r="F18" s="14"/>
      <c r="J18" s="14"/>
      <c r="K18" s="4"/>
      <c r="L18" s="4"/>
      <c r="N18" s="14"/>
      <c r="P18" s="4"/>
      <c r="R18" s="14"/>
    </row>
    <row r="19" spans="2:26">
      <c r="F19" s="14"/>
      <c r="J19" s="14"/>
      <c r="K19" s="4"/>
      <c r="L19" s="4"/>
      <c r="N19" s="14"/>
      <c r="P19" s="4"/>
      <c r="R19" s="14"/>
    </row>
    <row r="20" spans="2:26">
      <c r="C20" s="77" t="s">
        <v>4</v>
      </c>
      <c r="D20" s="78"/>
      <c r="E20" s="78"/>
      <c r="F20" s="79"/>
      <c r="G20" s="77" t="s">
        <v>9</v>
      </c>
      <c r="H20" s="78"/>
      <c r="I20" s="78"/>
      <c r="J20" s="79"/>
      <c r="K20" s="77" t="s">
        <v>14</v>
      </c>
      <c r="L20" s="78"/>
      <c r="M20" s="78"/>
      <c r="N20" s="79"/>
      <c r="O20" s="77" t="s">
        <v>15</v>
      </c>
      <c r="P20" s="78"/>
      <c r="Q20" s="78"/>
      <c r="R20" s="79"/>
      <c r="S20" s="77" t="s">
        <v>18</v>
      </c>
      <c r="T20" s="78"/>
      <c r="U20" s="78"/>
      <c r="V20" s="79"/>
      <c r="W20" s="77" t="s">
        <v>19</v>
      </c>
      <c r="X20" s="78"/>
      <c r="Y20" s="78"/>
      <c r="Z20" s="79"/>
    </row>
    <row r="21" spans="2:26">
      <c r="B21" s="33" t="s">
        <v>20</v>
      </c>
      <c r="C21" s="5" t="s">
        <v>5</v>
      </c>
      <c r="D21" t="s">
        <v>6</v>
      </c>
      <c r="E21" s="25" t="s">
        <v>7</v>
      </c>
      <c r="F21" s="15" t="s">
        <v>8</v>
      </c>
      <c r="G21" s="5" t="s">
        <v>5</v>
      </c>
      <c r="H21" t="s">
        <v>6</v>
      </c>
      <c r="I21" s="25" t="s">
        <v>7</v>
      </c>
      <c r="J21" s="15" t="s">
        <v>8</v>
      </c>
      <c r="K21" s="10" t="s">
        <v>5</v>
      </c>
      <c r="L21" s="4" t="s">
        <v>6</v>
      </c>
      <c r="M21" s="25" t="s">
        <v>7</v>
      </c>
      <c r="N21" s="15" t="s">
        <v>8</v>
      </c>
      <c r="O21" s="10" t="s">
        <v>5</v>
      </c>
      <c r="P21" s="4" t="s">
        <v>6</v>
      </c>
      <c r="Q21" s="25" t="s">
        <v>7</v>
      </c>
      <c r="R21" s="15" t="s">
        <v>8</v>
      </c>
      <c r="S21" s="10" t="s">
        <v>5</v>
      </c>
      <c r="T21" s="4" t="s">
        <v>6</v>
      </c>
      <c r="U21" s="23" t="s">
        <v>7</v>
      </c>
      <c r="V21" s="15" t="s">
        <v>8</v>
      </c>
      <c r="W21" s="10" t="s">
        <v>5</v>
      </c>
      <c r="X21" s="4" t="s">
        <v>6</v>
      </c>
      <c r="Y21" s="23" t="s">
        <v>7</v>
      </c>
      <c r="Z21" s="15" t="s">
        <v>8</v>
      </c>
    </row>
    <row r="22" spans="2:26">
      <c r="B22" s="34" t="s">
        <v>10</v>
      </c>
      <c r="C22" s="6">
        <v>2247.6</v>
      </c>
      <c r="D22" s="2">
        <v>1530.28</v>
      </c>
      <c r="E22" s="25">
        <f>3.54327999115/D22</f>
        <v>2.3154455335951591E-3</v>
      </c>
      <c r="F22" s="15">
        <f>D22/C22</f>
        <v>0.68085068517529812</v>
      </c>
      <c r="G22" s="6">
        <v>2159.2800000000002</v>
      </c>
      <c r="H22" s="2">
        <v>1476.6</v>
      </c>
      <c r="I22" s="25">
        <f>3.49272001266/H22</f>
        <v>2.3653799354327511E-3</v>
      </c>
      <c r="J22" s="15">
        <f>H22/G22</f>
        <v>0.68383905746359885</v>
      </c>
      <c r="K22" s="10">
        <v>1788.56</v>
      </c>
      <c r="L22" s="4">
        <v>383.36</v>
      </c>
      <c r="M22" s="25">
        <f>6.74392003059/L22</f>
        <v>1.7591611098158388E-2</v>
      </c>
      <c r="N22" s="15">
        <f>0.117365546056</f>
        <v>0.117365546056</v>
      </c>
      <c r="O22" s="10">
        <v>2361.4</v>
      </c>
      <c r="P22" s="4">
        <v>394.84</v>
      </c>
      <c r="Q22" s="25">
        <f>8.55363998413/P22</f>
        <v>2.166355988281329E-2</v>
      </c>
      <c r="R22" s="15">
        <f>0.133845483353</f>
        <v>0.13384548335300001</v>
      </c>
      <c r="S22" s="10">
        <v>55936.959999999999</v>
      </c>
      <c r="T22" s="4">
        <v>40193.279999999999</v>
      </c>
      <c r="U22" s="23">
        <v>9.6911962174447898E-4</v>
      </c>
      <c r="V22" s="15">
        <f>0.718535975005012</f>
        <v>0.71853597500501198</v>
      </c>
      <c r="W22" s="17">
        <v>76576.479999999996</v>
      </c>
      <c r="X22" s="18">
        <v>47871.16</v>
      </c>
      <c r="Y22" s="31">
        <v>7.3714196677161401E-4</v>
      </c>
      <c r="Z22" s="19">
        <f>0.625144577295746</f>
        <v>0.62514457729574602</v>
      </c>
    </row>
    <row r="23" spans="2:26">
      <c r="B23" s="35" t="s">
        <v>11</v>
      </c>
      <c r="C23" s="7">
        <v>68436.800000000003</v>
      </c>
      <c r="D23" s="8">
        <v>44995.64</v>
      </c>
      <c r="E23" s="26">
        <f>65.7527272442/D23</f>
        <v>1.4613133015598846E-3</v>
      </c>
      <c r="F23" s="16">
        <f>D23/C23</f>
        <v>0.65747726369438664</v>
      </c>
      <c r="G23" s="7">
        <f>544940.68</f>
        <v>544940.68000000005</v>
      </c>
      <c r="H23" s="8">
        <v>318601.2</v>
      </c>
      <c r="I23" s="26">
        <f>58.4416252978/H23</f>
        <v>1.8343190577373844E-4</v>
      </c>
      <c r="J23" s="16">
        <f>H23/G23</f>
        <v>0.58465299379007629</v>
      </c>
      <c r="K23" s="20">
        <v>55759.76</v>
      </c>
      <c r="L23" s="21">
        <v>5086.16</v>
      </c>
      <c r="M23" s="30">
        <f>0.037332598489539</f>
        <v>3.7332598489539001E-2</v>
      </c>
      <c r="N23" s="22">
        <f>0.0941569205377</f>
        <v>9.4156920537700001E-2</v>
      </c>
      <c r="O23" s="20">
        <v>47453.52</v>
      </c>
      <c r="P23" s="21">
        <v>4134.3999999999996</v>
      </c>
      <c r="Q23" s="30">
        <v>3.6523870370000003E-2</v>
      </c>
      <c r="R23" s="22">
        <f>0.0902443968813</f>
        <v>9.0244396881299996E-2</v>
      </c>
      <c r="S23" s="11">
        <v>51869.16</v>
      </c>
      <c r="T23" s="12">
        <v>39307.879999999997</v>
      </c>
      <c r="U23" s="24">
        <f>0.000974304385141053</f>
        <v>9.74304385141053E-4</v>
      </c>
      <c r="V23" s="16">
        <f>0.757818562053007</f>
        <v>0.75781856205300702</v>
      </c>
      <c r="W23" s="11">
        <v>71577.440000000002</v>
      </c>
      <c r="X23" s="12">
        <v>47248.160000000003</v>
      </c>
      <c r="Y23" s="24">
        <v>9.1041977552592699E-4</v>
      </c>
      <c r="Z23" s="16">
        <f>0.660101503056236</f>
        <v>0.66010150305623605</v>
      </c>
    </row>
    <row r="34" spans="14:14">
      <c r="N34" t="s">
        <v>21</v>
      </c>
    </row>
  </sheetData>
  <mergeCells count="18">
    <mergeCell ref="C20:F20"/>
    <mergeCell ref="G20:J20"/>
    <mergeCell ref="K20:N20"/>
    <mergeCell ref="O20:R20"/>
    <mergeCell ref="S4:V4"/>
    <mergeCell ref="C4:F4"/>
    <mergeCell ref="G4:J4"/>
    <mergeCell ref="K4:N4"/>
    <mergeCell ref="O4:R4"/>
    <mergeCell ref="C12:F12"/>
    <mergeCell ref="G12:J12"/>
    <mergeCell ref="K12:N12"/>
    <mergeCell ref="O12:R12"/>
    <mergeCell ref="W4:Z4"/>
    <mergeCell ref="S12:V12"/>
    <mergeCell ref="W12:Z12"/>
    <mergeCell ref="S20:V20"/>
    <mergeCell ref="W20:Z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4891-8F36-4518-8749-2ECD10F14963}">
  <dimension ref="A2:Y25"/>
  <sheetViews>
    <sheetView zoomScale="115" zoomScaleNormal="115" workbookViewId="0">
      <pane xSplit="1" topLeftCell="B1" activePane="topRight" state="frozen"/>
      <selection pane="topRight" activeCell="A2" sqref="A1:XFD1048576"/>
    </sheetView>
  </sheetViews>
  <sheetFormatPr defaultRowHeight="15"/>
  <cols>
    <col min="1" max="1" width="15.42578125" bestFit="1" customWidth="1"/>
    <col min="6" max="7" width="9.140625" style="2"/>
    <col min="8" max="8" width="10.28515625" style="23" bestFit="1" customWidth="1"/>
    <col min="9" max="9" width="9.140625" style="14"/>
    <col min="12" max="12" width="9.140625" style="23"/>
    <col min="13" max="13" width="9.140625" style="14"/>
    <col min="14" max="15" width="9.140625" style="2"/>
    <col min="16" max="16" width="9.5703125" style="23" bestFit="1" customWidth="1"/>
    <col min="17" max="17" width="9.140625" style="14"/>
    <col min="20" max="20" width="9.140625" style="23"/>
    <col min="21" max="21" width="9.140625" style="14"/>
    <col min="22" max="23" width="9.140625" style="2"/>
    <col min="24" max="24" width="10.140625" style="23" bestFit="1" customWidth="1"/>
    <col min="25" max="25" width="9.140625" style="14"/>
  </cols>
  <sheetData>
    <row r="2" spans="1:25">
      <c r="C2" s="1" t="s">
        <v>12</v>
      </c>
      <c r="D2" s="25"/>
      <c r="E2" s="14"/>
      <c r="J2" t="s">
        <v>22</v>
      </c>
      <c r="K2" s="4"/>
      <c r="R2" t="s">
        <v>22</v>
      </c>
    </row>
    <row r="3" spans="1:25">
      <c r="D3" s="25"/>
      <c r="E3" s="14"/>
      <c r="J3" s="4"/>
      <c r="K3" s="4"/>
    </row>
    <row r="4" spans="1:25">
      <c r="B4" s="77" t="s">
        <v>4</v>
      </c>
      <c r="C4" s="78"/>
      <c r="D4" s="78"/>
      <c r="E4" s="79"/>
      <c r="F4" s="77" t="s">
        <v>9</v>
      </c>
      <c r="G4" s="78"/>
      <c r="H4" s="78"/>
      <c r="I4" s="79"/>
      <c r="J4" s="77" t="s">
        <v>14</v>
      </c>
      <c r="K4" s="78"/>
      <c r="L4" s="78"/>
      <c r="M4" s="79"/>
      <c r="N4" s="77" t="s">
        <v>15</v>
      </c>
      <c r="O4" s="78"/>
      <c r="P4" s="78"/>
      <c r="Q4" s="79"/>
      <c r="R4" s="80" t="s">
        <v>18</v>
      </c>
      <c r="S4" s="81"/>
      <c r="T4" s="81"/>
      <c r="U4" s="82"/>
      <c r="V4" s="80" t="s">
        <v>19</v>
      </c>
      <c r="W4" s="81"/>
      <c r="X4" s="81"/>
      <c r="Y4" s="82"/>
    </row>
    <row r="5" spans="1:25">
      <c r="A5" s="33" t="s">
        <v>20</v>
      </c>
      <c r="B5" s="5" t="s">
        <v>5</v>
      </c>
      <c r="C5" t="s">
        <v>6</v>
      </c>
      <c r="D5" s="25" t="s">
        <v>7</v>
      </c>
      <c r="E5" s="15" t="s">
        <v>8</v>
      </c>
      <c r="F5" s="6" t="s">
        <v>5</v>
      </c>
      <c r="G5" s="2" t="s">
        <v>6</v>
      </c>
      <c r="H5" s="23" t="s">
        <v>7</v>
      </c>
      <c r="I5" s="15" t="s">
        <v>8</v>
      </c>
      <c r="J5" s="10" t="s">
        <v>5</v>
      </c>
      <c r="K5" s="4" t="s">
        <v>6</v>
      </c>
      <c r="L5" s="23" t="s">
        <v>7</v>
      </c>
      <c r="M5" s="15" t="s">
        <v>8</v>
      </c>
      <c r="N5" s="6" t="s">
        <v>5</v>
      </c>
      <c r="O5" s="2" t="s">
        <v>6</v>
      </c>
      <c r="P5" s="23" t="s">
        <v>7</v>
      </c>
      <c r="Q5" s="15" t="s">
        <v>8</v>
      </c>
      <c r="R5" s="10" t="s">
        <v>5</v>
      </c>
      <c r="S5" s="4" t="s">
        <v>6</v>
      </c>
      <c r="T5" s="23" t="s">
        <v>7</v>
      </c>
      <c r="U5" s="15" t="s">
        <v>8</v>
      </c>
      <c r="V5" s="6" t="s">
        <v>5</v>
      </c>
      <c r="W5" s="2" t="s">
        <v>6</v>
      </c>
      <c r="X5" s="23" t="s">
        <v>7</v>
      </c>
      <c r="Y5" s="15" t="s">
        <v>8</v>
      </c>
    </row>
    <row r="6" spans="1:25">
      <c r="A6" s="34" t="s">
        <v>10</v>
      </c>
      <c r="B6" s="36">
        <v>43861.68</v>
      </c>
      <c r="C6" s="37">
        <v>27560.12</v>
      </c>
      <c r="D6" s="38">
        <v>4.1082749177399997E-3</v>
      </c>
      <c r="E6" s="39">
        <f>0.627764779504</f>
        <v>0.627764779504</v>
      </c>
      <c r="F6" s="36">
        <v>44746.239999999998</v>
      </c>
      <c r="G6" s="37">
        <v>28439.88</v>
      </c>
      <c r="H6" s="40">
        <v>4.0888118807699998E-3</v>
      </c>
      <c r="I6" s="39">
        <f>0.635583855722</f>
        <v>0.63558385572200005</v>
      </c>
      <c r="J6" s="46">
        <v>22778.52</v>
      </c>
      <c r="K6" s="47">
        <v>5056.88</v>
      </c>
      <c r="L6" s="40">
        <v>0.217891284849</v>
      </c>
      <c r="M6" s="39">
        <f>0.229772150746</f>
        <v>0.22977215074599999</v>
      </c>
      <c r="N6" s="36">
        <v>14276.16</v>
      </c>
      <c r="O6" s="37">
        <v>6475.72</v>
      </c>
      <c r="P6" s="40">
        <v>0.66141675514800002</v>
      </c>
      <c r="Q6" s="39">
        <f>0.495939083514</f>
        <v>0.49593908351400001</v>
      </c>
      <c r="R6" s="46">
        <v>75597.440000000002</v>
      </c>
      <c r="S6" s="47">
        <v>42141.32</v>
      </c>
      <c r="T6" s="40">
        <v>1.04460485707496E-2</v>
      </c>
      <c r="U6" s="39">
        <v>0.55744297070748905</v>
      </c>
      <c r="V6" s="36">
        <v>72404.960000000006</v>
      </c>
      <c r="W6" s="37">
        <v>43416.4</v>
      </c>
      <c r="X6" s="40">
        <v>1.01703200463237E-2</v>
      </c>
      <c r="Y6" s="39">
        <v>0.59963527384809401</v>
      </c>
    </row>
    <row r="7" spans="1:25">
      <c r="A7" s="35" t="s">
        <v>11</v>
      </c>
      <c r="B7" s="53">
        <v>47010.84</v>
      </c>
      <c r="C7" s="54">
        <v>28294.880000000001</v>
      </c>
      <c r="D7" s="55">
        <v>6.4714923485100005E-4</v>
      </c>
      <c r="E7" s="56">
        <f>0.60183842307</f>
        <v>0.60183842307000002</v>
      </c>
      <c r="F7" s="53">
        <v>80551.12</v>
      </c>
      <c r="G7" s="54">
        <v>50689.52</v>
      </c>
      <c r="H7" s="57">
        <v>4.3877273659700001E-4</v>
      </c>
      <c r="I7" s="56">
        <f>0.629191759205</f>
        <v>0.62919175920500003</v>
      </c>
      <c r="J7" s="48">
        <v>4843.04</v>
      </c>
      <c r="K7" s="49">
        <v>1530.8</v>
      </c>
      <c r="L7" s="45">
        <v>8.4274882345303906E-2</v>
      </c>
      <c r="M7" s="44">
        <f>0.319777913834</f>
        <v>0.319777913834</v>
      </c>
      <c r="N7" s="41">
        <v>3870.28</v>
      </c>
      <c r="O7" s="42">
        <v>1329.32</v>
      </c>
      <c r="P7" s="45">
        <v>0.34610360097600001</v>
      </c>
      <c r="Q7" s="44">
        <f>0.345052281224</f>
        <v>0.345052281224</v>
      </c>
      <c r="R7" s="58">
        <v>71535</v>
      </c>
      <c r="S7" s="59">
        <v>14803.52</v>
      </c>
      <c r="T7" s="57">
        <v>1.3708259982290701E-2</v>
      </c>
      <c r="U7" s="56">
        <f>0.206990094100602</f>
        <v>0.20699009410060201</v>
      </c>
      <c r="V7" s="53">
        <v>70674.52</v>
      </c>
      <c r="W7" s="54">
        <v>14335.04</v>
      </c>
      <c r="X7" s="57">
        <v>1.5778135649961202E-2</v>
      </c>
      <c r="Y7" s="56">
        <f>0.202862373601151</f>
        <v>0.202862373601151</v>
      </c>
    </row>
    <row r="8" spans="1:25">
      <c r="D8" s="25"/>
      <c r="E8" s="14"/>
      <c r="F8" s="2">
        <f>F6-B6</f>
        <v>884.55999999999767</v>
      </c>
      <c r="G8" s="2">
        <f t="shared" ref="G8:I8" si="0">G6-C6</f>
        <v>879.76000000000204</v>
      </c>
      <c r="H8" s="23">
        <f>H6-D6</f>
        <v>-1.9463036969999924E-5</v>
      </c>
      <c r="I8" s="14">
        <f t="shared" si="0"/>
        <v>7.8190762180000428E-3</v>
      </c>
      <c r="J8" s="4"/>
      <c r="K8" s="4"/>
      <c r="N8" s="2">
        <f t="shared" ref="N8:Q8" si="1">N6-J6</f>
        <v>-8502.36</v>
      </c>
      <c r="O8" s="2">
        <f t="shared" si="1"/>
        <v>1418.8400000000001</v>
      </c>
      <c r="P8" s="23">
        <f t="shared" si="1"/>
        <v>0.44352547029900002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23">
        <f>X6-T6</f>
        <v>-2.7572852442589967E-4</v>
      </c>
      <c r="Y8" s="14">
        <f>Y6-U6</f>
        <v>4.2192303140604959E-2</v>
      </c>
    </row>
    <row r="9" spans="1:25">
      <c r="D9" s="25"/>
      <c r="E9" s="14"/>
      <c r="F9" s="2">
        <f t="shared" ref="F9:I9" si="2">F7-B7</f>
        <v>33540.28</v>
      </c>
      <c r="G9" s="2">
        <f t="shared" si="2"/>
        <v>22394.639999999996</v>
      </c>
      <c r="H9" s="23">
        <f>H7-D7</f>
        <v>-2.0837649825400004E-4</v>
      </c>
      <c r="I9" s="14">
        <f t="shared" si="2"/>
        <v>2.7353336135000017E-2</v>
      </c>
      <c r="J9" s="4"/>
      <c r="K9" s="4"/>
      <c r="N9" s="2">
        <f t="shared" ref="N9:P9" si="3">N7-J7</f>
        <v>-972.75999999999976</v>
      </c>
      <c r="O9" s="2">
        <f t="shared" si="3"/>
        <v>-201.48000000000002</v>
      </c>
      <c r="P9" s="23">
        <f t="shared" si="3"/>
        <v>0.26182871863069612</v>
      </c>
      <c r="Q9" s="14">
        <f>Q7-M7</f>
        <v>2.5274367389999997E-2</v>
      </c>
      <c r="V9" s="2">
        <f t="shared" ref="V9" si="4">V7-R7</f>
        <v>-860.47999999999593</v>
      </c>
      <c r="W9" s="2">
        <f t="shared" ref="W9" si="5">W7-S7</f>
        <v>-468.47999999999956</v>
      </c>
      <c r="X9" s="23">
        <f t="shared" ref="X9" si="6">X7-T7</f>
        <v>2.069875667670501E-3</v>
      </c>
      <c r="Y9" s="14">
        <f t="shared" ref="Y9" si="7">Y7-U7</f>
        <v>-4.1277204994510097E-3</v>
      </c>
    </row>
    <row r="10" spans="1:25">
      <c r="C10" s="1" t="s">
        <v>13</v>
      </c>
      <c r="D10" s="25"/>
      <c r="E10" s="14"/>
      <c r="J10" t="s">
        <v>23</v>
      </c>
      <c r="K10" s="4"/>
      <c r="R10" t="s">
        <v>23</v>
      </c>
    </row>
    <row r="11" spans="1:25">
      <c r="D11" s="25"/>
      <c r="E11" s="14"/>
      <c r="J11" s="4"/>
      <c r="K11" s="4"/>
    </row>
    <row r="12" spans="1:25">
      <c r="B12" s="77" t="s">
        <v>4</v>
      </c>
      <c r="C12" s="78"/>
      <c r="D12" s="78"/>
      <c r="E12" s="79"/>
      <c r="F12" s="77" t="s">
        <v>9</v>
      </c>
      <c r="G12" s="78"/>
      <c r="H12" s="78"/>
      <c r="I12" s="79"/>
      <c r="J12" s="77" t="s">
        <v>14</v>
      </c>
      <c r="K12" s="78"/>
      <c r="L12" s="78"/>
      <c r="M12" s="79"/>
      <c r="N12" s="77" t="s">
        <v>15</v>
      </c>
      <c r="O12" s="78"/>
      <c r="P12" s="78"/>
      <c r="Q12" s="79"/>
      <c r="R12" s="80" t="s">
        <v>18</v>
      </c>
      <c r="S12" s="81"/>
      <c r="T12" s="81"/>
      <c r="U12" s="82"/>
      <c r="V12" s="80" t="s">
        <v>19</v>
      </c>
      <c r="W12" s="81"/>
      <c r="X12" s="81"/>
      <c r="Y12" s="82"/>
    </row>
    <row r="13" spans="1:25">
      <c r="A13" s="33" t="s">
        <v>20</v>
      </c>
      <c r="B13" s="5" t="s">
        <v>5</v>
      </c>
      <c r="C13" t="s">
        <v>6</v>
      </c>
      <c r="D13" s="25" t="s">
        <v>7</v>
      </c>
      <c r="E13" s="15" t="s">
        <v>8</v>
      </c>
      <c r="F13" s="6" t="s">
        <v>5</v>
      </c>
      <c r="G13" s="2" t="s">
        <v>6</v>
      </c>
      <c r="H13" s="23" t="s">
        <v>7</v>
      </c>
      <c r="I13" s="15" t="s">
        <v>8</v>
      </c>
      <c r="J13" s="10" t="s">
        <v>5</v>
      </c>
      <c r="K13" s="4" t="s">
        <v>6</v>
      </c>
      <c r="L13" s="23" t="s">
        <v>7</v>
      </c>
      <c r="M13" s="15" t="s">
        <v>8</v>
      </c>
      <c r="N13" s="6" t="s">
        <v>5</v>
      </c>
      <c r="O13" s="2" t="s">
        <v>6</v>
      </c>
      <c r="P13" s="23" t="s">
        <v>7</v>
      </c>
      <c r="Q13" s="15" t="s">
        <v>8</v>
      </c>
      <c r="R13" s="10" t="s">
        <v>5</v>
      </c>
      <c r="S13" s="4" t="s">
        <v>6</v>
      </c>
      <c r="T13" s="23" t="s">
        <v>7</v>
      </c>
      <c r="U13" s="15" t="s">
        <v>8</v>
      </c>
      <c r="V13" s="6" t="s">
        <v>5</v>
      </c>
      <c r="W13" s="2" t="s">
        <v>6</v>
      </c>
      <c r="X13" s="23" t="s">
        <v>7</v>
      </c>
      <c r="Y13" s="15" t="s">
        <v>8</v>
      </c>
    </row>
    <row r="14" spans="1:25">
      <c r="A14" s="34" t="s">
        <v>10</v>
      </c>
      <c r="B14" s="36">
        <v>33394.44</v>
      </c>
      <c r="C14" s="37">
        <v>19862.96</v>
      </c>
      <c r="D14" s="38">
        <v>5.3976120326600001E-3</v>
      </c>
      <c r="E14" s="39">
        <f>0.595498451327</f>
        <v>0.59549845132699997</v>
      </c>
      <c r="F14" s="36">
        <v>33472.519999999997</v>
      </c>
      <c r="G14" s="37">
        <v>20461.84</v>
      </c>
      <c r="H14" s="40">
        <v>5.5616570085799998E-3</v>
      </c>
      <c r="I14" s="39">
        <v>0.60385012711599995</v>
      </c>
      <c r="J14" s="46">
        <v>6904.4</v>
      </c>
      <c r="K14" s="47">
        <v>1955.48</v>
      </c>
      <c r="L14" s="40">
        <v>0.142773449454</v>
      </c>
      <c r="M14" s="39">
        <f>0.280064011089</f>
        <v>0.28006401108899998</v>
      </c>
      <c r="N14" s="37">
        <v>7652.36</v>
      </c>
      <c r="O14" s="37">
        <v>2054.84</v>
      </c>
      <c r="P14" s="40">
        <v>0.15315927474300001</v>
      </c>
      <c r="Q14" s="39">
        <f>0.266656194123</f>
        <v>0.26665619412300001</v>
      </c>
      <c r="R14" s="46">
        <v>72101.279999999999</v>
      </c>
      <c r="S14" s="47">
        <v>50908.959999999999</v>
      </c>
      <c r="T14" s="40">
        <v>8.5186578901613602E-3</v>
      </c>
      <c r="U14" s="39">
        <f>0.706072237533358</f>
        <v>0.70607223753335802</v>
      </c>
      <c r="V14" s="36">
        <v>46776.959999999999</v>
      </c>
      <c r="W14" s="37">
        <v>38239.96</v>
      </c>
      <c r="X14" s="40">
        <v>1.1335646942011101E-2</v>
      </c>
      <c r="Y14" s="39">
        <f>0.817497229632774</f>
        <v>0.81749722963277405</v>
      </c>
    </row>
    <row r="15" spans="1:25">
      <c r="A15" s="35" t="s">
        <v>11</v>
      </c>
      <c r="B15" s="41">
        <v>256828.28</v>
      </c>
      <c r="C15" s="42">
        <v>159559.20000000001</v>
      </c>
      <c r="D15" s="43">
        <v>2.8235654760299998E-3</v>
      </c>
      <c r="E15" s="44">
        <f>0.621226720257</f>
        <v>0.62122672025699999</v>
      </c>
      <c r="F15" s="41">
        <v>255556.4</v>
      </c>
      <c r="G15" s="42">
        <v>161164.96</v>
      </c>
      <c r="H15" s="45">
        <v>2.7762807068600001E-3</v>
      </c>
      <c r="I15" s="44">
        <f>0.630712779453</f>
        <v>0.63071277945299997</v>
      </c>
      <c r="J15" s="58">
        <v>13233.72</v>
      </c>
      <c r="K15" s="59">
        <v>6834.08</v>
      </c>
      <c r="L15" s="57">
        <v>0.26817115436900002</v>
      </c>
      <c r="M15" s="56">
        <f>0.517111316142</f>
        <v>0.51711131614200001</v>
      </c>
      <c r="N15" s="53">
        <v>11865.4</v>
      </c>
      <c r="O15" s="54">
        <v>5267.32</v>
      </c>
      <c r="P15" s="57">
        <v>0.58214726421499996</v>
      </c>
      <c r="Q15" s="56">
        <f>0.444139679339</f>
        <v>0.444139679339</v>
      </c>
      <c r="R15" s="48">
        <v>75500.52</v>
      </c>
      <c r="S15" s="49">
        <v>43218.400000000001</v>
      </c>
      <c r="T15" s="45">
        <v>1.00794947949207E-2</v>
      </c>
      <c r="U15" s="44">
        <f>0.572422652346015</f>
        <v>0.57242265234601497</v>
      </c>
      <c r="V15" s="41">
        <v>72237.16</v>
      </c>
      <c r="W15" s="42">
        <v>43623.72</v>
      </c>
      <c r="X15" s="45">
        <v>9.9580910894967803E-3</v>
      </c>
      <c r="Y15" s="44">
        <f>0.603897120911155</f>
        <v>0.60389712091115499</v>
      </c>
    </row>
    <row r="16" spans="1:25">
      <c r="D16" s="25"/>
      <c r="E16" s="14"/>
      <c r="F16" s="2">
        <f t="shared" ref="F16:I16" si="8">F14-B14</f>
        <v>78.07999999999447</v>
      </c>
      <c r="G16" s="2">
        <f t="shared" si="8"/>
        <v>598.88000000000102</v>
      </c>
      <c r="H16" s="23">
        <f t="shared" si="8"/>
        <v>1.6404497591999967E-4</v>
      </c>
      <c r="I16" s="14">
        <f t="shared" si="8"/>
        <v>8.3516757889999793E-3</v>
      </c>
      <c r="J16" s="4"/>
      <c r="K16" s="4"/>
      <c r="N16" s="2">
        <f t="shared" ref="N16:Q16" si="9">N14-J14</f>
        <v>747.96</v>
      </c>
      <c r="O16" s="2">
        <f t="shared" si="9"/>
        <v>99.360000000000127</v>
      </c>
      <c r="P16" s="23">
        <f t="shared" si="9"/>
        <v>1.0385825289000006E-2</v>
      </c>
      <c r="Q16" s="14">
        <f t="shared" si="9"/>
        <v>-1.3407816965999964E-2</v>
      </c>
      <c r="V16" s="2">
        <f t="shared" ref="V16:Y16" si="10">V14-R14</f>
        <v>-25324.32</v>
      </c>
      <c r="W16" s="2">
        <f t="shared" si="10"/>
        <v>-12669</v>
      </c>
      <c r="X16" s="23">
        <f t="shared" si="10"/>
        <v>2.8169890518497404E-3</v>
      </c>
      <c r="Y16" s="14">
        <f t="shared" si="10"/>
        <v>0.11142499209941603</v>
      </c>
    </row>
    <row r="17" spans="1:25">
      <c r="D17" s="25"/>
      <c r="E17" s="14"/>
      <c r="F17" s="2">
        <f t="shared" ref="F17:I17" si="11">F15-B15</f>
        <v>-1271.8800000000047</v>
      </c>
      <c r="G17" s="2">
        <f t="shared" si="11"/>
        <v>1605.7599999999802</v>
      </c>
      <c r="H17" s="23">
        <f t="shared" si="11"/>
        <v>-4.7284769169999696E-5</v>
      </c>
      <c r="I17" s="14">
        <f t="shared" si="11"/>
        <v>9.4860591959999851E-3</v>
      </c>
      <c r="J17" s="4"/>
      <c r="K17" s="4"/>
      <c r="N17" s="2">
        <f t="shared" ref="N17:Q17" si="12">N15-J15</f>
        <v>-1368.3199999999997</v>
      </c>
      <c r="O17" s="2">
        <f t="shared" si="12"/>
        <v>-1566.7600000000002</v>
      </c>
      <c r="P17" s="23">
        <f t="shared" si="12"/>
        <v>0.31397610984599994</v>
      </c>
      <c r="Q17" s="14">
        <f t="shared" si="12"/>
        <v>-7.2971636803000006E-2</v>
      </c>
      <c r="V17" s="2">
        <f t="shared" ref="V17:Y17" si="13">V15-R15</f>
        <v>-3263.3600000000006</v>
      </c>
      <c r="W17" s="2">
        <f t="shared" si="13"/>
        <v>405.31999999999971</v>
      </c>
      <c r="X17" s="23">
        <f t="shared" si="13"/>
        <v>-1.2140370542391976E-4</v>
      </c>
      <c r="Y17" s="14">
        <f t="shared" si="13"/>
        <v>3.1474468565140024E-2</v>
      </c>
    </row>
    <row r="18" spans="1:25">
      <c r="C18" s="1" t="s">
        <v>16</v>
      </c>
      <c r="D18" s="25"/>
      <c r="E18" s="14"/>
      <c r="J18" t="s">
        <v>24</v>
      </c>
      <c r="K18" s="4"/>
      <c r="R18" t="s">
        <v>24</v>
      </c>
    </row>
    <row r="19" spans="1:25">
      <c r="D19" s="25"/>
      <c r="E19" s="14"/>
      <c r="J19" s="4"/>
      <c r="K19" s="4"/>
    </row>
    <row r="20" spans="1:25">
      <c r="B20" s="77" t="s">
        <v>4</v>
      </c>
      <c r="C20" s="78"/>
      <c r="D20" s="78"/>
      <c r="E20" s="79"/>
      <c r="F20" s="77" t="s">
        <v>9</v>
      </c>
      <c r="G20" s="78"/>
      <c r="H20" s="78"/>
      <c r="I20" s="79"/>
      <c r="J20" s="77" t="s">
        <v>14</v>
      </c>
      <c r="K20" s="78"/>
      <c r="L20" s="78"/>
      <c r="M20" s="79"/>
      <c r="N20" s="77" t="s">
        <v>15</v>
      </c>
      <c r="O20" s="78"/>
      <c r="P20" s="78"/>
      <c r="Q20" s="79"/>
      <c r="R20" s="80" t="s">
        <v>18</v>
      </c>
      <c r="S20" s="81"/>
      <c r="T20" s="81"/>
      <c r="U20" s="82"/>
      <c r="V20" s="80" t="s">
        <v>19</v>
      </c>
      <c r="W20" s="81"/>
      <c r="X20" s="81"/>
      <c r="Y20" s="82"/>
    </row>
    <row r="21" spans="1:25">
      <c r="A21" s="33" t="s">
        <v>20</v>
      </c>
      <c r="B21" s="5" t="s">
        <v>5</v>
      </c>
      <c r="C21" t="s">
        <v>6</v>
      </c>
      <c r="D21" s="25" t="s">
        <v>7</v>
      </c>
      <c r="E21" s="15" t="s">
        <v>8</v>
      </c>
      <c r="F21" s="6" t="s">
        <v>5</v>
      </c>
      <c r="G21" s="2" t="s">
        <v>6</v>
      </c>
      <c r="H21" s="23" t="s">
        <v>7</v>
      </c>
      <c r="I21" s="15" t="s">
        <v>8</v>
      </c>
      <c r="J21" s="10" t="s">
        <v>5</v>
      </c>
      <c r="K21" s="4" t="s">
        <v>6</v>
      </c>
      <c r="L21" s="23" t="s">
        <v>7</v>
      </c>
      <c r="M21" s="15" t="s">
        <v>8</v>
      </c>
      <c r="N21" s="6" t="s">
        <v>5</v>
      </c>
      <c r="O21" s="2" t="s">
        <v>6</v>
      </c>
      <c r="P21" s="23" t="s">
        <v>7</v>
      </c>
      <c r="Q21" s="15" t="s">
        <v>8</v>
      </c>
      <c r="R21" s="10" t="s">
        <v>5</v>
      </c>
      <c r="S21" s="4" t="s">
        <v>6</v>
      </c>
      <c r="T21" s="23" t="s">
        <v>7</v>
      </c>
      <c r="U21" s="15" t="s">
        <v>8</v>
      </c>
      <c r="V21" s="6" t="s">
        <v>5</v>
      </c>
      <c r="W21" s="2" t="s">
        <v>6</v>
      </c>
      <c r="X21" s="23" t="s">
        <v>7</v>
      </c>
      <c r="Y21" s="15" t="s">
        <v>8</v>
      </c>
    </row>
    <row r="22" spans="1:25">
      <c r="A22" s="34" t="s">
        <v>10</v>
      </c>
      <c r="B22" s="36">
        <v>1939.52</v>
      </c>
      <c r="C22" s="37">
        <v>1254.28</v>
      </c>
      <c r="D22" s="38">
        <v>1.37152060365E-3</v>
      </c>
      <c r="E22" s="39">
        <f>0.412818978501</f>
        <v>0.41281897850100002</v>
      </c>
      <c r="F22" s="36">
        <v>2660.24</v>
      </c>
      <c r="G22" s="37">
        <v>1850.8</v>
      </c>
      <c r="H22" s="40">
        <v>1.1558137467699999E-3</v>
      </c>
      <c r="I22" s="39">
        <f>0.457858631304</f>
        <v>0.45785863130400001</v>
      </c>
      <c r="J22" s="27">
        <v>1788.56</v>
      </c>
      <c r="K22" s="28">
        <v>383.36</v>
      </c>
      <c r="L22" s="50">
        <f>6.74392003059/K22</f>
        <v>1.7591611098158388E-2</v>
      </c>
      <c r="M22" s="29">
        <f>0.117365546056</f>
        <v>0.117365546056</v>
      </c>
      <c r="N22" s="51">
        <v>2361.4</v>
      </c>
      <c r="O22" s="52">
        <v>394.84</v>
      </c>
      <c r="P22" s="50">
        <f>8.55363998413/O22</f>
        <v>2.166355988281329E-2</v>
      </c>
      <c r="Q22" s="29">
        <f>0.133845483353</f>
        <v>0.13384548335300001</v>
      </c>
      <c r="R22" s="46">
        <v>75640.639999999999</v>
      </c>
      <c r="S22" s="47">
        <v>50279.44</v>
      </c>
      <c r="T22" s="40">
        <v>9.0999720581259305E-4</v>
      </c>
      <c r="U22" s="39">
        <f>0.664719285726297</f>
        <v>0.66471928572629702</v>
      </c>
      <c r="V22" s="36">
        <v>72349.759999999995</v>
      </c>
      <c r="W22" s="37">
        <v>48301.440000000002</v>
      </c>
      <c r="X22" s="40">
        <v>9.3614011579710597E-4</v>
      </c>
      <c r="Y22" s="39">
        <f>0.667614675138628</f>
        <v>0.66761467513862804</v>
      </c>
    </row>
    <row r="23" spans="1:25">
      <c r="A23" s="35" t="s">
        <v>11</v>
      </c>
      <c r="B23" s="41">
        <v>65731.759999999995</v>
      </c>
      <c r="C23" s="42">
        <v>42733</v>
      </c>
      <c r="D23" s="43">
        <v>3.41266998576E-4</v>
      </c>
      <c r="E23" s="44">
        <f>0.649367174249</f>
        <v>0.64936717424900003</v>
      </c>
      <c r="F23" s="41">
        <v>65878.28</v>
      </c>
      <c r="G23" s="42">
        <v>42978.879999999997</v>
      </c>
      <c r="H23" s="43">
        <v>3.3760500982900002E-4</v>
      </c>
      <c r="I23" s="44">
        <f>0.651995258419</f>
        <v>0.65199525841899997</v>
      </c>
      <c r="J23" s="48">
        <v>55759.76</v>
      </c>
      <c r="K23" s="49">
        <v>5086.16</v>
      </c>
      <c r="L23" s="45">
        <f>0.037332598489539</f>
        <v>3.7332598489539001E-2</v>
      </c>
      <c r="M23" s="44">
        <f>0.0941569205377</f>
        <v>9.4156920537700001E-2</v>
      </c>
      <c r="N23" s="41">
        <v>49437.48</v>
      </c>
      <c r="O23" s="42">
        <v>8438.16</v>
      </c>
      <c r="P23" s="45">
        <v>5.2383032633299999E-2</v>
      </c>
      <c r="Q23" s="44">
        <f>0.175672981217</f>
        <v>0.17567298121700001</v>
      </c>
      <c r="R23" s="58">
        <v>72151.28</v>
      </c>
      <c r="S23" s="59">
        <v>49929.2</v>
      </c>
      <c r="T23" s="57">
        <v>6.5100253153404499E-4</v>
      </c>
      <c r="U23" s="56">
        <f>0.692010424836777</f>
        <v>0.69201042483677699</v>
      </c>
      <c r="V23" s="53">
        <v>58399.72</v>
      </c>
      <c r="W23" s="54">
        <v>37408.92</v>
      </c>
      <c r="X23" s="57">
        <v>8.2044665115858003E-4</v>
      </c>
      <c r="Y23" s="56">
        <f>0.64057186374492</f>
        <v>0.64057186374492003</v>
      </c>
    </row>
    <row r="24" spans="1:25">
      <c r="F24" s="2">
        <f t="shared" ref="F24:I24" si="14">F22-B22</f>
        <v>720.7199999999998</v>
      </c>
      <c r="G24" s="2">
        <f t="shared" si="14"/>
        <v>596.52</v>
      </c>
      <c r="H24" s="23">
        <f t="shared" si="14"/>
        <v>-2.1570685688000009E-4</v>
      </c>
      <c r="I24" s="14">
        <f t="shared" si="14"/>
        <v>4.5039652802999985E-2</v>
      </c>
      <c r="N24" s="2">
        <f t="shared" ref="N24:Q24" si="15">N22-J22</f>
        <v>572.84000000000015</v>
      </c>
      <c r="O24" s="2">
        <f t="shared" si="15"/>
        <v>11.479999999999961</v>
      </c>
      <c r="P24" s="23">
        <f t="shared" si="15"/>
        <v>4.0719487846549024E-3</v>
      </c>
      <c r="Q24" s="14">
        <f t="shared" si="15"/>
        <v>1.6479937297000008E-2</v>
      </c>
      <c r="V24" s="2">
        <f>V22-R22</f>
        <v>-3290.8800000000047</v>
      </c>
      <c r="W24" s="2">
        <f>W22-S22</f>
        <v>-1978</v>
      </c>
      <c r="X24" s="23">
        <f>X22-T22</f>
        <v>2.6142909984512921E-5</v>
      </c>
      <c r="Y24" s="14">
        <f>Y22-U22</f>
        <v>2.8953894123310286E-3</v>
      </c>
    </row>
    <row r="25" spans="1:25">
      <c r="F25" s="2">
        <f t="shared" ref="F25:I25" si="16">F23-B23</f>
        <v>146.52000000000407</v>
      </c>
      <c r="G25" s="2">
        <f t="shared" si="16"/>
        <v>245.87999999999738</v>
      </c>
      <c r="H25" s="23">
        <f t="shared" si="16"/>
        <v>-3.6619887469999828E-6</v>
      </c>
      <c r="I25" s="14">
        <f t="shared" si="16"/>
        <v>2.6280841699999336E-3</v>
      </c>
      <c r="N25" s="2">
        <f t="shared" ref="N25:Q25" si="17">N23-J23</f>
        <v>-6322.2799999999988</v>
      </c>
      <c r="O25" s="2">
        <f t="shared" si="17"/>
        <v>3352</v>
      </c>
      <c r="P25" s="23">
        <f t="shared" si="17"/>
        <v>1.5050434143760998E-2</v>
      </c>
      <c r="Q25" s="14">
        <f t="shared" si="17"/>
        <v>8.1516060679300006E-2</v>
      </c>
      <c r="V25" s="2">
        <f>V23-R23</f>
        <v>-13751.559999999998</v>
      </c>
      <c r="W25" s="2">
        <f t="shared" ref="W25:Y25" si="18">W23-S23</f>
        <v>-12520.279999999999</v>
      </c>
      <c r="X25" s="23">
        <f t="shared" si="18"/>
        <v>1.6944411962453504E-4</v>
      </c>
      <c r="Y25" s="14">
        <f t="shared" si="18"/>
        <v>-5.143856109185696E-2</v>
      </c>
    </row>
  </sheetData>
  <mergeCells count="18"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  <mergeCell ref="V4:Y4"/>
    <mergeCell ref="B4:E4"/>
    <mergeCell ref="F4:I4"/>
    <mergeCell ref="J4:M4"/>
    <mergeCell ref="N4:Q4"/>
    <mergeCell ref="R4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29A4-40B4-4F76-862E-2F3EC1AC93BE}">
  <dimension ref="A1:Y25"/>
  <sheetViews>
    <sheetView zoomScale="115" zoomScaleNormal="115" workbookViewId="0">
      <pane xSplit="1" topLeftCell="C1" activePane="topRight" state="frozen"/>
      <selection pane="topRight" activeCell="D11" sqref="A1:XFD1048576"/>
    </sheetView>
  </sheetViews>
  <sheetFormatPr defaultRowHeight="15"/>
  <cols>
    <col min="1" max="1" width="15.42578125" bestFit="1" customWidth="1"/>
    <col min="4" max="4" width="9.140625" style="60"/>
    <col min="6" max="7" width="9.140625" style="2"/>
    <col min="8" max="8" width="10.28515625" style="60" bestFit="1" customWidth="1"/>
    <col min="9" max="9" width="9.140625" style="14"/>
    <col min="12" max="12" width="9.140625" style="60"/>
    <col min="13" max="13" width="9.140625" style="14"/>
    <col min="14" max="15" width="9.140625" style="2"/>
    <col min="16" max="16" width="9.5703125" style="60" bestFit="1" customWidth="1"/>
    <col min="17" max="17" width="9.140625" style="14"/>
    <col min="20" max="20" width="9.140625" style="60"/>
    <col min="21" max="21" width="9.140625" style="14"/>
    <col min="22" max="23" width="9.140625" style="2"/>
    <col min="24" max="24" width="10.140625" style="60" bestFit="1" customWidth="1"/>
    <col min="25" max="25" width="9.140625" style="14"/>
  </cols>
  <sheetData>
    <row r="1" spans="1:25">
      <c r="B1" t="s">
        <v>25</v>
      </c>
    </row>
    <row r="2" spans="1:25">
      <c r="C2" s="1" t="s">
        <v>12</v>
      </c>
      <c r="E2" s="14"/>
      <c r="J2" t="s">
        <v>22</v>
      </c>
      <c r="K2" s="4"/>
      <c r="R2" t="s">
        <v>22</v>
      </c>
    </row>
    <row r="3" spans="1:25">
      <c r="E3" s="14"/>
      <c r="J3" s="4"/>
      <c r="K3" s="4"/>
    </row>
    <row r="4" spans="1:25">
      <c r="B4" s="80" t="s">
        <v>4</v>
      </c>
      <c r="C4" s="81"/>
      <c r="D4" s="81"/>
      <c r="E4" s="82"/>
      <c r="F4" s="80" t="s">
        <v>9</v>
      </c>
      <c r="G4" s="81"/>
      <c r="H4" s="81"/>
      <c r="I4" s="82"/>
      <c r="J4" s="80" t="s">
        <v>14</v>
      </c>
      <c r="K4" s="81"/>
      <c r="L4" s="81"/>
      <c r="M4" s="82"/>
      <c r="N4" s="80" t="s">
        <v>15</v>
      </c>
      <c r="O4" s="81"/>
      <c r="P4" s="81"/>
      <c r="Q4" s="82"/>
      <c r="R4" s="80" t="s">
        <v>18</v>
      </c>
      <c r="S4" s="81"/>
      <c r="T4" s="81"/>
      <c r="U4" s="82"/>
      <c r="V4" s="80" t="s">
        <v>19</v>
      </c>
      <c r="W4" s="81"/>
      <c r="X4" s="81"/>
      <c r="Y4" s="82"/>
    </row>
    <row r="5" spans="1:25">
      <c r="A5" s="33" t="s">
        <v>20</v>
      </c>
      <c r="B5" s="5" t="s">
        <v>5</v>
      </c>
      <c r="C5" t="s">
        <v>6</v>
      </c>
      <c r="D5" s="60" t="s">
        <v>7</v>
      </c>
      <c r="E5" s="15" t="s">
        <v>8</v>
      </c>
      <c r="F5" s="6" t="s">
        <v>5</v>
      </c>
      <c r="G5" s="2" t="s">
        <v>6</v>
      </c>
      <c r="H5" s="60" t="s">
        <v>7</v>
      </c>
      <c r="I5" s="15" t="s">
        <v>8</v>
      </c>
      <c r="J5" s="10" t="s">
        <v>5</v>
      </c>
      <c r="K5" s="4" t="s">
        <v>6</v>
      </c>
      <c r="L5" s="60" t="s">
        <v>7</v>
      </c>
      <c r="M5" s="15" t="s">
        <v>8</v>
      </c>
      <c r="N5" s="6" t="s">
        <v>5</v>
      </c>
      <c r="O5" s="2" t="s">
        <v>6</v>
      </c>
      <c r="P5" s="60" t="s">
        <v>7</v>
      </c>
      <c r="Q5" s="15" t="s">
        <v>8</v>
      </c>
      <c r="R5" s="10" t="s">
        <v>5</v>
      </c>
      <c r="S5" s="4" t="s">
        <v>6</v>
      </c>
      <c r="T5" s="60" t="s">
        <v>7</v>
      </c>
      <c r="U5" s="15" t="s">
        <v>8</v>
      </c>
      <c r="V5" s="6" t="s">
        <v>5</v>
      </c>
      <c r="W5" s="2" t="s">
        <v>6</v>
      </c>
      <c r="X5" s="60" t="s">
        <v>7</v>
      </c>
      <c r="Y5" s="15" t="s">
        <v>8</v>
      </c>
    </row>
    <row r="6" spans="1:25">
      <c r="A6" s="34" t="s">
        <v>10</v>
      </c>
      <c r="B6" s="6">
        <v>43861.68</v>
      </c>
      <c r="C6" s="2">
        <v>27560.12</v>
      </c>
      <c r="D6" s="60">
        <v>112.247079992</v>
      </c>
      <c r="E6" s="15">
        <f>0.627764779504</f>
        <v>0.627764779504</v>
      </c>
      <c r="F6" s="61">
        <v>44746.239999999998</v>
      </c>
      <c r="G6" s="62">
        <v>28439.88</v>
      </c>
      <c r="H6" s="63">
        <v>114.712399969</v>
      </c>
      <c r="I6" s="64">
        <f>0.635583855722</f>
        <v>0.63558385572200005</v>
      </c>
      <c r="J6" s="10">
        <v>22778.52</v>
      </c>
      <c r="K6" s="4">
        <v>5056.88</v>
      </c>
      <c r="L6" s="60">
        <v>6.74392003059</v>
      </c>
      <c r="M6" s="15">
        <f>0.229772150746</f>
        <v>0.22977215074599999</v>
      </c>
      <c r="N6" s="61">
        <v>14276.16</v>
      </c>
      <c r="O6" s="62">
        <v>6475.72</v>
      </c>
      <c r="P6" s="63">
        <v>8.5536399841299993</v>
      </c>
      <c r="Q6" s="64">
        <f>0.495939083514</f>
        <v>0.49593908351400001</v>
      </c>
      <c r="R6" s="10">
        <v>75597.440000000002</v>
      </c>
      <c r="S6" s="4">
        <v>42141.32</v>
      </c>
      <c r="T6" s="60">
        <v>440.16081964492798</v>
      </c>
      <c r="U6" s="15">
        <v>0.55744297070748905</v>
      </c>
      <c r="V6" s="61">
        <v>72404.960000000006</v>
      </c>
      <c r="W6" s="62">
        <v>43416.4</v>
      </c>
      <c r="X6" s="63">
        <v>441.51804473876899</v>
      </c>
      <c r="Y6" s="64">
        <v>0.59963527384809401</v>
      </c>
    </row>
    <row r="7" spans="1:25">
      <c r="A7" s="35" t="s">
        <v>11</v>
      </c>
      <c r="B7" s="7">
        <v>47010.84</v>
      </c>
      <c r="C7" s="8">
        <v>28294.880000000001</v>
      </c>
      <c r="D7" s="69">
        <v>17.955279979699998</v>
      </c>
      <c r="E7" s="16">
        <f>0.60183842307</f>
        <v>0.60183842307000002</v>
      </c>
      <c r="F7" s="65">
        <v>80551.12</v>
      </c>
      <c r="G7" s="66">
        <v>50689.52</v>
      </c>
      <c r="H7" s="67">
        <v>22.1610000324</v>
      </c>
      <c r="I7" s="68">
        <f>0.629191759205</f>
        <v>0.62919175920500003</v>
      </c>
      <c r="J7" s="11">
        <v>4843.04</v>
      </c>
      <c r="K7" s="12">
        <v>1530.8</v>
      </c>
      <c r="L7" s="69">
        <v>127.51400003400001</v>
      </c>
      <c r="M7" s="16">
        <f>0.319777913834</f>
        <v>0.319777913834</v>
      </c>
      <c r="N7" s="65">
        <v>3870.28</v>
      </c>
      <c r="O7" s="66">
        <v>1329.32</v>
      </c>
      <c r="P7" s="67">
        <v>456.181519966</v>
      </c>
      <c r="Q7" s="68">
        <f>0.345052281224</f>
        <v>0.345052281224</v>
      </c>
      <c r="R7" s="11">
        <v>71535</v>
      </c>
      <c r="S7" s="12">
        <v>14803.52</v>
      </c>
      <c r="T7" s="69">
        <v>196.889799852371</v>
      </c>
      <c r="U7" s="16">
        <f>0.206990094100602</f>
        <v>0.20699009410060201</v>
      </c>
      <c r="V7" s="65">
        <v>70674.52</v>
      </c>
      <c r="W7" s="66">
        <v>14335.04</v>
      </c>
      <c r="X7" s="67">
        <v>204.236077661514</v>
      </c>
      <c r="Y7" s="68">
        <f>0.202862373601151</f>
        <v>0.202862373601151</v>
      </c>
    </row>
    <row r="8" spans="1:25">
      <c r="E8" s="14"/>
      <c r="F8" s="2">
        <f>F6-B6</f>
        <v>884.55999999999767</v>
      </c>
      <c r="G8" s="2">
        <f t="shared" ref="G8:I8" si="0">G6-C6</f>
        <v>879.76000000000204</v>
      </c>
      <c r="H8" s="60">
        <f>H6-D6</f>
        <v>2.4653199770000072</v>
      </c>
      <c r="I8" s="14">
        <f t="shared" si="0"/>
        <v>7.8190762180000428E-3</v>
      </c>
      <c r="J8" s="4"/>
      <c r="K8" s="4"/>
      <c r="N8" s="2">
        <f t="shared" ref="N8:Q9" si="1">N6-J6</f>
        <v>-8502.36</v>
      </c>
      <c r="O8" s="2">
        <f t="shared" si="1"/>
        <v>1418.8400000000001</v>
      </c>
      <c r="P8" s="60">
        <f t="shared" si="1"/>
        <v>1.8097199535399993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60">
        <f>X6-T6</f>
        <v>1.3572250938410093</v>
      </c>
      <c r="Y8" s="14">
        <f>Y6-U6</f>
        <v>4.2192303140604959E-2</v>
      </c>
    </row>
    <row r="9" spans="1:25">
      <c r="E9" s="14"/>
      <c r="F9" s="2">
        <f t="shared" ref="F9:I9" si="2">F7-B7</f>
        <v>33540.28</v>
      </c>
      <c r="G9" s="2">
        <f t="shared" si="2"/>
        <v>22394.639999999996</v>
      </c>
      <c r="H9" s="60">
        <f>H7-D7</f>
        <v>4.205720052700002</v>
      </c>
      <c r="I9" s="14">
        <f t="shared" si="2"/>
        <v>2.7353336135000017E-2</v>
      </c>
      <c r="J9" s="4"/>
      <c r="K9" s="4"/>
      <c r="N9" s="2">
        <f t="shared" si="1"/>
        <v>-972.75999999999976</v>
      </c>
      <c r="O9" s="2">
        <f t="shared" si="1"/>
        <v>-201.48000000000002</v>
      </c>
      <c r="P9" s="71">
        <f t="shared" si="1"/>
        <v>328.667519932</v>
      </c>
      <c r="Q9" s="14">
        <f>Q7-M7</f>
        <v>2.5274367389999997E-2</v>
      </c>
      <c r="V9" s="2">
        <f t="shared" ref="V9:Y9" si="3">V7-R7</f>
        <v>-860.47999999999593</v>
      </c>
      <c r="W9" s="2">
        <f t="shared" si="3"/>
        <v>-468.47999999999956</v>
      </c>
      <c r="X9" s="71">
        <f t="shared" si="3"/>
        <v>7.3462778091430039</v>
      </c>
      <c r="Y9" s="70">
        <f t="shared" si="3"/>
        <v>-4.1277204994510097E-3</v>
      </c>
    </row>
    <row r="10" spans="1:25">
      <c r="C10" s="1" t="s">
        <v>13</v>
      </c>
      <c r="E10" s="14"/>
      <c r="J10" t="s">
        <v>23</v>
      </c>
      <c r="K10" s="4"/>
      <c r="R10" t="s">
        <v>23</v>
      </c>
    </row>
    <row r="11" spans="1:25">
      <c r="E11" s="14"/>
      <c r="J11" s="4"/>
      <c r="K11" s="4"/>
    </row>
    <row r="12" spans="1:25">
      <c r="B12" s="80" t="s">
        <v>4</v>
      </c>
      <c r="C12" s="81"/>
      <c r="D12" s="81"/>
      <c r="E12" s="82"/>
      <c r="F12" s="80" t="s">
        <v>9</v>
      </c>
      <c r="G12" s="81"/>
      <c r="H12" s="81"/>
      <c r="I12" s="82"/>
      <c r="J12" s="80" t="s">
        <v>14</v>
      </c>
      <c r="K12" s="81"/>
      <c r="L12" s="81"/>
      <c r="M12" s="82"/>
      <c r="N12" s="80" t="s">
        <v>15</v>
      </c>
      <c r="O12" s="81"/>
      <c r="P12" s="81"/>
      <c r="Q12" s="82"/>
      <c r="R12" s="80" t="s">
        <v>18</v>
      </c>
      <c r="S12" s="81"/>
      <c r="T12" s="81"/>
      <c r="U12" s="82"/>
      <c r="V12" s="80" t="s">
        <v>19</v>
      </c>
      <c r="W12" s="81"/>
      <c r="X12" s="81"/>
      <c r="Y12" s="82"/>
    </row>
    <row r="13" spans="1:25">
      <c r="A13" s="33" t="s">
        <v>20</v>
      </c>
      <c r="B13" s="5" t="s">
        <v>5</v>
      </c>
      <c r="C13" t="s">
        <v>6</v>
      </c>
      <c r="D13" s="60" t="s">
        <v>7</v>
      </c>
      <c r="E13" s="15" t="s">
        <v>8</v>
      </c>
      <c r="F13" s="6" t="s">
        <v>5</v>
      </c>
      <c r="G13" s="2" t="s">
        <v>6</v>
      </c>
      <c r="H13" s="60" t="s">
        <v>7</v>
      </c>
      <c r="I13" s="15" t="s">
        <v>8</v>
      </c>
      <c r="J13" s="10" t="s">
        <v>5</v>
      </c>
      <c r="K13" s="4" t="s">
        <v>6</v>
      </c>
      <c r="L13" s="60" t="s">
        <v>7</v>
      </c>
      <c r="M13" s="15" t="s">
        <v>8</v>
      </c>
      <c r="N13" s="6" t="s">
        <v>5</v>
      </c>
      <c r="O13" s="2" t="s">
        <v>6</v>
      </c>
      <c r="P13" s="60" t="s">
        <v>7</v>
      </c>
      <c r="Q13" s="15" t="s">
        <v>8</v>
      </c>
      <c r="R13" s="10" t="s">
        <v>5</v>
      </c>
      <c r="S13" s="4" t="s">
        <v>6</v>
      </c>
      <c r="T13" s="60" t="s">
        <v>7</v>
      </c>
      <c r="U13" s="15" t="s">
        <v>8</v>
      </c>
      <c r="V13" s="6" t="s">
        <v>5</v>
      </c>
      <c r="W13" s="2" t="s">
        <v>6</v>
      </c>
      <c r="X13" s="60" t="s">
        <v>7</v>
      </c>
      <c r="Y13" s="15" t="s">
        <v>8</v>
      </c>
    </row>
    <row r="14" spans="1:25">
      <c r="A14" s="34" t="s">
        <v>10</v>
      </c>
      <c r="B14" s="6">
        <v>33394.44</v>
      </c>
      <c r="C14" s="2">
        <v>19862.96</v>
      </c>
      <c r="D14" s="60">
        <v>435.56652023315399</v>
      </c>
      <c r="E14" s="15">
        <f>0.595498451327</f>
        <v>0.59549845132699997</v>
      </c>
      <c r="F14" s="61">
        <v>33472.519999999997</v>
      </c>
      <c r="G14" s="62">
        <v>20461.84</v>
      </c>
      <c r="H14" s="63">
        <v>434.40089967727602</v>
      </c>
      <c r="I14" s="64">
        <v>0.60385012711599995</v>
      </c>
      <c r="J14" s="10">
        <v>6904.4</v>
      </c>
      <c r="K14" s="4">
        <v>1955.48</v>
      </c>
      <c r="L14" s="60">
        <v>266.66423999800003</v>
      </c>
      <c r="M14" s="15">
        <f>0.280064011089</f>
        <v>0.28006401108899998</v>
      </c>
      <c r="N14" s="62">
        <v>7652.36</v>
      </c>
      <c r="O14" s="62">
        <v>2054.84</v>
      </c>
      <c r="P14" s="63">
        <v>300.55159996999998</v>
      </c>
      <c r="Q14" s="64">
        <f>0.266656194123</f>
        <v>0.26665619412300001</v>
      </c>
      <c r="R14" s="10">
        <v>72101.279999999999</v>
      </c>
      <c r="S14" s="4">
        <v>50908.959999999999</v>
      </c>
      <c r="T14" s="60">
        <v>435.56652023315399</v>
      </c>
      <c r="U14" s="15">
        <f>0.706072237533358</f>
        <v>0.70607223753335802</v>
      </c>
      <c r="V14" s="61">
        <v>46776.959999999999</v>
      </c>
      <c r="W14" s="62">
        <v>38239.96</v>
      </c>
      <c r="X14" s="63">
        <v>434.40089967727602</v>
      </c>
      <c r="Y14" s="64">
        <f>0.817497229632774</f>
        <v>0.81749722963277405</v>
      </c>
    </row>
    <row r="15" spans="1:25">
      <c r="A15" s="35" t="s">
        <v>11</v>
      </c>
      <c r="B15" s="7">
        <v>256828.28</v>
      </c>
      <c r="C15" s="8">
        <v>159559.20000000001</v>
      </c>
      <c r="D15" s="69">
        <v>450.58300001100002</v>
      </c>
      <c r="E15" s="16">
        <f>0.621226720257</f>
        <v>0.62122672025699999</v>
      </c>
      <c r="F15" s="65">
        <v>255556.4</v>
      </c>
      <c r="G15" s="66">
        <v>161164.96</v>
      </c>
      <c r="H15" s="67">
        <v>447.34788001999999</v>
      </c>
      <c r="I15" s="68">
        <f>0.630712779453</f>
        <v>0.63071277945299997</v>
      </c>
      <c r="J15" s="11">
        <v>13233.72</v>
      </c>
      <c r="K15" s="12">
        <v>6834.08</v>
      </c>
      <c r="L15" s="69">
        <v>1788.57847999</v>
      </c>
      <c r="M15" s="16">
        <f>0.517111316142</f>
        <v>0.51711131614200001</v>
      </c>
      <c r="N15" s="65">
        <v>13120.2</v>
      </c>
      <c r="O15" s="66">
        <v>6724.76</v>
      </c>
      <c r="P15" s="67">
        <v>1686.6924800199999</v>
      </c>
      <c r="Q15" s="68">
        <f>0.513583558135</f>
        <v>0.51358355813500001</v>
      </c>
      <c r="R15" s="11">
        <v>75500.52</v>
      </c>
      <c r="S15" s="12">
        <v>43218.400000000001</v>
      </c>
      <c r="T15" s="69">
        <v>433.70486718177699</v>
      </c>
      <c r="U15" s="16">
        <f>0.572422652346015</f>
        <v>0.57242265234601497</v>
      </c>
      <c r="V15" s="65">
        <v>72237.16</v>
      </c>
      <c r="W15" s="66">
        <v>43623.72</v>
      </c>
      <c r="X15" s="67">
        <v>433.45899882316502</v>
      </c>
      <c r="Y15" s="68">
        <f>0.603897120911155</f>
        <v>0.60389712091115499</v>
      </c>
    </row>
    <row r="16" spans="1:25">
      <c r="E16" s="14"/>
      <c r="F16" s="2">
        <f t="shared" ref="F16:I17" si="4">F14-B14</f>
        <v>78.07999999999447</v>
      </c>
      <c r="G16" s="62">
        <f t="shared" si="4"/>
        <v>598.88000000000102</v>
      </c>
      <c r="H16" s="60">
        <f t="shared" si="4"/>
        <v>-1.1656205558779789</v>
      </c>
      <c r="I16" s="14">
        <f t="shared" si="4"/>
        <v>8.3516757889999793E-3</v>
      </c>
      <c r="J16" s="4"/>
      <c r="K16" s="4"/>
      <c r="N16" s="2">
        <f t="shared" ref="N16:Q17" si="5">N14-J14</f>
        <v>747.96</v>
      </c>
      <c r="O16" s="2">
        <f t="shared" si="5"/>
        <v>99.360000000000127</v>
      </c>
      <c r="P16" s="60">
        <f t="shared" si="5"/>
        <v>33.887359971999956</v>
      </c>
      <c r="Q16" s="70">
        <f t="shared" si="5"/>
        <v>-1.3407816965999964E-2</v>
      </c>
      <c r="V16" s="2">
        <f t="shared" ref="V16:Y17" si="6">V14-R14</f>
        <v>-25324.32</v>
      </c>
      <c r="W16" s="2">
        <f t="shared" si="6"/>
        <v>-12669</v>
      </c>
      <c r="X16" s="60">
        <f t="shared" si="6"/>
        <v>-1.1656205558779789</v>
      </c>
      <c r="Y16" s="14">
        <f t="shared" si="6"/>
        <v>0.11142499209941603</v>
      </c>
    </row>
    <row r="17" spans="1:25">
      <c r="E17" s="14"/>
      <c r="F17" s="2">
        <f t="shared" si="4"/>
        <v>-1271.8800000000047</v>
      </c>
      <c r="G17" s="2">
        <f t="shared" si="4"/>
        <v>1605.7599999999802</v>
      </c>
      <c r="H17" s="60">
        <f t="shared" si="4"/>
        <v>-3.2351199910000332</v>
      </c>
      <c r="I17" s="14">
        <f t="shared" si="4"/>
        <v>9.4860591959999851E-3</v>
      </c>
      <c r="J17" s="4"/>
      <c r="K17" s="4"/>
      <c r="N17" s="2">
        <f t="shared" si="5"/>
        <v>-113.51999999999862</v>
      </c>
      <c r="O17" s="2">
        <f t="shared" si="5"/>
        <v>-109.31999999999971</v>
      </c>
      <c r="P17" s="71">
        <f t="shared" si="5"/>
        <v>-101.88599997000006</v>
      </c>
      <c r="Q17" s="70">
        <f t="shared" si="5"/>
        <v>-3.5277580070000036E-3</v>
      </c>
      <c r="V17" s="2">
        <f t="shared" si="6"/>
        <v>-3263.3600000000006</v>
      </c>
      <c r="W17" s="2">
        <f t="shared" si="6"/>
        <v>405.31999999999971</v>
      </c>
      <c r="X17" s="60">
        <f t="shared" si="6"/>
        <v>-0.24586835861197187</v>
      </c>
      <c r="Y17" s="14">
        <f t="shared" si="6"/>
        <v>3.1474468565140024E-2</v>
      </c>
    </row>
    <row r="18" spans="1:25">
      <c r="C18" s="1" t="s">
        <v>16</v>
      </c>
      <c r="E18" s="14"/>
      <c r="J18" t="s">
        <v>24</v>
      </c>
      <c r="K18" s="4"/>
      <c r="R18" t="s">
        <v>24</v>
      </c>
    </row>
    <row r="19" spans="1:25">
      <c r="E19" s="14"/>
      <c r="J19" s="4"/>
      <c r="K19" s="4"/>
    </row>
    <row r="20" spans="1:25">
      <c r="B20" s="80" t="s">
        <v>4</v>
      </c>
      <c r="C20" s="81"/>
      <c r="D20" s="81"/>
      <c r="E20" s="82"/>
      <c r="F20" s="80" t="s">
        <v>9</v>
      </c>
      <c r="G20" s="81"/>
      <c r="H20" s="81"/>
      <c r="I20" s="82"/>
      <c r="J20" s="80" t="s">
        <v>14</v>
      </c>
      <c r="K20" s="81"/>
      <c r="L20" s="81"/>
      <c r="M20" s="82"/>
      <c r="N20" s="80" t="s">
        <v>15</v>
      </c>
      <c r="O20" s="81"/>
      <c r="P20" s="81"/>
      <c r="Q20" s="82"/>
      <c r="R20" s="80" t="s">
        <v>18</v>
      </c>
      <c r="S20" s="81"/>
      <c r="T20" s="81"/>
      <c r="U20" s="82"/>
      <c r="V20" s="80" t="s">
        <v>19</v>
      </c>
      <c r="W20" s="81"/>
      <c r="X20" s="81"/>
      <c r="Y20" s="82"/>
    </row>
    <row r="21" spans="1:25">
      <c r="A21" s="33" t="s">
        <v>20</v>
      </c>
      <c r="B21" s="5" t="s">
        <v>5</v>
      </c>
      <c r="C21" t="s">
        <v>6</v>
      </c>
      <c r="D21" s="60" t="s">
        <v>7</v>
      </c>
      <c r="E21" s="15" t="s">
        <v>8</v>
      </c>
      <c r="F21" s="6" t="s">
        <v>5</v>
      </c>
      <c r="G21" s="2" t="s">
        <v>6</v>
      </c>
      <c r="H21" s="60" t="s">
        <v>7</v>
      </c>
      <c r="I21" s="15" t="s">
        <v>8</v>
      </c>
      <c r="J21" s="10" t="s">
        <v>5</v>
      </c>
      <c r="K21" s="4" t="s">
        <v>6</v>
      </c>
      <c r="L21" s="60" t="s">
        <v>7</v>
      </c>
      <c r="M21" s="15" t="s">
        <v>8</v>
      </c>
      <c r="N21" s="6" t="s">
        <v>5</v>
      </c>
      <c r="O21" s="2" t="s">
        <v>6</v>
      </c>
      <c r="P21" s="60" t="s">
        <v>7</v>
      </c>
      <c r="Q21" s="15" t="s">
        <v>8</v>
      </c>
      <c r="R21" s="10" t="s">
        <v>5</v>
      </c>
      <c r="S21" s="4" t="s">
        <v>6</v>
      </c>
      <c r="T21" s="60" t="s">
        <v>7</v>
      </c>
      <c r="U21" s="15" t="s">
        <v>8</v>
      </c>
      <c r="V21" s="6" t="s">
        <v>5</v>
      </c>
      <c r="W21" s="2" t="s">
        <v>6</v>
      </c>
      <c r="X21" s="60" t="s">
        <v>7</v>
      </c>
      <c r="Y21" s="15" t="s">
        <v>8</v>
      </c>
    </row>
    <row r="22" spans="1:25">
      <c r="A22" s="34" t="s">
        <v>10</v>
      </c>
      <c r="B22" s="6">
        <v>1939.52</v>
      </c>
      <c r="C22" s="2">
        <v>1254.28</v>
      </c>
      <c r="D22" s="60">
        <v>4.0217199611699996</v>
      </c>
      <c r="E22" s="15">
        <f>0.412818978501</f>
        <v>0.41281897850100002</v>
      </c>
      <c r="F22" s="61">
        <v>2660.24</v>
      </c>
      <c r="G22" s="62">
        <v>1850.8</v>
      </c>
      <c r="H22" s="63">
        <v>3.5277999687200001</v>
      </c>
      <c r="I22" s="64">
        <f>0.457858631304</f>
        <v>0.45785863130400001</v>
      </c>
      <c r="J22" s="10">
        <v>1788.56</v>
      </c>
      <c r="K22" s="4">
        <v>383.36</v>
      </c>
      <c r="L22" s="60">
        <v>6.74392003059</v>
      </c>
      <c r="M22" s="15">
        <f>0.117365546056</f>
        <v>0.117365546056</v>
      </c>
      <c r="N22" s="61">
        <v>2361.4</v>
      </c>
      <c r="O22" s="62">
        <v>394.84</v>
      </c>
      <c r="P22" s="63">
        <v>8.5536399841299993</v>
      </c>
      <c r="Q22" s="64">
        <f>0.133845483353</f>
        <v>0.13384548335300001</v>
      </c>
      <c r="R22" s="10">
        <v>75640.639999999999</v>
      </c>
      <c r="S22" s="4">
        <v>50279.44</v>
      </c>
      <c r="T22" s="60">
        <v>45.724359817504798</v>
      </c>
      <c r="U22" s="15">
        <f>0.664719285726297</f>
        <v>0.66471928572629702</v>
      </c>
      <c r="V22" s="61">
        <v>72349.759999999995</v>
      </c>
      <c r="W22" s="62">
        <v>48301.440000000002</v>
      </c>
      <c r="X22" s="63">
        <v>45.114759931564301</v>
      </c>
      <c r="Y22" s="64">
        <f>0.667614675138628</f>
        <v>0.66761467513862804</v>
      </c>
    </row>
    <row r="23" spans="1:25">
      <c r="A23" s="35" t="s">
        <v>11</v>
      </c>
      <c r="B23" s="7">
        <v>65731.759999999995</v>
      </c>
      <c r="C23" s="8">
        <v>42733</v>
      </c>
      <c r="D23" s="69">
        <v>14.4680799961</v>
      </c>
      <c r="E23" s="16">
        <f>0.649367174249</f>
        <v>0.64936717424900003</v>
      </c>
      <c r="F23" s="65">
        <v>65878.28</v>
      </c>
      <c r="G23" s="66">
        <v>42978.879999999997</v>
      </c>
      <c r="H23" s="67">
        <v>14.3954400158</v>
      </c>
      <c r="I23" s="68">
        <f>0.651995258419</f>
        <v>0.65199525841899997</v>
      </c>
      <c r="J23" s="11">
        <v>55759.76</v>
      </c>
      <c r="K23" s="12">
        <v>5086.16</v>
      </c>
      <c r="L23" s="69">
        <v>181.28955995600001</v>
      </c>
      <c r="M23" s="16">
        <f>0.0941569205377</f>
        <v>9.4156920537700001E-2</v>
      </c>
      <c r="N23" s="65">
        <v>49437.48</v>
      </c>
      <c r="O23" s="66">
        <v>8438.16</v>
      </c>
      <c r="P23" s="67">
        <v>410.138880024</v>
      </c>
      <c r="Q23" s="68">
        <f>0.175672981217</f>
        <v>0.17567298121700001</v>
      </c>
      <c r="R23" s="11">
        <v>72151.28</v>
      </c>
      <c r="S23" s="12">
        <v>49929.2</v>
      </c>
      <c r="T23" s="69">
        <v>32.503294029235803</v>
      </c>
      <c r="U23" s="16">
        <f>0.692010424836777</f>
        <v>0.69201042483677699</v>
      </c>
      <c r="V23" s="65">
        <v>68850.64</v>
      </c>
      <c r="W23" s="66">
        <v>47900.56</v>
      </c>
      <c r="X23" s="67">
        <v>29.520818271636902</v>
      </c>
      <c r="Y23" s="68">
        <f>0.695717701367691</f>
        <v>0.69571770136769095</v>
      </c>
    </row>
    <row r="24" spans="1:25">
      <c r="F24" s="2">
        <f t="shared" ref="F24:I25" si="7">F22-B22</f>
        <v>720.7199999999998</v>
      </c>
      <c r="G24" s="2">
        <f t="shared" si="7"/>
        <v>596.52</v>
      </c>
      <c r="H24" s="60">
        <f t="shared" si="7"/>
        <v>-0.49391999244999951</v>
      </c>
      <c r="I24" s="14">
        <f t="shared" si="7"/>
        <v>4.5039652802999985E-2</v>
      </c>
      <c r="N24" s="2">
        <f t="shared" ref="N24:Q25" si="8">N22-J22</f>
        <v>572.84000000000015</v>
      </c>
      <c r="O24" s="2">
        <f t="shared" si="8"/>
        <v>11.479999999999961</v>
      </c>
      <c r="P24" s="60">
        <f t="shared" si="8"/>
        <v>1.8097199535399993</v>
      </c>
      <c r="Q24" s="14">
        <f t="shared" si="8"/>
        <v>1.6479937297000008E-2</v>
      </c>
      <c r="V24" s="2">
        <f>V22-R22</f>
        <v>-3290.8800000000047</v>
      </c>
      <c r="W24" s="2">
        <f>W22-S22</f>
        <v>-1978</v>
      </c>
      <c r="X24" s="60">
        <f>X22-T22</f>
        <v>-0.60959988594049719</v>
      </c>
      <c r="Y24" s="14">
        <f>Y22-U22</f>
        <v>2.8953894123310286E-3</v>
      </c>
    </row>
    <row r="25" spans="1:25">
      <c r="F25" s="2">
        <f t="shared" si="7"/>
        <v>146.52000000000407</v>
      </c>
      <c r="G25" s="2">
        <f t="shared" si="7"/>
        <v>245.87999999999738</v>
      </c>
      <c r="H25" s="60">
        <f t="shared" si="7"/>
        <v>-7.2639980299999962E-2</v>
      </c>
      <c r="I25" s="14">
        <f t="shared" si="7"/>
        <v>2.6280841699999336E-3</v>
      </c>
      <c r="N25" s="2">
        <f t="shared" si="8"/>
        <v>-6322.2799999999988</v>
      </c>
      <c r="O25" s="2">
        <f t="shared" si="8"/>
        <v>3352</v>
      </c>
      <c r="P25" s="71">
        <f t="shared" si="8"/>
        <v>228.849320068</v>
      </c>
      <c r="Q25" s="14">
        <f t="shared" si="8"/>
        <v>8.1516060679300006E-2</v>
      </c>
      <c r="V25" s="2">
        <f>V23-R23</f>
        <v>-3300.6399999999994</v>
      </c>
      <c r="W25" s="2">
        <f t="shared" ref="W25:Y25" si="9">W23-S23</f>
        <v>-2028.6399999999994</v>
      </c>
      <c r="X25" s="60">
        <f>X23-T23</f>
        <v>-2.9824757575989018</v>
      </c>
      <c r="Y25" s="70">
        <f t="shared" si="9"/>
        <v>3.707276530913961E-3</v>
      </c>
    </row>
  </sheetData>
  <mergeCells count="18">
    <mergeCell ref="V4:Y4"/>
    <mergeCell ref="B4:E4"/>
    <mergeCell ref="F4:I4"/>
    <mergeCell ref="J4:M4"/>
    <mergeCell ref="N4:Q4"/>
    <mergeCell ref="R4:U4"/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7D24-B396-4993-B282-4FF11F71EEA8}">
  <dimension ref="A2:AE25"/>
  <sheetViews>
    <sheetView workbookViewId="0">
      <pane xSplit="1" topLeftCell="E1" activePane="topRight" state="frozen"/>
      <selection pane="topRight" activeCell="V10" sqref="V10"/>
    </sheetView>
  </sheetViews>
  <sheetFormatPr defaultRowHeight="15"/>
  <cols>
    <col min="1" max="1" width="15.42578125" bestFit="1" customWidth="1"/>
    <col min="4" max="4" width="9.140625" style="3"/>
    <col min="5" max="5" width="9.140625" style="60"/>
    <col min="7" max="8" width="9.140625" style="2"/>
    <col min="9" max="9" width="9.140625" style="3"/>
    <col min="10" max="10" width="10.28515625" style="60" bestFit="1" customWidth="1"/>
    <col min="11" max="11" width="9.140625" style="14"/>
    <col min="14" max="14" width="9.140625" style="3"/>
    <col min="15" max="15" width="9.140625" style="60"/>
    <col min="16" max="16" width="9.140625" style="14"/>
    <col min="17" max="18" width="9.140625" style="2"/>
    <col min="19" max="19" width="9.140625" style="3"/>
    <col min="20" max="20" width="9.5703125" style="60" bestFit="1" customWidth="1"/>
    <col min="21" max="21" width="9.140625" style="14"/>
    <col min="24" max="24" width="9.140625" style="3"/>
    <col min="25" max="25" width="9.140625" style="60"/>
    <col min="26" max="26" width="9.140625" style="14"/>
    <col min="27" max="28" width="9.140625" style="2"/>
    <col min="29" max="29" width="9.140625" style="3"/>
    <col min="30" max="30" width="10.140625" style="60" bestFit="1" customWidth="1"/>
    <col min="31" max="31" width="9.140625" style="14"/>
  </cols>
  <sheetData>
    <row r="2" spans="1:31">
      <c r="C2" s="1" t="s">
        <v>12</v>
      </c>
      <c r="D2" s="74"/>
      <c r="F2" s="14"/>
      <c r="L2" t="s">
        <v>22</v>
      </c>
      <c r="M2" s="4"/>
      <c r="V2" t="s">
        <v>22</v>
      </c>
    </row>
    <row r="3" spans="1:31">
      <c r="F3" s="14"/>
      <c r="L3" s="4"/>
      <c r="M3" s="4"/>
    </row>
    <row r="4" spans="1:31">
      <c r="B4" s="80" t="s">
        <v>4</v>
      </c>
      <c r="C4" s="81"/>
      <c r="D4" s="83"/>
      <c r="E4" s="81"/>
      <c r="F4" s="82"/>
      <c r="G4" s="80" t="s">
        <v>9</v>
      </c>
      <c r="H4" s="81"/>
      <c r="I4" s="83"/>
      <c r="J4" s="81"/>
      <c r="K4" s="82"/>
      <c r="L4" s="80" t="s">
        <v>14</v>
      </c>
      <c r="M4" s="81"/>
      <c r="N4" s="83"/>
      <c r="O4" s="81"/>
      <c r="P4" s="82"/>
      <c r="Q4" s="80" t="s">
        <v>15</v>
      </c>
      <c r="R4" s="81"/>
      <c r="S4" s="83"/>
      <c r="T4" s="81"/>
      <c r="U4" s="82"/>
      <c r="V4" s="80" t="s">
        <v>18</v>
      </c>
      <c r="W4" s="81"/>
      <c r="X4" s="83"/>
      <c r="Y4" s="81"/>
      <c r="Z4" s="82"/>
      <c r="AA4" s="80" t="s">
        <v>19</v>
      </c>
      <c r="AB4" s="81"/>
      <c r="AC4" s="83"/>
      <c r="AD4" s="81"/>
      <c r="AE4" s="82"/>
    </row>
    <row r="5" spans="1:31">
      <c r="A5" s="33" t="s">
        <v>20</v>
      </c>
      <c r="B5" s="5" t="s">
        <v>5</v>
      </c>
      <c r="C5" t="s">
        <v>6</v>
      </c>
      <c r="D5" s="3" t="s">
        <v>7</v>
      </c>
      <c r="E5" s="60" t="s">
        <v>71</v>
      </c>
      <c r="F5" s="15" t="s">
        <v>8</v>
      </c>
      <c r="G5" s="6" t="s">
        <v>5</v>
      </c>
      <c r="H5" s="2" t="s">
        <v>6</v>
      </c>
      <c r="I5" s="3" t="s">
        <v>7</v>
      </c>
      <c r="J5" s="3" t="s">
        <v>71</v>
      </c>
      <c r="K5" s="15" t="s">
        <v>8</v>
      </c>
      <c r="L5" s="10" t="s">
        <v>5</v>
      </c>
      <c r="M5" s="4" t="s">
        <v>6</v>
      </c>
      <c r="N5" s="3" t="s">
        <v>7</v>
      </c>
      <c r="O5" s="60" t="s">
        <v>71</v>
      </c>
      <c r="P5" s="15" t="s">
        <v>8</v>
      </c>
      <c r="Q5" s="6" t="s">
        <v>5</v>
      </c>
      <c r="R5" s="2" t="s">
        <v>6</v>
      </c>
      <c r="S5" s="3" t="s">
        <v>7</v>
      </c>
      <c r="T5" s="60" t="s">
        <v>71</v>
      </c>
      <c r="U5" s="15" t="s">
        <v>8</v>
      </c>
      <c r="V5" s="10" t="s">
        <v>5</v>
      </c>
      <c r="W5" s="4" t="s">
        <v>6</v>
      </c>
      <c r="X5" s="3" t="s">
        <v>7</v>
      </c>
      <c r="Y5" s="60" t="s">
        <v>71</v>
      </c>
      <c r="Z5" s="15" t="s">
        <v>8</v>
      </c>
      <c r="AA5" s="6" t="s">
        <v>5</v>
      </c>
      <c r="AB5" s="2" t="s">
        <v>6</v>
      </c>
      <c r="AC5" s="3" t="s">
        <v>7</v>
      </c>
      <c r="AD5" s="60" t="s">
        <v>71</v>
      </c>
      <c r="AE5" s="15" t="s">
        <v>8</v>
      </c>
    </row>
    <row r="6" spans="1:31">
      <c r="A6" s="34" t="s">
        <v>10</v>
      </c>
      <c r="B6" s="6">
        <v>43861.68</v>
      </c>
      <c r="C6" s="2">
        <v>27560.12</v>
      </c>
      <c r="D6" s="3">
        <v>4.1082749177399997E-3</v>
      </c>
      <c r="E6" s="60">
        <v>112.247079992</v>
      </c>
      <c r="F6" s="15">
        <f>0.627764779504</f>
        <v>0.627764779504</v>
      </c>
      <c r="G6" s="61">
        <v>44746.239999999998</v>
      </c>
      <c r="H6" s="62">
        <v>28439.88</v>
      </c>
      <c r="I6" s="75">
        <v>4.0888118807699998E-3</v>
      </c>
      <c r="J6" s="63">
        <v>114.712399969</v>
      </c>
      <c r="K6" s="64">
        <f>0.635583855722</f>
        <v>0.63558385572200005</v>
      </c>
      <c r="L6" s="10">
        <v>22778.52</v>
      </c>
      <c r="M6" s="4">
        <v>5056.88</v>
      </c>
      <c r="N6" s="3">
        <v>0.217891284849</v>
      </c>
      <c r="O6" s="60">
        <v>6.74392003059</v>
      </c>
      <c r="P6" s="15">
        <f>0.229772150746</f>
        <v>0.22977215074599999</v>
      </c>
      <c r="Q6" s="61">
        <v>14276.16</v>
      </c>
      <c r="R6" s="62">
        <v>6475.72</v>
      </c>
      <c r="S6" s="75">
        <v>0.66141675514800002</v>
      </c>
      <c r="T6" s="63">
        <v>8.5536399841299993</v>
      </c>
      <c r="U6" s="64">
        <f>0.495939083514</f>
        <v>0.49593908351400001</v>
      </c>
      <c r="V6" s="10">
        <v>75597.440000000002</v>
      </c>
      <c r="W6" s="4">
        <v>42141.32</v>
      </c>
      <c r="X6" s="3">
        <v>1.04460485707496E-2</v>
      </c>
      <c r="Y6" s="60">
        <v>440.16081964492798</v>
      </c>
      <c r="Z6" s="15">
        <v>0.55744297070748905</v>
      </c>
      <c r="AA6" s="61">
        <v>72404.960000000006</v>
      </c>
      <c r="AB6" s="62">
        <v>43416.4</v>
      </c>
      <c r="AC6" s="75">
        <v>1.01703200463237E-2</v>
      </c>
      <c r="AD6" s="63">
        <v>441.51804473876899</v>
      </c>
      <c r="AE6" s="64">
        <v>0.59963527384809401</v>
      </c>
    </row>
    <row r="7" spans="1:31">
      <c r="A7" s="35" t="s">
        <v>11</v>
      </c>
      <c r="B7" s="7">
        <v>47010.84</v>
      </c>
      <c r="C7" s="8">
        <v>28294.880000000001</v>
      </c>
      <c r="D7" s="9">
        <v>6.4714923485100005E-4</v>
      </c>
      <c r="E7" s="69">
        <v>17.955279979699998</v>
      </c>
      <c r="F7" s="16">
        <f>0.60183842307</f>
        <v>0.60183842307000002</v>
      </c>
      <c r="G7" s="65">
        <v>80551.12</v>
      </c>
      <c r="H7" s="66">
        <v>50689.52</v>
      </c>
      <c r="I7" s="76">
        <v>4.3877273659700001E-4</v>
      </c>
      <c r="J7" s="67">
        <v>22.1610000324</v>
      </c>
      <c r="K7" s="68">
        <f>0.629191759205</f>
        <v>0.62919175920500003</v>
      </c>
      <c r="L7" s="11">
        <v>4843.04</v>
      </c>
      <c r="M7" s="12">
        <v>1530.8</v>
      </c>
      <c r="N7" s="9">
        <v>8.4274882345303906E-2</v>
      </c>
      <c r="O7" s="69">
        <v>127.51400003400001</v>
      </c>
      <c r="P7" s="16">
        <f>0.319777913834</f>
        <v>0.319777913834</v>
      </c>
      <c r="Q7" s="65">
        <v>3870.28</v>
      </c>
      <c r="R7" s="66">
        <v>1329.32</v>
      </c>
      <c r="S7" s="76">
        <v>0.34610360097600001</v>
      </c>
      <c r="T7" s="67">
        <v>456.181519966</v>
      </c>
      <c r="U7" s="68">
        <f>0.345052281224</f>
        <v>0.345052281224</v>
      </c>
      <c r="V7" s="11">
        <v>71535</v>
      </c>
      <c r="W7" s="12">
        <v>14803.52</v>
      </c>
      <c r="X7" s="9">
        <v>1.3708259982290701E-2</v>
      </c>
      <c r="Y7" s="69">
        <v>196.889799852371</v>
      </c>
      <c r="Z7" s="16">
        <f>0.206990094100602</f>
        <v>0.20699009410060201</v>
      </c>
      <c r="AA7" s="65">
        <v>70674.52</v>
      </c>
      <c r="AB7" s="66">
        <v>14335.04</v>
      </c>
      <c r="AC7" s="76">
        <v>1.5778135649961202E-2</v>
      </c>
      <c r="AD7" s="67">
        <v>204.236077661514</v>
      </c>
      <c r="AE7" s="68">
        <f>0.202862373601151</f>
        <v>0.202862373601151</v>
      </c>
    </row>
    <row r="8" spans="1:31">
      <c r="F8" s="14"/>
      <c r="G8" s="2">
        <f t="shared" ref="G8:J9" si="0">G6-B6</f>
        <v>884.55999999999767</v>
      </c>
      <c r="H8" s="2">
        <f t="shared" si="0"/>
        <v>879.76000000000204</v>
      </c>
      <c r="I8" s="2">
        <f t="shared" si="0"/>
        <v>-1.9463036969999924E-5</v>
      </c>
      <c r="J8" s="60">
        <f t="shared" si="0"/>
        <v>2.4653199770000072</v>
      </c>
      <c r="K8" s="14">
        <f t="shared" ref="K8" si="1">K6-F6</f>
        <v>7.8190762180000428E-3</v>
      </c>
      <c r="L8" s="4"/>
      <c r="M8" s="4"/>
      <c r="Q8" s="2">
        <f>Q6-L6</f>
        <v>-8502.36</v>
      </c>
      <c r="R8" s="2">
        <f>R6-M6</f>
        <v>1418.8400000000001</v>
      </c>
      <c r="T8" s="60">
        <f>T6-O6</f>
        <v>1.8097199535399993</v>
      </c>
      <c r="U8" s="14">
        <f>U6-P6</f>
        <v>0.26616693276800002</v>
      </c>
      <c r="AA8" s="2">
        <f>AA6-V6</f>
        <v>-3192.4799999999959</v>
      </c>
      <c r="AB8" s="2">
        <f>AB6-W6</f>
        <v>1275.0800000000017</v>
      </c>
      <c r="AD8" s="60">
        <f>AD6-Y6</f>
        <v>1.3572250938410093</v>
      </c>
      <c r="AE8" s="14">
        <f>AE6-Z6</f>
        <v>4.2192303140604959E-2</v>
      </c>
    </row>
    <row r="9" spans="1:31">
      <c r="F9" s="14"/>
      <c r="G9" s="2">
        <f t="shared" si="0"/>
        <v>33540.28</v>
      </c>
      <c r="H9" s="2">
        <f t="shared" si="0"/>
        <v>22394.639999999996</v>
      </c>
      <c r="I9" s="2">
        <f t="shared" si="0"/>
        <v>-2.0837649825400004E-4</v>
      </c>
      <c r="J9" s="60">
        <f t="shared" si="0"/>
        <v>4.205720052700002</v>
      </c>
      <c r="K9" s="14">
        <f t="shared" ref="K9" si="2">K7-F7</f>
        <v>2.7353336135000017E-2</v>
      </c>
      <c r="L9" s="4"/>
      <c r="M9" s="4"/>
      <c r="Q9" s="2">
        <f>Q7-L7</f>
        <v>-972.75999999999976</v>
      </c>
      <c r="R9" s="2">
        <f>R7-M7</f>
        <v>-201.48000000000002</v>
      </c>
      <c r="T9" s="71">
        <f>T7-O7</f>
        <v>328.667519932</v>
      </c>
      <c r="U9" s="14">
        <f>U7-P7</f>
        <v>2.5274367389999997E-2</v>
      </c>
      <c r="AA9" s="2">
        <f>AA7-V7</f>
        <v>-860.47999999999593</v>
      </c>
      <c r="AB9" s="2">
        <f>AB7-W7</f>
        <v>-468.47999999999956</v>
      </c>
      <c r="AD9" s="71">
        <f>AD7-Y7</f>
        <v>7.3462778091430039</v>
      </c>
      <c r="AE9" s="70">
        <f>AE7-Z7</f>
        <v>-4.1277204994510097E-3</v>
      </c>
    </row>
    <row r="10" spans="1:31">
      <c r="C10" s="1" t="s">
        <v>13</v>
      </c>
      <c r="D10" s="74"/>
      <c r="F10" s="14"/>
      <c r="L10" t="s">
        <v>23</v>
      </c>
      <c r="M10" s="4"/>
      <c r="V10" t="s">
        <v>23</v>
      </c>
    </row>
    <row r="11" spans="1:31">
      <c r="F11" s="14"/>
      <c r="L11" s="4"/>
      <c r="M11" s="4"/>
    </row>
    <row r="12" spans="1:31">
      <c r="B12" s="80" t="s">
        <v>4</v>
      </c>
      <c r="C12" s="81"/>
      <c r="D12" s="83"/>
      <c r="E12" s="81"/>
      <c r="F12" s="82"/>
      <c r="G12" s="80" t="s">
        <v>9</v>
      </c>
      <c r="H12" s="81"/>
      <c r="I12" s="83"/>
      <c r="J12" s="81"/>
      <c r="K12" s="82"/>
      <c r="L12" s="80" t="s">
        <v>14</v>
      </c>
      <c r="M12" s="81"/>
      <c r="N12" s="83"/>
      <c r="O12" s="81"/>
      <c r="P12" s="82"/>
      <c r="Q12" s="80" t="s">
        <v>15</v>
      </c>
      <c r="R12" s="81"/>
      <c r="S12" s="83"/>
      <c r="T12" s="81"/>
      <c r="U12" s="82"/>
      <c r="V12" s="80" t="s">
        <v>18</v>
      </c>
      <c r="W12" s="81"/>
      <c r="X12" s="83"/>
      <c r="Y12" s="81"/>
      <c r="Z12" s="82"/>
      <c r="AA12" s="80" t="s">
        <v>19</v>
      </c>
      <c r="AB12" s="81"/>
      <c r="AC12" s="83"/>
      <c r="AD12" s="81"/>
      <c r="AE12" s="82"/>
    </row>
    <row r="13" spans="1:31">
      <c r="A13" s="33" t="s">
        <v>20</v>
      </c>
      <c r="B13" s="5" t="s">
        <v>5</v>
      </c>
      <c r="C13" t="s">
        <v>6</v>
      </c>
      <c r="D13" s="3" t="s">
        <v>7</v>
      </c>
      <c r="E13" s="60" t="s">
        <v>71</v>
      </c>
      <c r="F13" s="15" t="s">
        <v>8</v>
      </c>
      <c r="G13" s="6" t="s">
        <v>5</v>
      </c>
      <c r="H13" s="2" t="s">
        <v>6</v>
      </c>
      <c r="I13" s="3" t="s">
        <v>7</v>
      </c>
      <c r="J13" s="60" t="s">
        <v>71</v>
      </c>
      <c r="K13" s="15" t="s">
        <v>8</v>
      </c>
      <c r="L13" s="10" t="s">
        <v>5</v>
      </c>
      <c r="M13" s="4" t="s">
        <v>6</v>
      </c>
      <c r="N13" s="3" t="s">
        <v>7</v>
      </c>
      <c r="O13" s="60" t="s">
        <v>71</v>
      </c>
      <c r="P13" s="15" t="s">
        <v>8</v>
      </c>
      <c r="Q13" s="6" t="s">
        <v>5</v>
      </c>
      <c r="R13" s="2" t="s">
        <v>6</v>
      </c>
      <c r="S13" s="3" t="s">
        <v>7</v>
      </c>
      <c r="T13" s="60" t="s">
        <v>71</v>
      </c>
      <c r="U13" s="15" t="s">
        <v>8</v>
      </c>
      <c r="V13" s="10" t="s">
        <v>5</v>
      </c>
      <c r="W13" s="4" t="s">
        <v>6</v>
      </c>
      <c r="X13" s="3" t="s">
        <v>7</v>
      </c>
      <c r="Y13" s="60" t="s">
        <v>71</v>
      </c>
      <c r="Z13" s="15" t="s">
        <v>8</v>
      </c>
      <c r="AA13" s="6" t="s">
        <v>5</v>
      </c>
      <c r="AB13" s="2" t="s">
        <v>6</v>
      </c>
      <c r="AC13" s="3" t="s">
        <v>7</v>
      </c>
      <c r="AD13" s="60" t="s">
        <v>71</v>
      </c>
      <c r="AE13" s="15" t="s">
        <v>8</v>
      </c>
    </row>
    <row r="14" spans="1:31">
      <c r="A14" s="34" t="s">
        <v>10</v>
      </c>
      <c r="B14" s="6">
        <v>33394.44</v>
      </c>
      <c r="C14" s="2">
        <v>19862.96</v>
      </c>
      <c r="D14" s="3">
        <v>1.00794947949207E-2</v>
      </c>
      <c r="E14" s="60">
        <v>435.56652023315399</v>
      </c>
      <c r="F14" s="15">
        <f>0.595498451327</f>
        <v>0.59549845132699997</v>
      </c>
      <c r="G14" s="61">
        <v>33472.519999999997</v>
      </c>
      <c r="H14" s="62">
        <v>20461.84</v>
      </c>
      <c r="I14" s="75">
        <v>9.9580910894967803E-3</v>
      </c>
      <c r="J14" s="63">
        <v>434.40089967727602</v>
      </c>
      <c r="K14" s="64">
        <v>0.60385012711599995</v>
      </c>
      <c r="L14" s="10">
        <v>6904.4</v>
      </c>
      <c r="M14" s="4">
        <v>1955.48</v>
      </c>
      <c r="N14" s="3">
        <v>0.142773449454</v>
      </c>
      <c r="O14" s="60">
        <v>266.66423999800003</v>
      </c>
      <c r="P14" s="15">
        <f>0.280064011089</f>
        <v>0.28006401108899998</v>
      </c>
      <c r="Q14" s="62">
        <v>7652.36</v>
      </c>
      <c r="R14" s="62">
        <v>2054.84</v>
      </c>
      <c r="S14" s="75">
        <v>0.15315927474300001</v>
      </c>
      <c r="T14" s="63">
        <v>300.55159996999998</v>
      </c>
      <c r="U14" s="64">
        <f>0.266656194123</f>
        <v>0.26665619412300001</v>
      </c>
      <c r="V14" s="10">
        <v>72101.279999999999</v>
      </c>
      <c r="W14" s="4">
        <v>50908.959999999999</v>
      </c>
      <c r="X14" s="3">
        <v>1.00794947949207E-2</v>
      </c>
      <c r="Y14" s="60">
        <v>435.56652023315399</v>
      </c>
      <c r="Z14" s="15">
        <f>0.706072237533358</f>
        <v>0.70607223753335802</v>
      </c>
      <c r="AA14" s="61">
        <v>46776.959999999999</v>
      </c>
      <c r="AB14" s="62">
        <v>38239.96</v>
      </c>
      <c r="AC14" s="75">
        <v>9.9580910894967803E-3</v>
      </c>
      <c r="AD14" s="63">
        <v>434.40089967727602</v>
      </c>
      <c r="AE14" s="64">
        <f>0.817497229632774</f>
        <v>0.81749722963277405</v>
      </c>
    </row>
    <row r="15" spans="1:31">
      <c r="A15" s="35" t="s">
        <v>11</v>
      </c>
      <c r="B15" s="7">
        <v>256828.28</v>
      </c>
      <c r="C15" s="8">
        <v>159559.20000000001</v>
      </c>
      <c r="D15" s="9">
        <v>2.8235654760299998E-3</v>
      </c>
      <c r="E15" s="69">
        <v>450.58300001100002</v>
      </c>
      <c r="F15" s="16">
        <f>0.621226720257</f>
        <v>0.62122672025699999</v>
      </c>
      <c r="G15" s="65">
        <v>255556.4</v>
      </c>
      <c r="H15" s="66">
        <v>161164.96</v>
      </c>
      <c r="I15" s="76">
        <v>2.7762807068600001E-3</v>
      </c>
      <c r="J15" s="67">
        <v>447.34788001999999</v>
      </c>
      <c r="K15" s="68">
        <f>0.630712779453</f>
        <v>0.63071277945299997</v>
      </c>
      <c r="L15" s="11">
        <v>13233.72</v>
      </c>
      <c r="M15" s="12">
        <v>6834.08</v>
      </c>
      <c r="N15" s="9">
        <v>0.26817115436900002</v>
      </c>
      <c r="O15" s="69">
        <v>1788.57847999</v>
      </c>
      <c r="P15" s="16">
        <f>0.517111316142</f>
        <v>0.51711131614200001</v>
      </c>
      <c r="Q15" s="65">
        <v>13120.2</v>
      </c>
      <c r="R15" s="66">
        <v>6724.76</v>
      </c>
      <c r="S15" s="76">
        <v>0.253251056463</v>
      </c>
      <c r="T15" s="67">
        <v>1686.6924800199999</v>
      </c>
      <c r="U15" s="68">
        <f>0.513583558135</f>
        <v>0.51358355813500001</v>
      </c>
      <c r="V15" s="11">
        <v>75500.52</v>
      </c>
      <c r="W15" s="12">
        <v>43218.400000000001</v>
      </c>
      <c r="X15" s="9">
        <v>8.5186578901613602E-3</v>
      </c>
      <c r="Y15" s="69">
        <v>433.70486718177699</v>
      </c>
      <c r="Z15" s="16">
        <f>0.572422652346015</f>
        <v>0.57242265234601497</v>
      </c>
      <c r="AA15" s="65">
        <v>72237.16</v>
      </c>
      <c r="AB15" s="66">
        <v>43623.72</v>
      </c>
      <c r="AC15" s="76">
        <v>1.1335646942011101E-2</v>
      </c>
      <c r="AD15" s="67">
        <v>433.45899882316502</v>
      </c>
      <c r="AE15" s="68">
        <f>0.603897120911155</f>
        <v>0.60389712091115499</v>
      </c>
    </row>
    <row r="16" spans="1:31">
      <c r="F16" s="14"/>
      <c r="G16" s="2">
        <f>G14-B14</f>
        <v>78.07999999999447</v>
      </c>
      <c r="H16" s="2">
        <f>H14-C14</f>
        <v>598.88000000000102</v>
      </c>
      <c r="I16" s="2">
        <f t="shared" ref="I16:I17" si="3">I14-D14</f>
        <v>-1.2140370542391976E-4</v>
      </c>
      <c r="J16" s="60">
        <f>J14-E14</f>
        <v>-1.1656205558779789</v>
      </c>
      <c r="K16" s="14">
        <f>K14-F14</f>
        <v>8.3516757889999793E-3</v>
      </c>
      <c r="L16" s="4"/>
      <c r="M16" s="4"/>
      <c r="Q16" s="2">
        <f>Q14-L14</f>
        <v>747.96</v>
      </c>
      <c r="R16" s="2">
        <f>R14-M14</f>
        <v>99.360000000000127</v>
      </c>
      <c r="T16" s="60">
        <f>T14-O14</f>
        <v>33.887359971999956</v>
      </c>
      <c r="U16" s="70">
        <f>U14-P14</f>
        <v>-1.3407816965999964E-2</v>
      </c>
      <c r="AA16" s="2">
        <f>AA14-V14</f>
        <v>-25324.32</v>
      </c>
      <c r="AB16" s="2">
        <f>AB14-W14</f>
        <v>-12669</v>
      </c>
      <c r="AD16" s="60">
        <f>AD14-Y14</f>
        <v>-1.1656205558779789</v>
      </c>
      <c r="AE16" s="14">
        <f>AE14-Z14</f>
        <v>0.11142499209941603</v>
      </c>
    </row>
    <row r="17" spans="1:31">
      <c r="F17" s="14"/>
      <c r="G17" s="2">
        <f>G15-B15</f>
        <v>-1271.8800000000047</v>
      </c>
      <c r="H17" s="2">
        <f>H15-C15</f>
        <v>1605.7599999999802</v>
      </c>
      <c r="I17" s="2">
        <f t="shared" si="3"/>
        <v>-4.7284769169999696E-5</v>
      </c>
      <c r="J17" s="60">
        <f>J15-E15</f>
        <v>-3.2351199910000332</v>
      </c>
      <c r="K17" s="14">
        <f>K15-F15</f>
        <v>9.4860591959999851E-3</v>
      </c>
      <c r="L17" s="4"/>
      <c r="M17" s="4"/>
      <c r="Q17" s="2">
        <f>Q15-L15</f>
        <v>-113.51999999999862</v>
      </c>
      <c r="R17" s="2">
        <f>R15-M15</f>
        <v>-109.31999999999971</v>
      </c>
      <c r="T17" s="71">
        <f>T15-O15</f>
        <v>-101.88599997000006</v>
      </c>
      <c r="U17" s="70">
        <f>U15-P15</f>
        <v>-3.5277580070000036E-3</v>
      </c>
      <c r="AA17" s="2">
        <f>AA15-V15</f>
        <v>-3263.3600000000006</v>
      </c>
      <c r="AB17" s="2">
        <f>AB15-W15</f>
        <v>405.31999999999971</v>
      </c>
      <c r="AD17" s="60">
        <f>AD15-Y15</f>
        <v>-0.24586835861197187</v>
      </c>
      <c r="AE17" s="14">
        <f>AE15-Z15</f>
        <v>3.1474468565140024E-2</v>
      </c>
    </row>
    <row r="18" spans="1:31">
      <c r="C18" s="1" t="s">
        <v>16</v>
      </c>
      <c r="D18" s="74"/>
      <c r="F18" s="14"/>
      <c r="L18" t="s">
        <v>24</v>
      </c>
      <c r="M18" s="4"/>
      <c r="V18" t="s">
        <v>24</v>
      </c>
    </row>
    <row r="19" spans="1:31">
      <c r="F19" s="14"/>
      <c r="L19" s="4"/>
      <c r="M19" s="4"/>
    </row>
    <row r="20" spans="1:31">
      <c r="B20" s="80" t="s">
        <v>4</v>
      </c>
      <c r="C20" s="81"/>
      <c r="D20" s="83"/>
      <c r="E20" s="81"/>
      <c r="F20" s="82"/>
      <c r="G20" s="80" t="s">
        <v>9</v>
      </c>
      <c r="H20" s="81"/>
      <c r="I20" s="83"/>
      <c r="J20" s="81"/>
      <c r="K20" s="82"/>
      <c r="L20" s="80" t="s">
        <v>14</v>
      </c>
      <c r="M20" s="81"/>
      <c r="N20" s="83"/>
      <c r="O20" s="81"/>
      <c r="P20" s="82"/>
      <c r="Q20" s="80" t="s">
        <v>15</v>
      </c>
      <c r="R20" s="81"/>
      <c r="S20" s="83"/>
      <c r="T20" s="81"/>
      <c r="U20" s="82"/>
      <c r="V20" s="80" t="s">
        <v>18</v>
      </c>
      <c r="W20" s="81"/>
      <c r="X20" s="83"/>
      <c r="Y20" s="81"/>
      <c r="Z20" s="82"/>
      <c r="AA20" s="80" t="s">
        <v>19</v>
      </c>
      <c r="AB20" s="81"/>
      <c r="AC20" s="83"/>
      <c r="AD20" s="81"/>
      <c r="AE20" s="82"/>
    </row>
    <row r="21" spans="1:31">
      <c r="A21" s="33" t="s">
        <v>20</v>
      </c>
      <c r="B21" s="5" t="s">
        <v>5</v>
      </c>
      <c r="C21" t="s">
        <v>6</v>
      </c>
      <c r="D21" s="3" t="s">
        <v>7</v>
      </c>
      <c r="E21" s="60" t="s">
        <v>71</v>
      </c>
      <c r="F21" s="15" t="s">
        <v>8</v>
      </c>
      <c r="G21" s="6" t="s">
        <v>5</v>
      </c>
      <c r="H21" s="2" t="s">
        <v>6</v>
      </c>
      <c r="I21" s="3" t="s">
        <v>7</v>
      </c>
      <c r="J21" s="60" t="s">
        <v>71</v>
      </c>
      <c r="K21" s="15" t="s">
        <v>8</v>
      </c>
      <c r="L21" s="10" t="s">
        <v>5</v>
      </c>
      <c r="M21" s="4" t="s">
        <v>6</v>
      </c>
      <c r="N21" s="3" t="s">
        <v>7</v>
      </c>
      <c r="O21" s="60" t="s">
        <v>71</v>
      </c>
      <c r="P21" s="15" t="s">
        <v>8</v>
      </c>
      <c r="Q21" s="6" t="s">
        <v>5</v>
      </c>
      <c r="R21" s="2" t="s">
        <v>6</v>
      </c>
      <c r="S21" s="3" t="s">
        <v>7</v>
      </c>
      <c r="T21" s="60" t="s">
        <v>71</v>
      </c>
      <c r="U21" s="15" t="s">
        <v>8</v>
      </c>
      <c r="V21" s="10" t="s">
        <v>5</v>
      </c>
      <c r="W21" s="4" t="s">
        <v>6</v>
      </c>
      <c r="X21" s="3" t="s">
        <v>7</v>
      </c>
      <c r="Y21" s="60" t="s">
        <v>71</v>
      </c>
      <c r="Z21" s="15" t="s">
        <v>8</v>
      </c>
      <c r="AA21" s="6" t="s">
        <v>5</v>
      </c>
      <c r="AB21" s="2" t="s">
        <v>6</v>
      </c>
      <c r="AC21" s="3" t="s">
        <v>7</v>
      </c>
      <c r="AD21" s="60" t="s">
        <v>71</v>
      </c>
      <c r="AE21" s="15" t="s">
        <v>8</v>
      </c>
    </row>
    <row r="22" spans="1:31">
      <c r="A22" s="34" t="s">
        <v>10</v>
      </c>
      <c r="B22" s="6">
        <v>1939.52</v>
      </c>
      <c r="C22" s="2">
        <v>1254.28</v>
      </c>
      <c r="D22" s="3">
        <v>1.37152060365E-3</v>
      </c>
      <c r="E22" s="60">
        <v>4.0217199611699996</v>
      </c>
      <c r="F22" s="15">
        <f>0.412818978501</f>
        <v>0.41281897850100002</v>
      </c>
      <c r="G22" s="61">
        <v>2660.24</v>
      </c>
      <c r="H22" s="62">
        <v>1850.8</v>
      </c>
      <c r="I22" s="75">
        <v>1.3221012618700001E-3</v>
      </c>
      <c r="J22" s="63">
        <v>3.5277999687200001</v>
      </c>
      <c r="K22" s="64">
        <f>0.457858631304</f>
        <v>0.45785863130400001</v>
      </c>
      <c r="L22" s="10">
        <v>1788.56</v>
      </c>
      <c r="M22" s="4">
        <v>383.36</v>
      </c>
      <c r="N22">
        <v>1.8658029371758499E-2</v>
      </c>
      <c r="O22" s="60">
        <v>6.74392003059</v>
      </c>
      <c r="P22" s="15">
        <f>0.117365546056</f>
        <v>0.117365546056</v>
      </c>
      <c r="Q22" s="61">
        <v>2361.4</v>
      </c>
      <c r="R22" s="62">
        <v>394.84</v>
      </c>
      <c r="S22" s="75">
        <v>3.05458604952944E-2</v>
      </c>
      <c r="T22" s="63">
        <v>8.5536399841299993</v>
      </c>
      <c r="U22" s="64">
        <f>0.133845483353</f>
        <v>0.13384548335300001</v>
      </c>
      <c r="V22" s="10">
        <v>75640.639999999999</v>
      </c>
      <c r="W22" s="4">
        <v>50279.44</v>
      </c>
      <c r="X22" s="3">
        <v>9.0999720581259305E-4</v>
      </c>
      <c r="Y22" s="60">
        <v>45.724359817504798</v>
      </c>
      <c r="Z22" s="15">
        <f>0.664719285726297</f>
        <v>0.66471928572629702</v>
      </c>
      <c r="AA22" s="61">
        <v>72349.759999999995</v>
      </c>
      <c r="AB22" s="62">
        <v>48301.440000000002</v>
      </c>
      <c r="AC22" s="75">
        <v>9.3614011579710597E-4</v>
      </c>
      <c r="AD22" s="63">
        <v>45.114759931564301</v>
      </c>
      <c r="AE22" s="64">
        <f>0.667614675138628</f>
        <v>0.66761467513862804</v>
      </c>
    </row>
    <row r="23" spans="1:31">
      <c r="A23" s="35" t="s">
        <v>11</v>
      </c>
      <c r="B23" s="7">
        <v>65731.759999999995</v>
      </c>
      <c r="C23" s="8">
        <v>42733</v>
      </c>
      <c r="D23" s="9">
        <v>3.41266998576E-4</v>
      </c>
      <c r="E23" s="69">
        <v>14.4680799961</v>
      </c>
      <c r="F23" s="16">
        <f>0.649367174249</f>
        <v>0.64936717424900003</v>
      </c>
      <c r="G23" s="65">
        <v>65878.28</v>
      </c>
      <c r="H23" s="66">
        <v>42978.879999999997</v>
      </c>
      <c r="I23" s="76">
        <v>3.3760500982900002E-4</v>
      </c>
      <c r="J23" s="67">
        <v>14.3954400158</v>
      </c>
      <c r="K23" s="68">
        <f>0.651995258419</f>
        <v>0.65199525841899997</v>
      </c>
      <c r="L23" s="11">
        <v>55759.76</v>
      </c>
      <c r="M23" s="12">
        <v>5086.16</v>
      </c>
      <c r="N23" s="9">
        <v>3.7332598489539001E-2</v>
      </c>
      <c r="O23" s="69">
        <v>181.28955995600001</v>
      </c>
      <c r="P23" s="16">
        <f>0.0941569205377</f>
        <v>9.4156920537700001E-2</v>
      </c>
      <c r="Q23" s="65">
        <v>49437.48</v>
      </c>
      <c r="R23" s="66">
        <v>8438.16</v>
      </c>
      <c r="S23" s="76">
        <v>5.2383032633299999E-2</v>
      </c>
      <c r="T23" s="67">
        <v>410.138880024</v>
      </c>
      <c r="U23" s="68">
        <f>0.175672981217</f>
        <v>0.17567298121700001</v>
      </c>
      <c r="V23" s="11">
        <v>72151.28</v>
      </c>
      <c r="W23" s="12">
        <v>49929.2</v>
      </c>
      <c r="X23" s="9">
        <v>6.5100253153404499E-4</v>
      </c>
      <c r="Y23" s="69">
        <v>32.503294029235803</v>
      </c>
      <c r="Z23" s="16">
        <f>0.692010424836777</f>
        <v>0.69201042483677699</v>
      </c>
      <c r="AA23" s="65">
        <v>68850.64</v>
      </c>
      <c r="AB23" s="66">
        <v>47900.56</v>
      </c>
      <c r="AC23" s="76">
        <v>6.1632317997577203E-4</v>
      </c>
      <c r="AD23" s="67">
        <v>29.520818271636902</v>
      </c>
      <c r="AE23" s="68">
        <f>0.695717701367691</f>
        <v>0.69571770136769095</v>
      </c>
    </row>
    <row r="24" spans="1:31">
      <c r="G24" s="2">
        <f>G22-B22</f>
        <v>720.7199999999998</v>
      </c>
      <c r="H24" s="2">
        <f>H22-C22</f>
        <v>596.52</v>
      </c>
      <c r="I24" s="2">
        <f t="shared" ref="I24:I25" si="4">I22-D22</f>
        <v>-4.94193417799999E-5</v>
      </c>
      <c r="J24" s="60">
        <f>J22-E22</f>
        <v>-0.49391999244999951</v>
      </c>
      <c r="K24" s="14">
        <f>K22-F22</f>
        <v>4.5039652802999985E-2</v>
      </c>
      <c r="Q24" s="2">
        <f>Q22-L22</f>
        <v>572.84000000000015</v>
      </c>
      <c r="R24" s="2">
        <f>R22-M22</f>
        <v>11.479999999999961</v>
      </c>
      <c r="T24" s="60">
        <f>T22-O22</f>
        <v>1.8097199535399993</v>
      </c>
      <c r="U24" s="14">
        <f>U22-P22</f>
        <v>1.6479937297000008E-2</v>
      </c>
      <c r="AA24" s="2">
        <f>AA22-V22</f>
        <v>-3290.8800000000047</v>
      </c>
      <c r="AB24" s="2">
        <f>AB22-W22</f>
        <v>-1978</v>
      </c>
      <c r="AD24" s="60">
        <f>AD22-Y22</f>
        <v>-0.60959988594049719</v>
      </c>
      <c r="AE24" s="14">
        <f>AE22-Z22</f>
        <v>2.8953894123310286E-3</v>
      </c>
    </row>
    <row r="25" spans="1:31">
      <c r="G25" s="2">
        <f>G23-B23</f>
        <v>146.52000000000407</v>
      </c>
      <c r="H25" s="2">
        <f>H23-C23</f>
        <v>245.87999999999738</v>
      </c>
      <c r="I25" s="2">
        <f t="shared" si="4"/>
        <v>-3.6619887469999828E-6</v>
      </c>
      <c r="J25" s="60">
        <f>J23-E23</f>
        <v>-7.2639980299999962E-2</v>
      </c>
      <c r="K25" s="14">
        <f>K23-F23</f>
        <v>2.6280841699999336E-3</v>
      </c>
      <c r="Q25" s="2">
        <f>Q23-L23</f>
        <v>-6322.2799999999988</v>
      </c>
      <c r="R25" s="2">
        <f>R23-M23</f>
        <v>3352</v>
      </c>
      <c r="T25" s="71">
        <f>T23-O23</f>
        <v>228.849320068</v>
      </c>
      <c r="U25" s="14">
        <f>U23-P23</f>
        <v>8.1516060679300006E-2</v>
      </c>
      <c r="AA25" s="2">
        <f>AA23-V23</f>
        <v>-3300.6399999999994</v>
      </c>
      <c r="AB25" s="2">
        <f>AB23-W23</f>
        <v>-2028.6399999999994</v>
      </c>
      <c r="AD25" s="60">
        <f>AD23-Y23</f>
        <v>-2.9824757575989018</v>
      </c>
      <c r="AE25" s="70">
        <f t="shared" ref="AE25" si="5">AE23-Z23</f>
        <v>3.707276530913961E-3</v>
      </c>
    </row>
  </sheetData>
  <mergeCells count="18">
    <mergeCell ref="AA4:AE4"/>
    <mergeCell ref="B4:F4"/>
    <mergeCell ref="G4:K4"/>
    <mergeCell ref="L4:P4"/>
    <mergeCell ref="Q4:U4"/>
    <mergeCell ref="V4:Z4"/>
    <mergeCell ref="AA20:AE20"/>
    <mergeCell ref="B12:F12"/>
    <mergeCell ref="G12:K12"/>
    <mergeCell ref="L12:P12"/>
    <mergeCell ref="Q12:U12"/>
    <mergeCell ref="V12:Z12"/>
    <mergeCell ref="AA12:AE12"/>
    <mergeCell ref="B20:F20"/>
    <mergeCell ref="G20:K20"/>
    <mergeCell ref="L20:P20"/>
    <mergeCell ref="Q20:U20"/>
    <mergeCell ref="V20:Z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F2D2-9415-4E0A-902C-EE90A5695E2E}">
  <dimension ref="A3:K39"/>
  <sheetViews>
    <sheetView topLeftCell="A4" workbookViewId="0">
      <selection activeCell="A39" sqref="A39"/>
    </sheetView>
  </sheetViews>
  <sheetFormatPr defaultRowHeight="15"/>
  <cols>
    <col min="1" max="1" width="15.28515625" bestFit="1" customWidth="1"/>
    <col min="2" max="3" width="8.7109375" bestFit="1" customWidth="1"/>
    <col min="4" max="6" width="11.28515625" bestFit="1" customWidth="1"/>
    <col min="7" max="7" width="14" bestFit="1" customWidth="1"/>
    <col min="8" max="9" width="8.85546875" bestFit="1" customWidth="1"/>
    <col min="10" max="10" width="11.42578125" bestFit="1" customWidth="1"/>
  </cols>
  <sheetData>
    <row r="3" spans="1:10">
      <c r="B3" t="s">
        <v>27</v>
      </c>
    </row>
    <row r="5" spans="1:10">
      <c r="A5" t="s">
        <v>65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</row>
    <row r="6" spans="1:10">
      <c r="A6" t="s">
        <v>37</v>
      </c>
      <c r="B6" s="72" t="s">
        <v>26</v>
      </c>
      <c r="C6" s="72" t="s">
        <v>26</v>
      </c>
      <c r="D6" s="72" t="s">
        <v>26</v>
      </c>
      <c r="E6" s="72" t="s">
        <v>26</v>
      </c>
      <c r="F6" s="72" t="s">
        <v>26</v>
      </c>
      <c r="G6" s="72" t="s">
        <v>26</v>
      </c>
      <c r="H6" s="72" t="s">
        <v>26</v>
      </c>
      <c r="I6" s="72" t="s">
        <v>26</v>
      </c>
      <c r="J6" s="72" t="s">
        <v>26</v>
      </c>
    </row>
    <row r="7" spans="1:10">
      <c r="A7" t="s">
        <v>38</v>
      </c>
      <c r="B7" s="72">
        <v>3.3E-3</v>
      </c>
      <c r="C7" s="72">
        <v>-1.2200000000000001E-2</v>
      </c>
      <c r="D7" s="72">
        <v>8.0600000000000005E-2</v>
      </c>
      <c r="E7" s="72">
        <v>-1.7899999999999999E-2</v>
      </c>
      <c r="F7" s="72">
        <v>-1.9599999999999999E-2</v>
      </c>
      <c r="G7" s="72">
        <v>-3.04E-2</v>
      </c>
      <c r="H7" s="72">
        <v>1.4E-2</v>
      </c>
      <c r="I7" s="72">
        <v>0.11890000000000001</v>
      </c>
      <c r="J7" s="72">
        <v>0.29139999999999999</v>
      </c>
    </row>
    <row r="8" spans="1:10">
      <c r="A8" t="s">
        <v>39</v>
      </c>
      <c r="B8" s="72">
        <v>6.4999999999999997E-3</v>
      </c>
      <c r="C8" s="72">
        <v>-1.6400000000000001E-2</v>
      </c>
      <c r="D8" s="72">
        <v>7.9100000000000004E-2</v>
      </c>
      <c r="E8" s="72">
        <v>0.1653</v>
      </c>
      <c r="F8" s="72">
        <v>-3.2000000000000001E-2</v>
      </c>
      <c r="G8" s="72">
        <v>-8.8000000000000005E-3</v>
      </c>
      <c r="H8" s="72">
        <v>-1.4200000000000001E-2</v>
      </c>
      <c r="I8" s="72">
        <v>0.1038</v>
      </c>
      <c r="J8" s="72">
        <v>0.13880000000000001</v>
      </c>
    </row>
    <row r="9" spans="1:10">
      <c r="A9" t="s">
        <v>40</v>
      </c>
      <c r="B9" s="72">
        <v>6.3E-3</v>
      </c>
      <c r="C9" s="72">
        <v>2.0999999999999999E-3</v>
      </c>
      <c r="D9" s="72">
        <v>0.1104</v>
      </c>
      <c r="E9" s="72">
        <v>-2.06E-2</v>
      </c>
      <c r="F9" s="72">
        <v>-4.99E-2</v>
      </c>
      <c r="G9" s="72">
        <v>-3.8600000000000002E-2</v>
      </c>
      <c r="H9" s="72">
        <v>-1.29E-2</v>
      </c>
      <c r="I9" s="72">
        <v>0.12139999999999999</v>
      </c>
      <c r="J9" s="72">
        <v>-0.22359999999999999</v>
      </c>
    </row>
    <row r="10" spans="1:10">
      <c r="A10" t="s">
        <v>41</v>
      </c>
      <c r="B10" s="72">
        <v>1.7299999999999999E-2</v>
      </c>
      <c r="C10" s="72">
        <v>-4.4299999999999999E-2</v>
      </c>
      <c r="D10" s="72">
        <v>3.9699999999999999E-2</v>
      </c>
      <c r="E10" s="72">
        <v>4.8999999999999998E-3</v>
      </c>
      <c r="F10" s="72">
        <v>-6.7999999999999996E-3</v>
      </c>
      <c r="G10" s="72">
        <v>-4.0899999999999999E-2</v>
      </c>
      <c r="H10" s="72">
        <v>-2.5000000000000001E-2</v>
      </c>
      <c r="I10" s="72">
        <v>2.0799999999999999E-2</v>
      </c>
      <c r="J10" s="72">
        <v>5.21E-2</v>
      </c>
    </row>
    <row r="11" spans="1:10">
      <c r="A11" t="s">
        <v>42</v>
      </c>
      <c r="B11" s="72">
        <v>1.15E-2</v>
      </c>
      <c r="C11" s="72">
        <v>-2.6599999999999999E-2</v>
      </c>
      <c r="D11" s="72">
        <v>6.4299999999999996E-2</v>
      </c>
      <c r="E11" s="72">
        <v>0.1047</v>
      </c>
      <c r="F11" s="72">
        <v>-1.84E-2</v>
      </c>
      <c r="G11" s="72">
        <v>-2.35E-2</v>
      </c>
      <c r="H11" s="72">
        <v>1.4800000000000001E-2</v>
      </c>
      <c r="I11" s="72">
        <v>8.2000000000000003E-2</v>
      </c>
      <c r="J11" s="72">
        <v>0.44850000000000001</v>
      </c>
    </row>
    <row r="12" spans="1:10">
      <c r="A12" t="s">
        <v>43</v>
      </c>
      <c r="B12" s="72">
        <v>1.95E-2</v>
      </c>
      <c r="C12" s="72">
        <v>-0.15920000000000001</v>
      </c>
      <c r="D12" s="72">
        <v>0.15939999999999999</v>
      </c>
      <c r="E12" s="72">
        <v>-1.5299999999999999E-2</v>
      </c>
      <c r="F12" s="72">
        <v>-0.17219999999999999</v>
      </c>
      <c r="G12" s="72">
        <v>7.5999999999999998E-2</v>
      </c>
      <c r="H12" s="72">
        <v>-2.3E-2</v>
      </c>
      <c r="I12" s="72">
        <v>-0.2056</v>
      </c>
      <c r="J12" s="72">
        <v>-7.9799999999999996E-2</v>
      </c>
    </row>
    <row r="13" spans="1:10">
      <c r="A13" t="s">
        <v>44</v>
      </c>
      <c r="B13" s="72">
        <v>1.7299999999999999E-2</v>
      </c>
      <c r="C13" s="72">
        <v>-4.4999999999999997E-3</v>
      </c>
      <c r="D13" s="72">
        <v>2.0400000000000001E-2</v>
      </c>
      <c r="E13" s="72">
        <v>-7.7999999999999996E-3</v>
      </c>
      <c r="F13" s="72">
        <v>-3.5099999999999999E-2</v>
      </c>
      <c r="G13" s="72">
        <v>6.5000000000000002E-2</v>
      </c>
      <c r="H13" s="72">
        <v>-2.1299999999999999E-2</v>
      </c>
      <c r="I13" s="72">
        <v>-0.1046</v>
      </c>
      <c r="J13" s="72">
        <v>-5.2699999999999997E-2</v>
      </c>
    </row>
    <row r="14" spans="1:10">
      <c r="A14" t="s">
        <v>45</v>
      </c>
      <c r="B14" s="72">
        <v>1.4999999999999999E-2</v>
      </c>
      <c r="C14" s="72">
        <v>-0.12</v>
      </c>
      <c r="D14" s="72">
        <v>0.1517</v>
      </c>
      <c r="E14" s="72">
        <v>2.4799999999999999E-2</v>
      </c>
      <c r="F14" s="72">
        <v>-5.5599999999999997E-2</v>
      </c>
      <c r="G14" s="72">
        <v>-1.29E-2</v>
      </c>
      <c r="H14" s="72">
        <v>0.12709999999999999</v>
      </c>
      <c r="I14" s="72">
        <v>-1.15E-2</v>
      </c>
      <c r="J14" s="72">
        <v>0.16239999999999999</v>
      </c>
    </row>
    <row r="15" spans="1:10">
      <c r="A15" t="s">
        <v>46</v>
      </c>
      <c r="B15" s="72">
        <v>1.7299999999999999E-2</v>
      </c>
      <c r="C15" s="72">
        <v>-4.0399999999999998E-2</v>
      </c>
      <c r="D15" s="72">
        <v>7.1999999999999998E-3</v>
      </c>
      <c r="E15" s="72">
        <v>6.0400000000000002E-2</v>
      </c>
      <c r="F15" s="72">
        <v>-9.7900000000000001E-2</v>
      </c>
      <c r="G15" s="72">
        <v>-4.24E-2</v>
      </c>
      <c r="H15" s="72">
        <v>6.6900000000000001E-2</v>
      </c>
      <c r="I15" s="72">
        <v>4.1000000000000002E-2</v>
      </c>
      <c r="J15" s="72">
        <v>0.25180000000000002</v>
      </c>
    </row>
    <row r="16" spans="1:10">
      <c r="A16" t="s">
        <v>47</v>
      </c>
      <c r="B16" s="72">
        <v>0.1008</v>
      </c>
      <c r="C16" s="72">
        <v>3.95E-2</v>
      </c>
      <c r="D16" s="72">
        <v>6.1600000000000002E-2</v>
      </c>
      <c r="E16" s="72">
        <v>0.1764</v>
      </c>
      <c r="F16" s="72">
        <v>9.5500000000000002E-2</v>
      </c>
      <c r="G16" s="72">
        <v>7.85E-2</v>
      </c>
      <c r="H16" s="72">
        <v>2.69E-2</v>
      </c>
      <c r="I16" s="72">
        <v>5.4399999999999997E-2</v>
      </c>
      <c r="J16" s="72">
        <v>0.67110000000000003</v>
      </c>
    </row>
    <row r="17" spans="1:11">
      <c r="A17" t="s">
        <v>48</v>
      </c>
      <c r="B17" s="72">
        <v>5.3999999999999999E-2</v>
      </c>
      <c r="C17" s="72">
        <v>8.8999999999999999E-3</v>
      </c>
      <c r="D17" s="72">
        <v>3.7400000000000003E-2</v>
      </c>
      <c r="E17" s="72">
        <v>0.2407</v>
      </c>
      <c r="F17" s="72">
        <v>0.11459999999999999</v>
      </c>
      <c r="G17" s="72">
        <v>3.7699999999999997E-2</v>
      </c>
      <c r="H17" s="72">
        <v>0.48330000000000001</v>
      </c>
      <c r="I17" s="72">
        <v>4.3900000000000002E-2</v>
      </c>
      <c r="J17" s="72">
        <v>0.76490000000000002</v>
      </c>
    </row>
    <row r="18" spans="1:11">
      <c r="A18" t="s">
        <v>49</v>
      </c>
      <c r="B18" s="72">
        <v>2.4199999999999999E-2</v>
      </c>
      <c r="C18" s="72">
        <v>2.0400000000000001E-2</v>
      </c>
      <c r="D18" s="72">
        <v>2.5399999999999999E-2</v>
      </c>
      <c r="E18" s="72">
        <v>0.44419999999999998</v>
      </c>
      <c r="F18" s="72">
        <v>9.2999999999999992E-3</v>
      </c>
      <c r="G18" s="72">
        <v>2.2200000000000001E-2</v>
      </c>
      <c r="H18" s="72">
        <v>1.2699999999999999E-2</v>
      </c>
      <c r="I18" s="72">
        <v>6.0400000000000002E-2</v>
      </c>
      <c r="J18" s="72">
        <v>0.17699999999999999</v>
      </c>
    </row>
    <row r="19" spans="1:11">
      <c r="A19" t="s">
        <v>50</v>
      </c>
      <c r="B19" s="72">
        <v>8.0199999999999994E-2</v>
      </c>
      <c r="C19">
        <v>3.7999999999999999E-2</v>
      </c>
      <c r="D19">
        <v>2.1100000000000001E-2</v>
      </c>
      <c r="E19">
        <v>0.54579999999999995</v>
      </c>
      <c r="F19">
        <v>1.38E-2</v>
      </c>
      <c r="G19">
        <v>0.1305</v>
      </c>
      <c r="H19">
        <v>5.5500000000000001E-2</v>
      </c>
      <c r="I19">
        <v>5.6000000000000001E-2</v>
      </c>
      <c r="J19">
        <v>0.19650000000000001</v>
      </c>
    </row>
    <row r="20" spans="1:11">
      <c r="A20" t="s">
        <v>51</v>
      </c>
      <c r="B20" s="72">
        <v>4.8800000000000003E-2</v>
      </c>
      <c r="C20">
        <v>4.9099999999999998E-2</v>
      </c>
      <c r="D20">
        <v>3.1099999999999999E-2</v>
      </c>
      <c r="E20">
        <v>0.31609999999999999</v>
      </c>
      <c r="F20">
        <v>1.49E-2</v>
      </c>
      <c r="G20">
        <v>0.1158</v>
      </c>
      <c r="H20">
        <v>4.0000000000000002E-4</v>
      </c>
      <c r="I20">
        <v>6.6900000000000001E-2</v>
      </c>
      <c r="J20">
        <v>6.7299999999999999E-2</v>
      </c>
    </row>
    <row r="21" spans="1:11">
      <c r="A21" t="s">
        <v>52</v>
      </c>
      <c r="B21" s="72">
        <v>0.2838</v>
      </c>
      <c r="C21">
        <v>5.0799999999999998E-2</v>
      </c>
      <c r="D21">
        <v>0.10249999999999999</v>
      </c>
      <c r="E21">
        <v>1.8E-3</v>
      </c>
      <c r="F21">
        <v>2.4299999999999999E-2</v>
      </c>
      <c r="G21">
        <v>0.28839999999999999</v>
      </c>
      <c r="H21">
        <v>0.1067</v>
      </c>
      <c r="I21">
        <v>0.2177</v>
      </c>
      <c r="J21">
        <v>0.18360000000000001</v>
      </c>
    </row>
    <row r="22" spans="1:11">
      <c r="B22" s="72"/>
    </row>
    <row r="23" spans="1:11">
      <c r="B23" s="72"/>
    </row>
    <row r="24" spans="1:11">
      <c r="B24" t="s">
        <v>53</v>
      </c>
    </row>
    <row r="26" spans="1:11"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34</v>
      </c>
      <c r="I26" t="s">
        <v>35</v>
      </c>
      <c r="J26" t="s">
        <v>36</v>
      </c>
    </row>
    <row r="27" spans="1:11">
      <c r="A27" t="s">
        <v>37</v>
      </c>
      <c r="B27" s="72">
        <v>-0.44019999999999998</v>
      </c>
      <c r="C27" s="72">
        <v>3.7600000000000001E-2</v>
      </c>
      <c r="D27" s="72">
        <v>-0.22120000000000001</v>
      </c>
      <c r="E27" s="72">
        <v>-9.3899999999999997E-2</v>
      </c>
      <c r="F27" s="72">
        <v>8.2100000000000006E-2</v>
      </c>
      <c r="G27" s="72">
        <v>0.1142</v>
      </c>
      <c r="H27" s="72">
        <v>6.1699999999999998E-2</v>
      </c>
      <c r="I27" s="72">
        <v>0.38950000000000001</v>
      </c>
      <c r="J27" s="72">
        <v>-0.10780000000000001</v>
      </c>
      <c r="K27" s="72"/>
    </row>
    <row r="28" spans="1:11">
      <c r="A28" t="s">
        <v>54</v>
      </c>
      <c r="B28" s="72">
        <v>1.06E-2</v>
      </c>
      <c r="C28" s="72">
        <v>6.5199999999999994E-2</v>
      </c>
      <c r="D28" s="72">
        <v>-0.15629999999999999</v>
      </c>
      <c r="E28" s="72">
        <v>-0.05</v>
      </c>
      <c r="F28" s="72">
        <v>0.1167</v>
      </c>
      <c r="G28" s="72">
        <v>7.4700000000000003E-2</v>
      </c>
      <c r="H28" s="72">
        <v>3.7000000000000002E-3</v>
      </c>
      <c r="I28" s="72">
        <v>0.3725</v>
      </c>
      <c r="J28" s="72">
        <v>7.8E-2</v>
      </c>
    </row>
    <row r="29" spans="1:11">
      <c r="A29" t="s">
        <v>55</v>
      </c>
      <c r="B29" s="72">
        <v>7.6E-3</v>
      </c>
      <c r="C29" s="72">
        <v>0.14099999999999999</v>
      </c>
      <c r="D29" s="72">
        <v>0.2404</v>
      </c>
      <c r="E29" s="72">
        <v>-3.3999999999999998E-3</v>
      </c>
      <c r="F29" s="72">
        <v>0.1278</v>
      </c>
      <c r="G29" s="72">
        <v>0.1845</v>
      </c>
      <c r="H29" s="72">
        <v>0.2175</v>
      </c>
      <c r="I29" s="72">
        <v>0.58589999999999998</v>
      </c>
      <c r="J29" s="72">
        <v>0.1343</v>
      </c>
    </row>
    <row r="30" spans="1:11">
      <c r="A30" t="s">
        <v>40</v>
      </c>
      <c r="B30" s="72">
        <v>-9.4999999999999998E-3</v>
      </c>
      <c r="C30" s="72">
        <v>4.6199999999999998E-2</v>
      </c>
      <c r="D30" s="72">
        <v>0.32029999999999997</v>
      </c>
      <c r="E30" s="72">
        <v>6.83E-2</v>
      </c>
      <c r="F30" s="72">
        <v>0.13300000000000001</v>
      </c>
      <c r="G30" s="72">
        <v>0.2036</v>
      </c>
      <c r="H30" s="72">
        <v>-1.1900000000000001E-2</v>
      </c>
      <c r="I30" s="72">
        <v>0.54210000000000003</v>
      </c>
      <c r="J30" s="72">
        <v>-0.1925</v>
      </c>
    </row>
    <row r="31" spans="1:11">
      <c r="A31" t="s">
        <v>56</v>
      </c>
      <c r="B31" s="72">
        <v>3.2199999999999999E-2</v>
      </c>
      <c r="C31" s="72">
        <v>0.1169</v>
      </c>
      <c r="D31" s="72">
        <v>7.5999999999999998E-2</v>
      </c>
      <c r="E31" s="72">
        <v>4.99E-2</v>
      </c>
      <c r="F31" s="72">
        <v>3.4500000000000003E-2</v>
      </c>
      <c r="G31" s="72">
        <v>0.1258</v>
      </c>
      <c r="H31" s="72">
        <v>9.06E-2</v>
      </c>
      <c r="I31" s="72">
        <v>0.41660000000000003</v>
      </c>
      <c r="J31" s="72">
        <v>0.28360000000000002</v>
      </c>
    </row>
    <row r="32" spans="1:11">
      <c r="A32" t="s">
        <v>57</v>
      </c>
      <c r="B32" s="72">
        <v>-3.85E-2</v>
      </c>
      <c r="C32" s="72">
        <v>5.9700000000000003E-2</v>
      </c>
      <c r="D32" s="72">
        <v>0.379</v>
      </c>
      <c r="E32" s="72">
        <v>7.6600000000000001E-2</v>
      </c>
      <c r="F32" s="72">
        <v>8.0399999999999999E-2</v>
      </c>
      <c r="G32" s="72">
        <v>0.2114</v>
      </c>
      <c r="H32" s="72">
        <v>-0.27960000000000002</v>
      </c>
      <c r="I32" s="72">
        <v>0.5262</v>
      </c>
      <c r="J32" s="72">
        <v>-0.1482</v>
      </c>
    </row>
    <row r="33" spans="1:11">
      <c r="A33" t="s">
        <v>58</v>
      </c>
      <c r="B33" s="72">
        <v>-1.1000000000000001E-3</v>
      </c>
      <c r="C33" s="72">
        <v>0.1002</v>
      </c>
      <c r="D33" s="72">
        <v>-1.84E-2</v>
      </c>
      <c r="E33" s="72">
        <v>0</v>
      </c>
      <c r="F33" s="72">
        <v>9.8199999999999996E-2</v>
      </c>
      <c r="G33" s="72">
        <v>0.18540000000000001</v>
      </c>
      <c r="H33" s="72">
        <v>-2.7199999999999998E-2</v>
      </c>
      <c r="I33" s="72">
        <v>0.38690000000000002</v>
      </c>
      <c r="J33" s="72">
        <v>-0.34610000000000002</v>
      </c>
    </row>
    <row r="34" spans="1:11">
      <c r="A34" t="s">
        <v>59</v>
      </c>
      <c r="B34" s="72">
        <v>1.7000000000000001E-2</v>
      </c>
      <c r="C34" s="72">
        <v>6.1499999999999999E-2</v>
      </c>
      <c r="D34" s="72">
        <v>0.21049999999999999</v>
      </c>
      <c r="E34" s="72">
        <v>3.8E-3</v>
      </c>
      <c r="F34" s="72">
        <v>0.17299999999999999</v>
      </c>
      <c r="G34" s="72">
        <v>6.4799999999999996E-2</v>
      </c>
      <c r="H34" s="72">
        <v>-1.9E-3</v>
      </c>
      <c r="I34" s="72">
        <v>-0.93030000000000002</v>
      </c>
      <c r="J34" s="72">
        <v>-9.6500000000000002E-2</v>
      </c>
    </row>
    <row r="35" spans="1:11">
      <c r="A35" t="s">
        <v>60</v>
      </c>
      <c r="B35" s="72" t="s">
        <v>26</v>
      </c>
      <c r="C35" s="72" t="s">
        <v>26</v>
      </c>
      <c r="D35" s="72" t="s">
        <v>26</v>
      </c>
      <c r="E35" s="72" t="s">
        <v>26</v>
      </c>
      <c r="F35" s="72" t="s">
        <v>26</v>
      </c>
      <c r="G35" s="72" t="s">
        <v>26</v>
      </c>
      <c r="H35" s="72" t="s">
        <v>26</v>
      </c>
      <c r="I35" s="72" t="s">
        <v>26</v>
      </c>
      <c r="J35" s="72" t="s">
        <v>26</v>
      </c>
    </row>
    <row r="36" spans="1:11">
      <c r="A36" t="s">
        <v>61</v>
      </c>
      <c r="B36" s="72">
        <v>2.7799999999999998E-2</v>
      </c>
      <c r="C36" s="72">
        <v>9.8699999999999996E-2</v>
      </c>
      <c r="D36" s="72">
        <v>0.24779999999999999</v>
      </c>
      <c r="E36" s="72">
        <v>2.8999999999999998E-3</v>
      </c>
      <c r="F36" s="72">
        <v>7.3999999999999996E-2</v>
      </c>
      <c r="G36" s="72">
        <v>0.1133</v>
      </c>
      <c r="H36" s="72">
        <v>-0.45700000000000002</v>
      </c>
      <c r="I36" s="72">
        <v>-0.48080000000000001</v>
      </c>
      <c r="J36" s="72">
        <v>0.14130000000000001</v>
      </c>
      <c r="K36" s="72"/>
    </row>
    <row r="37" spans="1:11">
      <c r="A37" t="s">
        <v>62</v>
      </c>
      <c r="B37" s="72">
        <v>0.2074</v>
      </c>
      <c r="C37" s="72">
        <v>0.1008</v>
      </c>
      <c r="D37" s="72">
        <v>0.2863</v>
      </c>
      <c r="E37" s="72">
        <v>0.13550000000000001</v>
      </c>
      <c r="F37" s="72">
        <v>7.3300000000000004E-2</v>
      </c>
      <c r="G37" s="72">
        <v>0.30059999999999998</v>
      </c>
      <c r="H37" s="72">
        <v>1.1999999999999999E-3</v>
      </c>
      <c r="I37" s="72">
        <v>0.46160000000000001</v>
      </c>
      <c r="J37" s="72">
        <v>0.1225</v>
      </c>
    </row>
    <row r="38" spans="1:11">
      <c r="A38" t="s">
        <v>63</v>
      </c>
      <c r="B38" s="72">
        <v>0.25159999999999999</v>
      </c>
      <c r="C38" s="72">
        <v>8.0199999999999994E-2</v>
      </c>
      <c r="D38" s="72">
        <v>0.2515</v>
      </c>
      <c r="E38" s="72">
        <v>0.18490000000000001</v>
      </c>
      <c r="F38" s="72">
        <v>2.12E-2</v>
      </c>
      <c r="G38" s="72">
        <v>2.69E-2</v>
      </c>
      <c r="H38" s="72">
        <v>3.2000000000000002E-3</v>
      </c>
      <c r="I38" s="72">
        <v>0.47970000000000002</v>
      </c>
      <c r="J38" s="72">
        <v>0.24249999999999999</v>
      </c>
    </row>
    <row r="39" spans="1:11">
      <c r="A39" t="s">
        <v>64</v>
      </c>
      <c r="B39" s="72">
        <v>4.53E-2</v>
      </c>
      <c r="C39">
        <v>6.3899999999999998E-2</v>
      </c>
      <c r="D39">
        <v>0.26290000000000002</v>
      </c>
      <c r="E39">
        <v>3.8800000000000001E-2</v>
      </c>
      <c r="F39">
        <v>3.2800000000000003E-2</v>
      </c>
      <c r="G39">
        <v>4.2500000000000003E-2</v>
      </c>
      <c r="H39">
        <v>2.5999999999999999E-3</v>
      </c>
      <c r="I39">
        <v>0.4622</v>
      </c>
      <c r="J39">
        <v>0.1106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B78E-C3C9-4D84-AB69-47409FDD14D6}">
  <dimension ref="B3:I42"/>
  <sheetViews>
    <sheetView tabSelected="1" topLeftCell="A10" workbookViewId="0">
      <selection activeCell="H26" sqref="B24:I42"/>
    </sheetView>
  </sheetViews>
  <sheetFormatPr defaultRowHeight="15"/>
  <cols>
    <col min="2" max="2" width="24.7109375" bestFit="1" customWidth="1"/>
    <col min="3" max="3" width="9.28515625" bestFit="1" customWidth="1"/>
    <col min="4" max="4" width="7.7109375" bestFit="1" customWidth="1"/>
    <col min="5" max="5" width="12" bestFit="1" customWidth="1"/>
    <col min="6" max="6" width="12.5703125" bestFit="1" customWidth="1"/>
    <col min="7" max="7" width="14.42578125" bestFit="1" customWidth="1"/>
    <col min="8" max="8" width="15.28515625" bestFit="1" customWidth="1"/>
    <col min="9" max="9" width="17" bestFit="1" customWidth="1"/>
  </cols>
  <sheetData>
    <row r="3" spans="2:7">
      <c r="B3" t="s">
        <v>66</v>
      </c>
      <c r="C3" t="s">
        <v>67</v>
      </c>
      <c r="D3" t="s">
        <v>20</v>
      </c>
      <c r="E3" t="s">
        <v>68</v>
      </c>
      <c r="F3" t="s">
        <v>69</v>
      </c>
      <c r="G3" t="s">
        <v>70</v>
      </c>
    </row>
    <row r="4" spans="2:7">
      <c r="B4" t="s">
        <v>4</v>
      </c>
      <c r="C4" t="s">
        <v>22</v>
      </c>
      <c r="D4" t="s">
        <v>53</v>
      </c>
      <c r="E4">
        <v>-1.1693913956591699</v>
      </c>
      <c r="F4">
        <v>0.25372924677457598</v>
      </c>
      <c r="G4" t="b">
        <f>F4&lt;0.05</f>
        <v>0</v>
      </c>
    </row>
    <row r="5" spans="2:7">
      <c r="B5" t="s">
        <v>4</v>
      </c>
      <c r="C5" t="s">
        <v>24</v>
      </c>
      <c r="D5" t="s">
        <v>53</v>
      </c>
      <c r="E5">
        <v>-0.31776652576627101</v>
      </c>
      <c r="F5">
        <v>0.75341035855965799</v>
      </c>
      <c r="G5" t="b">
        <f t="shared" ref="G5:G21" si="0">F5&lt;0.05</f>
        <v>0</v>
      </c>
    </row>
    <row r="6" spans="2:7">
      <c r="B6" t="s">
        <v>4</v>
      </c>
      <c r="C6" t="s">
        <v>23</v>
      </c>
      <c r="D6" t="s">
        <v>53</v>
      </c>
      <c r="E6">
        <v>-23.426223312313699</v>
      </c>
      <c r="F6" s="73">
        <v>4.8137919979846798E-18</v>
      </c>
      <c r="G6" t="b">
        <f t="shared" si="0"/>
        <v>1</v>
      </c>
    </row>
    <row r="7" spans="2:7">
      <c r="B7" t="s">
        <v>4</v>
      </c>
      <c r="C7" t="s">
        <v>22</v>
      </c>
      <c r="D7" t="s">
        <v>27</v>
      </c>
      <c r="E7">
        <v>-14.297332990836001</v>
      </c>
      <c r="F7" s="73">
        <v>3.0714612725714102E-13</v>
      </c>
      <c r="G7" t="b">
        <f t="shared" si="0"/>
        <v>1</v>
      </c>
    </row>
    <row r="8" spans="2:7">
      <c r="B8" t="s">
        <v>4</v>
      </c>
      <c r="C8" t="s">
        <v>24</v>
      </c>
      <c r="D8" t="s">
        <v>27</v>
      </c>
      <c r="E8">
        <v>-0.41377015356941399</v>
      </c>
      <c r="F8">
        <v>0.68271670620649105</v>
      </c>
      <c r="G8" t="b">
        <f t="shared" si="0"/>
        <v>0</v>
      </c>
    </row>
    <row r="9" spans="2:7">
      <c r="B9" t="s">
        <v>4</v>
      </c>
      <c r="C9" t="s">
        <v>23</v>
      </c>
      <c r="D9" t="s">
        <v>27</v>
      </c>
      <c r="E9">
        <v>-4.0814472340827601</v>
      </c>
      <c r="F9">
        <v>4.2880921906591899E-4</v>
      </c>
      <c r="G9" t="b">
        <f t="shared" si="0"/>
        <v>1</v>
      </c>
    </row>
    <row r="10" spans="2:7">
      <c r="B10" t="s">
        <v>14</v>
      </c>
      <c r="C10" t="s">
        <v>22</v>
      </c>
      <c r="D10" t="s">
        <v>53</v>
      </c>
      <c r="E10">
        <v>-12.112149888197999</v>
      </c>
      <c r="F10" s="73">
        <v>1.03067926866572E-11</v>
      </c>
      <c r="G10" t="b">
        <f>F10&lt;0.05</f>
        <v>1</v>
      </c>
    </row>
    <row r="11" spans="2:7">
      <c r="B11" t="s">
        <v>14</v>
      </c>
      <c r="C11" t="s">
        <v>24</v>
      </c>
      <c r="D11" t="s">
        <v>53</v>
      </c>
      <c r="E11">
        <v>-0.46110818639969398</v>
      </c>
      <c r="F11">
        <v>0.64887258439009499</v>
      </c>
      <c r="G11" t="b">
        <f t="shared" si="0"/>
        <v>0</v>
      </c>
    </row>
    <row r="12" spans="2:7">
      <c r="B12" t="s">
        <v>14</v>
      </c>
      <c r="C12" t="s">
        <v>23</v>
      </c>
      <c r="D12" t="s">
        <v>53</v>
      </c>
      <c r="E12">
        <v>1.06041085590896</v>
      </c>
      <c r="F12">
        <v>0.29951326413134899</v>
      </c>
      <c r="G12" t="b">
        <f t="shared" si="0"/>
        <v>0</v>
      </c>
    </row>
    <row r="13" spans="2:7">
      <c r="B13" t="s">
        <v>14</v>
      </c>
      <c r="C13" t="s">
        <v>22</v>
      </c>
      <c r="D13" t="s">
        <v>27</v>
      </c>
      <c r="E13">
        <v>-2.9256685367686099</v>
      </c>
      <c r="F13">
        <v>7.3993424288121296E-3</v>
      </c>
      <c r="G13" t="b">
        <f t="shared" si="0"/>
        <v>1</v>
      </c>
    </row>
    <row r="14" spans="2:7">
      <c r="B14" t="s">
        <v>14</v>
      </c>
      <c r="C14" t="s">
        <v>24</v>
      </c>
      <c r="D14" t="s">
        <v>27</v>
      </c>
      <c r="E14">
        <v>-6.8462529407336197</v>
      </c>
      <c r="F14" s="73">
        <v>4.4238056566889001E-7</v>
      </c>
      <c r="G14" t="b">
        <f t="shared" si="0"/>
        <v>1</v>
      </c>
    </row>
    <row r="15" spans="2:7">
      <c r="B15" t="s">
        <v>14</v>
      </c>
      <c r="C15" t="s">
        <v>23</v>
      </c>
      <c r="D15" t="s">
        <v>27</v>
      </c>
      <c r="E15">
        <v>0.70881419932388401</v>
      </c>
      <c r="F15">
        <v>0.48526860203996602</v>
      </c>
      <c r="G15" t="b">
        <f t="shared" si="0"/>
        <v>0</v>
      </c>
    </row>
    <row r="16" spans="2:7">
      <c r="B16" t="s">
        <v>18</v>
      </c>
      <c r="C16" t="s">
        <v>22</v>
      </c>
      <c r="D16" t="s">
        <v>53</v>
      </c>
      <c r="E16">
        <v>-30.993361936174601</v>
      </c>
      <c r="F16" s="73">
        <v>7.1735146545689301E-21</v>
      </c>
      <c r="G16" t="b">
        <f>F16&lt;0.05</f>
        <v>1</v>
      </c>
    </row>
    <row r="17" spans="2:9">
      <c r="B17" t="s">
        <v>18</v>
      </c>
      <c r="C17" t="s">
        <v>24</v>
      </c>
      <c r="D17" t="s">
        <v>53</v>
      </c>
      <c r="E17">
        <v>-0.42922691283650499</v>
      </c>
      <c r="F17">
        <v>0.67158672847322398</v>
      </c>
      <c r="G17" t="b">
        <f>F17&lt;0.05</f>
        <v>0</v>
      </c>
    </row>
    <row r="18" spans="2:9">
      <c r="B18" t="s">
        <v>18</v>
      </c>
      <c r="C18" t="s">
        <v>23</v>
      </c>
      <c r="D18" t="s">
        <v>53</v>
      </c>
      <c r="E18">
        <v>-23.426223312313699</v>
      </c>
      <c r="F18" s="73">
        <v>4.8137919979846798E-18</v>
      </c>
      <c r="G18" t="b">
        <f t="shared" si="0"/>
        <v>1</v>
      </c>
    </row>
    <row r="19" spans="2:9">
      <c r="B19" t="s">
        <v>18</v>
      </c>
      <c r="C19" t="s">
        <v>22</v>
      </c>
      <c r="D19" t="s">
        <v>27</v>
      </c>
      <c r="E19">
        <v>0.349556455790973</v>
      </c>
      <c r="F19">
        <v>0.72972028676733203</v>
      </c>
      <c r="G19" t="b">
        <f>F19&lt;0.05</f>
        <v>0</v>
      </c>
    </row>
    <row r="20" spans="2:9">
      <c r="B20" t="s">
        <v>18</v>
      </c>
      <c r="C20" t="s">
        <v>24</v>
      </c>
      <c r="D20" t="s">
        <v>27</v>
      </c>
      <c r="E20">
        <v>-2.2221621609410001</v>
      </c>
      <c r="F20">
        <v>3.5952710792857202E-2</v>
      </c>
      <c r="G20" t="b">
        <f t="shared" si="0"/>
        <v>1</v>
      </c>
    </row>
    <row r="21" spans="2:9">
      <c r="B21" t="s">
        <v>18</v>
      </c>
      <c r="C21" t="s">
        <v>23</v>
      </c>
      <c r="D21" t="s">
        <v>27</v>
      </c>
      <c r="E21">
        <v>-96.983270019834706</v>
      </c>
      <c r="F21" s="73">
        <v>1.1922100634926601E-32</v>
      </c>
      <c r="G21" t="b">
        <f t="shared" si="0"/>
        <v>1</v>
      </c>
    </row>
    <row r="24" spans="2:9">
      <c r="B24" t="s">
        <v>66</v>
      </c>
      <c r="C24" t="s">
        <v>67</v>
      </c>
      <c r="D24" t="s">
        <v>20</v>
      </c>
      <c r="E24" t="s">
        <v>72</v>
      </c>
      <c r="F24" t="s">
        <v>73</v>
      </c>
      <c r="G24" t="s">
        <v>75</v>
      </c>
      <c r="H24" t="s">
        <v>74</v>
      </c>
      <c r="I24" t="s">
        <v>78</v>
      </c>
    </row>
    <row r="25" spans="2:9">
      <c r="B25" t="s">
        <v>4</v>
      </c>
      <c r="C25" t="s">
        <v>22</v>
      </c>
      <c r="D25" t="s">
        <v>53</v>
      </c>
      <c r="E25">
        <v>0.25372924677457598</v>
      </c>
      <c r="F25">
        <v>0.572209586790842</v>
      </c>
      <c r="G25" s="1" t="str">
        <f t="shared" ref="G25:G42" si="1">IF(E25&lt;0.05, "Yes", "No")</f>
        <v>No</v>
      </c>
      <c r="H25" s="1" t="str">
        <f t="shared" ref="H25:H42" si="2">IF(F25&lt;0.05, "Yes", "No")</f>
        <v>No</v>
      </c>
      <c r="I25" t="s">
        <v>76</v>
      </c>
    </row>
    <row r="26" spans="2:9">
      <c r="B26" t="s">
        <v>4</v>
      </c>
      <c r="C26" t="s">
        <v>24</v>
      </c>
      <c r="D26" t="s">
        <v>53</v>
      </c>
      <c r="E26">
        <v>0.75341035855965799</v>
      </c>
      <c r="F26" s="73">
        <v>2.07973885106272E-9</v>
      </c>
      <c r="G26" s="1" t="str">
        <f t="shared" si="1"/>
        <v>No</v>
      </c>
      <c r="H26" s="1" t="str">
        <f t="shared" si="2"/>
        <v>Yes</v>
      </c>
      <c r="I26" t="s">
        <v>77</v>
      </c>
    </row>
    <row r="27" spans="2:9">
      <c r="B27" t="s">
        <v>4</v>
      </c>
      <c r="C27" t="s">
        <v>23</v>
      </c>
      <c r="D27" t="s">
        <v>53</v>
      </c>
      <c r="E27" s="73">
        <v>4.8137919979846798E-18</v>
      </c>
      <c r="F27" s="73">
        <v>2.4419157037155599E-5</v>
      </c>
      <c r="G27" t="str">
        <f t="shared" si="1"/>
        <v>Yes</v>
      </c>
      <c r="H27" s="1" t="str">
        <f t="shared" si="2"/>
        <v>Yes</v>
      </c>
      <c r="I27" t="s">
        <v>77</v>
      </c>
    </row>
    <row r="28" spans="2:9">
      <c r="B28" t="s">
        <v>4</v>
      </c>
      <c r="C28" t="s">
        <v>22</v>
      </c>
      <c r="D28" t="s">
        <v>27</v>
      </c>
      <c r="E28" s="73">
        <v>3.0714612725714102E-13</v>
      </c>
      <c r="F28" s="73">
        <v>1.1707636440496301E-5</v>
      </c>
      <c r="G28" t="str">
        <f t="shared" si="1"/>
        <v>Yes</v>
      </c>
      <c r="H28" s="1" t="str">
        <f t="shared" si="2"/>
        <v>Yes</v>
      </c>
      <c r="I28" t="s">
        <v>77</v>
      </c>
    </row>
    <row r="29" spans="2:9">
      <c r="B29" t="s">
        <v>4</v>
      </c>
      <c r="C29" t="s">
        <v>24</v>
      </c>
      <c r="D29" t="s">
        <v>27</v>
      </c>
      <c r="E29">
        <v>0.68271670620649105</v>
      </c>
      <c r="F29">
        <v>0.86723836461891901</v>
      </c>
      <c r="G29" s="1" t="str">
        <f t="shared" si="1"/>
        <v>No</v>
      </c>
      <c r="H29" s="1" t="str">
        <f t="shared" si="2"/>
        <v>No</v>
      </c>
      <c r="I29" t="s">
        <v>76</v>
      </c>
    </row>
    <row r="30" spans="2:9">
      <c r="B30" t="s">
        <v>4</v>
      </c>
      <c r="C30" t="s">
        <v>23</v>
      </c>
      <c r="D30" t="s">
        <v>27</v>
      </c>
      <c r="E30">
        <v>4.2880921906591899E-4</v>
      </c>
      <c r="F30">
        <v>0.65627091705812801</v>
      </c>
      <c r="G30" t="str">
        <f t="shared" si="1"/>
        <v>Yes</v>
      </c>
      <c r="H30" s="1" t="str">
        <f t="shared" si="2"/>
        <v>No</v>
      </c>
      <c r="I30" t="s">
        <v>77</v>
      </c>
    </row>
    <row r="31" spans="2:9">
      <c r="B31" t="s">
        <v>14</v>
      </c>
      <c r="C31" t="s">
        <v>22</v>
      </c>
      <c r="D31" t="s">
        <v>53</v>
      </c>
      <c r="E31" s="73">
        <v>1.03067926866572E-11</v>
      </c>
      <c r="F31" s="73">
        <v>1.02054324171284E-21</v>
      </c>
      <c r="G31" t="str">
        <f t="shared" si="1"/>
        <v>Yes</v>
      </c>
      <c r="H31" s="1" t="str">
        <f t="shared" si="2"/>
        <v>Yes</v>
      </c>
      <c r="I31" t="s">
        <v>77</v>
      </c>
    </row>
    <row r="32" spans="2:9">
      <c r="B32" t="s">
        <v>14</v>
      </c>
      <c r="C32" t="s">
        <v>24</v>
      </c>
      <c r="D32" t="s">
        <v>53</v>
      </c>
      <c r="E32">
        <v>0.64887258439009499</v>
      </c>
      <c r="F32">
        <v>0.165678432033633</v>
      </c>
      <c r="G32" s="1" t="str">
        <f t="shared" si="1"/>
        <v>No</v>
      </c>
      <c r="H32" s="1" t="str">
        <f t="shared" si="2"/>
        <v>No</v>
      </c>
      <c r="I32" t="s">
        <v>76</v>
      </c>
    </row>
    <row r="33" spans="2:9">
      <c r="B33" t="s">
        <v>14</v>
      </c>
      <c r="C33" t="s">
        <v>23</v>
      </c>
      <c r="D33" t="s">
        <v>53</v>
      </c>
      <c r="E33">
        <v>0.29951326413134899</v>
      </c>
      <c r="F33">
        <v>1.7188758797908502E-2</v>
      </c>
      <c r="G33" s="1" t="str">
        <f t="shared" si="1"/>
        <v>No</v>
      </c>
      <c r="H33" s="1" t="str">
        <f t="shared" si="2"/>
        <v>Yes</v>
      </c>
      <c r="I33" t="s">
        <v>77</v>
      </c>
    </row>
    <row r="34" spans="2:9">
      <c r="B34" t="s">
        <v>14</v>
      </c>
      <c r="C34" t="s">
        <v>22</v>
      </c>
      <c r="D34" t="s">
        <v>27</v>
      </c>
      <c r="E34">
        <v>7.3993424288121296E-3</v>
      </c>
      <c r="F34" s="73">
        <v>1.2876378866076E-19</v>
      </c>
      <c r="G34" t="str">
        <f t="shared" si="1"/>
        <v>Yes</v>
      </c>
      <c r="H34" s="1" t="str">
        <f t="shared" si="2"/>
        <v>Yes</v>
      </c>
      <c r="I34" t="s">
        <v>77</v>
      </c>
    </row>
    <row r="35" spans="2:9">
      <c r="B35" t="s">
        <v>14</v>
      </c>
      <c r="C35" t="s">
        <v>24</v>
      </c>
      <c r="D35" t="s">
        <v>27</v>
      </c>
      <c r="E35" s="73">
        <v>4.4238056566889001E-7</v>
      </c>
      <c r="F35" s="73">
        <v>7.3733241807256095E-18</v>
      </c>
      <c r="G35" t="str">
        <f t="shared" si="1"/>
        <v>Yes</v>
      </c>
      <c r="H35" s="1" t="str">
        <f t="shared" si="2"/>
        <v>Yes</v>
      </c>
      <c r="I35" t="s">
        <v>77</v>
      </c>
    </row>
    <row r="36" spans="2:9">
      <c r="B36" t="s">
        <v>14</v>
      </c>
      <c r="C36" t="s">
        <v>23</v>
      </c>
      <c r="D36" t="s">
        <v>27</v>
      </c>
      <c r="E36">
        <v>0.48526860203996602</v>
      </c>
      <c r="F36">
        <v>4.8997988349383504E-4</v>
      </c>
      <c r="G36" s="1" t="str">
        <f t="shared" si="1"/>
        <v>No</v>
      </c>
      <c r="H36" s="1" t="str">
        <f t="shared" si="2"/>
        <v>Yes</v>
      </c>
      <c r="I36" t="s">
        <v>77</v>
      </c>
    </row>
    <row r="37" spans="2:9">
      <c r="B37" t="s">
        <v>18</v>
      </c>
      <c r="C37" t="s">
        <v>22</v>
      </c>
      <c r="D37" t="s">
        <v>53</v>
      </c>
      <c r="E37" s="73">
        <v>7.1735146545689301E-21</v>
      </c>
      <c r="F37">
        <v>0.12796602261280299</v>
      </c>
      <c r="G37" t="str">
        <f t="shared" si="1"/>
        <v>Yes</v>
      </c>
      <c r="H37" s="1" t="str">
        <f t="shared" si="2"/>
        <v>No</v>
      </c>
      <c r="I37" t="s">
        <v>77</v>
      </c>
    </row>
    <row r="38" spans="2:9">
      <c r="B38" t="s">
        <v>18</v>
      </c>
      <c r="C38" t="s">
        <v>24</v>
      </c>
      <c r="D38" t="s">
        <v>53</v>
      </c>
      <c r="E38">
        <v>0.67158672847322398</v>
      </c>
      <c r="F38">
        <v>4.1895820194385702E-2</v>
      </c>
      <c r="G38" s="1" t="str">
        <f t="shared" si="1"/>
        <v>No</v>
      </c>
      <c r="H38" s="1" t="str">
        <f t="shared" si="2"/>
        <v>Yes</v>
      </c>
      <c r="I38" t="s">
        <v>77</v>
      </c>
    </row>
    <row r="39" spans="2:9">
      <c r="B39" t="s">
        <v>18</v>
      </c>
      <c r="C39" t="s">
        <v>23</v>
      </c>
      <c r="D39" t="s">
        <v>53</v>
      </c>
      <c r="E39" s="73">
        <v>4.8137919979846798E-18</v>
      </c>
      <c r="F39" s="73">
        <v>2.4419157037155599E-5</v>
      </c>
      <c r="G39" t="str">
        <f t="shared" si="1"/>
        <v>Yes</v>
      </c>
      <c r="H39" s="1" t="str">
        <f t="shared" si="2"/>
        <v>Yes</v>
      </c>
      <c r="I39" t="s">
        <v>77</v>
      </c>
    </row>
    <row r="40" spans="2:9">
      <c r="B40" t="s">
        <v>18</v>
      </c>
      <c r="C40" t="s">
        <v>22</v>
      </c>
      <c r="D40" t="s">
        <v>27</v>
      </c>
      <c r="E40">
        <v>0.72972028676733203</v>
      </c>
      <c r="F40">
        <v>6.0443441667539198E-2</v>
      </c>
      <c r="G40" s="1" t="str">
        <f t="shared" si="1"/>
        <v>No</v>
      </c>
      <c r="H40" s="1" t="str">
        <f t="shared" si="2"/>
        <v>No</v>
      </c>
      <c r="I40" t="s">
        <v>76</v>
      </c>
    </row>
    <row r="41" spans="2:9">
      <c r="B41" t="s">
        <v>18</v>
      </c>
      <c r="C41" t="s">
        <v>24</v>
      </c>
      <c r="D41" t="s">
        <v>27</v>
      </c>
      <c r="E41">
        <v>3.5952710792857202E-2</v>
      </c>
      <c r="F41" s="73">
        <v>1.2921747133469399E-5</v>
      </c>
      <c r="G41" t="str">
        <f t="shared" si="1"/>
        <v>Yes</v>
      </c>
      <c r="H41" s="1" t="str">
        <f t="shared" si="2"/>
        <v>Yes</v>
      </c>
      <c r="I41" t="s">
        <v>77</v>
      </c>
    </row>
    <row r="42" spans="2:9">
      <c r="B42" t="s">
        <v>18</v>
      </c>
      <c r="C42" t="s">
        <v>23</v>
      </c>
      <c r="D42" t="s">
        <v>27</v>
      </c>
      <c r="E42" s="73">
        <v>1.1922100634926601E-32</v>
      </c>
      <c r="F42">
        <v>0.84227227894214896</v>
      </c>
      <c r="G42" t="str">
        <f t="shared" si="1"/>
        <v>Yes</v>
      </c>
      <c r="H42" s="1" t="str">
        <f t="shared" si="2"/>
        <v>No</v>
      </c>
      <c r="I4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Old</vt:lpstr>
      <vt:lpstr>New</vt:lpstr>
      <vt:lpstr>general data</vt:lpstr>
      <vt:lpstr>new_data</vt:lpstr>
      <vt:lpstr>latest_data</vt:lpstr>
      <vt:lpstr>correlation_coefficients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Jordan</dc:creator>
  <cp:lastModifiedBy>Timothy Jordan</cp:lastModifiedBy>
  <dcterms:created xsi:type="dcterms:W3CDTF">2024-04-22T22:48:53Z</dcterms:created>
  <dcterms:modified xsi:type="dcterms:W3CDTF">2024-05-22T22:29:36Z</dcterms:modified>
</cp:coreProperties>
</file>