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m/gits/timm/16/brit/"/>
    </mc:Choice>
  </mc:AlternateContent>
  <bookViews>
    <workbookView xWindow="2180" yWindow="460" windowWidth="25360" windowHeight="15220" tabRatio="500"/>
  </bookViews>
  <sheets>
    <sheet name="Total" sheetId="1" r:id="rId1"/>
    <sheet name="LOC" sheetId="2" r:id="rId2"/>
    <sheet name="Decl &amp; Use" sheetId="3" r:id="rId3"/>
    <sheet name="Usage Levels" sheetId="4" r:id="rId4"/>
    <sheet name="Total + Recency" sheetId="5" r:id="rId5"/>
    <sheet name="DeclUse + Recency" sheetId="6" r:id="rId6"/>
    <sheet name="Levels + Recency" sheetId="7" r:id="rId7"/>
    <sheet name="Sheet1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4" i="1" l="1"/>
  <c r="T24" i="1"/>
  <c r="Q24" i="1"/>
  <c r="R24" i="1"/>
  <c r="U23" i="1"/>
  <c r="V23" i="1"/>
  <c r="R23" i="1"/>
  <c r="Q22" i="1"/>
  <c r="R22" i="1"/>
  <c r="U20" i="1"/>
  <c r="V20" i="1"/>
  <c r="S20" i="1"/>
  <c r="T20" i="1"/>
  <c r="Q20" i="1"/>
  <c r="R20" i="1"/>
  <c r="U18" i="1"/>
  <c r="V18" i="1"/>
  <c r="S18" i="1"/>
  <c r="T18" i="1"/>
  <c r="Q18" i="1"/>
  <c r="R18" i="1"/>
  <c r="U17" i="1"/>
  <c r="V17" i="1"/>
  <c r="S17" i="1"/>
  <c r="T17" i="1"/>
  <c r="Q17" i="1"/>
  <c r="R17" i="1"/>
  <c r="Q16" i="1"/>
  <c r="R16" i="1"/>
  <c r="U15" i="1"/>
  <c r="V15" i="1"/>
  <c r="S15" i="1"/>
  <c r="T15" i="1"/>
  <c r="Q15" i="1"/>
  <c r="R15" i="1"/>
  <c r="U14" i="1"/>
  <c r="V14" i="1"/>
  <c r="S14" i="1"/>
  <c r="T14" i="1"/>
  <c r="R14" i="1"/>
  <c r="S13" i="1"/>
  <c r="T13" i="1"/>
  <c r="Q13" i="1"/>
  <c r="R13" i="1"/>
  <c r="Q12" i="1"/>
  <c r="R12" i="1"/>
  <c r="Q11" i="1"/>
  <c r="R11" i="1"/>
  <c r="U10" i="1"/>
  <c r="V10" i="1"/>
  <c r="S10" i="1"/>
  <c r="T10" i="1"/>
  <c r="Q10" i="1"/>
  <c r="R10" i="1"/>
  <c r="U9" i="1"/>
  <c r="V9" i="1"/>
  <c r="S9" i="1"/>
  <c r="T9" i="1"/>
  <c r="Q9" i="1"/>
  <c r="R9" i="1"/>
  <c r="Q8" i="1"/>
  <c r="R8" i="1"/>
  <c r="U7" i="1"/>
  <c r="V7" i="1"/>
  <c r="S7" i="1"/>
  <c r="T7" i="1"/>
  <c r="Q7" i="1"/>
  <c r="R7" i="1"/>
  <c r="U6" i="1"/>
  <c r="V6" i="1"/>
  <c r="S6" i="1"/>
  <c r="T6" i="1"/>
  <c r="Q6" i="1"/>
  <c r="R6" i="1"/>
  <c r="V5" i="1"/>
  <c r="T5" i="1"/>
  <c r="R5" i="1"/>
  <c r="U4" i="1"/>
  <c r="V4" i="1"/>
  <c r="S4" i="1"/>
  <c r="T4" i="1"/>
  <c r="Q4" i="1"/>
  <c r="R4" i="1"/>
  <c r="U3" i="1"/>
  <c r="V3" i="1"/>
  <c r="S3" i="1"/>
  <c r="T3" i="1"/>
  <c r="Q3" i="1"/>
  <c r="R3" i="1"/>
  <c r="U2" i="1"/>
  <c r="V2" i="1"/>
  <c r="S2" i="1"/>
  <c r="T2" i="1"/>
  <c r="Q2" i="1"/>
  <c r="R2" i="1"/>
  <c r="O24" i="1"/>
  <c r="P24" i="1"/>
  <c r="M24" i="1"/>
  <c r="N24" i="1"/>
  <c r="P23" i="1"/>
  <c r="N23" i="1"/>
  <c r="O22" i="1"/>
  <c r="P22" i="1"/>
  <c r="M22" i="1"/>
  <c r="N22" i="1"/>
  <c r="O20" i="1"/>
  <c r="P20" i="1"/>
  <c r="M20" i="1"/>
  <c r="N20" i="1"/>
  <c r="O18" i="1"/>
  <c r="P18" i="1"/>
  <c r="M18" i="1"/>
  <c r="N18" i="1"/>
  <c r="O17" i="1"/>
  <c r="P17" i="1"/>
  <c r="M17" i="1"/>
  <c r="N17" i="1"/>
  <c r="O16" i="1"/>
  <c r="P16" i="1"/>
  <c r="M16" i="1"/>
  <c r="N16" i="1"/>
  <c r="O15" i="1"/>
  <c r="P15" i="1"/>
  <c r="M15" i="1"/>
  <c r="N15" i="1"/>
  <c r="P14" i="1"/>
  <c r="N14" i="1"/>
  <c r="O13" i="1"/>
  <c r="P13" i="1"/>
  <c r="M13" i="1"/>
  <c r="N13" i="1"/>
  <c r="O12" i="1"/>
  <c r="P12" i="1"/>
  <c r="M12" i="1"/>
  <c r="N12" i="1"/>
  <c r="O11" i="1"/>
  <c r="P11" i="1"/>
  <c r="M11" i="1"/>
  <c r="N11" i="1"/>
  <c r="O10" i="1"/>
  <c r="P10" i="1"/>
  <c r="M10" i="1"/>
  <c r="N10" i="1"/>
  <c r="O9" i="1"/>
  <c r="P9" i="1"/>
  <c r="M9" i="1"/>
  <c r="N9" i="1"/>
  <c r="O8" i="1"/>
  <c r="P8" i="1"/>
  <c r="O7" i="1"/>
  <c r="P7" i="1"/>
  <c r="M7" i="1"/>
  <c r="N7" i="1"/>
  <c r="O6" i="1"/>
  <c r="P6" i="1"/>
  <c r="M6" i="1"/>
  <c r="N6" i="1"/>
  <c r="P5" i="1"/>
  <c r="N5" i="1"/>
  <c r="O4" i="1"/>
  <c r="P4" i="1"/>
  <c r="M4" i="1"/>
  <c r="N4" i="1"/>
  <c r="O3" i="1"/>
  <c r="P3" i="1"/>
  <c r="M3" i="1"/>
  <c r="N3" i="1"/>
  <c r="O2" i="1"/>
  <c r="P2" i="1"/>
  <c r="M2" i="1"/>
  <c r="N2" i="1"/>
  <c r="K24" i="1"/>
  <c r="L24" i="1"/>
  <c r="L23" i="1"/>
  <c r="K22" i="1"/>
  <c r="L22" i="1"/>
  <c r="K20" i="1"/>
  <c r="L20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L8" i="1"/>
  <c r="K7" i="1"/>
  <c r="L7" i="1"/>
  <c r="L6" i="1"/>
  <c r="K5" i="1"/>
  <c r="L5" i="1"/>
  <c r="K4" i="1"/>
  <c r="L4" i="1"/>
  <c r="K3" i="1"/>
  <c r="L3" i="1"/>
  <c r="K2" i="1"/>
  <c r="L2" i="1"/>
  <c r="J24" i="1"/>
  <c r="H24" i="1"/>
  <c r="J23" i="1"/>
  <c r="H23" i="1"/>
  <c r="J22" i="1"/>
  <c r="H22" i="1"/>
  <c r="J20" i="1"/>
  <c r="H20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J7" i="1"/>
  <c r="H7" i="1"/>
  <c r="J6" i="1"/>
  <c r="H6" i="1"/>
  <c r="J5" i="1"/>
  <c r="H5" i="1"/>
  <c r="J4" i="1"/>
  <c r="H4" i="1"/>
  <c r="J3" i="1"/>
  <c r="H3" i="1"/>
  <c r="J2" i="1"/>
  <c r="H2" i="1"/>
  <c r="F24" i="1"/>
  <c r="F23" i="1"/>
  <c r="F22" i="1"/>
  <c r="F21" i="1"/>
  <c r="F20" i="1"/>
  <c r="F19" i="1"/>
  <c r="F18" i="1"/>
  <c r="F17" i="1"/>
  <c r="E16" i="1"/>
  <c r="F16" i="1"/>
  <c r="F15" i="1"/>
  <c r="F14" i="1"/>
  <c r="E13" i="1"/>
  <c r="F13" i="1"/>
  <c r="F12" i="1"/>
  <c r="F11" i="1"/>
  <c r="F10" i="1"/>
  <c r="F9" i="1"/>
  <c r="F8" i="1"/>
  <c r="F7" i="1"/>
  <c r="F6" i="1"/>
  <c r="F5" i="1"/>
  <c r="F4" i="1"/>
  <c r="F3" i="1"/>
  <c r="F2" i="1"/>
  <c r="C24" i="7"/>
  <c r="D24" i="7"/>
  <c r="D23" i="7"/>
  <c r="C22" i="7"/>
  <c r="D22" i="7"/>
  <c r="E24" i="7"/>
  <c r="F24" i="7"/>
  <c r="G23" i="7"/>
  <c r="H23" i="7"/>
  <c r="E24" i="6"/>
  <c r="F24" i="6"/>
  <c r="F23" i="6"/>
  <c r="E22" i="6"/>
  <c r="F22" i="6"/>
  <c r="C24" i="6"/>
  <c r="D24" i="6"/>
  <c r="D23" i="6"/>
  <c r="C22" i="6"/>
  <c r="D22" i="6"/>
  <c r="D24" i="5"/>
  <c r="E24" i="5"/>
  <c r="E23" i="5"/>
  <c r="D22" i="5"/>
  <c r="E22" i="5"/>
  <c r="F24" i="4"/>
  <c r="H23" i="4"/>
  <c r="D24" i="4"/>
  <c r="D23" i="4"/>
  <c r="D22" i="4"/>
  <c r="F24" i="3"/>
  <c r="D24" i="3"/>
  <c r="F23" i="3"/>
  <c r="D23" i="3"/>
  <c r="F22" i="3"/>
  <c r="D22" i="3"/>
  <c r="D24" i="1"/>
  <c r="D23" i="1"/>
  <c r="D22" i="1"/>
  <c r="D24" i="2"/>
  <c r="D23" i="2"/>
  <c r="D22" i="2"/>
  <c r="D21" i="2"/>
  <c r="G3" i="7"/>
  <c r="H3" i="7"/>
  <c r="G4" i="7"/>
  <c r="H4" i="7"/>
  <c r="H5" i="7"/>
  <c r="G6" i="7"/>
  <c r="H6" i="7"/>
  <c r="G7" i="7"/>
  <c r="H7" i="7"/>
  <c r="G9" i="7"/>
  <c r="H9" i="7"/>
  <c r="G10" i="7"/>
  <c r="H10" i="7"/>
  <c r="G14" i="7"/>
  <c r="H14" i="7"/>
  <c r="G15" i="7"/>
  <c r="H15" i="7"/>
  <c r="G17" i="7"/>
  <c r="H17" i="7"/>
  <c r="G18" i="7"/>
  <c r="H18" i="7"/>
  <c r="G20" i="7"/>
  <c r="H20" i="7"/>
  <c r="G2" i="7"/>
  <c r="H2" i="7"/>
  <c r="E3" i="7"/>
  <c r="F3" i="7"/>
  <c r="E4" i="7"/>
  <c r="F4" i="7"/>
  <c r="F5" i="7"/>
  <c r="E6" i="7"/>
  <c r="F6" i="7"/>
  <c r="E7" i="7"/>
  <c r="F7" i="7"/>
  <c r="E9" i="7"/>
  <c r="F9" i="7"/>
  <c r="E10" i="7"/>
  <c r="F10" i="7"/>
  <c r="E13" i="7"/>
  <c r="F13" i="7"/>
  <c r="E14" i="7"/>
  <c r="F14" i="7"/>
  <c r="E15" i="7"/>
  <c r="F15" i="7"/>
  <c r="E17" i="7"/>
  <c r="F17" i="7"/>
  <c r="E18" i="7"/>
  <c r="F18" i="7"/>
  <c r="E20" i="7"/>
  <c r="F20" i="7"/>
  <c r="E2" i="7"/>
  <c r="F2" i="7"/>
  <c r="C15" i="7"/>
  <c r="C16" i="7"/>
  <c r="C3" i="7"/>
  <c r="D3" i="7"/>
  <c r="C4" i="7"/>
  <c r="D4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D14" i="7"/>
  <c r="D15" i="7"/>
  <c r="D16" i="7"/>
  <c r="C17" i="7"/>
  <c r="D17" i="7"/>
  <c r="C18" i="7"/>
  <c r="D18" i="7"/>
  <c r="C20" i="7"/>
  <c r="D20" i="7"/>
  <c r="C2" i="7"/>
  <c r="D2" i="7"/>
  <c r="E20" i="6"/>
  <c r="F20" i="6"/>
  <c r="E18" i="6"/>
  <c r="F18" i="6"/>
  <c r="E17" i="6"/>
  <c r="F17" i="6"/>
  <c r="E16" i="6"/>
  <c r="F16" i="6"/>
  <c r="E15" i="6"/>
  <c r="F15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F5" i="6"/>
  <c r="E4" i="6"/>
  <c r="F4" i="6"/>
  <c r="E3" i="6"/>
  <c r="F3" i="6"/>
  <c r="E2" i="6"/>
  <c r="F2" i="6"/>
  <c r="C20" i="6"/>
  <c r="D20" i="6"/>
  <c r="C18" i="6"/>
  <c r="D18" i="6"/>
  <c r="C17" i="6"/>
  <c r="D17" i="6"/>
  <c r="C16" i="6"/>
  <c r="D16" i="6"/>
  <c r="C15" i="6"/>
  <c r="D15" i="6"/>
  <c r="D14" i="6"/>
  <c r="C13" i="6"/>
  <c r="D13" i="6"/>
  <c r="C12" i="6"/>
  <c r="D12" i="6"/>
  <c r="C11" i="6"/>
  <c r="D11" i="6"/>
  <c r="C10" i="6"/>
  <c r="D10" i="6"/>
  <c r="C9" i="6"/>
  <c r="D9" i="6"/>
  <c r="C7" i="6"/>
  <c r="D7" i="6"/>
  <c r="C6" i="6"/>
  <c r="D6" i="6"/>
  <c r="D5" i="6"/>
  <c r="C4" i="6"/>
  <c r="D4" i="6"/>
  <c r="C3" i="6"/>
  <c r="D3" i="6"/>
  <c r="C2" i="6"/>
  <c r="D2" i="6"/>
  <c r="D20" i="5"/>
  <c r="E20" i="5"/>
  <c r="D18" i="5"/>
  <c r="E18" i="5"/>
  <c r="D17" i="5"/>
  <c r="E17" i="5"/>
  <c r="D16" i="5"/>
  <c r="E16" i="5"/>
  <c r="D15" i="5"/>
  <c r="E15" i="5"/>
  <c r="D14" i="5"/>
  <c r="E14" i="5"/>
  <c r="D13" i="5"/>
  <c r="E13" i="5"/>
  <c r="D12" i="5"/>
  <c r="E12" i="5"/>
  <c r="D11" i="5"/>
  <c r="E11" i="5"/>
  <c r="D10" i="5"/>
  <c r="E10" i="5"/>
  <c r="D9" i="5"/>
  <c r="E9" i="5"/>
  <c r="E8" i="5"/>
  <c r="D7" i="5"/>
  <c r="E7" i="5"/>
  <c r="E6" i="5"/>
  <c r="D5" i="5"/>
  <c r="E5" i="5"/>
  <c r="D4" i="5"/>
  <c r="E4" i="5"/>
  <c r="D3" i="5"/>
  <c r="E3" i="5"/>
  <c r="D2" i="5"/>
  <c r="E2" i="5"/>
  <c r="H20" i="4"/>
  <c r="H18" i="4"/>
  <c r="H17" i="4"/>
  <c r="H15" i="4"/>
  <c r="H14" i="4"/>
  <c r="H10" i="4"/>
  <c r="H9" i="4"/>
  <c r="H7" i="4"/>
  <c r="H6" i="4"/>
  <c r="H5" i="4"/>
  <c r="H4" i="4"/>
  <c r="H3" i="4"/>
  <c r="H2" i="4"/>
  <c r="F20" i="4"/>
  <c r="F18" i="4"/>
  <c r="F17" i="4"/>
  <c r="F15" i="4"/>
  <c r="F14" i="4"/>
  <c r="F13" i="4"/>
  <c r="F10" i="4"/>
  <c r="F9" i="4"/>
  <c r="F7" i="4"/>
  <c r="F6" i="4"/>
  <c r="F5" i="4"/>
  <c r="F4" i="4"/>
  <c r="F3" i="4"/>
  <c r="F2" i="4"/>
  <c r="D20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0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20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" i="3"/>
  <c r="D20" i="2"/>
  <c r="D19" i="2"/>
  <c r="D18" i="2"/>
  <c r="D17" i="2"/>
  <c r="C16" i="2"/>
  <c r="D16" i="2"/>
  <c r="D15" i="2"/>
  <c r="D14" i="2"/>
  <c r="C13" i="2"/>
  <c r="D13" i="2"/>
  <c r="D12" i="2"/>
  <c r="D11" i="2"/>
  <c r="D10" i="2"/>
  <c r="D9" i="2"/>
  <c r="D8" i="2"/>
  <c r="D7" i="2"/>
  <c r="D6" i="2"/>
  <c r="D5" i="2"/>
  <c r="D4" i="2"/>
  <c r="D3" i="2"/>
  <c r="D2" i="2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<sst xmlns="http://schemas.openxmlformats.org/spreadsheetml/2006/main" count="221" uniqueCount="53">
  <si>
    <t>Developer</t>
  </si>
  <si>
    <t>ataulm</t>
  </si>
  <si>
    <t>mafagafogigante</t>
  </si>
  <si>
    <t>matozoid</t>
  </si>
  <si>
    <t>johnzeringue</t>
  </si>
  <si>
    <t>yyoon</t>
  </si>
  <si>
    <t>eaftan</t>
  </si>
  <si>
    <t>pamo</t>
  </si>
  <si>
    <t>twschiller</t>
  </si>
  <si>
    <t>jimbarritt</t>
  </si>
  <si>
    <t>akshaymankar</t>
  </si>
  <si>
    <t>hugocorbucci</t>
  </si>
  <si>
    <t>thejamesthomas</t>
  </si>
  <si>
    <t>aj-jaswanth</t>
  </si>
  <si>
    <t>ecaporali</t>
  </si>
  <si>
    <t>MFAnderson</t>
  </si>
  <si>
    <t>WPC</t>
  </si>
  <si>
    <t>angshu</t>
  </si>
  <si>
    <t>Total</t>
  </si>
  <si>
    <t>LOC</t>
  </si>
  <si>
    <t>Score</t>
  </si>
  <si>
    <t>Declaration</t>
  </si>
  <si>
    <t>Usage</t>
  </si>
  <si>
    <t>anushb</t>
  </si>
  <si>
    <t>AppyDev</t>
  </si>
  <si>
    <t>Basic</t>
  </si>
  <si>
    <t>Intermediate</t>
  </si>
  <si>
    <t>Advanced</t>
  </si>
  <si>
    <t xml:space="preserve"> Score</t>
  </si>
  <si>
    <t>Recency</t>
  </si>
  <si>
    <t>Decl Recency</t>
  </si>
  <si>
    <t>Usage Recency</t>
  </si>
  <si>
    <t>Basic Recency</t>
  </si>
  <si>
    <t>Intermediate Recency</t>
  </si>
  <si>
    <t>Advanced Recency</t>
  </si>
  <si>
    <t>ln(Total)</t>
  </si>
  <si>
    <t>ln(LOC)</t>
  </si>
  <si>
    <t>ln(Dec)</t>
  </si>
  <si>
    <t>ln(Use)</t>
  </si>
  <si>
    <t>ln(Basic)</t>
  </si>
  <si>
    <t>ln(Intermediate)</t>
  </si>
  <si>
    <t>ln(Advanced)</t>
  </si>
  <si>
    <t>ln(Recency)</t>
  </si>
  <si>
    <t>ln(decl recency)</t>
  </si>
  <si>
    <t>ln(usage recency)</t>
  </si>
  <si>
    <t>ln(basic recency)</t>
  </si>
  <si>
    <t>ln(int recency)</t>
  </si>
  <si>
    <t>ln(adv recency)</t>
  </si>
  <si>
    <t xml:space="preserve"> </t>
  </si>
  <si>
    <t>sanjanaraon</t>
  </si>
  <si>
    <t>rajadhva</t>
  </si>
  <si>
    <t>sudhansusingh22</t>
  </si>
  <si>
    <t>nkcsgexi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</si>
</sst>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1" fontId="6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9" fillId="0" borderId="0" xfId="0" applyFont="1" applyFill="1"/>
    <xf numFmtId="0" fontId="10" fillId="0" borderId="0" xfId="0" applyFont="1" applyFill="1"/>
    <xf numFmtId="0" fontId="2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4" fillId="5" borderId="0" xfId="0" applyFont="1" applyFill="1"/>
    <xf numFmtId="0" fontId="5" fillId="4" borderId="0" xfId="0" applyFont="1" applyFill="1"/>
    <xf numFmtId="0" fontId="6" fillId="4" borderId="0" xfId="0" applyFont="1" applyFill="1"/>
    <xf numFmtId="1" fontId="0" fillId="4" borderId="0" xfId="0" applyNumberFormat="1" applyFill="1"/>
    <xf numFmtId="0" fontId="0" fillId="7" borderId="0" xfId="0" applyFill="1"/>
    <xf numFmtId="0" fontId="11" fillId="0" borderId="0" xfId="0" applyFont="1" applyFill="1"/>
    <xf numFmtId="0" fontId="1" fillId="0" borderId="0" xfId="0" applyFont="1" applyFill="1"/>
    <xf numFmtId="0" fontId="5" fillId="0" borderId="0" xfId="0" applyFont="1" applyFill="1"/>
    <xf numFmtId="1" fontId="0" fillId="0" borderId="0" xfId="0" applyNumberFormat="1" applyFill="1"/>
    <xf numFmtId="0" fontId="13" fillId="2" borderId="0" xfId="0" applyFont="1" applyFill="1"/>
    <xf numFmtId="0" fontId="13" fillId="6" borderId="0" xfId="0" applyFont="1" applyFill="1"/>
    <xf numFmtId="0" fontId="10" fillId="5" borderId="0" xfId="0" applyFont="1" applyFill="1"/>
    <xf numFmtId="0" fontId="10" fillId="2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LOC!$B$1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LOC!$B$2:$B$24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LOC!$C$1</c:f>
              <c:strCache>
                <c:ptCount val="1"/>
                <c:pt idx="0">
                  <c:v>LOC</c:v>
                </c:pt>
              </c:strCache>
            </c:strRef>
          </c:tx>
          <c:val>
            <c:numRef>
              <c:f>LOC!$C$2:$C$24</c:f>
              <c:numCache>
                <c:formatCode>General</c:formatCode>
                <c:ptCount val="23"/>
                <c:pt idx="0">
                  <c:v>50092.0</c:v>
                </c:pt>
                <c:pt idx="1">
                  <c:v>90005.0</c:v>
                </c:pt>
                <c:pt idx="2">
                  <c:v>111512.0</c:v>
                </c:pt>
                <c:pt idx="3">
                  <c:v>169295.0</c:v>
                </c:pt>
                <c:pt idx="4">
                  <c:v>137613.0</c:v>
                </c:pt>
                <c:pt idx="5">
                  <c:v>91604.0</c:v>
                </c:pt>
                <c:pt idx="6">
                  <c:v>312372.0</c:v>
                </c:pt>
                <c:pt idx="7" formatCode="0">
                  <c:v>3353.0</c:v>
                </c:pt>
                <c:pt idx="8">
                  <c:v>13829.0</c:v>
                </c:pt>
                <c:pt idx="9">
                  <c:v>1485.0</c:v>
                </c:pt>
                <c:pt idx="10">
                  <c:v>1067.0</c:v>
                </c:pt>
                <c:pt idx="11">
                  <c:v>8708.0</c:v>
                </c:pt>
                <c:pt idx="12">
                  <c:v>18929.0</c:v>
                </c:pt>
                <c:pt idx="13">
                  <c:v>13068.0</c:v>
                </c:pt>
                <c:pt idx="14">
                  <c:v>2518.0</c:v>
                </c:pt>
                <c:pt idx="15">
                  <c:v>15909.0</c:v>
                </c:pt>
                <c:pt idx="16">
                  <c:v>33078.0</c:v>
                </c:pt>
                <c:pt idx="17">
                  <c:v>11291.0</c:v>
                </c:pt>
                <c:pt idx="18">
                  <c:v>25241.0</c:v>
                </c:pt>
                <c:pt idx="19">
                  <c:v>9718.0</c:v>
                </c:pt>
                <c:pt idx="20">
                  <c:v>3190.0</c:v>
                </c:pt>
                <c:pt idx="21">
                  <c:v>2707.0</c:v>
                </c:pt>
                <c:pt idx="22">
                  <c:v>38934.0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56064"/>
        <c:axId val="-2120065936"/>
      </c:areaChart>
      <c:catAx>
        <c:axId val="-21200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65936"/>
        <c:crosses val="autoZero"/>
        <c:auto val="1"/>
        <c:lblAlgn val="ctr"/>
        <c:lblOffset val="100"/>
        <c:noMultiLvlLbl val="0"/>
      </c:catAx>
      <c:valAx>
        <c:axId val="-212006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560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'Usage Levels'!$B$1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'Usage Levels'!$C$1</c:f>
              <c:strCache>
                <c:ptCount val="1"/>
                <c:pt idx="0">
                  <c:v>Basic</c:v>
                </c:pt>
              </c:strCache>
            </c:strRef>
          </c:tx>
          <c:val>
            <c:numRef>
              <c:f>'Usage Levels'!$C$2:$C$24</c:f>
              <c:numCache>
                <c:formatCode>General</c:formatCode>
                <c:ptCount val="23"/>
                <c:pt idx="0">
                  <c:v>866.0</c:v>
                </c:pt>
                <c:pt idx="1">
                  <c:v>479.0</c:v>
                </c:pt>
                <c:pt idx="2">
                  <c:v>632.0</c:v>
                </c:pt>
                <c:pt idx="3">
                  <c:v>313.0</c:v>
                </c:pt>
                <c:pt idx="4">
                  <c:v>1080.0</c:v>
                </c:pt>
                <c:pt idx="5">
                  <c:v>2190.0</c:v>
                </c:pt>
                <c:pt idx="6">
                  <c:v>7.0</c:v>
                </c:pt>
                <c:pt idx="7">
                  <c:v>1654.0</c:v>
                </c:pt>
                <c:pt idx="8" formatCode="0">
                  <c:v>102.0</c:v>
                </c:pt>
                <c:pt idx="9">
                  <c:v>16.0</c:v>
                </c:pt>
                <c:pt idx="10">
                  <c:v>8.0</c:v>
                </c:pt>
                <c:pt idx="11">
                  <c:v>39.0</c:v>
                </c:pt>
                <c:pt idx="12">
                  <c:v>477.0</c:v>
                </c:pt>
                <c:pt idx="13">
                  <c:v>59.0</c:v>
                </c:pt>
                <c:pt idx="14">
                  <c:v>39.0</c:v>
                </c:pt>
                <c:pt idx="15">
                  <c:v>129.0</c:v>
                </c:pt>
                <c:pt idx="16">
                  <c:v>192.0</c:v>
                </c:pt>
                <c:pt idx="17">
                  <c:v>0.0</c:v>
                </c:pt>
                <c:pt idx="18">
                  <c:v>64.0</c:v>
                </c:pt>
                <c:pt idx="19">
                  <c:v>0.0</c:v>
                </c:pt>
                <c:pt idx="20">
                  <c:v>15.0</c:v>
                </c:pt>
                <c:pt idx="21">
                  <c:v>26.0</c:v>
                </c:pt>
                <c:pt idx="22">
                  <c:v>2472.0</c:v>
                </c:pt>
              </c:numCache>
            </c:numRef>
          </c:val>
        </c:ser>
        <c:ser>
          <c:idx val="2"/>
          <c:order val="2"/>
          <c:tx>
            <c:strRef>
              <c:f>'Usage Levels'!$E$1</c:f>
              <c:strCache>
                <c:ptCount val="1"/>
                <c:pt idx="0">
                  <c:v>Intermediate</c:v>
                </c:pt>
              </c:strCache>
            </c:strRef>
          </c:tx>
          <c:val>
            <c:numRef>
              <c:f>'Usage Levels'!$E$2:$E$24</c:f>
              <c:numCache>
                <c:formatCode>General</c:formatCode>
                <c:ptCount val="23"/>
                <c:pt idx="0">
                  <c:v>146.0</c:v>
                </c:pt>
                <c:pt idx="1">
                  <c:v>20.0</c:v>
                </c:pt>
                <c:pt idx="2">
                  <c:v>173.0</c:v>
                </c:pt>
                <c:pt idx="3">
                  <c:v>242.0</c:v>
                </c:pt>
                <c:pt idx="4">
                  <c:v>7.0</c:v>
                </c:pt>
                <c:pt idx="5">
                  <c:v>751.0</c:v>
                </c:pt>
                <c:pt idx="6">
                  <c:v>0.0</c:v>
                </c:pt>
                <c:pt idx="7">
                  <c:v>3163.0</c:v>
                </c:pt>
                <c:pt idx="8">
                  <c:v>15.0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8.0</c:v>
                </c:pt>
                <c:pt idx="13">
                  <c:v>2.0</c:v>
                </c:pt>
                <c:pt idx="14">
                  <c:v>0.0</c:v>
                </c:pt>
                <c:pt idx="15">
                  <c:v>16.0</c:v>
                </c:pt>
                <c:pt idx="16">
                  <c:v>25.0</c:v>
                </c:pt>
                <c:pt idx="17">
                  <c:v>0.0</c:v>
                </c:pt>
                <c:pt idx="18">
                  <c:v>18.0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99.0</c:v>
                </c:pt>
              </c:numCache>
            </c:numRef>
          </c:val>
        </c:ser>
        <c:ser>
          <c:idx val="3"/>
          <c:order val="3"/>
          <c:tx>
            <c:strRef>
              <c:f>'Usage Levels'!$G$1</c:f>
              <c:strCache>
                <c:ptCount val="1"/>
                <c:pt idx="0">
                  <c:v>Advanced</c:v>
                </c:pt>
              </c:strCache>
            </c:strRef>
          </c:tx>
          <c:val>
            <c:numRef>
              <c:f>'Usage Levels'!$G$2:$G$24</c:f>
              <c:numCache>
                <c:formatCode>General</c:formatCode>
                <c:ptCount val="23"/>
                <c:pt idx="0">
                  <c:v>30.0</c:v>
                </c:pt>
                <c:pt idx="1">
                  <c:v>95.0</c:v>
                </c:pt>
                <c:pt idx="2">
                  <c:v>13.0</c:v>
                </c:pt>
                <c:pt idx="3">
                  <c:v>17.0</c:v>
                </c:pt>
                <c:pt idx="4">
                  <c:v>21.0</c:v>
                </c:pt>
                <c:pt idx="5">
                  <c:v>90.0</c:v>
                </c:pt>
                <c:pt idx="6">
                  <c:v>0.0</c:v>
                </c:pt>
                <c:pt idx="7">
                  <c:v>78.0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</c:v>
                </c:pt>
                <c:pt idx="13">
                  <c:v>11.0</c:v>
                </c:pt>
                <c:pt idx="14">
                  <c:v>0.0</c:v>
                </c:pt>
                <c:pt idx="15">
                  <c:v>63.0</c:v>
                </c:pt>
                <c:pt idx="16">
                  <c:v>75.0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34208"/>
        <c:axId val="2082037296"/>
      </c:areaChart>
      <c:catAx>
        <c:axId val="20820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37296"/>
        <c:crosses val="autoZero"/>
        <c:auto val="1"/>
        <c:lblAlgn val="ctr"/>
        <c:lblOffset val="100"/>
        <c:noMultiLvlLbl val="0"/>
      </c:catAx>
      <c:valAx>
        <c:axId val="208203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342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'Usage Levels'!$D$1</c:f>
              <c:strCache>
                <c:ptCount val="1"/>
                <c:pt idx="0">
                  <c:v>ln(Basic)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Levels'!$D$2:$D$24</c:f>
              <c:numCache>
                <c:formatCode>General</c:formatCode>
                <c:ptCount val="23"/>
                <c:pt idx="0">
                  <c:v>6.763884908562435</c:v>
                </c:pt>
                <c:pt idx="1">
                  <c:v>6.171700597410915</c:v>
                </c:pt>
                <c:pt idx="2">
                  <c:v>6.448889394146857</c:v>
                </c:pt>
                <c:pt idx="3">
                  <c:v>5.746203190540152</c:v>
                </c:pt>
                <c:pt idx="4">
                  <c:v>6.984716320118266</c:v>
                </c:pt>
                <c:pt idx="5">
                  <c:v>7.691656822810547</c:v>
                </c:pt>
                <c:pt idx="6">
                  <c:v>1.945910149055313</c:v>
                </c:pt>
                <c:pt idx="7">
                  <c:v>7.410951875583636</c:v>
                </c:pt>
                <c:pt idx="8" formatCode="0">
                  <c:v>4.624972813284271</c:v>
                </c:pt>
                <c:pt idx="9">
                  <c:v>2.772588722239781</c:v>
                </c:pt>
                <c:pt idx="10">
                  <c:v>2.079441541679836</c:v>
                </c:pt>
                <c:pt idx="11">
                  <c:v>3.663561646129646</c:v>
                </c:pt>
                <c:pt idx="12">
                  <c:v>6.167516490888342</c:v>
                </c:pt>
                <c:pt idx="13">
                  <c:v>4.07753744390572</c:v>
                </c:pt>
                <c:pt idx="14">
                  <c:v>3.663561646129646</c:v>
                </c:pt>
                <c:pt idx="15">
                  <c:v>4.859812404361671</c:v>
                </c:pt>
                <c:pt idx="16">
                  <c:v>5.257495372027781</c:v>
                </c:pt>
                <c:pt idx="17">
                  <c:v>0.0</c:v>
                </c:pt>
                <c:pt idx="18">
                  <c:v>4.158883083359671</c:v>
                </c:pt>
                <c:pt idx="19">
                  <c:v>0.0</c:v>
                </c:pt>
                <c:pt idx="20">
                  <c:v>2.70805020110221</c:v>
                </c:pt>
                <c:pt idx="21">
                  <c:v>3.258096538021482</c:v>
                </c:pt>
                <c:pt idx="22">
                  <c:v>7.812782818577581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'Usage Levels'!$F$1</c:f>
              <c:strCache>
                <c:ptCount val="1"/>
                <c:pt idx="0">
                  <c:v>ln(Intermediate)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Levels'!$F$2:$F$24</c:f>
              <c:numCache>
                <c:formatCode>General</c:formatCode>
                <c:ptCount val="23"/>
                <c:pt idx="0">
                  <c:v>4.983606621708336</c:v>
                </c:pt>
                <c:pt idx="1">
                  <c:v>2.995732273553991</c:v>
                </c:pt>
                <c:pt idx="2">
                  <c:v>5.15329159449778</c:v>
                </c:pt>
                <c:pt idx="3">
                  <c:v>5.488937726156687</c:v>
                </c:pt>
                <c:pt idx="4">
                  <c:v>1.945910149055313</c:v>
                </c:pt>
                <c:pt idx="5">
                  <c:v>6.621405651764134</c:v>
                </c:pt>
                <c:pt idx="6">
                  <c:v>0.0</c:v>
                </c:pt>
                <c:pt idx="7">
                  <c:v>8.059276223305648</c:v>
                </c:pt>
                <c:pt idx="8">
                  <c:v>2.70805020110221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2.079441541679836</c:v>
                </c:pt>
                <c:pt idx="13">
                  <c:v>0.693147180559945</c:v>
                </c:pt>
                <c:pt idx="14">
                  <c:v>0.0</c:v>
                </c:pt>
                <c:pt idx="15">
                  <c:v>2.772588722239781</c:v>
                </c:pt>
                <c:pt idx="16">
                  <c:v>3.218875824868201</c:v>
                </c:pt>
                <c:pt idx="17">
                  <c:v>0.0</c:v>
                </c:pt>
                <c:pt idx="18">
                  <c:v>2.890371757896164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4.59511985013459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'Usage Levels'!$H$1</c:f>
              <c:strCache>
                <c:ptCount val="1"/>
                <c:pt idx="0">
                  <c:v>ln(Advanced)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Levels'!$H$2:$H$24</c:f>
              <c:numCache>
                <c:formatCode>General</c:formatCode>
                <c:ptCount val="23"/>
                <c:pt idx="0">
                  <c:v>3.401197381662155</c:v>
                </c:pt>
                <c:pt idx="1">
                  <c:v>4.553876891600541</c:v>
                </c:pt>
                <c:pt idx="2">
                  <c:v>2.564949357461536</c:v>
                </c:pt>
                <c:pt idx="3">
                  <c:v>2.833213344056216</c:v>
                </c:pt>
                <c:pt idx="4">
                  <c:v>3.044522437723423</c:v>
                </c:pt>
                <c:pt idx="5">
                  <c:v>4.499809670330264</c:v>
                </c:pt>
                <c:pt idx="6">
                  <c:v>0.0</c:v>
                </c:pt>
                <c:pt idx="7">
                  <c:v>4.356708826689592</c:v>
                </c:pt>
                <c:pt idx="8">
                  <c:v>1.09861228866811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4.59511985013459</c:v>
                </c:pt>
                <c:pt idx="13">
                  <c:v>2.397895272798371</c:v>
                </c:pt>
                <c:pt idx="14">
                  <c:v>0.0</c:v>
                </c:pt>
                <c:pt idx="15">
                  <c:v>4.143134726391533</c:v>
                </c:pt>
                <c:pt idx="16">
                  <c:v>4.31748811353631</c:v>
                </c:pt>
                <c:pt idx="17">
                  <c:v>0.0</c:v>
                </c:pt>
                <c:pt idx="18">
                  <c:v>1.6094379124341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76704"/>
        <c:axId val="2082079664"/>
      </c:scatterChart>
      <c:valAx>
        <c:axId val="20820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079664"/>
        <c:crosses val="autoZero"/>
        <c:crossBetween val="midCat"/>
      </c:valAx>
      <c:valAx>
        <c:axId val="208207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7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'Usage Levels'!$B$1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'Usage Levels'!$D$1</c:f>
              <c:strCache>
                <c:ptCount val="1"/>
                <c:pt idx="0">
                  <c:v>ln(Basic)</c:v>
                </c:pt>
              </c:strCache>
            </c:strRef>
          </c:tx>
          <c:val>
            <c:numRef>
              <c:f>'Usage Levels'!$D$2:$D$24</c:f>
              <c:numCache>
                <c:formatCode>General</c:formatCode>
                <c:ptCount val="23"/>
                <c:pt idx="0">
                  <c:v>6.763884908562435</c:v>
                </c:pt>
                <c:pt idx="1">
                  <c:v>6.171700597410915</c:v>
                </c:pt>
                <c:pt idx="2">
                  <c:v>6.448889394146857</c:v>
                </c:pt>
                <c:pt idx="3">
                  <c:v>5.746203190540152</c:v>
                </c:pt>
                <c:pt idx="4">
                  <c:v>6.984716320118266</c:v>
                </c:pt>
                <c:pt idx="5">
                  <c:v>7.691656822810547</c:v>
                </c:pt>
                <c:pt idx="6">
                  <c:v>1.945910149055313</c:v>
                </c:pt>
                <c:pt idx="7">
                  <c:v>7.410951875583636</c:v>
                </c:pt>
                <c:pt idx="8" formatCode="0">
                  <c:v>4.624972813284271</c:v>
                </c:pt>
                <c:pt idx="9">
                  <c:v>2.772588722239781</c:v>
                </c:pt>
                <c:pt idx="10">
                  <c:v>2.079441541679836</c:v>
                </c:pt>
                <c:pt idx="11">
                  <c:v>3.663561646129646</c:v>
                </c:pt>
                <c:pt idx="12">
                  <c:v>6.167516490888342</c:v>
                </c:pt>
                <c:pt idx="13">
                  <c:v>4.07753744390572</c:v>
                </c:pt>
                <c:pt idx="14">
                  <c:v>3.663561646129646</c:v>
                </c:pt>
                <c:pt idx="15">
                  <c:v>4.859812404361671</c:v>
                </c:pt>
                <c:pt idx="16">
                  <c:v>5.257495372027781</c:v>
                </c:pt>
                <c:pt idx="17">
                  <c:v>0.0</c:v>
                </c:pt>
                <c:pt idx="18">
                  <c:v>4.158883083359671</c:v>
                </c:pt>
                <c:pt idx="19">
                  <c:v>0.0</c:v>
                </c:pt>
                <c:pt idx="20">
                  <c:v>2.70805020110221</c:v>
                </c:pt>
                <c:pt idx="21">
                  <c:v>3.258096538021482</c:v>
                </c:pt>
                <c:pt idx="22">
                  <c:v>7.812782818577581</c:v>
                </c:pt>
              </c:numCache>
            </c:numRef>
          </c:val>
        </c:ser>
        <c:ser>
          <c:idx val="2"/>
          <c:order val="2"/>
          <c:tx>
            <c:strRef>
              <c:f>'Usage Levels'!$F$1</c:f>
              <c:strCache>
                <c:ptCount val="1"/>
                <c:pt idx="0">
                  <c:v>ln(Intermediate)</c:v>
                </c:pt>
              </c:strCache>
            </c:strRef>
          </c:tx>
          <c:val>
            <c:numRef>
              <c:f>'Usage Levels'!$F$2:$F$24</c:f>
              <c:numCache>
                <c:formatCode>General</c:formatCode>
                <c:ptCount val="23"/>
                <c:pt idx="0">
                  <c:v>4.983606621708336</c:v>
                </c:pt>
                <c:pt idx="1">
                  <c:v>2.995732273553991</c:v>
                </c:pt>
                <c:pt idx="2">
                  <c:v>5.15329159449778</c:v>
                </c:pt>
                <c:pt idx="3">
                  <c:v>5.488937726156687</c:v>
                </c:pt>
                <c:pt idx="4">
                  <c:v>1.945910149055313</c:v>
                </c:pt>
                <c:pt idx="5">
                  <c:v>6.621405651764134</c:v>
                </c:pt>
                <c:pt idx="6">
                  <c:v>0.0</c:v>
                </c:pt>
                <c:pt idx="7">
                  <c:v>8.059276223305648</c:v>
                </c:pt>
                <c:pt idx="8">
                  <c:v>2.70805020110221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2.079441541679836</c:v>
                </c:pt>
                <c:pt idx="13">
                  <c:v>0.693147180559945</c:v>
                </c:pt>
                <c:pt idx="14">
                  <c:v>0.0</c:v>
                </c:pt>
                <c:pt idx="15">
                  <c:v>2.772588722239781</c:v>
                </c:pt>
                <c:pt idx="16">
                  <c:v>3.218875824868201</c:v>
                </c:pt>
                <c:pt idx="17">
                  <c:v>0.0</c:v>
                </c:pt>
                <c:pt idx="18">
                  <c:v>2.890371757896164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4.59511985013459</c:v>
                </c:pt>
              </c:numCache>
            </c:numRef>
          </c:val>
        </c:ser>
        <c:ser>
          <c:idx val="3"/>
          <c:order val="3"/>
          <c:tx>
            <c:strRef>
              <c:f>'Usage Levels'!$H$1</c:f>
              <c:strCache>
                <c:ptCount val="1"/>
                <c:pt idx="0">
                  <c:v>ln(Advanced)</c:v>
                </c:pt>
              </c:strCache>
            </c:strRef>
          </c:tx>
          <c:val>
            <c:numRef>
              <c:f>'Usage Levels'!$H$2:$H$24</c:f>
              <c:numCache>
                <c:formatCode>General</c:formatCode>
                <c:ptCount val="23"/>
                <c:pt idx="0">
                  <c:v>3.401197381662155</c:v>
                </c:pt>
                <c:pt idx="1">
                  <c:v>4.553876891600541</c:v>
                </c:pt>
                <c:pt idx="2">
                  <c:v>2.564949357461536</c:v>
                </c:pt>
                <c:pt idx="3">
                  <c:v>2.833213344056216</c:v>
                </c:pt>
                <c:pt idx="4">
                  <c:v>3.044522437723423</c:v>
                </c:pt>
                <c:pt idx="5">
                  <c:v>4.499809670330264</c:v>
                </c:pt>
                <c:pt idx="6">
                  <c:v>0.0</c:v>
                </c:pt>
                <c:pt idx="7">
                  <c:v>4.356708826689592</c:v>
                </c:pt>
                <c:pt idx="8">
                  <c:v>1.09861228866811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4.59511985013459</c:v>
                </c:pt>
                <c:pt idx="13">
                  <c:v>2.397895272798371</c:v>
                </c:pt>
                <c:pt idx="14">
                  <c:v>0.0</c:v>
                </c:pt>
                <c:pt idx="15">
                  <c:v>4.143134726391533</c:v>
                </c:pt>
                <c:pt idx="16">
                  <c:v>4.31748811353631</c:v>
                </c:pt>
                <c:pt idx="17">
                  <c:v>0.0</c:v>
                </c:pt>
                <c:pt idx="18">
                  <c:v>1.6094379124341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7648"/>
        <c:axId val="2087620736"/>
      </c:areaChart>
      <c:catAx>
        <c:axId val="208761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0736"/>
        <c:crosses val="autoZero"/>
        <c:auto val="1"/>
        <c:lblAlgn val="ctr"/>
        <c:lblOffset val="100"/>
        <c:noMultiLvlLbl val="0"/>
      </c:catAx>
      <c:valAx>
        <c:axId val="2087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17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'Usage Levels'!$D$1</c:f>
              <c:strCache>
                <c:ptCount val="1"/>
                <c:pt idx="0">
                  <c:v>ln(Basic)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Levels'!$D$2:$D$24</c:f>
              <c:numCache>
                <c:formatCode>General</c:formatCode>
                <c:ptCount val="23"/>
                <c:pt idx="0">
                  <c:v>6.763884908562435</c:v>
                </c:pt>
                <c:pt idx="1">
                  <c:v>6.171700597410915</c:v>
                </c:pt>
                <c:pt idx="2">
                  <c:v>6.448889394146857</c:v>
                </c:pt>
                <c:pt idx="3">
                  <c:v>5.746203190540152</c:v>
                </c:pt>
                <c:pt idx="4">
                  <c:v>6.984716320118266</c:v>
                </c:pt>
                <c:pt idx="5">
                  <c:v>7.691656822810547</c:v>
                </c:pt>
                <c:pt idx="6">
                  <c:v>1.945910149055313</c:v>
                </c:pt>
                <c:pt idx="7">
                  <c:v>7.410951875583636</c:v>
                </c:pt>
                <c:pt idx="8" formatCode="0">
                  <c:v>4.624972813284271</c:v>
                </c:pt>
                <c:pt idx="9">
                  <c:v>2.772588722239781</c:v>
                </c:pt>
                <c:pt idx="10">
                  <c:v>2.079441541679836</c:v>
                </c:pt>
                <c:pt idx="11">
                  <c:v>3.663561646129646</c:v>
                </c:pt>
                <c:pt idx="12">
                  <c:v>6.167516490888342</c:v>
                </c:pt>
                <c:pt idx="13">
                  <c:v>4.07753744390572</c:v>
                </c:pt>
                <c:pt idx="14">
                  <c:v>3.663561646129646</c:v>
                </c:pt>
                <c:pt idx="15">
                  <c:v>4.859812404361671</c:v>
                </c:pt>
                <c:pt idx="16">
                  <c:v>5.257495372027781</c:v>
                </c:pt>
                <c:pt idx="17">
                  <c:v>0.0</c:v>
                </c:pt>
                <c:pt idx="18">
                  <c:v>4.158883083359671</c:v>
                </c:pt>
                <c:pt idx="19">
                  <c:v>0.0</c:v>
                </c:pt>
                <c:pt idx="20">
                  <c:v>2.70805020110221</c:v>
                </c:pt>
                <c:pt idx="21">
                  <c:v>3.258096538021482</c:v>
                </c:pt>
                <c:pt idx="22">
                  <c:v>7.812782818577581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84352"/>
        <c:axId val="2082087360"/>
      </c:scatterChart>
      <c:valAx>
        <c:axId val="2082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087360"/>
        <c:crosses val="autoZero"/>
        <c:crossBetween val="midCat"/>
      </c:valAx>
      <c:valAx>
        <c:axId val="20820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8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+ Recency'!$B$1</c:f>
              <c:strCache>
                <c:ptCount val="1"/>
                <c:pt idx="0">
                  <c:v> Score</c:v>
                </c:pt>
              </c:strCache>
            </c:strRef>
          </c:tx>
          <c:val>
            <c:numRef>
              <c:f>'Total + Recency'!$B$2:$B$24</c:f>
              <c:numCache>
                <c:formatCode>General</c:formatCode>
                <c:ptCount val="23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'Total + Recency'!$D$1</c:f>
              <c:strCache>
                <c:ptCount val="1"/>
                <c:pt idx="0">
                  <c:v>Recency</c:v>
                </c:pt>
              </c:strCache>
            </c:strRef>
          </c:tx>
          <c:val>
            <c:numRef>
              <c:f>'Total + Recency'!$D$2:$D$24</c:f>
              <c:numCache>
                <c:formatCode>General</c:formatCode>
                <c:ptCount val="23"/>
                <c:pt idx="0">
                  <c:v>1818.6</c:v>
                </c:pt>
                <c:pt idx="1">
                  <c:v>7.800000000000001</c:v>
                </c:pt>
                <c:pt idx="2">
                  <c:v>474.4</c:v>
                </c:pt>
                <c:pt idx="3">
                  <c:v>490.8</c:v>
                </c:pt>
                <c:pt idx="4">
                  <c:v>572.0</c:v>
                </c:pt>
                <c:pt idx="5">
                  <c:v>857.6</c:v>
                </c:pt>
                <c:pt idx="6">
                  <c:v>584.0</c:v>
                </c:pt>
                <c:pt idx="7">
                  <c:v>233.6</c:v>
                </c:pt>
                <c:pt idx="8">
                  <c:v>1.6</c:v>
                </c:pt>
                <c:pt idx="9">
                  <c:v>72.0</c:v>
                </c:pt>
                <c:pt idx="10">
                  <c:v>3.2</c:v>
                </c:pt>
                <c:pt idx="11">
                  <c:v>1680.0</c:v>
                </c:pt>
                <c:pt idx="12">
                  <c:v>833.6</c:v>
                </c:pt>
                <c:pt idx="13">
                  <c:v>1959.2</c:v>
                </c:pt>
                <c:pt idx="14">
                  <c:v>16.0</c:v>
                </c:pt>
                <c:pt idx="15">
                  <c:v>28.4</c:v>
                </c:pt>
                <c:pt idx="16">
                  <c:v>1.4</c:v>
                </c:pt>
                <c:pt idx="17">
                  <c:v>0.0</c:v>
                </c:pt>
                <c:pt idx="18">
                  <c:v>52.2</c:v>
                </c:pt>
                <c:pt idx="19">
                  <c:v>0.0</c:v>
                </c:pt>
                <c:pt idx="20">
                  <c:v>12.0</c:v>
                </c:pt>
                <c:pt idx="21">
                  <c:v>27.0</c:v>
                </c:pt>
                <c:pt idx="22">
                  <c:v>514.2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76320"/>
        <c:axId val="2087679152"/>
      </c:areaChart>
      <c:catAx>
        <c:axId val="20876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79152"/>
        <c:crosses val="autoZero"/>
        <c:auto val="1"/>
        <c:lblAlgn val="ctr"/>
        <c:lblOffset val="100"/>
        <c:noMultiLvlLbl val="0"/>
      </c:catAx>
      <c:valAx>
        <c:axId val="208767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763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+ Recency'!$B$1</c:f>
              <c:strCache>
                <c:ptCount val="1"/>
                <c:pt idx="0">
                  <c:v> Score</c:v>
                </c:pt>
              </c:strCache>
            </c:strRef>
          </c:tx>
          <c:val>
            <c:numRef>
              <c:f>'Total + Recency'!$B$2:$B$24</c:f>
              <c:numCache>
                <c:formatCode>General</c:formatCode>
                <c:ptCount val="23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'Total + Recency'!$E$1</c:f>
              <c:strCache>
                <c:ptCount val="1"/>
                <c:pt idx="0">
                  <c:v>ln(Recency)</c:v>
                </c:pt>
              </c:strCache>
            </c:strRef>
          </c:tx>
          <c:val>
            <c:numRef>
              <c:f>'Total + Recency'!$E$2:$E$24</c:f>
              <c:numCache>
                <c:formatCode>General</c:formatCode>
                <c:ptCount val="23"/>
                <c:pt idx="0">
                  <c:v>7.505822253291813</c:v>
                </c:pt>
                <c:pt idx="1">
                  <c:v>2.054123733695546</c:v>
                </c:pt>
                <c:pt idx="2">
                  <c:v>6.162050847683516</c:v>
                </c:pt>
                <c:pt idx="3">
                  <c:v>6.196036712836756</c:v>
                </c:pt>
                <c:pt idx="4">
                  <c:v>6.349138991379798</c:v>
                </c:pt>
                <c:pt idx="5">
                  <c:v>6.754137790316538</c:v>
                </c:pt>
                <c:pt idx="6">
                  <c:v>6.369900982828227</c:v>
                </c:pt>
                <c:pt idx="7">
                  <c:v>5.453610250954072</c:v>
                </c:pt>
                <c:pt idx="8">
                  <c:v>0.470003629245736</c:v>
                </c:pt>
                <c:pt idx="9">
                  <c:v>4.276666119016055</c:v>
                </c:pt>
                <c:pt idx="10">
                  <c:v>1.163150809805681</c:v>
                </c:pt>
                <c:pt idx="11">
                  <c:v>7.426549072397304</c:v>
                </c:pt>
                <c:pt idx="12">
                  <c:v>6.725753670999103</c:v>
                </c:pt>
                <c:pt idx="13">
                  <c:v>7.580291505637958</c:v>
                </c:pt>
                <c:pt idx="14">
                  <c:v>2.772588722239781</c:v>
                </c:pt>
                <c:pt idx="15">
                  <c:v>3.34638914516716</c:v>
                </c:pt>
                <c:pt idx="16">
                  <c:v>0.336472236621213</c:v>
                </c:pt>
                <c:pt idx="17">
                  <c:v>0.0</c:v>
                </c:pt>
                <c:pt idx="18">
                  <c:v>3.955082494888593</c:v>
                </c:pt>
                <c:pt idx="19">
                  <c:v>0.0</c:v>
                </c:pt>
                <c:pt idx="20">
                  <c:v>2.484906649788</c:v>
                </c:pt>
                <c:pt idx="21">
                  <c:v>3.29583686600433</c:v>
                </c:pt>
                <c:pt idx="22">
                  <c:v>6.24261229483179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17072"/>
        <c:axId val="2087119904"/>
      </c:areaChart>
      <c:catAx>
        <c:axId val="208711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19904"/>
        <c:crosses val="autoZero"/>
        <c:auto val="1"/>
        <c:lblAlgn val="ctr"/>
        <c:lblOffset val="100"/>
        <c:noMultiLvlLbl val="0"/>
      </c:catAx>
      <c:valAx>
        <c:axId val="20871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170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+ Recency'!$D$1</c:f>
              <c:strCache>
                <c:ptCount val="1"/>
                <c:pt idx="0">
                  <c:v>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'Total + Recency'!$B$2:$B$24</c:f>
              <c:numCache>
                <c:formatCode>General</c:formatCode>
                <c:ptCount val="23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'Total + Recency'!$D$2:$D$24</c:f>
              <c:numCache>
                <c:formatCode>General</c:formatCode>
                <c:ptCount val="23"/>
                <c:pt idx="0">
                  <c:v>1818.6</c:v>
                </c:pt>
                <c:pt idx="1">
                  <c:v>7.800000000000001</c:v>
                </c:pt>
                <c:pt idx="2">
                  <c:v>474.4</c:v>
                </c:pt>
                <c:pt idx="3">
                  <c:v>490.8</c:v>
                </c:pt>
                <c:pt idx="4">
                  <c:v>572.0</c:v>
                </c:pt>
                <c:pt idx="5">
                  <c:v>857.6</c:v>
                </c:pt>
                <c:pt idx="6">
                  <c:v>584.0</c:v>
                </c:pt>
                <c:pt idx="7">
                  <c:v>233.6</c:v>
                </c:pt>
                <c:pt idx="8">
                  <c:v>1.6</c:v>
                </c:pt>
                <c:pt idx="9">
                  <c:v>72.0</c:v>
                </c:pt>
                <c:pt idx="10">
                  <c:v>3.2</c:v>
                </c:pt>
                <c:pt idx="11">
                  <c:v>1680.0</c:v>
                </c:pt>
                <c:pt idx="12">
                  <c:v>833.6</c:v>
                </c:pt>
                <c:pt idx="13">
                  <c:v>1959.2</c:v>
                </c:pt>
                <c:pt idx="14">
                  <c:v>16.0</c:v>
                </c:pt>
                <c:pt idx="15">
                  <c:v>28.4</c:v>
                </c:pt>
                <c:pt idx="16">
                  <c:v>1.4</c:v>
                </c:pt>
                <c:pt idx="17">
                  <c:v>0.0</c:v>
                </c:pt>
                <c:pt idx="18">
                  <c:v>52.2</c:v>
                </c:pt>
                <c:pt idx="19">
                  <c:v>0.0</c:v>
                </c:pt>
                <c:pt idx="20">
                  <c:v>12.0</c:v>
                </c:pt>
                <c:pt idx="21">
                  <c:v>27.0</c:v>
                </c:pt>
                <c:pt idx="22">
                  <c:v>514.2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64400"/>
        <c:axId val="-2119067232"/>
      </c:scatterChart>
      <c:valAx>
        <c:axId val="-21190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067232"/>
        <c:crosses val="autoZero"/>
        <c:crossBetween val="midCat"/>
      </c:valAx>
      <c:valAx>
        <c:axId val="-21190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6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+ Recency'!$E$1</c:f>
              <c:strCache>
                <c:ptCount val="1"/>
                <c:pt idx="0">
                  <c:v>ln(Recency)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'Total + Recency'!$B$2:$B$24</c:f>
              <c:numCache>
                <c:formatCode>General</c:formatCode>
                <c:ptCount val="23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'Total + Recency'!$E$2:$E$24</c:f>
              <c:numCache>
                <c:formatCode>General</c:formatCode>
                <c:ptCount val="23"/>
                <c:pt idx="0">
                  <c:v>7.505822253291813</c:v>
                </c:pt>
                <c:pt idx="1">
                  <c:v>2.054123733695546</c:v>
                </c:pt>
                <c:pt idx="2">
                  <c:v>6.162050847683516</c:v>
                </c:pt>
                <c:pt idx="3">
                  <c:v>6.196036712836756</c:v>
                </c:pt>
                <c:pt idx="4">
                  <c:v>6.349138991379798</c:v>
                </c:pt>
                <c:pt idx="5">
                  <c:v>6.754137790316538</c:v>
                </c:pt>
                <c:pt idx="6">
                  <c:v>6.369900982828227</c:v>
                </c:pt>
                <c:pt idx="7">
                  <c:v>5.453610250954072</c:v>
                </c:pt>
                <c:pt idx="8">
                  <c:v>0.470003629245736</c:v>
                </c:pt>
                <c:pt idx="9">
                  <c:v>4.276666119016055</c:v>
                </c:pt>
                <c:pt idx="10">
                  <c:v>1.163150809805681</c:v>
                </c:pt>
                <c:pt idx="11">
                  <c:v>7.426549072397304</c:v>
                </c:pt>
                <c:pt idx="12">
                  <c:v>6.725753670999103</c:v>
                </c:pt>
                <c:pt idx="13">
                  <c:v>7.580291505637958</c:v>
                </c:pt>
                <c:pt idx="14">
                  <c:v>2.772588722239781</c:v>
                </c:pt>
                <c:pt idx="15">
                  <c:v>3.34638914516716</c:v>
                </c:pt>
                <c:pt idx="16">
                  <c:v>0.336472236621213</c:v>
                </c:pt>
                <c:pt idx="17">
                  <c:v>0.0</c:v>
                </c:pt>
                <c:pt idx="18">
                  <c:v>3.955082494888593</c:v>
                </c:pt>
                <c:pt idx="19">
                  <c:v>0.0</c:v>
                </c:pt>
                <c:pt idx="20">
                  <c:v>2.484906649788</c:v>
                </c:pt>
                <c:pt idx="21">
                  <c:v>3.29583686600433</c:v>
                </c:pt>
                <c:pt idx="22">
                  <c:v>6.24261229483179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32784"/>
        <c:axId val="2087135616"/>
      </c:scatterChart>
      <c:valAx>
        <c:axId val="208713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135616"/>
        <c:crosses val="autoZero"/>
        <c:crossBetween val="midCat"/>
      </c:valAx>
      <c:valAx>
        <c:axId val="20871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3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'DeclUse + Recency'!$C$1</c:f>
              <c:strCache>
                <c:ptCount val="1"/>
                <c:pt idx="0">
                  <c:v>Decl 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'DeclUse + Recency'!$C$2:$C$24</c:f>
              <c:numCache>
                <c:formatCode>General</c:formatCode>
                <c:ptCount val="23"/>
                <c:pt idx="0">
                  <c:v>777.6</c:v>
                </c:pt>
                <c:pt idx="1">
                  <c:v>348.0</c:v>
                </c:pt>
                <c:pt idx="2">
                  <c:v>166.8</c:v>
                </c:pt>
                <c:pt idx="3">
                  <c:v>412.0</c:v>
                </c:pt>
                <c:pt idx="4">
                  <c:v>346.4</c:v>
                </c:pt>
                <c:pt idx="5">
                  <c:v>1068.0</c:v>
                </c:pt>
                <c:pt idx="6">
                  <c:v>0.0</c:v>
                </c:pt>
                <c:pt idx="7">
                  <c:v>1409.6</c:v>
                </c:pt>
                <c:pt idx="8">
                  <c:v>41.4</c:v>
                </c:pt>
                <c:pt idx="9">
                  <c:v>1.8</c:v>
                </c:pt>
                <c:pt idx="10">
                  <c:v>1.2</c:v>
                </c:pt>
                <c:pt idx="11">
                  <c:v>12.4</c:v>
                </c:pt>
                <c:pt idx="12">
                  <c:v>132.0</c:v>
                </c:pt>
                <c:pt idx="13">
                  <c:v>22.0</c:v>
                </c:pt>
                <c:pt idx="14">
                  <c:v>3.4</c:v>
                </c:pt>
                <c:pt idx="15">
                  <c:v>50.40000000000001</c:v>
                </c:pt>
                <c:pt idx="16">
                  <c:v>62.40000000000001</c:v>
                </c:pt>
                <c:pt idx="17">
                  <c:v>0.0</c:v>
                </c:pt>
                <c:pt idx="18">
                  <c:v>28.2</c:v>
                </c:pt>
                <c:pt idx="19">
                  <c:v>0.0</c:v>
                </c:pt>
                <c:pt idx="20">
                  <c:v>4.0</c:v>
                </c:pt>
                <c:pt idx="21">
                  <c:v>19.0</c:v>
                </c:pt>
                <c:pt idx="22">
                  <c:v>81.0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'DeclUse + Recency'!$E$1</c:f>
              <c:strCache>
                <c:ptCount val="1"/>
                <c:pt idx="0">
                  <c:v>Usage 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'DeclUse + Recency'!$E$2:$E$24</c:f>
              <c:numCache>
                <c:formatCode>General</c:formatCode>
                <c:ptCount val="23"/>
                <c:pt idx="0">
                  <c:v>169.8</c:v>
                </c:pt>
                <c:pt idx="1">
                  <c:v>126.4</c:v>
                </c:pt>
                <c:pt idx="2">
                  <c:v>324.0</c:v>
                </c:pt>
                <c:pt idx="3">
                  <c:v>52.0</c:v>
                </c:pt>
                <c:pt idx="4">
                  <c:v>511.2</c:v>
                </c:pt>
                <c:pt idx="5">
                  <c:v>750.6</c:v>
                </c:pt>
                <c:pt idx="6">
                  <c:v>1.4</c:v>
                </c:pt>
                <c:pt idx="7">
                  <c:v>274.8</c:v>
                </c:pt>
                <c:pt idx="8">
                  <c:v>30.6</c:v>
                </c:pt>
                <c:pt idx="9">
                  <c:v>1.4</c:v>
                </c:pt>
                <c:pt idx="10">
                  <c:v>0.4</c:v>
                </c:pt>
                <c:pt idx="11">
                  <c:v>3.6</c:v>
                </c:pt>
                <c:pt idx="12">
                  <c:v>452.0</c:v>
                </c:pt>
                <c:pt idx="13">
                  <c:v>6.4</c:v>
                </c:pt>
                <c:pt idx="14">
                  <c:v>4.4</c:v>
                </c:pt>
                <c:pt idx="15">
                  <c:v>117.6</c:v>
                </c:pt>
                <c:pt idx="16">
                  <c:v>171.2</c:v>
                </c:pt>
                <c:pt idx="17">
                  <c:v>0.0</c:v>
                </c:pt>
                <c:pt idx="18">
                  <c:v>24.0</c:v>
                </c:pt>
                <c:pt idx="19">
                  <c:v>0.0</c:v>
                </c:pt>
                <c:pt idx="20">
                  <c:v>8.0</c:v>
                </c:pt>
                <c:pt idx="21">
                  <c:v>8.0</c:v>
                </c:pt>
                <c:pt idx="22">
                  <c:v>433.2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30896"/>
        <c:axId val="2082133728"/>
      </c:scatterChart>
      <c:valAx>
        <c:axId val="208213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133728"/>
        <c:crosses val="autoZero"/>
        <c:crossBetween val="midCat"/>
      </c:valAx>
      <c:valAx>
        <c:axId val="20821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3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'DeclUse + Recency'!$B$1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'DeclUse + Recency'!$C$1</c:f>
              <c:strCache>
                <c:ptCount val="1"/>
                <c:pt idx="0">
                  <c:v>Decl Recency</c:v>
                </c:pt>
              </c:strCache>
            </c:strRef>
          </c:tx>
          <c:val>
            <c:numRef>
              <c:f>'DeclUse + Recency'!$C$2:$C$24</c:f>
              <c:numCache>
                <c:formatCode>General</c:formatCode>
                <c:ptCount val="23"/>
                <c:pt idx="0">
                  <c:v>777.6</c:v>
                </c:pt>
                <c:pt idx="1">
                  <c:v>348.0</c:v>
                </c:pt>
                <c:pt idx="2">
                  <c:v>166.8</c:v>
                </c:pt>
                <c:pt idx="3">
                  <c:v>412.0</c:v>
                </c:pt>
                <c:pt idx="4">
                  <c:v>346.4</c:v>
                </c:pt>
                <c:pt idx="5">
                  <c:v>1068.0</c:v>
                </c:pt>
                <c:pt idx="6">
                  <c:v>0.0</c:v>
                </c:pt>
                <c:pt idx="7">
                  <c:v>1409.6</c:v>
                </c:pt>
                <c:pt idx="8">
                  <c:v>41.4</c:v>
                </c:pt>
                <c:pt idx="9">
                  <c:v>1.8</c:v>
                </c:pt>
                <c:pt idx="10">
                  <c:v>1.2</c:v>
                </c:pt>
                <c:pt idx="11">
                  <c:v>12.4</c:v>
                </c:pt>
                <c:pt idx="12">
                  <c:v>132.0</c:v>
                </c:pt>
                <c:pt idx="13">
                  <c:v>22.0</c:v>
                </c:pt>
                <c:pt idx="14">
                  <c:v>3.4</c:v>
                </c:pt>
                <c:pt idx="15">
                  <c:v>50.40000000000001</c:v>
                </c:pt>
                <c:pt idx="16">
                  <c:v>62.40000000000001</c:v>
                </c:pt>
                <c:pt idx="17">
                  <c:v>0.0</c:v>
                </c:pt>
                <c:pt idx="18">
                  <c:v>28.2</c:v>
                </c:pt>
                <c:pt idx="19">
                  <c:v>0.0</c:v>
                </c:pt>
                <c:pt idx="20">
                  <c:v>4.0</c:v>
                </c:pt>
                <c:pt idx="21">
                  <c:v>19.0</c:v>
                </c:pt>
                <c:pt idx="22">
                  <c:v>81.0</c:v>
                </c:pt>
              </c:numCache>
            </c:numRef>
          </c:val>
        </c:ser>
        <c:ser>
          <c:idx val="2"/>
          <c:order val="2"/>
          <c:tx>
            <c:strRef>
              <c:f>'DeclUse + Recency'!$E$1</c:f>
              <c:strCache>
                <c:ptCount val="1"/>
                <c:pt idx="0">
                  <c:v>Usage Recency</c:v>
                </c:pt>
              </c:strCache>
            </c:strRef>
          </c:tx>
          <c:val>
            <c:numRef>
              <c:f>'DeclUse + Recency'!$E$2:$E$24</c:f>
              <c:numCache>
                <c:formatCode>General</c:formatCode>
                <c:ptCount val="23"/>
                <c:pt idx="0">
                  <c:v>169.8</c:v>
                </c:pt>
                <c:pt idx="1">
                  <c:v>126.4</c:v>
                </c:pt>
                <c:pt idx="2">
                  <c:v>324.0</c:v>
                </c:pt>
                <c:pt idx="3">
                  <c:v>52.0</c:v>
                </c:pt>
                <c:pt idx="4">
                  <c:v>511.2</c:v>
                </c:pt>
                <c:pt idx="5">
                  <c:v>750.6</c:v>
                </c:pt>
                <c:pt idx="6">
                  <c:v>1.4</c:v>
                </c:pt>
                <c:pt idx="7">
                  <c:v>274.8</c:v>
                </c:pt>
                <c:pt idx="8">
                  <c:v>30.6</c:v>
                </c:pt>
                <c:pt idx="9">
                  <c:v>1.4</c:v>
                </c:pt>
                <c:pt idx="10">
                  <c:v>0.4</c:v>
                </c:pt>
                <c:pt idx="11">
                  <c:v>3.6</c:v>
                </c:pt>
                <c:pt idx="12">
                  <c:v>452.0</c:v>
                </c:pt>
                <c:pt idx="13">
                  <c:v>6.4</c:v>
                </c:pt>
                <c:pt idx="14">
                  <c:v>4.4</c:v>
                </c:pt>
                <c:pt idx="15">
                  <c:v>117.6</c:v>
                </c:pt>
                <c:pt idx="16">
                  <c:v>171.2</c:v>
                </c:pt>
                <c:pt idx="17">
                  <c:v>0.0</c:v>
                </c:pt>
                <c:pt idx="18">
                  <c:v>24.0</c:v>
                </c:pt>
                <c:pt idx="19">
                  <c:v>0.0</c:v>
                </c:pt>
                <c:pt idx="20">
                  <c:v>8.0</c:v>
                </c:pt>
                <c:pt idx="21">
                  <c:v>8.0</c:v>
                </c:pt>
                <c:pt idx="22">
                  <c:v>433.2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51568"/>
        <c:axId val="2082154208"/>
      </c:areaChart>
      <c:catAx>
        <c:axId val="208215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54208"/>
        <c:crosses val="autoZero"/>
        <c:auto val="1"/>
        <c:lblAlgn val="ctr"/>
        <c:lblOffset val="100"/>
        <c:noMultiLvlLbl val="0"/>
      </c:catAx>
      <c:valAx>
        <c:axId val="20821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515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LOC!$C$1</c:f>
              <c:strCache>
                <c:ptCount val="1"/>
                <c:pt idx="0">
                  <c:v>LOC</c:v>
                </c:pt>
              </c:strCache>
            </c:strRef>
          </c:tx>
          <c:spPr>
            <a:ln w="47625">
              <a:noFill/>
            </a:ln>
          </c:spPr>
          <c:xVal>
            <c:numRef>
              <c:f>LOC!$B$2:$B$24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LOC!$C$2:$C$24</c:f>
              <c:numCache>
                <c:formatCode>General</c:formatCode>
                <c:ptCount val="23"/>
                <c:pt idx="0">
                  <c:v>50092.0</c:v>
                </c:pt>
                <c:pt idx="1">
                  <c:v>90005.0</c:v>
                </c:pt>
                <c:pt idx="2">
                  <c:v>111512.0</c:v>
                </c:pt>
                <c:pt idx="3">
                  <c:v>169295.0</c:v>
                </c:pt>
                <c:pt idx="4">
                  <c:v>137613.0</c:v>
                </c:pt>
                <c:pt idx="5">
                  <c:v>91604.0</c:v>
                </c:pt>
                <c:pt idx="6">
                  <c:v>312372.0</c:v>
                </c:pt>
                <c:pt idx="7" formatCode="0">
                  <c:v>3353.0</c:v>
                </c:pt>
                <c:pt idx="8">
                  <c:v>13829.0</c:v>
                </c:pt>
                <c:pt idx="9">
                  <c:v>1485.0</c:v>
                </c:pt>
                <c:pt idx="10">
                  <c:v>1067.0</c:v>
                </c:pt>
                <c:pt idx="11">
                  <c:v>8708.0</c:v>
                </c:pt>
                <c:pt idx="12">
                  <c:v>18929.0</c:v>
                </c:pt>
                <c:pt idx="13">
                  <c:v>13068.0</c:v>
                </c:pt>
                <c:pt idx="14">
                  <c:v>2518.0</c:v>
                </c:pt>
                <c:pt idx="15">
                  <c:v>15909.0</c:v>
                </c:pt>
                <c:pt idx="16">
                  <c:v>33078.0</c:v>
                </c:pt>
                <c:pt idx="17">
                  <c:v>11291.0</c:v>
                </c:pt>
                <c:pt idx="18">
                  <c:v>25241.0</c:v>
                </c:pt>
                <c:pt idx="19">
                  <c:v>9718.0</c:v>
                </c:pt>
                <c:pt idx="20">
                  <c:v>3190.0</c:v>
                </c:pt>
                <c:pt idx="21">
                  <c:v>2707.0</c:v>
                </c:pt>
                <c:pt idx="22">
                  <c:v>38934.0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87120"/>
        <c:axId val="-2120090256"/>
      </c:scatterChart>
      <c:valAx>
        <c:axId val="-21200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90256"/>
        <c:crosses val="autoZero"/>
        <c:crossBetween val="midCat"/>
      </c:valAx>
      <c:valAx>
        <c:axId val="-212009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8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'DeclUse + Recency'!$D$1</c:f>
              <c:strCache>
                <c:ptCount val="1"/>
                <c:pt idx="0">
                  <c:v>ln(decl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'DeclUse + Recency'!$D$2:$D$24</c:f>
              <c:numCache>
                <c:formatCode>General</c:formatCode>
                <c:ptCount val="23"/>
                <c:pt idx="0">
                  <c:v>6.656212253146229</c:v>
                </c:pt>
                <c:pt idx="1">
                  <c:v>5.852202479774474</c:v>
                </c:pt>
                <c:pt idx="2">
                  <c:v>5.116795489924646</c:v>
                </c:pt>
                <c:pt idx="3">
                  <c:v>6.021023349349526</c:v>
                </c:pt>
                <c:pt idx="4">
                  <c:v>5.84759417668828</c:v>
                </c:pt>
                <c:pt idx="5">
                  <c:v>6.97354301952014</c:v>
                </c:pt>
                <c:pt idx="6">
                  <c:v>0.0</c:v>
                </c:pt>
                <c:pt idx="7">
                  <c:v>7.251061255181915</c:v>
                </c:pt>
                <c:pt idx="8">
                  <c:v>3.723280880831269</c:v>
                </c:pt>
                <c:pt idx="9">
                  <c:v>0.587786664902119</c:v>
                </c:pt>
                <c:pt idx="10">
                  <c:v>0.182321556793955</c:v>
                </c:pt>
                <c:pt idx="11">
                  <c:v>2.517696472610991</c:v>
                </c:pt>
                <c:pt idx="12">
                  <c:v>4.882801922586371</c:v>
                </c:pt>
                <c:pt idx="13">
                  <c:v>3.091042453358316</c:v>
                </c:pt>
                <c:pt idx="14">
                  <c:v>1.223775431622116</c:v>
                </c:pt>
                <c:pt idx="15">
                  <c:v>3.919991175077323</c:v>
                </c:pt>
                <c:pt idx="16">
                  <c:v>4.133565275375382</c:v>
                </c:pt>
                <c:pt idx="17">
                  <c:v>0.0</c:v>
                </c:pt>
                <c:pt idx="18">
                  <c:v>3.339321977944068</c:v>
                </c:pt>
                <c:pt idx="19">
                  <c:v>0.0</c:v>
                </c:pt>
                <c:pt idx="20">
                  <c:v>1.386294361119891</c:v>
                </c:pt>
                <c:pt idx="21">
                  <c:v>2.94443897916644</c:v>
                </c:pt>
                <c:pt idx="22">
                  <c:v>4.39444915467244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'DeclUse + Recency'!$F$1</c:f>
              <c:strCache>
                <c:ptCount val="1"/>
                <c:pt idx="0">
                  <c:v>ln(usage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'DeclUse + Recency'!$F$2:$F$24</c:f>
              <c:numCache>
                <c:formatCode>General</c:formatCode>
                <c:ptCount val="23"/>
                <c:pt idx="0">
                  <c:v>5.134621273877247</c:v>
                </c:pt>
                <c:pt idx="1">
                  <c:v>4.839451481712757</c:v>
                </c:pt>
                <c:pt idx="2">
                  <c:v>5.780743515792328</c:v>
                </c:pt>
                <c:pt idx="3">
                  <c:v>3.951243718581428</c:v>
                </c:pt>
                <c:pt idx="4">
                  <c:v>6.236760903063324</c:v>
                </c:pt>
                <c:pt idx="5">
                  <c:v>6.62087288670092</c:v>
                </c:pt>
                <c:pt idx="6">
                  <c:v>0.336472236621213</c:v>
                </c:pt>
                <c:pt idx="7">
                  <c:v>5.616043560348194</c:v>
                </c:pt>
                <c:pt idx="8">
                  <c:v>3.421000008958335</c:v>
                </c:pt>
                <c:pt idx="9">
                  <c:v>0.336472236621213</c:v>
                </c:pt>
                <c:pt idx="10">
                  <c:v>-0.916290731874155</c:v>
                </c:pt>
                <c:pt idx="11">
                  <c:v>1.280933845462064</c:v>
                </c:pt>
                <c:pt idx="12">
                  <c:v>6.113682179832232</c:v>
                </c:pt>
                <c:pt idx="13">
                  <c:v>1.856297990365626</c:v>
                </c:pt>
                <c:pt idx="14">
                  <c:v>1.481604540924216</c:v>
                </c:pt>
                <c:pt idx="15">
                  <c:v>4.767289035464526</c:v>
                </c:pt>
                <c:pt idx="16">
                  <c:v>5.142832463707641</c:v>
                </c:pt>
                <c:pt idx="17">
                  <c:v>0.0</c:v>
                </c:pt>
                <c:pt idx="18">
                  <c:v>3.178053830347946</c:v>
                </c:pt>
                <c:pt idx="19">
                  <c:v>0.0</c:v>
                </c:pt>
                <c:pt idx="20">
                  <c:v>2.079441541679836</c:v>
                </c:pt>
                <c:pt idx="21">
                  <c:v>2.079441541679836</c:v>
                </c:pt>
                <c:pt idx="22">
                  <c:v>6.071199515126835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58992"/>
        <c:axId val="2082161824"/>
      </c:scatterChart>
      <c:valAx>
        <c:axId val="208215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161824"/>
        <c:crosses val="autoZero"/>
        <c:crossBetween val="midCat"/>
      </c:valAx>
      <c:valAx>
        <c:axId val="20821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5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'DeclUse + Recency'!$B$1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'DeclUse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'DeclUse + Recency'!$D$1</c:f>
              <c:strCache>
                <c:ptCount val="1"/>
                <c:pt idx="0">
                  <c:v>ln(decl recency)</c:v>
                </c:pt>
              </c:strCache>
            </c:strRef>
          </c:tx>
          <c:val>
            <c:numRef>
              <c:f>'DeclUse + Recency'!$D$2:$D$24</c:f>
              <c:numCache>
                <c:formatCode>General</c:formatCode>
                <c:ptCount val="23"/>
                <c:pt idx="0">
                  <c:v>6.656212253146229</c:v>
                </c:pt>
                <c:pt idx="1">
                  <c:v>5.852202479774474</c:v>
                </c:pt>
                <c:pt idx="2">
                  <c:v>5.116795489924646</c:v>
                </c:pt>
                <c:pt idx="3">
                  <c:v>6.021023349349526</c:v>
                </c:pt>
                <c:pt idx="4">
                  <c:v>5.84759417668828</c:v>
                </c:pt>
                <c:pt idx="5">
                  <c:v>6.97354301952014</c:v>
                </c:pt>
                <c:pt idx="6">
                  <c:v>0.0</c:v>
                </c:pt>
                <c:pt idx="7">
                  <c:v>7.251061255181915</c:v>
                </c:pt>
                <c:pt idx="8">
                  <c:v>3.723280880831269</c:v>
                </c:pt>
                <c:pt idx="9">
                  <c:v>0.587786664902119</c:v>
                </c:pt>
                <c:pt idx="10">
                  <c:v>0.182321556793955</c:v>
                </c:pt>
                <c:pt idx="11">
                  <c:v>2.517696472610991</c:v>
                </c:pt>
                <c:pt idx="12">
                  <c:v>4.882801922586371</c:v>
                </c:pt>
                <c:pt idx="13">
                  <c:v>3.091042453358316</c:v>
                </c:pt>
                <c:pt idx="14">
                  <c:v>1.223775431622116</c:v>
                </c:pt>
                <c:pt idx="15">
                  <c:v>3.919991175077323</c:v>
                </c:pt>
                <c:pt idx="16">
                  <c:v>4.133565275375382</c:v>
                </c:pt>
                <c:pt idx="17">
                  <c:v>0.0</c:v>
                </c:pt>
                <c:pt idx="18">
                  <c:v>3.339321977944068</c:v>
                </c:pt>
                <c:pt idx="19">
                  <c:v>0.0</c:v>
                </c:pt>
                <c:pt idx="20">
                  <c:v>1.386294361119891</c:v>
                </c:pt>
                <c:pt idx="21">
                  <c:v>2.94443897916644</c:v>
                </c:pt>
                <c:pt idx="22">
                  <c:v>4.39444915467244</c:v>
                </c:pt>
              </c:numCache>
            </c:numRef>
          </c:val>
        </c:ser>
        <c:ser>
          <c:idx val="2"/>
          <c:order val="2"/>
          <c:tx>
            <c:strRef>
              <c:f>'DeclUse + Recency'!$F$1</c:f>
              <c:strCache>
                <c:ptCount val="1"/>
                <c:pt idx="0">
                  <c:v>ln(usage recency)</c:v>
                </c:pt>
              </c:strCache>
            </c:strRef>
          </c:tx>
          <c:val>
            <c:numRef>
              <c:f>'DeclUse + Recency'!$F$2:$F$24</c:f>
              <c:numCache>
                <c:formatCode>General</c:formatCode>
                <c:ptCount val="23"/>
                <c:pt idx="0">
                  <c:v>5.134621273877247</c:v>
                </c:pt>
                <c:pt idx="1">
                  <c:v>4.839451481712757</c:v>
                </c:pt>
                <c:pt idx="2">
                  <c:v>5.780743515792328</c:v>
                </c:pt>
                <c:pt idx="3">
                  <c:v>3.951243718581428</c:v>
                </c:pt>
                <c:pt idx="4">
                  <c:v>6.236760903063324</c:v>
                </c:pt>
                <c:pt idx="5">
                  <c:v>6.62087288670092</c:v>
                </c:pt>
                <c:pt idx="6">
                  <c:v>0.336472236621213</c:v>
                </c:pt>
                <c:pt idx="7">
                  <c:v>5.616043560348194</c:v>
                </c:pt>
                <c:pt idx="8">
                  <c:v>3.421000008958335</c:v>
                </c:pt>
                <c:pt idx="9">
                  <c:v>0.336472236621213</c:v>
                </c:pt>
                <c:pt idx="10">
                  <c:v>-0.916290731874155</c:v>
                </c:pt>
                <c:pt idx="11">
                  <c:v>1.280933845462064</c:v>
                </c:pt>
                <c:pt idx="12">
                  <c:v>6.113682179832232</c:v>
                </c:pt>
                <c:pt idx="13">
                  <c:v>1.856297990365626</c:v>
                </c:pt>
                <c:pt idx="14">
                  <c:v>1.481604540924216</c:v>
                </c:pt>
                <c:pt idx="15">
                  <c:v>4.767289035464526</c:v>
                </c:pt>
                <c:pt idx="16">
                  <c:v>5.142832463707641</c:v>
                </c:pt>
                <c:pt idx="17">
                  <c:v>0.0</c:v>
                </c:pt>
                <c:pt idx="18">
                  <c:v>3.178053830347946</c:v>
                </c:pt>
                <c:pt idx="19">
                  <c:v>0.0</c:v>
                </c:pt>
                <c:pt idx="20">
                  <c:v>2.079441541679836</c:v>
                </c:pt>
                <c:pt idx="21">
                  <c:v>2.079441541679836</c:v>
                </c:pt>
                <c:pt idx="22">
                  <c:v>6.071199515126835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08352"/>
        <c:axId val="2082211312"/>
      </c:areaChart>
      <c:catAx>
        <c:axId val="20822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11312"/>
        <c:crosses val="autoZero"/>
        <c:auto val="1"/>
        <c:lblAlgn val="ctr"/>
        <c:lblOffset val="100"/>
        <c:noMultiLvlLbl val="0"/>
      </c:catAx>
      <c:valAx>
        <c:axId val="208221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083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'Levels + Recency'!$C$1</c:f>
              <c:strCache>
                <c:ptCount val="1"/>
                <c:pt idx="0">
                  <c:v>Basic 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Recency'!$C$2:$C$24</c:f>
              <c:numCache>
                <c:formatCode>General</c:formatCode>
                <c:ptCount val="23"/>
                <c:pt idx="0">
                  <c:v>692.8000000000001</c:v>
                </c:pt>
                <c:pt idx="1">
                  <c:v>383.2</c:v>
                </c:pt>
                <c:pt idx="2">
                  <c:v>379.2</c:v>
                </c:pt>
                <c:pt idx="3">
                  <c:v>313.0</c:v>
                </c:pt>
                <c:pt idx="4">
                  <c:v>864.0</c:v>
                </c:pt>
                <c:pt idx="5">
                  <c:v>1314.0</c:v>
                </c:pt>
                <c:pt idx="6">
                  <c:v>1.4</c:v>
                </c:pt>
                <c:pt idx="7">
                  <c:v>661.6</c:v>
                </c:pt>
                <c:pt idx="8" formatCode="0">
                  <c:v>61.2</c:v>
                </c:pt>
                <c:pt idx="9">
                  <c:v>3.2</c:v>
                </c:pt>
                <c:pt idx="10">
                  <c:v>1.6</c:v>
                </c:pt>
                <c:pt idx="11">
                  <c:v>15.6</c:v>
                </c:pt>
                <c:pt idx="12">
                  <c:v>477.0</c:v>
                </c:pt>
                <c:pt idx="13">
                  <c:v>23.6</c:v>
                </c:pt>
                <c:pt idx="14">
                  <c:v>7.800000000000001</c:v>
                </c:pt>
                <c:pt idx="15">
                  <c:v>103.2</c:v>
                </c:pt>
                <c:pt idx="16">
                  <c:v>153.6</c:v>
                </c:pt>
                <c:pt idx="17">
                  <c:v>0.0</c:v>
                </c:pt>
                <c:pt idx="18">
                  <c:v>38.4</c:v>
                </c:pt>
                <c:pt idx="19">
                  <c:v>0.0</c:v>
                </c:pt>
                <c:pt idx="20">
                  <c:v>12.0</c:v>
                </c:pt>
                <c:pt idx="21">
                  <c:v>26.0</c:v>
                </c:pt>
                <c:pt idx="22">
                  <c:v>494.4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'Levels + Recency'!$E$1</c:f>
              <c:strCache>
                <c:ptCount val="1"/>
                <c:pt idx="0">
                  <c:v>Intermediate 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Recency'!$E$2:$E$24</c:f>
              <c:numCache>
                <c:formatCode>General</c:formatCode>
                <c:ptCount val="23"/>
                <c:pt idx="0">
                  <c:v>87.6</c:v>
                </c:pt>
                <c:pt idx="1">
                  <c:v>16.0</c:v>
                </c:pt>
                <c:pt idx="2">
                  <c:v>69.2</c:v>
                </c:pt>
                <c:pt idx="3">
                  <c:v>242.0</c:v>
                </c:pt>
                <c:pt idx="4">
                  <c:v>1.4</c:v>
                </c:pt>
                <c:pt idx="5">
                  <c:v>450.6</c:v>
                </c:pt>
                <c:pt idx="6">
                  <c:v>0.0</c:v>
                </c:pt>
                <c:pt idx="7">
                  <c:v>632.6</c:v>
                </c:pt>
                <c:pt idx="8">
                  <c:v>9.0</c:v>
                </c:pt>
                <c:pt idx="9">
                  <c:v>0.0</c:v>
                </c:pt>
                <c:pt idx="10">
                  <c:v>0.0</c:v>
                </c:pt>
                <c:pt idx="11">
                  <c:v>0.4</c:v>
                </c:pt>
                <c:pt idx="12">
                  <c:v>4.8</c:v>
                </c:pt>
                <c:pt idx="13">
                  <c:v>0.8</c:v>
                </c:pt>
                <c:pt idx="14">
                  <c:v>0.0</c:v>
                </c:pt>
                <c:pt idx="15">
                  <c:v>12.8</c:v>
                </c:pt>
                <c:pt idx="16">
                  <c:v>20.0</c:v>
                </c:pt>
                <c:pt idx="17">
                  <c:v>0.0</c:v>
                </c:pt>
                <c:pt idx="18">
                  <c:v>10.8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19.8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'Levels + Recency'!$G$1</c:f>
              <c:strCache>
                <c:ptCount val="1"/>
                <c:pt idx="0">
                  <c:v>Advanced Recency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Recency'!$G$2:$G$24</c:f>
              <c:numCache>
                <c:formatCode>General</c:formatCode>
                <c:ptCount val="23"/>
                <c:pt idx="0">
                  <c:v>18.0</c:v>
                </c:pt>
                <c:pt idx="1">
                  <c:v>76.0</c:v>
                </c:pt>
                <c:pt idx="2">
                  <c:v>7.8</c:v>
                </c:pt>
                <c:pt idx="3">
                  <c:v>17.0</c:v>
                </c:pt>
                <c:pt idx="4">
                  <c:v>12.6</c:v>
                </c:pt>
                <c:pt idx="5">
                  <c:v>18.0</c:v>
                </c:pt>
                <c:pt idx="6">
                  <c:v>0.0</c:v>
                </c:pt>
                <c:pt idx="7">
                  <c:v>15.6</c:v>
                </c:pt>
                <c:pt idx="8">
                  <c:v>1.8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59.4</c:v>
                </c:pt>
                <c:pt idx="13">
                  <c:v>4.4</c:v>
                </c:pt>
                <c:pt idx="14">
                  <c:v>0.0</c:v>
                </c:pt>
                <c:pt idx="15">
                  <c:v>50.40000000000001</c:v>
                </c:pt>
                <c:pt idx="16">
                  <c:v>60.0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0.8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58720"/>
        <c:axId val="2082261680"/>
      </c:scatterChart>
      <c:valAx>
        <c:axId val="20822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261680"/>
        <c:crosses val="autoZero"/>
        <c:crossBetween val="midCat"/>
      </c:valAx>
      <c:valAx>
        <c:axId val="208226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5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'Levels + Recency'!$B$1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'Levels + Recency'!$C$1</c:f>
              <c:strCache>
                <c:ptCount val="1"/>
                <c:pt idx="0">
                  <c:v>Basic Recency</c:v>
                </c:pt>
              </c:strCache>
            </c:strRef>
          </c:tx>
          <c:val>
            <c:numRef>
              <c:f>'Levels + Recency'!$C$2:$C$24</c:f>
              <c:numCache>
                <c:formatCode>General</c:formatCode>
                <c:ptCount val="23"/>
                <c:pt idx="0">
                  <c:v>692.8000000000001</c:v>
                </c:pt>
                <c:pt idx="1">
                  <c:v>383.2</c:v>
                </c:pt>
                <c:pt idx="2">
                  <c:v>379.2</c:v>
                </c:pt>
                <c:pt idx="3">
                  <c:v>313.0</c:v>
                </c:pt>
                <c:pt idx="4">
                  <c:v>864.0</c:v>
                </c:pt>
                <c:pt idx="5">
                  <c:v>1314.0</c:v>
                </c:pt>
                <c:pt idx="6">
                  <c:v>1.4</c:v>
                </c:pt>
                <c:pt idx="7">
                  <c:v>661.6</c:v>
                </c:pt>
                <c:pt idx="8" formatCode="0">
                  <c:v>61.2</c:v>
                </c:pt>
                <c:pt idx="9">
                  <c:v>3.2</c:v>
                </c:pt>
                <c:pt idx="10">
                  <c:v>1.6</c:v>
                </c:pt>
                <c:pt idx="11">
                  <c:v>15.6</c:v>
                </c:pt>
                <c:pt idx="12">
                  <c:v>477.0</c:v>
                </c:pt>
                <c:pt idx="13">
                  <c:v>23.6</c:v>
                </c:pt>
                <c:pt idx="14">
                  <c:v>7.800000000000001</c:v>
                </c:pt>
                <c:pt idx="15">
                  <c:v>103.2</c:v>
                </c:pt>
                <c:pt idx="16">
                  <c:v>153.6</c:v>
                </c:pt>
                <c:pt idx="17">
                  <c:v>0.0</c:v>
                </c:pt>
                <c:pt idx="18">
                  <c:v>38.4</c:v>
                </c:pt>
                <c:pt idx="19">
                  <c:v>0.0</c:v>
                </c:pt>
                <c:pt idx="20">
                  <c:v>12.0</c:v>
                </c:pt>
                <c:pt idx="21">
                  <c:v>26.0</c:v>
                </c:pt>
                <c:pt idx="22">
                  <c:v>494.4</c:v>
                </c:pt>
              </c:numCache>
            </c:numRef>
          </c:val>
        </c:ser>
        <c:ser>
          <c:idx val="2"/>
          <c:order val="2"/>
          <c:tx>
            <c:strRef>
              <c:f>'Levels + Recency'!$E$1</c:f>
              <c:strCache>
                <c:ptCount val="1"/>
                <c:pt idx="0">
                  <c:v>Intermediate Recency</c:v>
                </c:pt>
              </c:strCache>
            </c:strRef>
          </c:tx>
          <c:val>
            <c:numRef>
              <c:f>'Levels + Recency'!$E$2:$E$24</c:f>
              <c:numCache>
                <c:formatCode>General</c:formatCode>
                <c:ptCount val="23"/>
                <c:pt idx="0">
                  <c:v>87.6</c:v>
                </c:pt>
                <c:pt idx="1">
                  <c:v>16.0</c:v>
                </c:pt>
                <c:pt idx="2">
                  <c:v>69.2</c:v>
                </c:pt>
                <c:pt idx="3">
                  <c:v>242.0</c:v>
                </c:pt>
                <c:pt idx="4">
                  <c:v>1.4</c:v>
                </c:pt>
                <c:pt idx="5">
                  <c:v>450.6</c:v>
                </c:pt>
                <c:pt idx="6">
                  <c:v>0.0</c:v>
                </c:pt>
                <c:pt idx="7">
                  <c:v>632.6</c:v>
                </c:pt>
                <c:pt idx="8">
                  <c:v>9.0</c:v>
                </c:pt>
                <c:pt idx="9">
                  <c:v>0.0</c:v>
                </c:pt>
                <c:pt idx="10">
                  <c:v>0.0</c:v>
                </c:pt>
                <c:pt idx="11">
                  <c:v>0.4</c:v>
                </c:pt>
                <c:pt idx="12">
                  <c:v>4.8</c:v>
                </c:pt>
                <c:pt idx="13">
                  <c:v>0.8</c:v>
                </c:pt>
                <c:pt idx="14">
                  <c:v>0.0</c:v>
                </c:pt>
                <c:pt idx="15">
                  <c:v>12.8</c:v>
                </c:pt>
                <c:pt idx="16">
                  <c:v>20.0</c:v>
                </c:pt>
                <c:pt idx="17">
                  <c:v>0.0</c:v>
                </c:pt>
                <c:pt idx="18">
                  <c:v>10.8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19.8</c:v>
                </c:pt>
              </c:numCache>
            </c:numRef>
          </c:val>
        </c:ser>
        <c:ser>
          <c:idx val="3"/>
          <c:order val="3"/>
          <c:tx>
            <c:strRef>
              <c:f>'Levels + Recency'!$G$1</c:f>
              <c:strCache>
                <c:ptCount val="1"/>
                <c:pt idx="0">
                  <c:v>Advanced Recency</c:v>
                </c:pt>
              </c:strCache>
            </c:strRef>
          </c:tx>
          <c:val>
            <c:numRef>
              <c:f>'Levels + Recency'!$G$2:$G$24</c:f>
              <c:numCache>
                <c:formatCode>General</c:formatCode>
                <c:ptCount val="23"/>
                <c:pt idx="0">
                  <c:v>18.0</c:v>
                </c:pt>
                <c:pt idx="1">
                  <c:v>76.0</c:v>
                </c:pt>
                <c:pt idx="2">
                  <c:v>7.8</c:v>
                </c:pt>
                <c:pt idx="3">
                  <c:v>17.0</c:v>
                </c:pt>
                <c:pt idx="4">
                  <c:v>12.6</c:v>
                </c:pt>
                <c:pt idx="5">
                  <c:v>18.0</c:v>
                </c:pt>
                <c:pt idx="6">
                  <c:v>0.0</c:v>
                </c:pt>
                <c:pt idx="7">
                  <c:v>15.6</c:v>
                </c:pt>
                <c:pt idx="8">
                  <c:v>1.8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59.4</c:v>
                </c:pt>
                <c:pt idx="13">
                  <c:v>4.4</c:v>
                </c:pt>
                <c:pt idx="14">
                  <c:v>0.0</c:v>
                </c:pt>
                <c:pt idx="15">
                  <c:v>50.40000000000001</c:v>
                </c:pt>
                <c:pt idx="16">
                  <c:v>60.0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0.8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09696"/>
        <c:axId val="2082312784"/>
      </c:areaChart>
      <c:catAx>
        <c:axId val="2082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12784"/>
        <c:crosses val="autoZero"/>
        <c:auto val="1"/>
        <c:lblAlgn val="ctr"/>
        <c:lblOffset val="100"/>
        <c:noMultiLvlLbl val="0"/>
      </c:catAx>
      <c:valAx>
        <c:axId val="208231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096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'Levels + Recency'!$D$1</c:f>
              <c:strCache>
                <c:ptCount val="1"/>
                <c:pt idx="0">
                  <c:v>ln(basic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Recency'!$D$2:$D$24</c:f>
              <c:numCache>
                <c:formatCode>General</c:formatCode>
                <c:ptCount val="23"/>
                <c:pt idx="0">
                  <c:v>6.540741357248225</c:v>
                </c:pt>
                <c:pt idx="1">
                  <c:v>5.948557046096705</c:v>
                </c:pt>
                <c:pt idx="2">
                  <c:v>5.938063770380866</c:v>
                </c:pt>
                <c:pt idx="3">
                  <c:v>5.746203190540152</c:v>
                </c:pt>
                <c:pt idx="4">
                  <c:v>6.761572768804055</c:v>
                </c:pt>
                <c:pt idx="5">
                  <c:v>7.180831199044555</c:v>
                </c:pt>
                <c:pt idx="6">
                  <c:v>0.336472236621213</c:v>
                </c:pt>
                <c:pt idx="7">
                  <c:v>6.494661143709481</c:v>
                </c:pt>
                <c:pt idx="8">
                  <c:v>4.11414718951828</c:v>
                </c:pt>
                <c:pt idx="9">
                  <c:v>1.163150809805681</c:v>
                </c:pt>
                <c:pt idx="10">
                  <c:v>0.470003629245736</c:v>
                </c:pt>
                <c:pt idx="11">
                  <c:v>2.747270914255492</c:v>
                </c:pt>
                <c:pt idx="12">
                  <c:v>6.167516490888342</c:v>
                </c:pt>
                <c:pt idx="13">
                  <c:v>3.161246712031565</c:v>
                </c:pt>
                <c:pt idx="14">
                  <c:v>2.054123733695546</c:v>
                </c:pt>
                <c:pt idx="15">
                  <c:v>4.636668853047462</c:v>
                </c:pt>
                <c:pt idx="16">
                  <c:v>5.034351820713572</c:v>
                </c:pt>
                <c:pt idx="17">
                  <c:v>0.0</c:v>
                </c:pt>
                <c:pt idx="18">
                  <c:v>3.648057459593681</c:v>
                </c:pt>
                <c:pt idx="19">
                  <c:v>0.0</c:v>
                </c:pt>
                <c:pt idx="20">
                  <c:v>2.484906649788</c:v>
                </c:pt>
                <c:pt idx="21">
                  <c:v>3.258096538021482</c:v>
                </c:pt>
                <c:pt idx="22">
                  <c:v>6.203344906143481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'Levels + Recency'!$F$1</c:f>
              <c:strCache>
                <c:ptCount val="1"/>
                <c:pt idx="0">
                  <c:v>ln(int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Recency'!$F$2:$F$24</c:f>
              <c:numCache>
                <c:formatCode>General</c:formatCode>
                <c:ptCount val="23"/>
                <c:pt idx="0">
                  <c:v>4.472780997942345</c:v>
                </c:pt>
                <c:pt idx="1">
                  <c:v>2.772588722239781</c:v>
                </c:pt>
                <c:pt idx="2">
                  <c:v>4.237000862623624</c:v>
                </c:pt>
                <c:pt idx="3">
                  <c:v>5.488937726156687</c:v>
                </c:pt>
                <c:pt idx="4">
                  <c:v>0.336472236621213</c:v>
                </c:pt>
                <c:pt idx="5">
                  <c:v>6.110580027998144</c:v>
                </c:pt>
                <c:pt idx="6">
                  <c:v>0.0</c:v>
                </c:pt>
                <c:pt idx="7">
                  <c:v>6.449838310871548</c:v>
                </c:pt>
                <c:pt idx="8">
                  <c:v>2.19722457733622</c:v>
                </c:pt>
                <c:pt idx="9">
                  <c:v>0.0</c:v>
                </c:pt>
                <c:pt idx="10">
                  <c:v>0.0</c:v>
                </c:pt>
                <c:pt idx="11">
                  <c:v>-0.916290731874155</c:v>
                </c:pt>
                <c:pt idx="12">
                  <c:v>1.568615917913845</c:v>
                </c:pt>
                <c:pt idx="13">
                  <c:v>-0.22314355131421</c:v>
                </c:pt>
                <c:pt idx="14">
                  <c:v>0.0</c:v>
                </c:pt>
                <c:pt idx="15">
                  <c:v>2.549445170925571</c:v>
                </c:pt>
                <c:pt idx="16">
                  <c:v>2.995732273553991</c:v>
                </c:pt>
                <c:pt idx="17">
                  <c:v>0.0</c:v>
                </c:pt>
                <c:pt idx="18">
                  <c:v>2.379546134130174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2.98568193770049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'Levels + Recency'!$H$1</c:f>
              <c:strCache>
                <c:ptCount val="1"/>
                <c:pt idx="0">
                  <c:v>ln(adv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Recency'!$H$2:$H$24</c:f>
              <c:numCache>
                <c:formatCode>General</c:formatCode>
                <c:ptCount val="23"/>
                <c:pt idx="0">
                  <c:v>2.890371757896164</c:v>
                </c:pt>
                <c:pt idx="1">
                  <c:v>4.330733340286331</c:v>
                </c:pt>
                <c:pt idx="2">
                  <c:v>2.054123733695546</c:v>
                </c:pt>
                <c:pt idx="3">
                  <c:v>2.833213344056216</c:v>
                </c:pt>
                <c:pt idx="4">
                  <c:v>2.533696813957432</c:v>
                </c:pt>
                <c:pt idx="5">
                  <c:v>2.890371757896164</c:v>
                </c:pt>
                <c:pt idx="6">
                  <c:v>0.0</c:v>
                </c:pt>
                <c:pt idx="7">
                  <c:v>2.747270914255492</c:v>
                </c:pt>
                <c:pt idx="8">
                  <c:v>0.587786664902119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4.084294226368599</c:v>
                </c:pt>
                <c:pt idx="13">
                  <c:v>1.481604540924216</c:v>
                </c:pt>
                <c:pt idx="14">
                  <c:v>0.0</c:v>
                </c:pt>
                <c:pt idx="15">
                  <c:v>3.919991175077323</c:v>
                </c:pt>
                <c:pt idx="16">
                  <c:v>4.0943445622221</c:v>
                </c:pt>
                <c:pt idx="17">
                  <c:v>0.0</c:v>
                </c:pt>
                <c:pt idx="18">
                  <c:v>1.09861228866811</c:v>
                </c:pt>
                <c:pt idx="19">
                  <c:v>0.0</c:v>
                </c:pt>
                <c:pt idx="20">
                  <c:v>0.0</c:v>
                </c:pt>
                <c:pt idx="21">
                  <c:v>-0.22314355131421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9168"/>
        <c:axId val="2082352128"/>
      </c:scatterChart>
      <c:valAx>
        <c:axId val="208234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352128"/>
        <c:crosses val="autoZero"/>
        <c:crossBetween val="midCat"/>
      </c:valAx>
      <c:valAx>
        <c:axId val="20823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4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'Levels + Recency'!$D$1</c:f>
              <c:strCache>
                <c:ptCount val="1"/>
                <c:pt idx="0">
                  <c:v>ln(basic recency)</c:v>
                </c:pt>
              </c:strCache>
            </c:strRef>
          </c:tx>
          <c:spPr>
            <a:ln w="47625">
              <a:noFill/>
            </a:ln>
          </c:spPr>
          <c:x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'Levels + Recency'!$D$2:$D$24</c:f>
              <c:numCache>
                <c:formatCode>General</c:formatCode>
                <c:ptCount val="23"/>
                <c:pt idx="0">
                  <c:v>6.540741357248225</c:v>
                </c:pt>
                <c:pt idx="1">
                  <c:v>5.948557046096705</c:v>
                </c:pt>
                <c:pt idx="2">
                  <c:v>5.938063770380866</c:v>
                </c:pt>
                <c:pt idx="3">
                  <c:v>5.746203190540152</c:v>
                </c:pt>
                <c:pt idx="4">
                  <c:v>6.761572768804055</c:v>
                </c:pt>
                <c:pt idx="5">
                  <c:v>7.180831199044555</c:v>
                </c:pt>
                <c:pt idx="6">
                  <c:v>0.336472236621213</c:v>
                </c:pt>
                <c:pt idx="7">
                  <c:v>6.494661143709481</c:v>
                </c:pt>
                <c:pt idx="8">
                  <c:v>4.11414718951828</c:v>
                </c:pt>
                <c:pt idx="9">
                  <c:v>1.163150809805681</c:v>
                </c:pt>
                <c:pt idx="10">
                  <c:v>0.470003629245736</c:v>
                </c:pt>
                <c:pt idx="11">
                  <c:v>2.747270914255492</c:v>
                </c:pt>
                <c:pt idx="12">
                  <c:v>6.167516490888342</c:v>
                </c:pt>
                <c:pt idx="13">
                  <c:v>3.161246712031565</c:v>
                </c:pt>
                <c:pt idx="14">
                  <c:v>2.054123733695546</c:v>
                </c:pt>
                <c:pt idx="15">
                  <c:v>4.636668853047462</c:v>
                </c:pt>
                <c:pt idx="16">
                  <c:v>5.034351820713572</c:v>
                </c:pt>
                <c:pt idx="17">
                  <c:v>0.0</c:v>
                </c:pt>
                <c:pt idx="18">
                  <c:v>3.648057459593681</c:v>
                </c:pt>
                <c:pt idx="19">
                  <c:v>0.0</c:v>
                </c:pt>
                <c:pt idx="20">
                  <c:v>2.484906649788</c:v>
                </c:pt>
                <c:pt idx="21">
                  <c:v>3.258096538021482</c:v>
                </c:pt>
                <c:pt idx="22">
                  <c:v>6.203344906143481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65200"/>
        <c:axId val="2082368032"/>
      </c:scatterChart>
      <c:valAx>
        <c:axId val="208236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368032"/>
        <c:crosses val="autoZero"/>
        <c:crossBetween val="midCat"/>
      </c:valAx>
      <c:valAx>
        <c:axId val="20823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6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'Levels + Recency'!$B$1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'Levels + Recency'!$B$2:$B$24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'Levels + Recency'!$D$1</c:f>
              <c:strCache>
                <c:ptCount val="1"/>
                <c:pt idx="0">
                  <c:v>ln(basic recency)</c:v>
                </c:pt>
              </c:strCache>
            </c:strRef>
          </c:tx>
          <c:val>
            <c:numRef>
              <c:f>'Levels + Recency'!$D$2:$D$24</c:f>
              <c:numCache>
                <c:formatCode>General</c:formatCode>
                <c:ptCount val="23"/>
                <c:pt idx="0">
                  <c:v>6.540741357248225</c:v>
                </c:pt>
                <c:pt idx="1">
                  <c:v>5.948557046096705</c:v>
                </c:pt>
                <c:pt idx="2">
                  <c:v>5.938063770380866</c:v>
                </c:pt>
                <c:pt idx="3">
                  <c:v>5.746203190540152</c:v>
                </c:pt>
                <c:pt idx="4">
                  <c:v>6.761572768804055</c:v>
                </c:pt>
                <c:pt idx="5">
                  <c:v>7.180831199044555</c:v>
                </c:pt>
                <c:pt idx="6">
                  <c:v>0.336472236621213</c:v>
                </c:pt>
                <c:pt idx="7">
                  <c:v>6.494661143709481</c:v>
                </c:pt>
                <c:pt idx="8">
                  <c:v>4.11414718951828</c:v>
                </c:pt>
                <c:pt idx="9">
                  <c:v>1.163150809805681</c:v>
                </c:pt>
                <c:pt idx="10">
                  <c:v>0.470003629245736</c:v>
                </c:pt>
                <c:pt idx="11">
                  <c:v>2.747270914255492</c:v>
                </c:pt>
                <c:pt idx="12">
                  <c:v>6.167516490888342</c:v>
                </c:pt>
                <c:pt idx="13">
                  <c:v>3.161246712031565</c:v>
                </c:pt>
                <c:pt idx="14">
                  <c:v>2.054123733695546</c:v>
                </c:pt>
                <c:pt idx="15">
                  <c:v>4.636668853047462</c:v>
                </c:pt>
                <c:pt idx="16">
                  <c:v>5.034351820713572</c:v>
                </c:pt>
                <c:pt idx="17">
                  <c:v>0.0</c:v>
                </c:pt>
                <c:pt idx="18">
                  <c:v>3.648057459593681</c:v>
                </c:pt>
                <c:pt idx="19">
                  <c:v>0.0</c:v>
                </c:pt>
                <c:pt idx="20">
                  <c:v>2.484906649788</c:v>
                </c:pt>
                <c:pt idx="21">
                  <c:v>3.258096538021482</c:v>
                </c:pt>
                <c:pt idx="22">
                  <c:v>6.203344906143481</c:v>
                </c:pt>
              </c:numCache>
            </c:numRef>
          </c:val>
        </c:ser>
        <c:ser>
          <c:idx val="2"/>
          <c:order val="2"/>
          <c:tx>
            <c:strRef>
              <c:f>'Levels + Recency'!$F$1</c:f>
              <c:strCache>
                <c:ptCount val="1"/>
                <c:pt idx="0">
                  <c:v>ln(int recency)</c:v>
                </c:pt>
              </c:strCache>
            </c:strRef>
          </c:tx>
          <c:val>
            <c:numRef>
              <c:f>'Levels + Recency'!$F$2:$F$24</c:f>
              <c:numCache>
                <c:formatCode>General</c:formatCode>
                <c:ptCount val="23"/>
                <c:pt idx="0">
                  <c:v>4.472780997942345</c:v>
                </c:pt>
                <c:pt idx="1">
                  <c:v>2.772588722239781</c:v>
                </c:pt>
                <c:pt idx="2">
                  <c:v>4.237000862623624</c:v>
                </c:pt>
                <c:pt idx="3">
                  <c:v>5.488937726156687</c:v>
                </c:pt>
                <c:pt idx="4">
                  <c:v>0.336472236621213</c:v>
                </c:pt>
                <c:pt idx="5">
                  <c:v>6.110580027998144</c:v>
                </c:pt>
                <c:pt idx="6">
                  <c:v>0.0</c:v>
                </c:pt>
                <c:pt idx="7">
                  <c:v>6.449838310871548</c:v>
                </c:pt>
                <c:pt idx="8">
                  <c:v>2.19722457733622</c:v>
                </c:pt>
                <c:pt idx="9">
                  <c:v>0.0</c:v>
                </c:pt>
                <c:pt idx="10">
                  <c:v>0.0</c:v>
                </c:pt>
                <c:pt idx="11">
                  <c:v>-0.916290731874155</c:v>
                </c:pt>
                <c:pt idx="12">
                  <c:v>1.568615917913845</c:v>
                </c:pt>
                <c:pt idx="13">
                  <c:v>-0.22314355131421</c:v>
                </c:pt>
                <c:pt idx="14">
                  <c:v>0.0</c:v>
                </c:pt>
                <c:pt idx="15">
                  <c:v>2.549445170925571</c:v>
                </c:pt>
                <c:pt idx="16">
                  <c:v>2.995732273553991</c:v>
                </c:pt>
                <c:pt idx="17">
                  <c:v>0.0</c:v>
                </c:pt>
                <c:pt idx="18">
                  <c:v>2.379546134130174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2.98568193770049</c:v>
                </c:pt>
              </c:numCache>
            </c:numRef>
          </c:val>
        </c:ser>
        <c:ser>
          <c:idx val="3"/>
          <c:order val="3"/>
          <c:tx>
            <c:strRef>
              <c:f>'Levels + Recency'!$H$1</c:f>
              <c:strCache>
                <c:ptCount val="1"/>
                <c:pt idx="0">
                  <c:v>ln(adv recency)</c:v>
                </c:pt>
              </c:strCache>
            </c:strRef>
          </c:tx>
          <c:val>
            <c:numRef>
              <c:f>'Levels + Recency'!$H$2:$H$24</c:f>
              <c:numCache>
                <c:formatCode>General</c:formatCode>
                <c:ptCount val="23"/>
                <c:pt idx="0">
                  <c:v>2.890371757896164</c:v>
                </c:pt>
                <c:pt idx="1">
                  <c:v>4.330733340286331</c:v>
                </c:pt>
                <c:pt idx="2">
                  <c:v>2.054123733695546</c:v>
                </c:pt>
                <c:pt idx="3">
                  <c:v>2.833213344056216</c:v>
                </c:pt>
                <c:pt idx="4">
                  <c:v>2.533696813957432</c:v>
                </c:pt>
                <c:pt idx="5">
                  <c:v>2.890371757896164</c:v>
                </c:pt>
                <c:pt idx="6">
                  <c:v>0.0</c:v>
                </c:pt>
                <c:pt idx="7">
                  <c:v>2.747270914255492</c:v>
                </c:pt>
                <c:pt idx="8">
                  <c:v>0.587786664902119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4.084294226368599</c:v>
                </c:pt>
                <c:pt idx="13">
                  <c:v>1.481604540924216</c:v>
                </c:pt>
                <c:pt idx="14">
                  <c:v>0.0</c:v>
                </c:pt>
                <c:pt idx="15">
                  <c:v>3.919991175077323</c:v>
                </c:pt>
                <c:pt idx="16">
                  <c:v>4.0943445622221</c:v>
                </c:pt>
                <c:pt idx="17">
                  <c:v>0.0</c:v>
                </c:pt>
                <c:pt idx="18">
                  <c:v>1.09861228866811</c:v>
                </c:pt>
                <c:pt idx="19">
                  <c:v>0.0</c:v>
                </c:pt>
                <c:pt idx="20">
                  <c:v>0.0</c:v>
                </c:pt>
                <c:pt idx="21">
                  <c:v>-0.22314355131421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07648"/>
        <c:axId val="2082410736"/>
      </c:areaChart>
      <c:catAx>
        <c:axId val="20824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10736"/>
        <c:crosses val="autoZero"/>
        <c:auto val="1"/>
        <c:lblAlgn val="ctr"/>
        <c:lblOffset val="100"/>
        <c:noMultiLvlLbl val="0"/>
      </c:catAx>
      <c:valAx>
        <c:axId val="208241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07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LOC!$B$1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LOC!$B$2:$B$24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LOC!$D$1</c:f>
              <c:strCache>
                <c:ptCount val="1"/>
                <c:pt idx="0">
                  <c:v>ln(LOC)</c:v>
                </c:pt>
              </c:strCache>
            </c:strRef>
          </c:tx>
          <c:val>
            <c:numRef>
              <c:f>LOC!$D$2:$D$24</c:f>
              <c:numCache>
                <c:formatCode>General</c:formatCode>
                <c:ptCount val="23"/>
                <c:pt idx="0">
                  <c:v>10.82161659368392</c:v>
                </c:pt>
                <c:pt idx="1">
                  <c:v>11.40762050332481</c:v>
                </c:pt>
                <c:pt idx="2">
                  <c:v>11.62188748740972</c:v>
                </c:pt>
                <c:pt idx="3">
                  <c:v>12.0393980343124</c:v>
                </c:pt>
                <c:pt idx="4">
                  <c:v>11.83220067676292</c:v>
                </c:pt>
                <c:pt idx="5">
                  <c:v>11.42523021783107</c:v>
                </c:pt>
                <c:pt idx="6">
                  <c:v>12.6519500642496</c:v>
                </c:pt>
                <c:pt idx="7">
                  <c:v>8.117610746466228</c:v>
                </c:pt>
                <c:pt idx="8">
                  <c:v>9.534523115464658</c:v>
                </c:pt>
                <c:pt idx="9">
                  <c:v>7.3031700512368</c:v>
                </c:pt>
                <c:pt idx="10">
                  <c:v>6.972606251301753</c:v>
                </c:pt>
                <c:pt idx="11">
                  <c:v>9.071997422354437</c:v>
                </c:pt>
                <c:pt idx="12">
                  <c:v>9.84845041660622</c:v>
                </c:pt>
                <c:pt idx="13">
                  <c:v>9.477921772720961</c:v>
                </c:pt>
                <c:pt idx="14">
                  <c:v>7.831220214604292</c:v>
                </c:pt>
                <c:pt idx="15">
                  <c:v>9.67464026580524</c:v>
                </c:pt>
                <c:pt idx="16">
                  <c:v>10.40662368781774</c:v>
                </c:pt>
                <c:pt idx="17">
                  <c:v>9.331761227180522</c:v>
                </c:pt>
                <c:pt idx="18">
                  <c:v>10.13622493552166</c:v>
                </c:pt>
                <c:pt idx="19">
                  <c:v>9.181735114965848</c:v>
                </c:pt>
                <c:pt idx="20">
                  <c:v>8.06777619577889</c:v>
                </c:pt>
                <c:pt idx="21">
                  <c:v>7.9035962896143</c:v>
                </c:pt>
                <c:pt idx="22">
                  <c:v>10.56962318384922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26464"/>
        <c:axId val="-2120423632"/>
      </c:areaChart>
      <c:catAx>
        <c:axId val="-21204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23632"/>
        <c:crosses val="autoZero"/>
        <c:auto val="1"/>
        <c:lblAlgn val="ctr"/>
        <c:lblOffset val="100"/>
        <c:noMultiLvlLbl val="0"/>
      </c:catAx>
      <c:valAx>
        <c:axId val="-212042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26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LOC!$D$1</c:f>
              <c:strCache>
                <c:ptCount val="1"/>
                <c:pt idx="0">
                  <c:v>ln(LOC)</c:v>
                </c:pt>
              </c:strCache>
            </c:strRef>
          </c:tx>
          <c:spPr>
            <a:ln w="47625">
              <a:noFill/>
            </a:ln>
          </c:spPr>
          <c:xVal>
            <c:numRef>
              <c:f>LOC!$B$2:$B$24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LOC!$D$2:$D$24</c:f>
              <c:numCache>
                <c:formatCode>General</c:formatCode>
                <c:ptCount val="23"/>
                <c:pt idx="0">
                  <c:v>10.82161659368392</c:v>
                </c:pt>
                <c:pt idx="1">
                  <c:v>11.40762050332481</c:v>
                </c:pt>
                <c:pt idx="2">
                  <c:v>11.62188748740972</c:v>
                </c:pt>
                <c:pt idx="3">
                  <c:v>12.0393980343124</c:v>
                </c:pt>
                <c:pt idx="4">
                  <c:v>11.83220067676292</c:v>
                </c:pt>
                <c:pt idx="5">
                  <c:v>11.42523021783107</c:v>
                </c:pt>
                <c:pt idx="6">
                  <c:v>12.6519500642496</c:v>
                </c:pt>
                <c:pt idx="7">
                  <c:v>8.117610746466228</c:v>
                </c:pt>
                <c:pt idx="8">
                  <c:v>9.534523115464658</c:v>
                </c:pt>
                <c:pt idx="9">
                  <c:v>7.3031700512368</c:v>
                </c:pt>
                <c:pt idx="10">
                  <c:v>6.972606251301753</c:v>
                </c:pt>
                <c:pt idx="11">
                  <c:v>9.071997422354437</c:v>
                </c:pt>
                <c:pt idx="12">
                  <c:v>9.84845041660622</c:v>
                </c:pt>
                <c:pt idx="13">
                  <c:v>9.477921772720961</c:v>
                </c:pt>
                <c:pt idx="14">
                  <c:v>7.831220214604292</c:v>
                </c:pt>
                <c:pt idx="15">
                  <c:v>9.67464026580524</c:v>
                </c:pt>
                <c:pt idx="16">
                  <c:v>10.40662368781774</c:v>
                </c:pt>
                <c:pt idx="17">
                  <c:v>9.331761227180522</c:v>
                </c:pt>
                <c:pt idx="18">
                  <c:v>10.13622493552166</c:v>
                </c:pt>
                <c:pt idx="19">
                  <c:v>9.181735114965848</c:v>
                </c:pt>
                <c:pt idx="20">
                  <c:v>8.06777619577889</c:v>
                </c:pt>
                <c:pt idx="21">
                  <c:v>7.9035962896143</c:v>
                </c:pt>
                <c:pt idx="22">
                  <c:v>10.56962318384922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16240"/>
        <c:axId val="-2120119072"/>
      </c:scatterChart>
      <c:valAx>
        <c:axId val="-212011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19072"/>
        <c:crosses val="autoZero"/>
        <c:crossBetween val="midCat"/>
      </c:valAx>
      <c:valAx>
        <c:axId val="-21201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1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'Decl &amp; Use'!$C$1</c:f>
              <c:strCache>
                <c:ptCount val="1"/>
                <c:pt idx="0">
                  <c:v>Declaration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 &amp; Use'!$C$2:$C$24</c:f>
              <c:numCache>
                <c:formatCode>General</c:formatCode>
                <c:ptCount val="23"/>
                <c:pt idx="0">
                  <c:v>972.0</c:v>
                </c:pt>
                <c:pt idx="1">
                  <c:v>435.0</c:v>
                </c:pt>
                <c:pt idx="2">
                  <c:v>278.0</c:v>
                </c:pt>
                <c:pt idx="3">
                  <c:v>412.0</c:v>
                </c:pt>
                <c:pt idx="4">
                  <c:v>433.0</c:v>
                </c:pt>
                <c:pt idx="5">
                  <c:v>1780.0</c:v>
                </c:pt>
                <c:pt idx="6">
                  <c:v>0.0</c:v>
                </c:pt>
                <c:pt idx="7">
                  <c:v>3524.0</c:v>
                </c:pt>
                <c:pt idx="8">
                  <c:v>69.0</c:v>
                </c:pt>
                <c:pt idx="9">
                  <c:v>9.0</c:v>
                </c:pt>
                <c:pt idx="10">
                  <c:v>6.0</c:v>
                </c:pt>
                <c:pt idx="11">
                  <c:v>31.0</c:v>
                </c:pt>
                <c:pt idx="12">
                  <c:v>132.0</c:v>
                </c:pt>
                <c:pt idx="13">
                  <c:v>55.0</c:v>
                </c:pt>
                <c:pt idx="14">
                  <c:v>17.0</c:v>
                </c:pt>
                <c:pt idx="15">
                  <c:v>63.0</c:v>
                </c:pt>
                <c:pt idx="16">
                  <c:v>78.0</c:v>
                </c:pt>
                <c:pt idx="17">
                  <c:v>0.0</c:v>
                </c:pt>
                <c:pt idx="18">
                  <c:v>47.0</c:v>
                </c:pt>
                <c:pt idx="19">
                  <c:v>0.0</c:v>
                </c:pt>
                <c:pt idx="20">
                  <c:v>5.0</c:v>
                </c:pt>
                <c:pt idx="21">
                  <c:v>19.0</c:v>
                </c:pt>
                <c:pt idx="22">
                  <c:v>405.0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'Decl &amp; Use'!$E$1</c:f>
              <c:strCache>
                <c:ptCount val="1"/>
                <c:pt idx="0">
                  <c:v>Usage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 &amp; Use'!$E$2:$E$24</c:f>
              <c:numCache>
                <c:formatCode>General</c:formatCode>
                <c:ptCount val="23"/>
                <c:pt idx="0">
                  <c:v>283.0</c:v>
                </c:pt>
                <c:pt idx="1">
                  <c:v>158.0</c:v>
                </c:pt>
                <c:pt idx="2">
                  <c:v>540.0</c:v>
                </c:pt>
                <c:pt idx="3">
                  <c:v>52.0</c:v>
                </c:pt>
                <c:pt idx="4">
                  <c:v>639.0</c:v>
                </c:pt>
                <c:pt idx="5">
                  <c:v>1251.0</c:v>
                </c:pt>
                <c:pt idx="6">
                  <c:v>7.0</c:v>
                </c:pt>
                <c:pt idx="7">
                  <c:v>1374.0</c:v>
                </c:pt>
                <c:pt idx="8">
                  <c:v>51.0</c:v>
                </c:pt>
                <c:pt idx="9">
                  <c:v>7.0</c:v>
                </c:pt>
                <c:pt idx="10">
                  <c:v>2.0</c:v>
                </c:pt>
                <c:pt idx="11">
                  <c:v>9.0</c:v>
                </c:pt>
                <c:pt idx="12">
                  <c:v>452.0</c:v>
                </c:pt>
                <c:pt idx="13">
                  <c:v>16.0</c:v>
                </c:pt>
                <c:pt idx="14">
                  <c:v>22.0</c:v>
                </c:pt>
                <c:pt idx="15">
                  <c:v>147.0</c:v>
                </c:pt>
                <c:pt idx="16">
                  <c:v>214.0</c:v>
                </c:pt>
                <c:pt idx="17">
                  <c:v>0.0</c:v>
                </c:pt>
                <c:pt idx="18">
                  <c:v>40.0</c:v>
                </c:pt>
                <c:pt idx="19">
                  <c:v>0.0</c:v>
                </c:pt>
                <c:pt idx="20">
                  <c:v>10.0</c:v>
                </c:pt>
                <c:pt idx="21">
                  <c:v>8.0</c:v>
                </c:pt>
                <c:pt idx="22">
                  <c:v>2166.0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49936"/>
        <c:axId val="2087473920"/>
      </c:scatterChart>
      <c:valAx>
        <c:axId val="-212014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473920"/>
        <c:crosses val="autoZero"/>
        <c:crossBetween val="midCat"/>
      </c:valAx>
      <c:valAx>
        <c:axId val="20874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4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'Decl &amp; Use'!$D$1</c:f>
              <c:strCache>
                <c:ptCount val="1"/>
                <c:pt idx="0">
                  <c:v>ln(Dec)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 &amp; Use'!$D$2:$D$24</c:f>
              <c:numCache>
                <c:formatCode>General</c:formatCode>
                <c:ptCount val="23"/>
                <c:pt idx="0">
                  <c:v>6.879355804460439</c:v>
                </c:pt>
                <c:pt idx="1">
                  <c:v>6.075346031088684</c:v>
                </c:pt>
                <c:pt idx="2">
                  <c:v>5.627621113690636</c:v>
                </c:pt>
                <c:pt idx="3">
                  <c:v>6.021023349349526</c:v>
                </c:pt>
                <c:pt idx="4">
                  <c:v>6.07073772800249</c:v>
                </c:pt>
                <c:pt idx="5">
                  <c:v>7.48436864328613</c:v>
                </c:pt>
                <c:pt idx="6">
                  <c:v>0.0</c:v>
                </c:pt>
                <c:pt idx="7">
                  <c:v>8.167351987056071</c:v>
                </c:pt>
                <c:pt idx="8">
                  <c:v>4.23410650459726</c:v>
                </c:pt>
                <c:pt idx="9">
                  <c:v>2.19722457733622</c:v>
                </c:pt>
                <c:pt idx="10">
                  <c:v>1.791759469228055</c:v>
                </c:pt>
                <c:pt idx="11">
                  <c:v>3.433987204485146</c:v>
                </c:pt>
                <c:pt idx="12">
                  <c:v>4.882801922586371</c:v>
                </c:pt>
                <c:pt idx="13">
                  <c:v>4.00733318523247</c:v>
                </c:pt>
                <c:pt idx="14">
                  <c:v>2.833213344056216</c:v>
                </c:pt>
                <c:pt idx="15">
                  <c:v>4.143134726391533</c:v>
                </c:pt>
                <c:pt idx="16">
                  <c:v>4.356708826689592</c:v>
                </c:pt>
                <c:pt idx="17">
                  <c:v>0.0</c:v>
                </c:pt>
                <c:pt idx="18">
                  <c:v>3.850147601710058</c:v>
                </c:pt>
                <c:pt idx="19">
                  <c:v>0.0</c:v>
                </c:pt>
                <c:pt idx="20">
                  <c:v>1.6094379124341</c:v>
                </c:pt>
                <c:pt idx="21">
                  <c:v>2.94443897916644</c:v>
                </c:pt>
                <c:pt idx="22">
                  <c:v>6.003887067106539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'Decl &amp; Use'!$F$1</c:f>
              <c:strCache>
                <c:ptCount val="1"/>
                <c:pt idx="0">
                  <c:v>ln(Use)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'Decl &amp; Use'!$F$2:$F$24</c:f>
              <c:numCache>
                <c:formatCode>General</c:formatCode>
                <c:ptCount val="23"/>
                <c:pt idx="0">
                  <c:v>5.645446897643238</c:v>
                </c:pt>
                <c:pt idx="1">
                  <c:v>5.062595033026967</c:v>
                </c:pt>
                <c:pt idx="2">
                  <c:v>6.29156913955832</c:v>
                </c:pt>
                <c:pt idx="3">
                  <c:v>3.951243718581428</c:v>
                </c:pt>
                <c:pt idx="4">
                  <c:v>6.459904454377534</c:v>
                </c:pt>
                <c:pt idx="5">
                  <c:v>7.131698510466911</c:v>
                </c:pt>
                <c:pt idx="6">
                  <c:v>1.945910149055313</c:v>
                </c:pt>
                <c:pt idx="7">
                  <c:v>7.225481472782294</c:v>
                </c:pt>
                <c:pt idx="8">
                  <c:v>3.931825632724326</c:v>
                </c:pt>
                <c:pt idx="9">
                  <c:v>1.945910149055313</c:v>
                </c:pt>
                <c:pt idx="10">
                  <c:v>0.693147180559945</c:v>
                </c:pt>
                <c:pt idx="11">
                  <c:v>2.19722457733622</c:v>
                </c:pt>
                <c:pt idx="12">
                  <c:v>6.113682179832232</c:v>
                </c:pt>
                <c:pt idx="13">
                  <c:v>2.772588722239781</c:v>
                </c:pt>
                <c:pt idx="14">
                  <c:v>3.091042453358316</c:v>
                </c:pt>
                <c:pt idx="15">
                  <c:v>4.990432586778736</c:v>
                </c:pt>
                <c:pt idx="16">
                  <c:v>5.365976015021851</c:v>
                </c:pt>
                <c:pt idx="17">
                  <c:v>0.0</c:v>
                </c:pt>
                <c:pt idx="18">
                  <c:v>3.688879454113936</c:v>
                </c:pt>
                <c:pt idx="19">
                  <c:v>0.0</c:v>
                </c:pt>
                <c:pt idx="20">
                  <c:v>2.302585092994046</c:v>
                </c:pt>
                <c:pt idx="21">
                  <c:v>2.079441541679836</c:v>
                </c:pt>
                <c:pt idx="22">
                  <c:v>7.680637427560936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59936"/>
        <c:axId val="-2120162768"/>
      </c:scatterChart>
      <c:valAx>
        <c:axId val="-21201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62768"/>
        <c:crosses val="autoZero"/>
        <c:crossBetween val="midCat"/>
      </c:valAx>
      <c:valAx>
        <c:axId val="-212016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5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'Decl &amp; Use'!$B$1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'Decl &amp; Use'!$C$1</c:f>
              <c:strCache>
                <c:ptCount val="1"/>
                <c:pt idx="0">
                  <c:v>Declaration</c:v>
                </c:pt>
              </c:strCache>
            </c:strRef>
          </c:tx>
          <c:val>
            <c:numRef>
              <c:f>'Decl &amp; Use'!$C$2:$C$24</c:f>
              <c:numCache>
                <c:formatCode>General</c:formatCode>
                <c:ptCount val="23"/>
                <c:pt idx="0">
                  <c:v>972.0</c:v>
                </c:pt>
                <c:pt idx="1">
                  <c:v>435.0</c:v>
                </c:pt>
                <c:pt idx="2">
                  <c:v>278.0</c:v>
                </c:pt>
                <c:pt idx="3">
                  <c:v>412.0</c:v>
                </c:pt>
                <c:pt idx="4">
                  <c:v>433.0</c:v>
                </c:pt>
                <c:pt idx="5">
                  <c:v>1780.0</c:v>
                </c:pt>
                <c:pt idx="6">
                  <c:v>0.0</c:v>
                </c:pt>
                <c:pt idx="7">
                  <c:v>3524.0</c:v>
                </c:pt>
                <c:pt idx="8">
                  <c:v>69.0</c:v>
                </c:pt>
                <c:pt idx="9">
                  <c:v>9.0</c:v>
                </c:pt>
                <c:pt idx="10">
                  <c:v>6.0</c:v>
                </c:pt>
                <c:pt idx="11">
                  <c:v>31.0</c:v>
                </c:pt>
                <c:pt idx="12">
                  <c:v>132.0</c:v>
                </c:pt>
                <c:pt idx="13">
                  <c:v>55.0</c:v>
                </c:pt>
                <c:pt idx="14">
                  <c:v>17.0</c:v>
                </c:pt>
                <c:pt idx="15">
                  <c:v>63.0</c:v>
                </c:pt>
                <c:pt idx="16">
                  <c:v>78.0</c:v>
                </c:pt>
                <c:pt idx="17">
                  <c:v>0.0</c:v>
                </c:pt>
                <c:pt idx="18">
                  <c:v>47.0</c:v>
                </c:pt>
                <c:pt idx="19">
                  <c:v>0.0</c:v>
                </c:pt>
                <c:pt idx="20">
                  <c:v>5.0</c:v>
                </c:pt>
                <c:pt idx="21">
                  <c:v>19.0</c:v>
                </c:pt>
                <c:pt idx="22">
                  <c:v>405.0</c:v>
                </c:pt>
              </c:numCache>
            </c:numRef>
          </c:val>
        </c:ser>
        <c:ser>
          <c:idx val="2"/>
          <c:order val="2"/>
          <c:tx>
            <c:strRef>
              <c:f>'Decl &amp; Use'!$E$1</c:f>
              <c:strCache>
                <c:ptCount val="1"/>
                <c:pt idx="0">
                  <c:v>Usage</c:v>
                </c:pt>
              </c:strCache>
            </c:strRef>
          </c:tx>
          <c:val>
            <c:numRef>
              <c:f>'Decl &amp; Use'!$E$2:$E$24</c:f>
              <c:numCache>
                <c:formatCode>General</c:formatCode>
                <c:ptCount val="23"/>
                <c:pt idx="0">
                  <c:v>283.0</c:v>
                </c:pt>
                <c:pt idx="1">
                  <c:v>158.0</c:v>
                </c:pt>
                <c:pt idx="2">
                  <c:v>540.0</c:v>
                </c:pt>
                <c:pt idx="3">
                  <c:v>52.0</c:v>
                </c:pt>
                <c:pt idx="4">
                  <c:v>639.0</c:v>
                </c:pt>
                <c:pt idx="5">
                  <c:v>1251.0</c:v>
                </c:pt>
                <c:pt idx="6">
                  <c:v>7.0</c:v>
                </c:pt>
                <c:pt idx="7">
                  <c:v>1374.0</c:v>
                </c:pt>
                <c:pt idx="8">
                  <c:v>51.0</c:v>
                </c:pt>
                <c:pt idx="9">
                  <c:v>7.0</c:v>
                </c:pt>
                <c:pt idx="10">
                  <c:v>2.0</c:v>
                </c:pt>
                <c:pt idx="11">
                  <c:v>9.0</c:v>
                </c:pt>
                <c:pt idx="12">
                  <c:v>452.0</c:v>
                </c:pt>
                <c:pt idx="13">
                  <c:v>16.0</c:v>
                </c:pt>
                <c:pt idx="14">
                  <c:v>22.0</c:v>
                </c:pt>
                <c:pt idx="15">
                  <c:v>147.0</c:v>
                </c:pt>
                <c:pt idx="16">
                  <c:v>214.0</c:v>
                </c:pt>
                <c:pt idx="17">
                  <c:v>0.0</c:v>
                </c:pt>
                <c:pt idx="18">
                  <c:v>40.0</c:v>
                </c:pt>
                <c:pt idx="19">
                  <c:v>0.0</c:v>
                </c:pt>
                <c:pt idx="20">
                  <c:v>10.0</c:v>
                </c:pt>
                <c:pt idx="21">
                  <c:v>8.0</c:v>
                </c:pt>
                <c:pt idx="22">
                  <c:v>2166.0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76016"/>
        <c:axId val="-2118978992"/>
      </c:areaChart>
      <c:catAx>
        <c:axId val="-211897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78992"/>
        <c:crosses val="autoZero"/>
        <c:auto val="1"/>
        <c:lblAlgn val="ctr"/>
        <c:lblOffset val="100"/>
        <c:noMultiLvlLbl val="0"/>
      </c:catAx>
      <c:valAx>
        <c:axId val="-211897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760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'Decl &amp; Use'!$B$1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'Decl &amp; Use'!$B$2:$B$24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'Decl &amp; Use'!$D$1</c:f>
              <c:strCache>
                <c:ptCount val="1"/>
                <c:pt idx="0">
                  <c:v>ln(Dec)</c:v>
                </c:pt>
              </c:strCache>
            </c:strRef>
          </c:tx>
          <c:val>
            <c:numRef>
              <c:f>'Decl &amp; Use'!$D$2:$D$24</c:f>
              <c:numCache>
                <c:formatCode>General</c:formatCode>
                <c:ptCount val="23"/>
                <c:pt idx="0">
                  <c:v>6.879355804460439</c:v>
                </c:pt>
                <c:pt idx="1">
                  <c:v>6.075346031088684</c:v>
                </c:pt>
                <c:pt idx="2">
                  <c:v>5.627621113690636</c:v>
                </c:pt>
                <c:pt idx="3">
                  <c:v>6.021023349349526</c:v>
                </c:pt>
                <c:pt idx="4">
                  <c:v>6.07073772800249</c:v>
                </c:pt>
                <c:pt idx="5">
                  <c:v>7.48436864328613</c:v>
                </c:pt>
                <c:pt idx="6">
                  <c:v>0.0</c:v>
                </c:pt>
                <c:pt idx="7">
                  <c:v>8.167351987056071</c:v>
                </c:pt>
                <c:pt idx="8">
                  <c:v>4.23410650459726</c:v>
                </c:pt>
                <c:pt idx="9">
                  <c:v>2.19722457733622</c:v>
                </c:pt>
                <c:pt idx="10">
                  <c:v>1.791759469228055</c:v>
                </c:pt>
                <c:pt idx="11">
                  <c:v>3.433987204485146</c:v>
                </c:pt>
                <c:pt idx="12">
                  <c:v>4.882801922586371</c:v>
                </c:pt>
                <c:pt idx="13">
                  <c:v>4.00733318523247</c:v>
                </c:pt>
                <c:pt idx="14">
                  <c:v>2.833213344056216</c:v>
                </c:pt>
                <c:pt idx="15">
                  <c:v>4.143134726391533</c:v>
                </c:pt>
                <c:pt idx="16">
                  <c:v>4.356708826689592</c:v>
                </c:pt>
                <c:pt idx="17">
                  <c:v>0.0</c:v>
                </c:pt>
                <c:pt idx="18">
                  <c:v>3.850147601710058</c:v>
                </c:pt>
                <c:pt idx="19">
                  <c:v>0.0</c:v>
                </c:pt>
                <c:pt idx="20">
                  <c:v>1.6094379124341</c:v>
                </c:pt>
                <c:pt idx="21">
                  <c:v>2.94443897916644</c:v>
                </c:pt>
                <c:pt idx="22">
                  <c:v>6.003887067106539</c:v>
                </c:pt>
              </c:numCache>
            </c:numRef>
          </c:val>
        </c:ser>
        <c:ser>
          <c:idx val="2"/>
          <c:order val="2"/>
          <c:tx>
            <c:strRef>
              <c:f>'Decl &amp; Use'!$F$1</c:f>
              <c:strCache>
                <c:ptCount val="1"/>
                <c:pt idx="0">
                  <c:v>ln(Use)</c:v>
                </c:pt>
              </c:strCache>
            </c:strRef>
          </c:tx>
          <c:val>
            <c:numRef>
              <c:f>'Decl &amp; Use'!$F$2:$F$24</c:f>
              <c:numCache>
                <c:formatCode>General</c:formatCode>
                <c:ptCount val="23"/>
                <c:pt idx="0">
                  <c:v>5.645446897643238</c:v>
                </c:pt>
                <c:pt idx="1">
                  <c:v>5.062595033026967</c:v>
                </c:pt>
                <c:pt idx="2">
                  <c:v>6.29156913955832</c:v>
                </c:pt>
                <c:pt idx="3">
                  <c:v>3.951243718581428</c:v>
                </c:pt>
                <c:pt idx="4">
                  <c:v>6.459904454377534</c:v>
                </c:pt>
                <c:pt idx="5">
                  <c:v>7.131698510466911</c:v>
                </c:pt>
                <c:pt idx="6">
                  <c:v>1.945910149055313</c:v>
                </c:pt>
                <c:pt idx="7">
                  <c:v>7.225481472782294</c:v>
                </c:pt>
                <c:pt idx="8">
                  <c:v>3.931825632724326</c:v>
                </c:pt>
                <c:pt idx="9">
                  <c:v>1.945910149055313</c:v>
                </c:pt>
                <c:pt idx="10">
                  <c:v>0.693147180559945</c:v>
                </c:pt>
                <c:pt idx="11">
                  <c:v>2.19722457733622</c:v>
                </c:pt>
                <c:pt idx="12">
                  <c:v>6.113682179832232</c:v>
                </c:pt>
                <c:pt idx="13">
                  <c:v>2.772588722239781</c:v>
                </c:pt>
                <c:pt idx="14">
                  <c:v>3.091042453358316</c:v>
                </c:pt>
                <c:pt idx="15">
                  <c:v>4.990432586778736</c:v>
                </c:pt>
                <c:pt idx="16">
                  <c:v>5.365976015021851</c:v>
                </c:pt>
                <c:pt idx="17">
                  <c:v>0.0</c:v>
                </c:pt>
                <c:pt idx="18">
                  <c:v>3.688879454113936</c:v>
                </c:pt>
                <c:pt idx="19">
                  <c:v>0.0</c:v>
                </c:pt>
                <c:pt idx="20">
                  <c:v>2.302585092994046</c:v>
                </c:pt>
                <c:pt idx="21">
                  <c:v>2.079441541679836</c:v>
                </c:pt>
                <c:pt idx="22">
                  <c:v>7.680637427560936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8400"/>
        <c:axId val="-2119021376"/>
      </c:areaChart>
      <c:catAx>
        <c:axId val="-21190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21376"/>
        <c:crosses val="autoZero"/>
        <c:auto val="1"/>
        <c:lblAlgn val="ctr"/>
        <c:lblOffset val="100"/>
        <c:noMultiLvlLbl val="0"/>
      </c:catAx>
      <c:valAx>
        <c:axId val="-21190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184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'Usage Levels'!$C$1</c:f>
              <c:strCache>
                <c:ptCount val="1"/>
                <c:pt idx="0">
                  <c:v>Basic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Levels'!$C$2:$C$24</c:f>
              <c:numCache>
                <c:formatCode>General</c:formatCode>
                <c:ptCount val="23"/>
                <c:pt idx="0">
                  <c:v>866.0</c:v>
                </c:pt>
                <c:pt idx="1">
                  <c:v>479.0</c:v>
                </c:pt>
                <c:pt idx="2">
                  <c:v>632.0</c:v>
                </c:pt>
                <c:pt idx="3">
                  <c:v>313.0</c:v>
                </c:pt>
                <c:pt idx="4">
                  <c:v>1080.0</c:v>
                </c:pt>
                <c:pt idx="5">
                  <c:v>2190.0</c:v>
                </c:pt>
                <c:pt idx="6">
                  <c:v>7.0</c:v>
                </c:pt>
                <c:pt idx="7">
                  <c:v>1654.0</c:v>
                </c:pt>
                <c:pt idx="8" formatCode="0">
                  <c:v>102.0</c:v>
                </c:pt>
                <c:pt idx="9">
                  <c:v>16.0</c:v>
                </c:pt>
                <c:pt idx="10">
                  <c:v>8.0</c:v>
                </c:pt>
                <c:pt idx="11">
                  <c:v>39.0</c:v>
                </c:pt>
                <c:pt idx="12">
                  <c:v>477.0</c:v>
                </c:pt>
                <c:pt idx="13">
                  <c:v>59.0</c:v>
                </c:pt>
                <c:pt idx="14">
                  <c:v>39.0</c:v>
                </c:pt>
                <c:pt idx="15">
                  <c:v>129.0</c:v>
                </c:pt>
                <c:pt idx="16">
                  <c:v>192.0</c:v>
                </c:pt>
                <c:pt idx="17">
                  <c:v>0.0</c:v>
                </c:pt>
                <c:pt idx="18">
                  <c:v>64.0</c:v>
                </c:pt>
                <c:pt idx="19">
                  <c:v>0.0</c:v>
                </c:pt>
                <c:pt idx="20">
                  <c:v>15.0</c:v>
                </c:pt>
                <c:pt idx="21">
                  <c:v>26.0</c:v>
                </c:pt>
                <c:pt idx="22">
                  <c:v>2472.0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'Usage Levels'!$E$1</c:f>
              <c:strCache>
                <c:ptCount val="1"/>
                <c:pt idx="0">
                  <c:v>Intermediate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Levels'!$E$2:$E$24</c:f>
              <c:numCache>
                <c:formatCode>General</c:formatCode>
                <c:ptCount val="23"/>
                <c:pt idx="0">
                  <c:v>146.0</c:v>
                </c:pt>
                <c:pt idx="1">
                  <c:v>20.0</c:v>
                </c:pt>
                <c:pt idx="2">
                  <c:v>173.0</c:v>
                </c:pt>
                <c:pt idx="3">
                  <c:v>242.0</c:v>
                </c:pt>
                <c:pt idx="4">
                  <c:v>7.0</c:v>
                </c:pt>
                <c:pt idx="5">
                  <c:v>751.0</c:v>
                </c:pt>
                <c:pt idx="6">
                  <c:v>0.0</c:v>
                </c:pt>
                <c:pt idx="7">
                  <c:v>3163.0</c:v>
                </c:pt>
                <c:pt idx="8">
                  <c:v>15.0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8.0</c:v>
                </c:pt>
                <c:pt idx="13">
                  <c:v>2.0</c:v>
                </c:pt>
                <c:pt idx="14">
                  <c:v>0.0</c:v>
                </c:pt>
                <c:pt idx="15">
                  <c:v>16.0</c:v>
                </c:pt>
                <c:pt idx="16">
                  <c:v>25.0</c:v>
                </c:pt>
                <c:pt idx="17">
                  <c:v>0.0</c:v>
                </c:pt>
                <c:pt idx="18">
                  <c:v>18.0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99.0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'Usage Levels'!$G$1</c:f>
              <c:strCache>
                <c:ptCount val="1"/>
                <c:pt idx="0">
                  <c:v>Advanced</c:v>
                </c:pt>
              </c:strCache>
            </c:strRef>
          </c:tx>
          <c:spPr>
            <a:ln w="47625">
              <a:noFill/>
            </a:ln>
          </c:spPr>
          <c:xVal>
            <c:numRef>
              <c:f>'Usage Levels'!$B$2:$B$24</c:f>
              <c:numCache>
                <c:formatCode>General</c:formatCode>
                <c:ptCount val="2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10.0</c:v>
                </c:pt>
                <c:pt idx="15">
                  <c:v>7.0</c:v>
                </c:pt>
                <c:pt idx="16">
                  <c:v>9.0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4.0</c:v>
                </c:pt>
              </c:numCache>
            </c:numRef>
          </c:xVal>
          <c:yVal>
            <c:numRef>
              <c:f>'Usage Levels'!$G$2:$G$24</c:f>
              <c:numCache>
                <c:formatCode>General</c:formatCode>
                <c:ptCount val="23"/>
                <c:pt idx="0">
                  <c:v>30.0</c:v>
                </c:pt>
                <c:pt idx="1">
                  <c:v>95.0</c:v>
                </c:pt>
                <c:pt idx="2">
                  <c:v>13.0</c:v>
                </c:pt>
                <c:pt idx="3">
                  <c:v>17.0</c:v>
                </c:pt>
                <c:pt idx="4">
                  <c:v>21.0</c:v>
                </c:pt>
                <c:pt idx="5">
                  <c:v>90.0</c:v>
                </c:pt>
                <c:pt idx="6">
                  <c:v>0.0</c:v>
                </c:pt>
                <c:pt idx="7">
                  <c:v>78.0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</c:v>
                </c:pt>
                <c:pt idx="13">
                  <c:v>11.0</c:v>
                </c:pt>
                <c:pt idx="14">
                  <c:v>0.0</c:v>
                </c:pt>
                <c:pt idx="15">
                  <c:v>63.0</c:v>
                </c:pt>
                <c:pt idx="16">
                  <c:v>75.0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200592"/>
        <c:axId val="-2120203552"/>
      </c:scatterChart>
      <c:valAx>
        <c:axId val="-212020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203552"/>
        <c:crosses val="autoZero"/>
        <c:crossBetween val="midCat"/>
      </c:valAx>
      <c:valAx>
        <c:axId val="-21202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0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152400</xdr:rowOff>
    </xdr:from>
    <xdr:to>
      <xdr:col>11</xdr:col>
      <xdr:colOff>12700</xdr:colOff>
      <xdr:row>16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1</xdr:row>
      <xdr:rowOff>165100</xdr:rowOff>
    </xdr:from>
    <xdr:to>
      <xdr:col>16</xdr:col>
      <xdr:colOff>762000</xdr:colOff>
      <xdr:row>16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711200</xdr:colOff>
      <xdr:row>20</xdr:row>
      <xdr:rowOff>50800</xdr:rowOff>
    </xdr:from>
    <xdr:to>
      <xdr:col>10</xdr:col>
      <xdr:colOff>330200</xdr:colOff>
      <xdr:row>34</xdr:row>
      <xdr:rowOff>127000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558800</xdr:colOff>
      <xdr:row>19</xdr:row>
      <xdr:rowOff>76200</xdr:rowOff>
    </xdr:from>
    <xdr:to>
      <xdr:col>17</xdr:col>
      <xdr:colOff>177800</xdr:colOff>
      <xdr:row>33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3</xdr:row>
      <xdr:rowOff>0</xdr:rowOff>
    </xdr:from>
    <xdr:to>
      <xdr:col>17</xdr:col>
      <xdr:colOff>723900</xdr:colOff>
      <xdr:row>17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19</xdr:row>
      <xdr:rowOff>152400</xdr:rowOff>
    </xdr:from>
    <xdr:to>
      <xdr:col>18</xdr:col>
      <xdr:colOff>254000</xdr:colOff>
      <xdr:row>34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355600</xdr:colOff>
      <xdr:row>3</xdr:row>
      <xdr:rowOff>177800</xdr:rowOff>
    </xdr:from>
    <xdr:to>
      <xdr:col>11</xdr:col>
      <xdr:colOff>800100</xdr:colOff>
      <xdr:row>18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241300</xdr:colOff>
      <xdr:row>20</xdr:row>
      <xdr:rowOff>101600</xdr:rowOff>
    </xdr:from>
    <xdr:to>
      <xdr:col>11</xdr:col>
      <xdr:colOff>685800</xdr:colOff>
      <xdr:row>34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2</xdr:row>
      <xdr:rowOff>25400</xdr:rowOff>
    </xdr:from>
    <xdr:to>
      <xdr:col>19</xdr:col>
      <xdr:colOff>762000</xdr:colOff>
      <xdr:row>16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139700</xdr:rowOff>
    </xdr:from>
    <xdr:to>
      <xdr:col>13</xdr:col>
      <xdr:colOff>673100</xdr:colOff>
      <xdr:row>17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215900</xdr:colOff>
      <xdr:row>18</xdr:row>
      <xdr:rowOff>114300</xdr:rowOff>
    </xdr:from>
    <xdr:to>
      <xdr:col>19</xdr:col>
      <xdr:colOff>660400</xdr:colOff>
      <xdr:row>33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19</xdr:row>
      <xdr:rowOff>25400</xdr:rowOff>
    </xdr:from>
    <xdr:to>
      <xdr:col>13</xdr:col>
      <xdr:colOff>685800</xdr:colOff>
      <xdr:row>33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254000</xdr:colOff>
      <xdr:row>34</xdr:row>
      <xdr:rowOff>76200</xdr:rowOff>
    </xdr:from>
    <xdr:to>
      <xdr:col>19</xdr:col>
      <xdr:colOff>698500</xdr:colOff>
      <xdr:row>48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</xdr:row>
      <xdr:rowOff>76200</xdr:rowOff>
    </xdr:from>
    <xdr:to>
      <xdr:col>12</xdr:col>
      <xdr:colOff>88900</xdr:colOff>
      <xdr:row>17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19</xdr:row>
      <xdr:rowOff>114300</xdr:rowOff>
    </xdr:from>
    <xdr:to>
      <xdr:col>12</xdr:col>
      <xdr:colOff>342900</xdr:colOff>
      <xdr:row>34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3</xdr:row>
      <xdr:rowOff>63500</xdr:rowOff>
    </xdr:from>
    <xdr:to>
      <xdr:col>18</xdr:col>
      <xdr:colOff>12700</xdr:colOff>
      <xdr:row>17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723900</xdr:colOff>
      <xdr:row>20</xdr:row>
      <xdr:rowOff>38100</xdr:rowOff>
    </xdr:from>
    <xdr:to>
      <xdr:col>18</xdr:col>
      <xdr:colOff>342900</xdr:colOff>
      <xdr:row>34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3</xdr:row>
      <xdr:rowOff>50800</xdr:rowOff>
    </xdr:from>
    <xdr:to>
      <xdr:col>18</xdr:col>
      <xdr:colOff>330200</xdr:colOff>
      <xdr:row>17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5</xdr:row>
      <xdr:rowOff>101600</xdr:rowOff>
    </xdr:from>
    <xdr:to>
      <xdr:col>11</xdr:col>
      <xdr:colOff>774700</xdr:colOff>
      <xdr:row>19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20</xdr:row>
      <xdr:rowOff>50800</xdr:rowOff>
    </xdr:from>
    <xdr:to>
      <xdr:col>18</xdr:col>
      <xdr:colOff>419100</xdr:colOff>
      <xdr:row>34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35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139700</xdr:rowOff>
    </xdr:from>
    <xdr:to>
      <xdr:col>19</xdr:col>
      <xdr:colOff>457200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</xdr:row>
      <xdr:rowOff>177800</xdr:rowOff>
    </xdr:from>
    <xdr:to>
      <xdr:col>13</xdr:col>
      <xdr:colOff>596900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444500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</xdr:colOff>
      <xdr:row>35</xdr:row>
      <xdr:rowOff>25400</xdr:rowOff>
    </xdr:from>
    <xdr:to>
      <xdr:col>19</xdr:col>
      <xdr:colOff>508000</xdr:colOff>
      <xdr:row>49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18</xdr:row>
      <xdr:rowOff>127000</xdr:rowOff>
    </xdr:from>
    <xdr:to>
      <xdr:col>13</xdr:col>
      <xdr:colOff>711200</xdr:colOff>
      <xdr:row>33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C17" sqref="C17"/>
    </sheetView>
  </sheetViews>
  <sheetFormatPr baseColWidth="10" defaultRowHeight="16" x14ac:dyDescent="0.2"/>
  <cols>
    <col min="1" max="1" width="13.83203125" bestFit="1" customWidth="1"/>
    <col min="2" max="2" width="5.5" bestFit="1" customWidth="1"/>
    <col min="6" max="6" width="5.83203125" bestFit="1" customWidth="1"/>
    <col min="13" max="13" width="7" bestFit="1" customWidth="1"/>
  </cols>
  <sheetData>
    <row r="1" spans="1:22" x14ac:dyDescent="0.2">
      <c r="A1" s="1" t="s">
        <v>0</v>
      </c>
      <c r="B1" s="1" t="s">
        <v>28</v>
      </c>
      <c r="C1" s="2" t="s">
        <v>18</v>
      </c>
      <c r="D1" s="5" t="s">
        <v>35</v>
      </c>
      <c r="E1" s="5" t="s">
        <v>19</v>
      </c>
      <c r="F1" s="5" t="s">
        <v>36</v>
      </c>
      <c r="G1" s="5" t="s">
        <v>21</v>
      </c>
      <c r="H1" s="28" t="s">
        <v>37</v>
      </c>
      <c r="I1" s="5" t="s">
        <v>22</v>
      </c>
      <c r="J1" s="5" t="s">
        <v>38</v>
      </c>
      <c r="K1" s="5" t="s">
        <v>29</v>
      </c>
      <c r="L1" s="5" t="s">
        <v>42</v>
      </c>
      <c r="M1" s="28" t="s">
        <v>30</v>
      </c>
      <c r="N1" s="28" t="s">
        <v>43</v>
      </c>
      <c r="O1" s="5" t="s">
        <v>31</v>
      </c>
      <c r="P1" s="5" t="s">
        <v>44</v>
      </c>
      <c r="Q1" s="28" t="s">
        <v>32</v>
      </c>
      <c r="R1" s="28" t="s">
        <v>45</v>
      </c>
      <c r="S1" s="28" t="s">
        <v>33</v>
      </c>
      <c r="T1" s="28" t="s">
        <v>46</v>
      </c>
      <c r="U1" s="5" t="s">
        <v>34</v>
      </c>
      <c r="V1" s="5" t="s">
        <v>47</v>
      </c>
    </row>
    <row r="2" spans="1:22" x14ac:dyDescent="0.2">
      <c r="A2" s="6" t="s">
        <v>6</v>
      </c>
      <c r="B2">
        <v>10</v>
      </c>
      <c r="C2" s="14">
        <v>3031</v>
      </c>
      <c r="D2">
        <f t="shared" ref="D2:D18" si="0">LN(C2)</f>
        <v>8.0166478770578031</v>
      </c>
      <c r="E2" s="9">
        <v>50092</v>
      </c>
      <c r="F2">
        <f t="shared" ref="F2:F24" si="1">LN(E2)</f>
        <v>10.821616593683924</v>
      </c>
      <c r="G2" s="22">
        <v>972</v>
      </c>
      <c r="H2" s="7">
        <f t="shared" ref="H2:H7" si="2">LN(G2)</f>
        <v>6.879355804460439</v>
      </c>
      <c r="I2" s="24">
        <v>283</v>
      </c>
      <c r="J2">
        <f t="shared" ref="J2:J18" si="3">LN(I2)</f>
        <v>5.6454468976432377</v>
      </c>
      <c r="K2">
        <f>3031*0.6</f>
        <v>1818.6</v>
      </c>
      <c r="L2">
        <f t="shared" ref="L2:L18" si="4">LN(K2)</f>
        <v>7.5058222532918126</v>
      </c>
      <c r="M2" s="22">
        <f>972*0.8</f>
        <v>777.6</v>
      </c>
      <c r="N2" s="7">
        <f t="shared" ref="N2:N7" si="5">LN(M2)</f>
        <v>6.6562122531462293</v>
      </c>
      <c r="O2" s="24">
        <f>283*0.6</f>
        <v>169.79999999999998</v>
      </c>
      <c r="P2">
        <f t="shared" ref="P2:P18" si="6">LN(O2)</f>
        <v>5.1346212738772472</v>
      </c>
      <c r="Q2" s="15">
        <f>866*0.8</f>
        <v>692.80000000000007</v>
      </c>
      <c r="R2" s="4">
        <f>LN(Q2)</f>
        <v>6.5407413572482254</v>
      </c>
      <c r="S2" s="14">
        <f>146*0.6</f>
        <v>87.6</v>
      </c>
      <c r="T2" s="4">
        <f>LN(S2)</f>
        <v>4.4727809979423458</v>
      </c>
      <c r="U2" s="14">
        <f>30*0.6</f>
        <v>18</v>
      </c>
      <c r="V2">
        <f>LN(U2)</f>
        <v>2.8903717578961645</v>
      </c>
    </row>
    <row r="3" spans="1:22" ht="16" customHeight="1" x14ac:dyDescent="0.2">
      <c r="A3" s="8" t="s">
        <v>15</v>
      </c>
      <c r="B3">
        <v>10</v>
      </c>
      <c r="C3" s="12">
        <v>39</v>
      </c>
      <c r="D3">
        <f t="shared" si="0"/>
        <v>3.6635616461296463</v>
      </c>
      <c r="E3" s="9">
        <v>90005</v>
      </c>
      <c r="F3">
        <f t="shared" si="1"/>
        <v>11.407620503324805</v>
      </c>
      <c r="G3" s="15">
        <v>435</v>
      </c>
      <c r="H3" s="4">
        <f t="shared" si="2"/>
        <v>6.0753460310886842</v>
      </c>
      <c r="I3" s="15">
        <v>158</v>
      </c>
      <c r="J3">
        <f t="shared" si="3"/>
        <v>5.0625950330269669</v>
      </c>
      <c r="K3">
        <f>39*0.2</f>
        <v>7.8000000000000007</v>
      </c>
      <c r="L3">
        <f t="shared" si="4"/>
        <v>2.0541237336955462</v>
      </c>
      <c r="M3" s="15">
        <f>435*0.8</f>
        <v>348</v>
      </c>
      <c r="N3" s="4">
        <f t="shared" si="5"/>
        <v>5.8522024797744745</v>
      </c>
      <c r="O3" s="15">
        <f>158*0.8</f>
        <v>126.4</v>
      </c>
      <c r="P3">
        <f t="shared" si="6"/>
        <v>4.8394514817127572</v>
      </c>
      <c r="Q3" s="15">
        <f>479*0.8</f>
        <v>383.20000000000005</v>
      </c>
      <c r="R3" s="4">
        <f t="shared" ref="R3:R20" si="7">LN(Q3)</f>
        <v>5.9485570460967052</v>
      </c>
      <c r="S3" s="15">
        <f>20*0.8</f>
        <v>16</v>
      </c>
      <c r="T3" s="4">
        <f t="shared" ref="T3:T20" si="8">LN(S3)</f>
        <v>2.7725887222397811</v>
      </c>
      <c r="U3" s="15">
        <f>95*0.8</f>
        <v>76</v>
      </c>
      <c r="V3">
        <f t="shared" ref="V3:V20" si="9">LN(U3)</f>
        <v>4.3307333402863311</v>
      </c>
    </row>
    <row r="4" spans="1:22" x14ac:dyDescent="0.2">
      <c r="A4" s="6" t="s">
        <v>2</v>
      </c>
      <c r="B4">
        <v>9</v>
      </c>
      <c r="C4" s="15">
        <v>593</v>
      </c>
      <c r="D4">
        <f t="shared" si="0"/>
        <v>6.3851943989977258</v>
      </c>
      <c r="E4" s="9">
        <v>111512</v>
      </c>
      <c r="F4">
        <f t="shared" si="1"/>
        <v>11.621887487409722</v>
      </c>
      <c r="G4" s="23">
        <v>278</v>
      </c>
      <c r="H4" s="29">
        <f t="shared" si="2"/>
        <v>5.6276211136906369</v>
      </c>
      <c r="I4" s="14">
        <v>540</v>
      </c>
      <c r="J4">
        <f t="shared" si="3"/>
        <v>6.2915691395583204</v>
      </c>
      <c r="K4">
        <f>593*0.8</f>
        <v>474.40000000000003</v>
      </c>
      <c r="L4">
        <f t="shared" si="4"/>
        <v>6.1620508476835161</v>
      </c>
      <c r="M4" s="23">
        <f>278*0.6</f>
        <v>166.79999999999998</v>
      </c>
      <c r="N4" s="29">
        <f t="shared" si="5"/>
        <v>5.1167954899246464</v>
      </c>
      <c r="O4" s="14">
        <f>540*0.6</f>
        <v>324</v>
      </c>
      <c r="P4">
        <f t="shared" si="6"/>
        <v>5.780743515792329</v>
      </c>
      <c r="Q4" s="14">
        <f>632*0.6</f>
        <v>379.2</v>
      </c>
      <c r="R4" s="4">
        <f t="shared" si="7"/>
        <v>5.9380637703808663</v>
      </c>
      <c r="S4" s="13">
        <f>173*0.4</f>
        <v>69.2</v>
      </c>
      <c r="T4" s="4">
        <f t="shared" si="8"/>
        <v>4.2370008626236242</v>
      </c>
      <c r="U4" s="14">
        <f>13*0.6</f>
        <v>7.8</v>
      </c>
      <c r="V4">
        <f t="shared" si="9"/>
        <v>2.0541237336955462</v>
      </c>
    </row>
    <row r="5" spans="1:22" x14ac:dyDescent="0.2">
      <c r="A5" s="6" t="s">
        <v>3</v>
      </c>
      <c r="B5">
        <v>9</v>
      </c>
      <c r="C5" s="14">
        <v>818</v>
      </c>
      <c r="D5">
        <f t="shared" si="0"/>
        <v>6.7068623366027467</v>
      </c>
      <c r="E5" s="9">
        <v>169295</v>
      </c>
      <c r="F5">
        <f t="shared" si="1"/>
        <v>12.039398034312397</v>
      </c>
      <c r="G5" s="16">
        <v>412</v>
      </c>
      <c r="H5" s="4">
        <f t="shared" si="2"/>
        <v>6.0210233493495267</v>
      </c>
      <c r="I5" s="16">
        <v>52</v>
      </c>
      <c r="J5">
        <f t="shared" si="3"/>
        <v>3.9512437185814275</v>
      </c>
      <c r="K5">
        <f>818*0.6</f>
        <v>490.79999999999995</v>
      </c>
      <c r="L5">
        <f t="shared" si="4"/>
        <v>6.1960367128367562</v>
      </c>
      <c r="M5" s="16">
        <v>412</v>
      </c>
      <c r="N5" s="4">
        <f t="shared" si="5"/>
        <v>6.0210233493495267</v>
      </c>
      <c r="O5" s="16">
        <v>52</v>
      </c>
      <c r="P5">
        <f t="shared" si="6"/>
        <v>3.9512437185814275</v>
      </c>
      <c r="Q5" s="16">
        <v>313</v>
      </c>
      <c r="R5" s="4">
        <f t="shared" si="7"/>
        <v>5.7462031905401529</v>
      </c>
      <c r="S5" s="16">
        <v>242</v>
      </c>
      <c r="T5" s="4">
        <f t="shared" si="8"/>
        <v>5.4889377261566867</v>
      </c>
      <c r="U5" s="16">
        <v>17</v>
      </c>
      <c r="V5">
        <f t="shared" si="9"/>
        <v>2.8332133440562162</v>
      </c>
    </row>
    <row r="6" spans="1:22" ht="14" customHeight="1" x14ac:dyDescent="0.2">
      <c r="A6" s="6" t="s">
        <v>4</v>
      </c>
      <c r="B6">
        <v>9</v>
      </c>
      <c r="C6" s="16">
        <v>572</v>
      </c>
      <c r="D6">
        <f t="shared" si="0"/>
        <v>6.3491389913797978</v>
      </c>
      <c r="E6" s="9">
        <v>137613</v>
      </c>
      <c r="F6">
        <f t="shared" si="1"/>
        <v>11.83220067676292</v>
      </c>
      <c r="G6" s="15">
        <v>433</v>
      </c>
      <c r="H6" s="4">
        <f t="shared" si="2"/>
        <v>6.0707377280024897</v>
      </c>
      <c r="I6" s="15">
        <v>639</v>
      </c>
      <c r="J6">
        <f t="shared" si="3"/>
        <v>6.4599044543775346</v>
      </c>
      <c r="K6">
        <v>572</v>
      </c>
      <c r="L6">
        <f t="shared" si="4"/>
        <v>6.3491389913797978</v>
      </c>
      <c r="M6" s="15">
        <f>433*0.8</f>
        <v>346.40000000000003</v>
      </c>
      <c r="N6" s="4">
        <f t="shared" si="5"/>
        <v>5.84759417668828</v>
      </c>
      <c r="O6" s="15">
        <f>639*0.8</f>
        <v>511.20000000000005</v>
      </c>
      <c r="P6">
        <f t="shared" si="6"/>
        <v>6.2367609030633249</v>
      </c>
      <c r="Q6" s="15">
        <f>1080*0.8</f>
        <v>864</v>
      </c>
      <c r="R6" s="4">
        <f t="shared" si="7"/>
        <v>6.7615727688040552</v>
      </c>
      <c r="S6" s="12">
        <f>7*0.2</f>
        <v>1.4000000000000001</v>
      </c>
      <c r="T6" s="4">
        <f t="shared" si="8"/>
        <v>0.33647223662121301</v>
      </c>
      <c r="U6" s="14">
        <f>21*0.6</f>
        <v>12.6</v>
      </c>
      <c r="V6">
        <f t="shared" si="9"/>
        <v>2.5336968139574321</v>
      </c>
    </row>
    <row r="7" spans="1:22" x14ac:dyDescent="0.2">
      <c r="A7" s="6" t="s">
        <v>5</v>
      </c>
      <c r="B7">
        <v>9</v>
      </c>
      <c r="C7" s="15">
        <v>1072</v>
      </c>
      <c r="D7">
        <f t="shared" si="0"/>
        <v>6.9772813416307473</v>
      </c>
      <c r="E7" s="9">
        <v>91604</v>
      </c>
      <c r="F7">
        <f t="shared" si="1"/>
        <v>11.425230217831068</v>
      </c>
      <c r="G7" s="14">
        <v>1780</v>
      </c>
      <c r="H7" s="4">
        <f t="shared" si="2"/>
        <v>7.4843686432861309</v>
      </c>
      <c r="I7" s="14">
        <v>1251</v>
      </c>
      <c r="J7">
        <f t="shared" si="3"/>
        <v>7.1316985104669115</v>
      </c>
      <c r="K7">
        <f>1072*0.8</f>
        <v>857.6</v>
      </c>
      <c r="L7">
        <f t="shared" si="4"/>
        <v>6.7541377903165376</v>
      </c>
      <c r="M7" s="14">
        <f>1780*0.6</f>
        <v>1068</v>
      </c>
      <c r="N7" s="4">
        <f t="shared" si="5"/>
        <v>6.9735430195201404</v>
      </c>
      <c r="O7" s="14">
        <f>1251*0.6</f>
        <v>750.6</v>
      </c>
      <c r="P7">
        <f t="shared" si="6"/>
        <v>6.6208728867009201</v>
      </c>
      <c r="Q7" s="14">
        <f>2190*0.6</f>
        <v>1314</v>
      </c>
      <c r="R7" s="4">
        <f t="shared" si="7"/>
        <v>7.1808311990445555</v>
      </c>
      <c r="S7" s="14">
        <f>751*0.6</f>
        <v>450.59999999999997</v>
      </c>
      <c r="T7" s="4">
        <f t="shared" si="8"/>
        <v>6.1105800279981439</v>
      </c>
      <c r="U7" s="12">
        <f>90*0.2</f>
        <v>18</v>
      </c>
      <c r="V7">
        <f t="shared" si="9"/>
        <v>2.8903717578961645</v>
      </c>
    </row>
    <row r="8" spans="1:22" x14ac:dyDescent="0.2">
      <c r="A8" s="6" t="s">
        <v>13</v>
      </c>
      <c r="B8">
        <v>9</v>
      </c>
      <c r="C8" s="16">
        <v>584</v>
      </c>
      <c r="D8">
        <f t="shared" si="0"/>
        <v>6.3699009828282271</v>
      </c>
      <c r="E8" s="9">
        <v>312372</v>
      </c>
      <c r="F8">
        <f t="shared" si="1"/>
        <v>12.651950064249601</v>
      </c>
      <c r="G8" s="12">
        <v>0</v>
      </c>
      <c r="H8" s="4">
        <v>0</v>
      </c>
      <c r="I8" s="12">
        <v>7</v>
      </c>
      <c r="J8">
        <f t="shared" si="3"/>
        <v>1.9459101490553132</v>
      </c>
      <c r="K8">
        <v>584</v>
      </c>
      <c r="L8">
        <f t="shared" si="4"/>
        <v>6.3699009828282271</v>
      </c>
      <c r="M8" s="4">
        <v>0</v>
      </c>
      <c r="N8" s="4">
        <v>0</v>
      </c>
      <c r="O8" s="12">
        <f>7*0.2</f>
        <v>1.4000000000000001</v>
      </c>
      <c r="P8">
        <f t="shared" si="6"/>
        <v>0.33647223662121301</v>
      </c>
      <c r="Q8" s="12">
        <f>7*0.2</f>
        <v>1.4000000000000001</v>
      </c>
      <c r="R8" s="4">
        <f t="shared" si="7"/>
        <v>0.33647223662121301</v>
      </c>
      <c r="S8">
        <v>0</v>
      </c>
      <c r="T8" s="4">
        <v>0</v>
      </c>
      <c r="U8">
        <v>0</v>
      </c>
      <c r="V8">
        <v>0</v>
      </c>
    </row>
    <row r="9" spans="1:22" x14ac:dyDescent="0.2">
      <c r="A9" s="8" t="s">
        <v>17</v>
      </c>
      <c r="B9">
        <v>9</v>
      </c>
      <c r="C9" s="15">
        <v>292</v>
      </c>
      <c r="D9">
        <f t="shared" si="0"/>
        <v>5.6767538022682817</v>
      </c>
      <c r="E9" s="11">
        <v>3353</v>
      </c>
      <c r="F9">
        <f t="shared" si="1"/>
        <v>8.1176107464662284</v>
      </c>
      <c r="G9" s="13">
        <v>3524</v>
      </c>
      <c r="H9" s="4">
        <f t="shared" ref="H9:H18" si="10">LN(G9)</f>
        <v>8.1673519870560707</v>
      </c>
      <c r="I9" s="12">
        <v>1374</v>
      </c>
      <c r="J9">
        <f t="shared" si="3"/>
        <v>7.2254814727822945</v>
      </c>
      <c r="K9">
        <f>292*0.8</f>
        <v>233.60000000000002</v>
      </c>
      <c r="L9">
        <f t="shared" si="4"/>
        <v>5.453610250954072</v>
      </c>
      <c r="M9" s="13">
        <f>3524*0.4</f>
        <v>1409.6000000000001</v>
      </c>
      <c r="N9" s="4">
        <f t="shared" ref="N9:N18" si="11">LN(M9)</f>
        <v>7.2510612551819156</v>
      </c>
      <c r="O9" s="12">
        <f>1374*0.2</f>
        <v>274.8</v>
      </c>
      <c r="P9">
        <f t="shared" si="6"/>
        <v>5.616043560348194</v>
      </c>
      <c r="Q9" s="13">
        <f>1654*0.4</f>
        <v>661.6</v>
      </c>
      <c r="R9" s="4">
        <f t="shared" si="7"/>
        <v>6.4946611437094814</v>
      </c>
      <c r="S9" s="12">
        <f>3163*0.2</f>
        <v>632.6</v>
      </c>
      <c r="T9" s="4">
        <f t="shared" si="8"/>
        <v>6.4498383108715487</v>
      </c>
      <c r="U9" s="12">
        <f>78*0.2</f>
        <v>15.600000000000001</v>
      </c>
      <c r="V9">
        <f t="shared" si="9"/>
        <v>2.7472709142554916</v>
      </c>
    </row>
    <row r="10" spans="1:22" x14ac:dyDescent="0.2">
      <c r="A10" s="7" t="s">
        <v>11</v>
      </c>
      <c r="B10">
        <v>8</v>
      </c>
      <c r="C10" s="12">
        <v>8</v>
      </c>
      <c r="D10">
        <f t="shared" si="0"/>
        <v>2.0794415416798357</v>
      </c>
      <c r="E10">
        <v>13829</v>
      </c>
      <c r="F10">
        <f t="shared" si="1"/>
        <v>9.5345231154646584</v>
      </c>
      <c r="G10" s="14">
        <v>69</v>
      </c>
      <c r="H10" s="4">
        <f t="shared" si="10"/>
        <v>4.2341065045972597</v>
      </c>
      <c r="I10" s="14">
        <v>51</v>
      </c>
      <c r="J10">
        <f t="shared" si="3"/>
        <v>3.9318256327243257</v>
      </c>
      <c r="K10">
        <f>8*0.2</f>
        <v>1.6</v>
      </c>
      <c r="L10">
        <f t="shared" si="4"/>
        <v>0.47000362924573563</v>
      </c>
      <c r="M10" s="14">
        <f>69*0.6</f>
        <v>41.4</v>
      </c>
      <c r="N10" s="4">
        <f t="shared" si="11"/>
        <v>3.7232808808312687</v>
      </c>
      <c r="O10" s="14">
        <f>51*0.6</f>
        <v>30.599999999999998</v>
      </c>
      <c r="P10">
        <f t="shared" si="6"/>
        <v>3.4210000089583352</v>
      </c>
      <c r="Q10" s="25">
        <f>102*0.6</f>
        <v>61.199999999999996</v>
      </c>
      <c r="R10" s="4">
        <f t="shared" si="7"/>
        <v>4.1141471895182802</v>
      </c>
      <c r="S10" s="14">
        <f>15*0.6</f>
        <v>9</v>
      </c>
      <c r="T10" s="4">
        <f t="shared" si="8"/>
        <v>2.1972245773362196</v>
      </c>
      <c r="U10" s="14">
        <f>3*0.6</f>
        <v>1.7999999999999998</v>
      </c>
      <c r="V10">
        <f t="shared" si="9"/>
        <v>0.58778666490211895</v>
      </c>
    </row>
    <row r="11" spans="1:22" x14ac:dyDescent="0.2">
      <c r="A11" s="7" t="s">
        <v>9</v>
      </c>
      <c r="B11">
        <v>7</v>
      </c>
      <c r="C11" s="14">
        <v>120</v>
      </c>
      <c r="D11">
        <f t="shared" si="0"/>
        <v>4.7874917427820458</v>
      </c>
      <c r="E11" s="9">
        <v>1485</v>
      </c>
      <c r="F11">
        <f t="shared" si="1"/>
        <v>7.3031700512368003</v>
      </c>
      <c r="G11" s="12">
        <v>9</v>
      </c>
      <c r="H11" s="4">
        <f t="shared" si="10"/>
        <v>2.1972245773362196</v>
      </c>
      <c r="I11" s="12">
        <v>7</v>
      </c>
      <c r="J11">
        <f t="shared" si="3"/>
        <v>1.9459101490553132</v>
      </c>
      <c r="K11">
        <f>120*0.6</f>
        <v>72</v>
      </c>
      <c r="L11">
        <f t="shared" si="4"/>
        <v>4.2766661190160553</v>
      </c>
      <c r="M11" s="12">
        <f>9*0.2</f>
        <v>1.8</v>
      </c>
      <c r="N11" s="4">
        <f t="shared" si="11"/>
        <v>0.58778666490211906</v>
      </c>
      <c r="O11" s="12">
        <f>7*0.2</f>
        <v>1.4000000000000001</v>
      </c>
      <c r="P11">
        <f t="shared" si="6"/>
        <v>0.33647223662121301</v>
      </c>
      <c r="Q11" s="12">
        <f>16*0.2</f>
        <v>3.2</v>
      </c>
      <c r="R11" s="4">
        <f t="shared" si="7"/>
        <v>1.1631508098056809</v>
      </c>
      <c r="S11">
        <v>0</v>
      </c>
      <c r="T11" s="4">
        <v>0</v>
      </c>
      <c r="U11">
        <v>0</v>
      </c>
      <c r="V11">
        <v>0</v>
      </c>
    </row>
    <row r="12" spans="1:22" x14ac:dyDescent="0.2">
      <c r="A12" s="6" t="s">
        <v>10</v>
      </c>
      <c r="B12">
        <v>7</v>
      </c>
      <c r="C12" s="12">
        <v>16</v>
      </c>
      <c r="D12">
        <f t="shared" si="0"/>
        <v>2.7725887222397811</v>
      </c>
      <c r="E12" s="9">
        <v>1067</v>
      </c>
      <c r="F12">
        <f t="shared" si="1"/>
        <v>6.9726062513017535</v>
      </c>
      <c r="G12" s="12">
        <v>6</v>
      </c>
      <c r="H12" s="4">
        <f t="shared" si="10"/>
        <v>1.791759469228055</v>
      </c>
      <c r="I12" s="12">
        <v>2</v>
      </c>
      <c r="J12">
        <f t="shared" si="3"/>
        <v>0.69314718055994529</v>
      </c>
      <c r="K12">
        <f>16*0.2</f>
        <v>3.2</v>
      </c>
      <c r="L12">
        <f t="shared" si="4"/>
        <v>1.1631508098056809</v>
      </c>
      <c r="M12" s="12">
        <f>6*0.2</f>
        <v>1.2000000000000002</v>
      </c>
      <c r="N12" s="4">
        <f t="shared" si="11"/>
        <v>0.18232155679395479</v>
      </c>
      <c r="O12" s="12">
        <f>2*0.2</f>
        <v>0.4</v>
      </c>
      <c r="P12">
        <f t="shared" si="6"/>
        <v>-0.916290731874155</v>
      </c>
      <c r="Q12" s="12">
        <f>8*0.2</f>
        <v>1.6</v>
      </c>
      <c r="R12" s="4">
        <f t="shared" si="7"/>
        <v>0.47000362924573563</v>
      </c>
      <c r="S12">
        <v>0</v>
      </c>
      <c r="T12" s="4">
        <v>0</v>
      </c>
      <c r="U12">
        <v>0</v>
      </c>
      <c r="V12">
        <v>0</v>
      </c>
    </row>
    <row r="13" spans="1:22" x14ac:dyDescent="0.2">
      <c r="A13" s="8" t="s">
        <v>16</v>
      </c>
      <c r="B13">
        <v>7</v>
      </c>
      <c r="C13" s="15">
        <v>210</v>
      </c>
      <c r="D13">
        <f t="shared" si="0"/>
        <v>5.3471075307174685</v>
      </c>
      <c r="E13">
        <f>SUM(7083 +1625)</f>
        <v>8708</v>
      </c>
      <c r="F13">
        <f t="shared" si="1"/>
        <v>9.0719974223544373</v>
      </c>
      <c r="G13" s="13">
        <v>31</v>
      </c>
      <c r="H13" s="4">
        <f t="shared" si="10"/>
        <v>3.4339872044851463</v>
      </c>
      <c r="I13" s="13">
        <v>9</v>
      </c>
      <c r="J13">
        <f t="shared" si="3"/>
        <v>2.1972245773362196</v>
      </c>
      <c r="K13">
        <f>210*8</f>
        <v>1680</v>
      </c>
      <c r="L13">
        <f t="shared" si="4"/>
        <v>7.4265490723973047</v>
      </c>
      <c r="M13" s="13">
        <f>31*0.4</f>
        <v>12.4</v>
      </c>
      <c r="N13" s="4">
        <f t="shared" si="11"/>
        <v>2.5176964726109912</v>
      </c>
      <c r="O13" s="13">
        <f>9*0.4</f>
        <v>3.6</v>
      </c>
      <c r="P13">
        <f t="shared" si="6"/>
        <v>1.2809338454620642</v>
      </c>
      <c r="Q13" s="13">
        <f>39*0.4</f>
        <v>15.600000000000001</v>
      </c>
      <c r="R13" s="4">
        <f t="shared" si="7"/>
        <v>2.7472709142554916</v>
      </c>
      <c r="S13" s="13">
        <f>1*0.4</f>
        <v>0.4</v>
      </c>
      <c r="T13" s="4">
        <f t="shared" si="8"/>
        <v>-0.916290731874155</v>
      </c>
      <c r="U13">
        <v>0</v>
      </c>
      <c r="V13">
        <v>0</v>
      </c>
    </row>
    <row r="14" spans="1:22" x14ac:dyDescent="0.2">
      <c r="A14" s="6" t="s">
        <v>1</v>
      </c>
      <c r="B14">
        <v>6</v>
      </c>
      <c r="C14" s="15">
        <v>1042</v>
      </c>
      <c r="D14">
        <f t="shared" si="0"/>
        <v>6.9488972223133123</v>
      </c>
      <c r="E14">
        <v>18929</v>
      </c>
      <c r="F14">
        <f t="shared" si="1"/>
        <v>9.8484504166062194</v>
      </c>
      <c r="G14" s="16">
        <v>132</v>
      </c>
      <c r="H14" s="4">
        <f t="shared" si="10"/>
        <v>4.8828019225863706</v>
      </c>
      <c r="I14" s="16">
        <v>452</v>
      </c>
      <c r="J14">
        <f t="shared" si="3"/>
        <v>6.1136821798322316</v>
      </c>
      <c r="K14">
        <f>1042*0.8</f>
        <v>833.6</v>
      </c>
      <c r="L14">
        <f t="shared" si="4"/>
        <v>6.7257536709991026</v>
      </c>
      <c r="M14" s="16">
        <v>132</v>
      </c>
      <c r="N14" s="4">
        <f t="shared" si="11"/>
        <v>4.8828019225863706</v>
      </c>
      <c r="O14" s="16">
        <v>452</v>
      </c>
      <c r="P14">
        <f t="shared" si="6"/>
        <v>6.1136821798322316</v>
      </c>
      <c r="Q14" s="16">
        <v>477</v>
      </c>
      <c r="R14" s="4">
        <f t="shared" si="7"/>
        <v>6.1675164908883415</v>
      </c>
      <c r="S14" s="14">
        <f>8*0.6</f>
        <v>4.8</v>
      </c>
      <c r="T14" s="4">
        <f t="shared" si="8"/>
        <v>1.5686159179138452</v>
      </c>
      <c r="U14" s="14">
        <f>99*0.6</f>
        <v>59.4</v>
      </c>
      <c r="V14">
        <f t="shared" si="9"/>
        <v>4.0842942263685993</v>
      </c>
    </row>
    <row r="15" spans="1:22" x14ac:dyDescent="0.2">
      <c r="A15" s="6" t="s">
        <v>8</v>
      </c>
      <c r="B15">
        <v>6</v>
      </c>
      <c r="C15" s="13">
        <v>4898</v>
      </c>
      <c r="D15">
        <f t="shared" si="0"/>
        <v>8.4965822375121132</v>
      </c>
      <c r="E15">
        <v>13068</v>
      </c>
      <c r="F15">
        <f t="shared" si="1"/>
        <v>9.4779217727209613</v>
      </c>
      <c r="G15" s="13">
        <v>55</v>
      </c>
      <c r="H15" s="4">
        <f t="shared" si="10"/>
        <v>4.0073331852324712</v>
      </c>
      <c r="I15" s="13">
        <v>16</v>
      </c>
      <c r="J15">
        <f t="shared" si="3"/>
        <v>2.7725887222397811</v>
      </c>
      <c r="K15">
        <f>4898*0.4</f>
        <v>1959.2</v>
      </c>
      <c r="L15">
        <f t="shared" si="4"/>
        <v>7.5802915056379581</v>
      </c>
      <c r="M15" s="13">
        <f>55*0.4</f>
        <v>22</v>
      </c>
      <c r="N15" s="4">
        <f t="shared" si="11"/>
        <v>3.0910424533583161</v>
      </c>
      <c r="O15" s="13">
        <f>16*0.4</f>
        <v>6.4</v>
      </c>
      <c r="P15">
        <f t="shared" si="6"/>
        <v>1.8562979903656263</v>
      </c>
      <c r="Q15" s="13">
        <f>59*0.4</f>
        <v>23.6</v>
      </c>
      <c r="R15" s="4">
        <f t="shared" si="7"/>
        <v>3.1612467120315646</v>
      </c>
      <c r="S15" s="13">
        <f>2*0.4</f>
        <v>0.8</v>
      </c>
      <c r="T15" s="4">
        <f t="shared" si="8"/>
        <v>-0.22314355131420971</v>
      </c>
      <c r="U15" s="13">
        <f>11*0.4</f>
        <v>4.4000000000000004</v>
      </c>
      <c r="V15">
        <f t="shared" si="9"/>
        <v>1.4816045409242156</v>
      </c>
    </row>
    <row r="16" spans="1:22" x14ac:dyDescent="0.2">
      <c r="A16" s="6" t="s">
        <v>12</v>
      </c>
      <c r="B16">
        <v>6</v>
      </c>
      <c r="C16" s="13">
        <v>40</v>
      </c>
      <c r="D16">
        <f t="shared" si="0"/>
        <v>3.6888794541139363</v>
      </c>
      <c r="E16">
        <f>SUM(1281+1237)</f>
        <v>2518</v>
      </c>
      <c r="F16">
        <f t="shared" si="1"/>
        <v>7.8312202146042926</v>
      </c>
      <c r="G16" s="12">
        <v>17</v>
      </c>
      <c r="H16" s="4">
        <f t="shared" si="10"/>
        <v>2.8332133440562162</v>
      </c>
      <c r="I16" s="12">
        <v>22</v>
      </c>
      <c r="J16">
        <f t="shared" si="3"/>
        <v>3.0910424533583161</v>
      </c>
      <c r="K16">
        <f>40*0.4</f>
        <v>16</v>
      </c>
      <c r="L16">
        <f t="shared" si="4"/>
        <v>2.7725887222397811</v>
      </c>
      <c r="M16" s="12">
        <f>17*0.2</f>
        <v>3.4000000000000004</v>
      </c>
      <c r="N16" s="4">
        <f t="shared" si="11"/>
        <v>1.2237754316221159</v>
      </c>
      <c r="O16" s="12">
        <f>22*0.2</f>
        <v>4.4000000000000004</v>
      </c>
      <c r="P16">
        <f t="shared" si="6"/>
        <v>1.4816045409242156</v>
      </c>
      <c r="Q16" s="26">
        <f>39*0.2</f>
        <v>7.8000000000000007</v>
      </c>
      <c r="R16" s="4">
        <f t="shared" si="7"/>
        <v>2.0541237336955462</v>
      </c>
      <c r="S16">
        <v>0</v>
      </c>
      <c r="T16" s="4">
        <v>0</v>
      </c>
      <c r="U16">
        <v>0</v>
      </c>
      <c r="V16">
        <v>0</v>
      </c>
    </row>
    <row r="17" spans="1:22" x14ac:dyDescent="0.2">
      <c r="A17" s="8" t="s">
        <v>14</v>
      </c>
      <c r="B17">
        <v>6</v>
      </c>
      <c r="C17" s="13">
        <v>71</v>
      </c>
      <c r="D17">
        <f t="shared" si="0"/>
        <v>4.2626798770413155</v>
      </c>
      <c r="E17">
        <v>15909</v>
      </c>
      <c r="F17">
        <f t="shared" si="1"/>
        <v>9.6746402658052393</v>
      </c>
      <c r="G17" s="15">
        <v>63</v>
      </c>
      <c r="H17" s="4">
        <f t="shared" si="10"/>
        <v>4.1431347263915326</v>
      </c>
      <c r="I17" s="15">
        <v>147</v>
      </c>
      <c r="J17">
        <f t="shared" si="3"/>
        <v>4.990432586778736</v>
      </c>
      <c r="K17">
        <f>71*0.4</f>
        <v>28.400000000000002</v>
      </c>
      <c r="L17">
        <f t="shared" si="4"/>
        <v>3.3463891451671604</v>
      </c>
      <c r="M17" s="15">
        <f>63*0.8</f>
        <v>50.400000000000006</v>
      </c>
      <c r="N17" s="4">
        <f t="shared" si="11"/>
        <v>3.9199911750773229</v>
      </c>
      <c r="O17" s="15">
        <f>147*0.8</f>
        <v>117.60000000000001</v>
      </c>
      <c r="P17">
        <f t="shared" si="6"/>
        <v>4.7672890354645263</v>
      </c>
      <c r="Q17" s="15">
        <f>129*0.8</f>
        <v>103.2</v>
      </c>
      <c r="R17" s="4">
        <f t="shared" si="7"/>
        <v>4.6366688530474622</v>
      </c>
      <c r="S17" s="15">
        <f>16*0.8</f>
        <v>12.8</v>
      </c>
      <c r="T17" s="4">
        <f t="shared" si="8"/>
        <v>2.5494451709255714</v>
      </c>
      <c r="U17" s="15">
        <f>63*0.8</f>
        <v>50.400000000000006</v>
      </c>
      <c r="V17">
        <f t="shared" si="9"/>
        <v>3.9199911750773229</v>
      </c>
    </row>
    <row r="18" spans="1:22" x14ac:dyDescent="0.2">
      <c r="A18" s="6" t="s">
        <v>7</v>
      </c>
      <c r="B18">
        <v>3</v>
      </c>
      <c r="C18" s="12">
        <v>7</v>
      </c>
      <c r="D18">
        <f t="shared" si="0"/>
        <v>1.9459101490553132</v>
      </c>
      <c r="E18">
        <v>33078</v>
      </c>
      <c r="F18">
        <f t="shared" si="1"/>
        <v>10.406623687817738</v>
      </c>
      <c r="G18" s="15">
        <v>78</v>
      </c>
      <c r="H18" s="4">
        <f t="shared" si="10"/>
        <v>4.3567088266895917</v>
      </c>
      <c r="I18" s="15">
        <v>214</v>
      </c>
      <c r="J18">
        <f t="shared" si="3"/>
        <v>5.3659760150218512</v>
      </c>
      <c r="K18">
        <f>7*0.2</f>
        <v>1.4000000000000001</v>
      </c>
      <c r="L18">
        <f t="shared" si="4"/>
        <v>0.33647223662121301</v>
      </c>
      <c r="M18" s="15">
        <f>78*0.8</f>
        <v>62.400000000000006</v>
      </c>
      <c r="N18" s="4">
        <f t="shared" si="11"/>
        <v>4.133565275375382</v>
      </c>
      <c r="O18" s="15">
        <f>214*0.8</f>
        <v>171.20000000000002</v>
      </c>
      <c r="P18">
        <f t="shared" si="6"/>
        <v>5.1428324637076415</v>
      </c>
      <c r="Q18" s="15">
        <f>192*0.8</f>
        <v>153.60000000000002</v>
      </c>
      <c r="R18" s="4">
        <f t="shared" si="7"/>
        <v>5.0343518207135718</v>
      </c>
      <c r="S18" s="15">
        <f>25*0.8</f>
        <v>20</v>
      </c>
      <c r="T18" s="4">
        <f t="shared" si="8"/>
        <v>2.9957322735539909</v>
      </c>
      <c r="U18" s="15">
        <f>75*0.8</f>
        <v>60</v>
      </c>
      <c r="V18">
        <f t="shared" si="9"/>
        <v>4.0943445622221004</v>
      </c>
    </row>
    <row r="19" spans="1:22" x14ac:dyDescent="0.2">
      <c r="A19" s="8" t="s">
        <v>23</v>
      </c>
      <c r="B19">
        <v>2</v>
      </c>
      <c r="C19">
        <v>0</v>
      </c>
      <c r="D19">
        <v>0</v>
      </c>
      <c r="E19">
        <v>11291</v>
      </c>
      <c r="F19">
        <f t="shared" si="1"/>
        <v>9.3317612271805217</v>
      </c>
      <c r="G19">
        <v>0</v>
      </c>
      <c r="H19" s="4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4">
        <v>0</v>
      </c>
      <c r="O19">
        <v>0</v>
      </c>
      <c r="P19">
        <v>0</v>
      </c>
      <c r="Q19">
        <v>0</v>
      </c>
      <c r="R19" s="4">
        <v>0</v>
      </c>
      <c r="S19">
        <v>0</v>
      </c>
      <c r="T19" s="4">
        <v>0</v>
      </c>
      <c r="U19">
        <v>0</v>
      </c>
      <c r="V19">
        <v>0</v>
      </c>
    </row>
    <row r="20" spans="1:22" x14ac:dyDescent="0.2">
      <c r="A20" s="8" t="s">
        <v>24</v>
      </c>
      <c r="B20">
        <v>2</v>
      </c>
      <c r="C20" s="14">
        <v>87</v>
      </c>
      <c r="D20">
        <f>LN(C20)</f>
        <v>4.4659081186545837</v>
      </c>
      <c r="E20">
        <v>25241</v>
      </c>
      <c r="F20">
        <f t="shared" si="1"/>
        <v>10.136224935521659</v>
      </c>
      <c r="G20" s="14">
        <v>47</v>
      </c>
      <c r="H20" s="4">
        <f>LN(G20)</f>
        <v>3.8501476017100584</v>
      </c>
      <c r="I20" s="14">
        <v>40</v>
      </c>
      <c r="J20">
        <f>LN(I20)</f>
        <v>3.6888794541139363</v>
      </c>
      <c r="K20">
        <f>87*0.6</f>
        <v>52.199999999999996</v>
      </c>
      <c r="L20">
        <f>LN(K20)</f>
        <v>3.9550824948885928</v>
      </c>
      <c r="M20" s="14">
        <f>47*0.6</f>
        <v>28.2</v>
      </c>
      <c r="N20" s="4">
        <f>LN(M20)</f>
        <v>3.3393219779440679</v>
      </c>
      <c r="O20" s="14">
        <f>40*0.6</f>
        <v>24</v>
      </c>
      <c r="P20">
        <f>LN(O20)</f>
        <v>3.1780538303479458</v>
      </c>
      <c r="Q20" s="14">
        <f>64*0.6</f>
        <v>38.4</v>
      </c>
      <c r="R20" s="4">
        <f t="shared" si="7"/>
        <v>3.648057459593681</v>
      </c>
      <c r="S20" s="14">
        <f>18*0.6</f>
        <v>10.799999999999999</v>
      </c>
      <c r="T20" s="4">
        <f t="shared" si="8"/>
        <v>2.379546134130174</v>
      </c>
      <c r="U20" s="14">
        <f>5*0.6</f>
        <v>3</v>
      </c>
      <c r="V20">
        <f t="shared" si="9"/>
        <v>1.0986122886681098</v>
      </c>
    </row>
    <row r="21" spans="1:22" x14ac:dyDescent="0.2">
      <c r="A21" t="s">
        <v>49</v>
      </c>
      <c r="B21">
        <v>3</v>
      </c>
      <c r="C21" s="4">
        <v>0</v>
      </c>
      <c r="D21">
        <v>0</v>
      </c>
      <c r="E21">
        <v>9718</v>
      </c>
      <c r="F21">
        <f t="shared" si="1"/>
        <v>9.1817351149658482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">
        <v>0</v>
      </c>
      <c r="N21" s="4">
        <v>0</v>
      </c>
      <c r="O21">
        <v>0</v>
      </c>
      <c r="P21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</row>
    <row r="22" spans="1:22" x14ac:dyDescent="0.2">
      <c r="A22" t="s">
        <v>50</v>
      </c>
      <c r="B22">
        <v>4</v>
      </c>
      <c r="C22" s="15">
        <v>15</v>
      </c>
      <c r="D22">
        <f>LN(C22)</f>
        <v>2.7080502011022101</v>
      </c>
      <c r="E22">
        <v>3190</v>
      </c>
      <c r="F22">
        <f t="shared" si="1"/>
        <v>8.0677761957788903</v>
      </c>
      <c r="G22" s="15">
        <v>5</v>
      </c>
      <c r="H22">
        <f>LN(G22)</f>
        <v>1.6094379124341003</v>
      </c>
      <c r="I22" s="15">
        <v>10</v>
      </c>
      <c r="J22">
        <f>LN(I22)</f>
        <v>2.3025850929940459</v>
      </c>
      <c r="K22">
        <f>15*0.8</f>
        <v>12</v>
      </c>
      <c r="L22">
        <f>LN(K22)</f>
        <v>2.4849066497880004</v>
      </c>
      <c r="M22" s="15">
        <f>5*0.8</f>
        <v>4</v>
      </c>
      <c r="N22" s="4">
        <f>LN(M22)</f>
        <v>1.3862943611198906</v>
      </c>
      <c r="O22" s="15">
        <f>10*0.8</f>
        <v>8</v>
      </c>
      <c r="P22">
        <f>LN(O22)</f>
        <v>2.0794415416798357</v>
      </c>
      <c r="Q22" s="15">
        <f>15*0.8</f>
        <v>12</v>
      </c>
      <c r="R22" s="4">
        <f>LN(Q22)</f>
        <v>2.4849066497880004</v>
      </c>
      <c r="S22">
        <v>0</v>
      </c>
      <c r="T22" s="4">
        <v>0</v>
      </c>
      <c r="U22" s="4">
        <v>0</v>
      </c>
      <c r="V22" s="4">
        <v>0</v>
      </c>
    </row>
    <row r="23" spans="1:22" x14ac:dyDescent="0.2">
      <c r="A23" t="s">
        <v>51</v>
      </c>
      <c r="B23">
        <v>6</v>
      </c>
      <c r="C23" s="16">
        <v>27</v>
      </c>
      <c r="D23">
        <f>LN(C23)</f>
        <v>3.2958368660043291</v>
      </c>
      <c r="E23">
        <v>2707</v>
      </c>
      <c r="F23">
        <f t="shared" si="1"/>
        <v>7.9035962896143008</v>
      </c>
      <c r="G23" s="32">
        <v>19</v>
      </c>
      <c r="H23" s="21">
        <f>LN(G23)</f>
        <v>2.9444389791664403</v>
      </c>
      <c r="I23" s="32">
        <v>8</v>
      </c>
      <c r="J23" s="21">
        <f>LN(I23)</f>
        <v>2.0794415416798357</v>
      </c>
      <c r="K23">
        <v>27</v>
      </c>
      <c r="L23">
        <f>LN(K23)</f>
        <v>3.2958368660043291</v>
      </c>
      <c r="M23" s="32">
        <v>19</v>
      </c>
      <c r="N23" s="4">
        <f>LN(M23)</f>
        <v>2.9444389791664403</v>
      </c>
      <c r="O23" s="32">
        <v>8</v>
      </c>
      <c r="P23">
        <f>LN(O23)</f>
        <v>2.0794415416798357</v>
      </c>
      <c r="Q23" s="16">
        <v>26</v>
      </c>
      <c r="R23" s="4">
        <f>LN(Q23)</f>
        <v>3.2580965380214821</v>
      </c>
      <c r="S23" s="18">
        <v>0</v>
      </c>
      <c r="T23" s="4">
        <v>0</v>
      </c>
      <c r="U23" s="33">
        <f>1*0.8</f>
        <v>0.8</v>
      </c>
      <c r="V23">
        <f>LN(U23)</f>
        <v>-0.22314355131420971</v>
      </c>
    </row>
    <row r="24" spans="1:22" x14ac:dyDescent="0.2">
      <c r="A24" t="s">
        <v>52</v>
      </c>
      <c r="B24">
        <v>4</v>
      </c>
      <c r="C24" s="12">
        <v>2571</v>
      </c>
      <c r="D24">
        <f>LN(C24)</f>
        <v>7.8520502072658891</v>
      </c>
      <c r="E24">
        <v>38934</v>
      </c>
      <c r="F24">
        <f t="shared" si="1"/>
        <v>10.569623183849224</v>
      </c>
      <c r="G24" s="31">
        <v>405</v>
      </c>
      <c r="H24" s="21">
        <f>LN(G24)</f>
        <v>6.0038870671065387</v>
      </c>
      <c r="I24" s="31">
        <v>2166</v>
      </c>
      <c r="J24" s="21">
        <f>LN(I24)</f>
        <v>7.6806374275609359</v>
      </c>
      <c r="K24">
        <f>2571*0.2</f>
        <v>514.20000000000005</v>
      </c>
      <c r="L24">
        <f>LN(K24)</f>
        <v>6.2426122948317895</v>
      </c>
      <c r="M24" s="31">
        <f>405*0.2</f>
        <v>81</v>
      </c>
      <c r="N24" s="4">
        <f>LN(M24)</f>
        <v>4.3944491546724391</v>
      </c>
      <c r="O24" s="31">
        <f>2166*0.2</f>
        <v>433.20000000000005</v>
      </c>
      <c r="P24">
        <f>LN(O24)</f>
        <v>6.0711995151268354</v>
      </c>
      <c r="Q24" s="34">
        <f>2472*0.2</f>
        <v>494.40000000000003</v>
      </c>
      <c r="R24" s="4">
        <f>LN(Q24)</f>
        <v>6.2033449061434807</v>
      </c>
      <c r="S24" s="34">
        <f>99*0.2</f>
        <v>19.8</v>
      </c>
      <c r="T24" s="4">
        <f>LN(S24)</f>
        <v>2.9856819377004897</v>
      </c>
      <c r="U24" s="7">
        <v>0</v>
      </c>
      <c r="V24">
        <v>0</v>
      </c>
    </row>
  </sheetData>
  <sortState ref="A2:C20">
    <sortCondition descending="1" ref="B2:B20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" sqref="C1:D24"/>
    </sheetView>
  </sheetViews>
  <sheetFormatPr baseColWidth="10" defaultRowHeight="16" x14ac:dyDescent="0.2"/>
  <cols>
    <col min="1" max="1" width="13.83203125" bestFit="1" customWidth="1"/>
    <col min="2" max="2" width="5.83203125" bestFit="1" customWidth="1"/>
  </cols>
  <sheetData>
    <row r="1" spans="1:5" x14ac:dyDescent="0.2">
      <c r="A1" s="5" t="s">
        <v>0</v>
      </c>
      <c r="B1" s="5" t="s">
        <v>20</v>
      </c>
      <c r="C1" s="5" t="s">
        <v>19</v>
      </c>
      <c r="D1" s="5" t="s">
        <v>36</v>
      </c>
    </row>
    <row r="2" spans="1:5" x14ac:dyDescent="0.2">
      <c r="A2" s="6" t="s">
        <v>1</v>
      </c>
      <c r="B2">
        <v>6</v>
      </c>
      <c r="C2" s="9">
        <v>50092</v>
      </c>
      <c r="D2">
        <f t="shared" ref="D2:D24" si="0">LN(C2)</f>
        <v>10.821616593683924</v>
      </c>
    </row>
    <row r="3" spans="1:5" x14ac:dyDescent="0.2">
      <c r="A3" s="6" t="s">
        <v>2</v>
      </c>
      <c r="B3">
        <v>9</v>
      </c>
      <c r="C3" s="9">
        <v>90005</v>
      </c>
      <c r="D3">
        <f t="shared" si="0"/>
        <v>11.407620503324805</v>
      </c>
    </row>
    <row r="4" spans="1:5" x14ac:dyDescent="0.2">
      <c r="A4" s="6" t="s">
        <v>3</v>
      </c>
      <c r="B4">
        <v>9</v>
      </c>
      <c r="C4" s="9">
        <v>111512</v>
      </c>
      <c r="D4">
        <f t="shared" si="0"/>
        <v>11.621887487409722</v>
      </c>
    </row>
    <row r="5" spans="1:5" x14ac:dyDescent="0.2">
      <c r="A5" s="6" t="s">
        <v>4</v>
      </c>
      <c r="B5">
        <v>9</v>
      </c>
      <c r="C5" s="9">
        <v>169295</v>
      </c>
      <c r="D5">
        <f t="shared" si="0"/>
        <v>12.039398034312397</v>
      </c>
    </row>
    <row r="6" spans="1:5" x14ac:dyDescent="0.2">
      <c r="A6" s="6" t="s">
        <v>5</v>
      </c>
      <c r="B6">
        <v>9</v>
      </c>
      <c r="C6" s="9">
        <v>137613</v>
      </c>
      <c r="D6">
        <f t="shared" si="0"/>
        <v>11.83220067676292</v>
      </c>
    </row>
    <row r="7" spans="1:5" x14ac:dyDescent="0.2">
      <c r="A7" s="6" t="s">
        <v>6</v>
      </c>
      <c r="B7">
        <v>10</v>
      </c>
      <c r="C7" s="9">
        <v>91604</v>
      </c>
      <c r="D7">
        <f t="shared" si="0"/>
        <v>11.425230217831068</v>
      </c>
      <c r="E7" s="10"/>
    </row>
    <row r="8" spans="1:5" x14ac:dyDescent="0.2">
      <c r="A8" s="6" t="s">
        <v>7</v>
      </c>
      <c r="B8">
        <v>3</v>
      </c>
      <c r="C8" s="9">
        <v>312372</v>
      </c>
      <c r="D8">
        <f t="shared" si="0"/>
        <v>12.651950064249601</v>
      </c>
    </row>
    <row r="9" spans="1:5" x14ac:dyDescent="0.2">
      <c r="A9" s="6" t="s">
        <v>8</v>
      </c>
      <c r="B9">
        <v>6</v>
      </c>
      <c r="C9" s="11">
        <v>3353</v>
      </c>
      <c r="D9">
        <f t="shared" si="0"/>
        <v>8.1176107464662284</v>
      </c>
    </row>
    <row r="10" spans="1:5" x14ac:dyDescent="0.2">
      <c r="A10" s="7" t="s">
        <v>9</v>
      </c>
      <c r="B10">
        <v>7</v>
      </c>
      <c r="C10">
        <v>13829</v>
      </c>
      <c r="D10">
        <f t="shared" si="0"/>
        <v>9.5345231154646584</v>
      </c>
    </row>
    <row r="11" spans="1:5" x14ac:dyDescent="0.2">
      <c r="A11" s="6" t="s">
        <v>10</v>
      </c>
      <c r="B11">
        <v>7</v>
      </c>
      <c r="C11" s="9">
        <v>1485</v>
      </c>
      <c r="D11">
        <f t="shared" si="0"/>
        <v>7.3031700512368003</v>
      </c>
    </row>
    <row r="12" spans="1:5" x14ac:dyDescent="0.2">
      <c r="A12" s="7" t="s">
        <v>11</v>
      </c>
      <c r="B12">
        <v>8</v>
      </c>
      <c r="C12" s="9">
        <v>1067</v>
      </c>
      <c r="D12">
        <f t="shared" si="0"/>
        <v>6.9726062513017535</v>
      </c>
    </row>
    <row r="13" spans="1:5" x14ac:dyDescent="0.2">
      <c r="A13" s="6" t="s">
        <v>12</v>
      </c>
      <c r="B13">
        <v>6</v>
      </c>
      <c r="C13">
        <f>SUM(7083 +1625)</f>
        <v>8708</v>
      </c>
      <c r="D13">
        <f t="shared" si="0"/>
        <v>9.0719974223544373</v>
      </c>
    </row>
    <row r="14" spans="1:5" x14ac:dyDescent="0.2">
      <c r="A14" s="6" t="s">
        <v>13</v>
      </c>
      <c r="B14">
        <v>9</v>
      </c>
      <c r="C14">
        <v>18929</v>
      </c>
      <c r="D14">
        <f t="shared" si="0"/>
        <v>9.8484504166062194</v>
      </c>
    </row>
    <row r="15" spans="1:5" x14ac:dyDescent="0.2">
      <c r="A15" s="8" t="s">
        <v>14</v>
      </c>
      <c r="B15">
        <v>6</v>
      </c>
      <c r="C15">
        <v>13068</v>
      </c>
      <c r="D15">
        <f t="shared" si="0"/>
        <v>9.4779217727209613</v>
      </c>
    </row>
    <row r="16" spans="1:5" x14ac:dyDescent="0.2">
      <c r="A16" s="8" t="s">
        <v>15</v>
      </c>
      <c r="B16">
        <v>10</v>
      </c>
      <c r="C16">
        <f>SUM(1281+1237)</f>
        <v>2518</v>
      </c>
      <c r="D16">
        <f t="shared" si="0"/>
        <v>7.8312202146042926</v>
      </c>
    </row>
    <row r="17" spans="1:4" x14ac:dyDescent="0.2">
      <c r="A17" s="8" t="s">
        <v>16</v>
      </c>
      <c r="B17">
        <v>7</v>
      </c>
      <c r="C17">
        <v>15909</v>
      </c>
      <c r="D17">
        <f t="shared" si="0"/>
        <v>9.6746402658052393</v>
      </c>
    </row>
    <row r="18" spans="1:4" x14ac:dyDescent="0.2">
      <c r="A18" s="8" t="s">
        <v>17</v>
      </c>
      <c r="B18">
        <v>9</v>
      </c>
      <c r="C18">
        <v>33078</v>
      </c>
      <c r="D18">
        <f t="shared" si="0"/>
        <v>10.406623687817738</v>
      </c>
    </row>
    <row r="19" spans="1:4" x14ac:dyDescent="0.2">
      <c r="A19" s="8" t="s">
        <v>23</v>
      </c>
      <c r="B19">
        <v>2</v>
      </c>
      <c r="C19">
        <v>11291</v>
      </c>
      <c r="D19">
        <f t="shared" si="0"/>
        <v>9.3317612271805217</v>
      </c>
    </row>
    <row r="20" spans="1:4" x14ac:dyDescent="0.2">
      <c r="A20" s="8" t="s">
        <v>24</v>
      </c>
      <c r="B20">
        <v>2</v>
      </c>
      <c r="C20">
        <v>25241</v>
      </c>
      <c r="D20">
        <f t="shared" si="0"/>
        <v>10.136224935521659</v>
      </c>
    </row>
    <row r="21" spans="1:4" x14ac:dyDescent="0.2">
      <c r="A21" t="s">
        <v>49</v>
      </c>
      <c r="B21">
        <v>3</v>
      </c>
      <c r="C21">
        <v>9718</v>
      </c>
      <c r="D21">
        <f t="shared" si="0"/>
        <v>9.1817351149658482</v>
      </c>
    </row>
    <row r="22" spans="1:4" x14ac:dyDescent="0.2">
      <c r="A22" t="s">
        <v>50</v>
      </c>
      <c r="B22">
        <v>4</v>
      </c>
      <c r="C22">
        <v>3190</v>
      </c>
      <c r="D22">
        <f t="shared" si="0"/>
        <v>8.0677761957788903</v>
      </c>
    </row>
    <row r="23" spans="1:4" x14ac:dyDescent="0.2">
      <c r="A23" t="s">
        <v>51</v>
      </c>
      <c r="B23">
        <v>6</v>
      </c>
      <c r="C23">
        <v>2707</v>
      </c>
      <c r="D23">
        <f t="shared" si="0"/>
        <v>7.9035962896143008</v>
      </c>
    </row>
    <row r="24" spans="1:4" x14ac:dyDescent="0.2">
      <c r="A24" t="s">
        <v>52</v>
      </c>
      <c r="B24">
        <v>4</v>
      </c>
      <c r="C24">
        <v>38934</v>
      </c>
      <c r="D24">
        <f t="shared" si="0"/>
        <v>10.569623183849224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1" sqref="C1:F24"/>
    </sheetView>
  </sheetViews>
  <sheetFormatPr baseColWidth="10" defaultRowHeight="16" x14ac:dyDescent="0.2"/>
  <cols>
    <col min="2" max="2" width="5.83203125" bestFit="1" customWidth="1"/>
  </cols>
  <sheetData>
    <row r="1" spans="1:10" x14ac:dyDescent="0.2">
      <c r="A1" s="5" t="s">
        <v>0</v>
      </c>
      <c r="B1" s="5" t="s">
        <v>20</v>
      </c>
      <c r="C1" s="5" t="s">
        <v>21</v>
      </c>
      <c r="D1" s="28" t="s">
        <v>37</v>
      </c>
      <c r="E1" s="5" t="s">
        <v>22</v>
      </c>
      <c r="F1" s="5" t="s">
        <v>38</v>
      </c>
    </row>
    <row r="2" spans="1:10" x14ac:dyDescent="0.2">
      <c r="A2" s="6" t="s">
        <v>1</v>
      </c>
      <c r="B2">
        <v>6</v>
      </c>
      <c r="C2" s="22">
        <v>972</v>
      </c>
      <c r="D2" s="7">
        <f t="shared" ref="D2:D7" si="0">LN(C2)</f>
        <v>6.879355804460439</v>
      </c>
      <c r="E2" s="24">
        <v>283</v>
      </c>
      <c r="F2">
        <f t="shared" ref="F2:F18" si="1">LN(E2)</f>
        <v>5.6454468976432377</v>
      </c>
    </row>
    <row r="3" spans="1:10" x14ac:dyDescent="0.2">
      <c r="A3" s="6" t="s">
        <v>2</v>
      </c>
      <c r="B3">
        <v>9</v>
      </c>
      <c r="C3" s="15">
        <v>435</v>
      </c>
      <c r="D3" s="4">
        <f t="shared" si="0"/>
        <v>6.0753460310886842</v>
      </c>
      <c r="E3" s="15">
        <v>158</v>
      </c>
      <c r="F3">
        <f t="shared" si="1"/>
        <v>5.0625950330269669</v>
      </c>
    </row>
    <row r="4" spans="1:10" x14ac:dyDescent="0.2">
      <c r="A4" s="6" t="s">
        <v>3</v>
      </c>
      <c r="B4">
        <v>9</v>
      </c>
      <c r="C4" s="23">
        <v>278</v>
      </c>
      <c r="D4" s="29">
        <f t="shared" si="0"/>
        <v>5.6276211136906369</v>
      </c>
      <c r="E4" s="14">
        <v>540</v>
      </c>
      <c r="F4">
        <f t="shared" si="1"/>
        <v>6.2915691395583204</v>
      </c>
    </row>
    <row r="5" spans="1:10" x14ac:dyDescent="0.2">
      <c r="A5" s="6" t="s">
        <v>4</v>
      </c>
      <c r="B5">
        <v>9</v>
      </c>
      <c r="C5" s="16">
        <v>412</v>
      </c>
      <c r="D5" s="4">
        <f t="shared" si="0"/>
        <v>6.0210233493495267</v>
      </c>
      <c r="E5" s="16">
        <v>52</v>
      </c>
      <c r="F5">
        <f t="shared" si="1"/>
        <v>3.9512437185814275</v>
      </c>
    </row>
    <row r="6" spans="1:10" x14ac:dyDescent="0.2">
      <c r="A6" s="6" t="s">
        <v>5</v>
      </c>
      <c r="B6">
        <v>9</v>
      </c>
      <c r="C6" s="15">
        <v>433</v>
      </c>
      <c r="D6" s="4">
        <f t="shared" si="0"/>
        <v>6.0707377280024897</v>
      </c>
      <c r="E6" s="15">
        <v>639</v>
      </c>
      <c r="F6">
        <f t="shared" si="1"/>
        <v>6.4599044543775346</v>
      </c>
    </row>
    <row r="7" spans="1:10" x14ac:dyDescent="0.2">
      <c r="A7" s="6" t="s">
        <v>6</v>
      </c>
      <c r="B7">
        <v>10</v>
      </c>
      <c r="C7" s="14">
        <v>1780</v>
      </c>
      <c r="D7" s="4">
        <f t="shared" si="0"/>
        <v>7.4843686432861309</v>
      </c>
      <c r="E7" s="14">
        <v>1251</v>
      </c>
      <c r="F7">
        <f t="shared" si="1"/>
        <v>7.1316985104669115</v>
      </c>
    </row>
    <row r="8" spans="1:10" x14ac:dyDescent="0.2">
      <c r="A8" s="6" t="s">
        <v>7</v>
      </c>
      <c r="B8">
        <v>3</v>
      </c>
      <c r="C8" s="12">
        <v>0</v>
      </c>
      <c r="D8" s="4">
        <v>0</v>
      </c>
      <c r="E8" s="12">
        <v>7</v>
      </c>
      <c r="F8">
        <f t="shared" si="1"/>
        <v>1.9459101490553132</v>
      </c>
    </row>
    <row r="9" spans="1:10" x14ac:dyDescent="0.2">
      <c r="A9" s="6" t="s">
        <v>8</v>
      </c>
      <c r="B9">
        <v>6</v>
      </c>
      <c r="C9" s="13">
        <v>3524</v>
      </c>
      <c r="D9" s="4">
        <f t="shared" ref="D9:D18" si="2">LN(C9)</f>
        <v>8.1673519870560707</v>
      </c>
      <c r="E9" s="12">
        <v>1374</v>
      </c>
      <c r="F9">
        <f t="shared" si="1"/>
        <v>7.2254814727822945</v>
      </c>
    </row>
    <row r="10" spans="1:10" x14ac:dyDescent="0.2">
      <c r="A10" s="7" t="s">
        <v>9</v>
      </c>
      <c r="B10">
        <v>7</v>
      </c>
      <c r="C10" s="14">
        <v>69</v>
      </c>
      <c r="D10" s="4">
        <f t="shared" si="2"/>
        <v>4.2341065045972597</v>
      </c>
      <c r="E10" s="14">
        <v>51</v>
      </c>
      <c r="F10">
        <f t="shared" si="1"/>
        <v>3.9318256327243257</v>
      </c>
    </row>
    <row r="11" spans="1:10" x14ac:dyDescent="0.2">
      <c r="A11" s="6" t="s">
        <v>10</v>
      </c>
      <c r="B11">
        <v>7</v>
      </c>
      <c r="C11" s="12">
        <v>9</v>
      </c>
      <c r="D11" s="4">
        <f t="shared" si="2"/>
        <v>2.1972245773362196</v>
      </c>
      <c r="E11" s="12">
        <v>7</v>
      </c>
      <c r="F11">
        <f t="shared" si="1"/>
        <v>1.9459101490553132</v>
      </c>
    </row>
    <row r="12" spans="1:10" x14ac:dyDescent="0.2">
      <c r="A12" s="7" t="s">
        <v>11</v>
      </c>
      <c r="B12">
        <v>8</v>
      </c>
      <c r="C12" s="12">
        <v>6</v>
      </c>
      <c r="D12" s="4">
        <f t="shared" si="2"/>
        <v>1.791759469228055</v>
      </c>
      <c r="E12" s="12">
        <v>2</v>
      </c>
      <c r="F12">
        <f t="shared" si="1"/>
        <v>0.69314718055994529</v>
      </c>
      <c r="I12" s="4"/>
      <c r="J12" s="4"/>
    </row>
    <row r="13" spans="1:10" x14ac:dyDescent="0.2">
      <c r="A13" s="6" t="s">
        <v>12</v>
      </c>
      <c r="B13">
        <v>6</v>
      </c>
      <c r="C13" s="13">
        <v>31</v>
      </c>
      <c r="D13" s="4">
        <f t="shared" si="2"/>
        <v>3.4339872044851463</v>
      </c>
      <c r="E13" s="13">
        <v>9</v>
      </c>
      <c r="F13">
        <f t="shared" si="1"/>
        <v>2.1972245773362196</v>
      </c>
      <c r="I13" s="4"/>
      <c r="J13" s="4"/>
    </row>
    <row r="14" spans="1:10" x14ac:dyDescent="0.2">
      <c r="A14" s="6" t="s">
        <v>13</v>
      </c>
      <c r="B14">
        <v>9</v>
      </c>
      <c r="C14" s="16">
        <v>132</v>
      </c>
      <c r="D14" s="4">
        <f t="shared" si="2"/>
        <v>4.8828019225863706</v>
      </c>
      <c r="E14" s="16">
        <v>452</v>
      </c>
      <c r="F14">
        <f t="shared" si="1"/>
        <v>6.1136821798322316</v>
      </c>
      <c r="I14" s="4"/>
      <c r="J14" s="4"/>
    </row>
    <row r="15" spans="1:10" x14ac:dyDescent="0.2">
      <c r="A15" s="8" t="s">
        <v>14</v>
      </c>
      <c r="B15">
        <v>6</v>
      </c>
      <c r="C15" s="13">
        <v>55</v>
      </c>
      <c r="D15" s="4">
        <f t="shared" si="2"/>
        <v>4.0073331852324712</v>
      </c>
      <c r="E15" s="13">
        <v>16</v>
      </c>
      <c r="F15">
        <f t="shared" si="1"/>
        <v>2.7725887222397811</v>
      </c>
      <c r="I15" s="4"/>
      <c r="J15" s="4"/>
    </row>
    <row r="16" spans="1:10" x14ac:dyDescent="0.2">
      <c r="A16" s="8" t="s">
        <v>15</v>
      </c>
      <c r="B16">
        <v>10</v>
      </c>
      <c r="C16" s="12">
        <v>17</v>
      </c>
      <c r="D16" s="4">
        <f t="shared" si="2"/>
        <v>2.8332133440562162</v>
      </c>
      <c r="E16" s="12">
        <v>22</v>
      </c>
      <c r="F16">
        <f t="shared" si="1"/>
        <v>3.0910424533583161</v>
      </c>
      <c r="I16" s="4"/>
      <c r="J16" s="4"/>
    </row>
    <row r="17" spans="1:16" x14ac:dyDescent="0.2">
      <c r="A17" s="8" t="s">
        <v>16</v>
      </c>
      <c r="B17">
        <v>7</v>
      </c>
      <c r="C17" s="15">
        <v>63</v>
      </c>
      <c r="D17" s="4">
        <f t="shared" si="2"/>
        <v>4.1431347263915326</v>
      </c>
      <c r="E17" s="15">
        <v>147</v>
      </c>
      <c r="F17">
        <f t="shared" si="1"/>
        <v>4.990432586778736</v>
      </c>
    </row>
    <row r="18" spans="1:16" x14ac:dyDescent="0.2">
      <c r="A18" s="8" t="s">
        <v>17</v>
      </c>
      <c r="B18">
        <v>9</v>
      </c>
      <c r="C18" s="15">
        <v>78</v>
      </c>
      <c r="D18" s="4">
        <f t="shared" si="2"/>
        <v>4.3567088266895917</v>
      </c>
      <c r="E18" s="15">
        <v>214</v>
      </c>
      <c r="F18">
        <f t="shared" si="1"/>
        <v>5.3659760150218512</v>
      </c>
    </row>
    <row r="19" spans="1:16" x14ac:dyDescent="0.2">
      <c r="A19" s="8" t="s">
        <v>23</v>
      </c>
      <c r="B19">
        <v>2</v>
      </c>
      <c r="C19">
        <v>0</v>
      </c>
      <c r="D19" s="4">
        <v>0</v>
      </c>
      <c r="E19">
        <v>0</v>
      </c>
      <c r="F19">
        <v>0</v>
      </c>
    </row>
    <row r="20" spans="1:16" x14ac:dyDescent="0.2">
      <c r="A20" s="8" t="s">
        <v>24</v>
      </c>
      <c r="B20">
        <v>2</v>
      </c>
      <c r="C20" s="14">
        <v>47</v>
      </c>
      <c r="D20" s="4">
        <f>LN(C20)</f>
        <v>3.8501476017100584</v>
      </c>
      <c r="E20" s="14">
        <v>40</v>
      </c>
      <c r="F20">
        <f>LN(E20)</f>
        <v>3.6888794541139363</v>
      </c>
    </row>
    <row r="21" spans="1:16" x14ac:dyDescent="0.2">
      <c r="A21" s="9" t="s">
        <v>49</v>
      </c>
      <c r="B21" s="9">
        <v>3</v>
      </c>
      <c r="C21">
        <v>0</v>
      </c>
      <c r="D21">
        <v>0</v>
      </c>
      <c r="E21">
        <v>0</v>
      </c>
      <c r="F21">
        <v>0</v>
      </c>
    </row>
    <row r="22" spans="1:16" x14ac:dyDescent="0.2">
      <c r="A22" s="9" t="s">
        <v>50</v>
      </c>
      <c r="B22" s="9">
        <v>4</v>
      </c>
      <c r="C22" s="15">
        <v>5</v>
      </c>
      <c r="D22">
        <f>LN(C22)</f>
        <v>1.6094379124341003</v>
      </c>
      <c r="E22" s="15">
        <v>10</v>
      </c>
      <c r="F22">
        <f>LN(E22)</f>
        <v>2.3025850929940459</v>
      </c>
    </row>
    <row r="23" spans="1:16" x14ac:dyDescent="0.2">
      <c r="A23" s="9" t="s">
        <v>51</v>
      </c>
      <c r="B23" s="9">
        <v>6</v>
      </c>
      <c r="C23" s="32">
        <v>19</v>
      </c>
      <c r="D23" s="21">
        <f>LN(C23)</f>
        <v>2.9444389791664403</v>
      </c>
      <c r="E23" s="32">
        <v>8</v>
      </c>
      <c r="F23" s="21">
        <f>LN(E23)</f>
        <v>2.0794415416798357</v>
      </c>
      <c r="G23" s="3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9" t="s">
        <v>52</v>
      </c>
      <c r="B24" s="9">
        <v>4</v>
      </c>
      <c r="C24" s="31">
        <v>405</v>
      </c>
      <c r="D24" s="21">
        <f>LN(C24)</f>
        <v>6.0038870671065387</v>
      </c>
      <c r="E24" s="31">
        <v>2166</v>
      </c>
      <c r="F24" s="21">
        <f>LN(E24)</f>
        <v>7.6806374275609359</v>
      </c>
      <c r="G24" s="4"/>
      <c r="H24" s="4"/>
      <c r="I24" s="4"/>
      <c r="J24" s="17"/>
      <c r="K24" s="17"/>
      <c r="L24" s="17"/>
      <c r="M24" s="17"/>
      <c r="N24" s="4"/>
      <c r="O24" s="4"/>
      <c r="P24" s="4"/>
    </row>
    <row r="25" spans="1:16" x14ac:dyDescent="0.2">
      <c r="B25" s="17"/>
      <c r="C25" s="4"/>
      <c r="D25" s="4"/>
      <c r="E25" s="4"/>
      <c r="F25" s="4"/>
      <c r="G25" s="4"/>
      <c r="H25" s="4"/>
      <c r="I25" s="4"/>
      <c r="J25" s="17"/>
      <c r="K25" s="17"/>
      <c r="L25" s="17"/>
      <c r="M25" s="17"/>
      <c r="N25" s="17"/>
      <c r="O25" s="4"/>
      <c r="P25" s="4"/>
    </row>
    <row r="26" spans="1:16" x14ac:dyDescent="0.2">
      <c r="B26" s="4"/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B27" s="17"/>
      <c r="C27" s="17"/>
      <c r="D27" s="17"/>
      <c r="E27" s="17"/>
      <c r="F27" s="17"/>
      <c r="G27" s="17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B28" s="17"/>
      <c r="C28" s="3"/>
      <c r="D28" s="3"/>
      <c r="E28" s="17"/>
      <c r="F28" s="17"/>
      <c r="G28" s="4"/>
      <c r="H28" s="4"/>
      <c r="I28" s="4"/>
      <c r="J28" s="3"/>
      <c r="K28" s="3"/>
      <c r="L28" s="3"/>
      <c r="M28" s="3"/>
      <c r="N28" s="3"/>
      <c r="O28" s="3"/>
      <c r="P28" s="4"/>
    </row>
    <row r="29" spans="1:16" x14ac:dyDescent="0.2">
      <c r="B29" s="4"/>
      <c r="C29" s="3"/>
      <c r="D29" s="3"/>
      <c r="E29" s="3"/>
      <c r="F29" s="4"/>
      <c r="G29" s="4"/>
      <c r="H29" s="4"/>
      <c r="I29" s="4"/>
      <c r="J29" s="3"/>
      <c r="K29" s="3"/>
      <c r="L29" s="3"/>
      <c r="M29" s="3"/>
      <c r="N29" s="4"/>
      <c r="O29" s="4"/>
      <c r="P29" s="4"/>
    </row>
    <row r="30" spans="1:16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B31" s="17"/>
      <c r="C31" s="17"/>
      <c r="D31" s="17"/>
      <c r="E31" s="1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B32" s="17"/>
      <c r="C32" s="17"/>
      <c r="D32" s="17"/>
      <c r="E32" s="17"/>
      <c r="F32" s="17"/>
      <c r="G32" s="17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2">
      <c r="B34" s="19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2">
      <c r="B35" s="17"/>
      <c r="C35" s="17"/>
      <c r="D35" s="17"/>
      <c r="E35" s="17"/>
      <c r="F35" s="17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2:16" x14ac:dyDescent="0.2">
      <c r="B37" s="4"/>
      <c r="C37" s="17"/>
      <c r="D37" s="17"/>
      <c r="E37" s="1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 x14ac:dyDescent="0.2">
      <c r="B38" s="17"/>
      <c r="C38" s="17"/>
      <c r="D38" s="17"/>
      <c r="E38" s="17"/>
      <c r="F38" s="17"/>
      <c r="G38" s="17"/>
      <c r="H38" s="4"/>
      <c r="I38" s="4"/>
      <c r="J38" s="4"/>
      <c r="K38" s="4"/>
      <c r="L38" s="4"/>
      <c r="M38" s="4"/>
      <c r="N38" s="4"/>
      <c r="O38" s="4"/>
      <c r="P38" s="4"/>
    </row>
    <row r="39" spans="2:16" x14ac:dyDescent="0.2">
      <c r="B39" s="17"/>
      <c r="C39" s="17"/>
      <c r="D39" s="17"/>
      <c r="E39" s="17"/>
      <c r="F39" s="17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2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2:16" x14ac:dyDescent="0.2">
      <c r="B42" s="17"/>
      <c r="C42" s="17"/>
      <c r="D42" s="20"/>
      <c r="E42" s="17"/>
      <c r="F42" s="17"/>
      <c r="G42" s="4"/>
      <c r="H42" s="4"/>
    </row>
    <row r="43" spans="2:16" x14ac:dyDescent="0.2">
      <c r="B43" s="17"/>
      <c r="C43" s="17"/>
      <c r="D43" s="17"/>
      <c r="E43" s="17"/>
      <c r="F43" s="4"/>
      <c r="G43" s="4"/>
      <c r="H43" s="4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D14" workbookViewId="0">
      <selection activeCell="G26" sqref="G26"/>
    </sheetView>
  </sheetViews>
  <sheetFormatPr baseColWidth="10" defaultRowHeight="16" x14ac:dyDescent="0.2"/>
  <cols>
    <col min="2" max="2" width="5.83203125" bestFit="1" customWidth="1"/>
    <col min="3" max="3" width="6.83203125" bestFit="1" customWidth="1"/>
    <col min="4" max="4" width="8.33203125" style="4" bestFit="1" customWidth="1"/>
    <col min="5" max="5" width="12.1640625" bestFit="1" customWidth="1"/>
    <col min="6" max="6" width="12.1640625" style="4" customWidth="1"/>
  </cols>
  <sheetData>
    <row r="1" spans="1:8" x14ac:dyDescent="0.2">
      <c r="A1" s="5" t="s">
        <v>0</v>
      </c>
      <c r="B1" s="5" t="s">
        <v>20</v>
      </c>
      <c r="C1" s="5" t="s">
        <v>25</v>
      </c>
      <c r="D1" s="28" t="s">
        <v>39</v>
      </c>
      <c r="E1" s="5" t="s">
        <v>26</v>
      </c>
      <c r="F1" s="28" t="s">
        <v>40</v>
      </c>
      <c r="G1" s="5" t="s">
        <v>27</v>
      </c>
      <c r="H1" s="5" t="s">
        <v>41</v>
      </c>
    </row>
    <row r="2" spans="1:8" x14ac:dyDescent="0.2">
      <c r="A2" s="6" t="s">
        <v>1</v>
      </c>
      <c r="B2">
        <v>6</v>
      </c>
      <c r="C2" s="15">
        <v>866</v>
      </c>
      <c r="D2" s="4">
        <f t="shared" ref="D2:D18" si="0">LN(C2)</f>
        <v>6.7638849085624351</v>
      </c>
      <c r="E2" s="14">
        <v>146</v>
      </c>
      <c r="F2" s="4">
        <f t="shared" ref="F2:F7" si="1">LN(E2)</f>
        <v>4.9836066217083363</v>
      </c>
      <c r="G2" s="14">
        <v>30</v>
      </c>
      <c r="H2">
        <f t="shared" ref="H2:H7" si="2">LN(G2)</f>
        <v>3.4011973816621555</v>
      </c>
    </row>
    <row r="3" spans="1:8" x14ac:dyDescent="0.2">
      <c r="A3" s="6" t="s">
        <v>2</v>
      </c>
      <c r="B3">
        <v>9</v>
      </c>
      <c r="C3" s="15">
        <v>479</v>
      </c>
      <c r="D3" s="4">
        <f t="shared" si="0"/>
        <v>6.1717005974109149</v>
      </c>
      <c r="E3" s="15">
        <v>20</v>
      </c>
      <c r="F3" s="4">
        <f t="shared" si="1"/>
        <v>2.9957322735539909</v>
      </c>
      <c r="G3" s="15">
        <v>95</v>
      </c>
      <c r="H3">
        <f t="shared" si="2"/>
        <v>4.5538768916005408</v>
      </c>
    </row>
    <row r="4" spans="1:8" x14ac:dyDescent="0.2">
      <c r="A4" s="6" t="s">
        <v>3</v>
      </c>
      <c r="B4">
        <v>9</v>
      </c>
      <c r="C4" s="14">
        <v>632</v>
      </c>
      <c r="D4" s="4">
        <f t="shared" si="0"/>
        <v>6.4488893941468577</v>
      </c>
      <c r="E4" s="13">
        <v>173</v>
      </c>
      <c r="F4" s="4">
        <f t="shared" si="1"/>
        <v>5.1532915944977793</v>
      </c>
      <c r="G4" s="14">
        <v>13</v>
      </c>
      <c r="H4">
        <f t="shared" si="2"/>
        <v>2.5649493574615367</v>
      </c>
    </row>
    <row r="5" spans="1:8" x14ac:dyDescent="0.2">
      <c r="A5" s="6" t="s">
        <v>4</v>
      </c>
      <c r="B5">
        <v>9</v>
      </c>
      <c r="C5" s="16">
        <v>313</v>
      </c>
      <c r="D5" s="4">
        <f t="shared" si="0"/>
        <v>5.7462031905401529</v>
      </c>
      <c r="E5" s="16">
        <v>242</v>
      </c>
      <c r="F5" s="4">
        <f t="shared" si="1"/>
        <v>5.4889377261566867</v>
      </c>
      <c r="G5" s="16">
        <v>17</v>
      </c>
      <c r="H5">
        <f t="shared" si="2"/>
        <v>2.8332133440562162</v>
      </c>
    </row>
    <row r="6" spans="1:8" x14ac:dyDescent="0.2">
      <c r="A6" s="6" t="s">
        <v>5</v>
      </c>
      <c r="B6">
        <v>9</v>
      </c>
      <c r="C6" s="15">
        <v>1080</v>
      </c>
      <c r="D6" s="4">
        <f t="shared" si="0"/>
        <v>6.9847163201182658</v>
      </c>
      <c r="E6" s="12">
        <v>7</v>
      </c>
      <c r="F6" s="4">
        <f t="shared" si="1"/>
        <v>1.9459101490553132</v>
      </c>
      <c r="G6" s="14">
        <v>21</v>
      </c>
      <c r="H6">
        <f t="shared" si="2"/>
        <v>3.044522437723423</v>
      </c>
    </row>
    <row r="7" spans="1:8" x14ac:dyDescent="0.2">
      <c r="A7" s="6" t="s">
        <v>6</v>
      </c>
      <c r="B7">
        <v>10</v>
      </c>
      <c r="C7" s="14">
        <v>2190</v>
      </c>
      <c r="D7" s="4">
        <f t="shared" si="0"/>
        <v>7.6916568228105469</v>
      </c>
      <c r="E7" s="14">
        <v>751</v>
      </c>
      <c r="F7" s="4">
        <f t="shared" si="1"/>
        <v>6.6214056517641344</v>
      </c>
      <c r="G7" s="12">
        <v>90</v>
      </c>
      <c r="H7">
        <f t="shared" si="2"/>
        <v>4.499809670330265</v>
      </c>
    </row>
    <row r="8" spans="1:8" x14ac:dyDescent="0.2">
      <c r="A8" s="6" t="s">
        <v>7</v>
      </c>
      <c r="B8">
        <v>3</v>
      </c>
      <c r="C8" s="12">
        <v>7</v>
      </c>
      <c r="D8" s="4">
        <f t="shared" si="0"/>
        <v>1.9459101490553132</v>
      </c>
      <c r="E8">
        <v>0</v>
      </c>
      <c r="F8" s="4">
        <v>0</v>
      </c>
      <c r="G8">
        <v>0</v>
      </c>
      <c r="H8">
        <v>0</v>
      </c>
    </row>
    <row r="9" spans="1:8" x14ac:dyDescent="0.2">
      <c r="A9" s="6" t="s">
        <v>8</v>
      </c>
      <c r="B9">
        <v>6</v>
      </c>
      <c r="C9" s="13">
        <v>1654</v>
      </c>
      <c r="D9" s="4">
        <f t="shared" si="0"/>
        <v>7.4109518755836366</v>
      </c>
      <c r="E9" s="12">
        <v>3163</v>
      </c>
      <c r="F9" s="4">
        <f>LN(E9)</f>
        <v>8.0592762233056483</v>
      </c>
      <c r="G9" s="12">
        <v>78</v>
      </c>
      <c r="H9">
        <f>LN(G9)</f>
        <v>4.3567088266895917</v>
      </c>
    </row>
    <row r="10" spans="1:8" x14ac:dyDescent="0.2">
      <c r="A10" s="7" t="s">
        <v>9</v>
      </c>
      <c r="B10">
        <v>7</v>
      </c>
      <c r="C10" s="25">
        <v>102</v>
      </c>
      <c r="D10" s="30">
        <f t="shared" si="0"/>
        <v>4.6249728132842707</v>
      </c>
      <c r="E10" s="14">
        <v>15</v>
      </c>
      <c r="F10" s="4">
        <f>LN(E10)</f>
        <v>2.7080502011022101</v>
      </c>
      <c r="G10" s="14">
        <v>3</v>
      </c>
      <c r="H10">
        <f>LN(G10)</f>
        <v>1.0986122886681098</v>
      </c>
    </row>
    <row r="11" spans="1:8" x14ac:dyDescent="0.2">
      <c r="A11" s="6" t="s">
        <v>10</v>
      </c>
      <c r="B11">
        <v>7</v>
      </c>
      <c r="C11" s="12">
        <v>16</v>
      </c>
      <c r="D11" s="4">
        <f t="shared" si="0"/>
        <v>2.7725887222397811</v>
      </c>
      <c r="E11">
        <v>0</v>
      </c>
      <c r="F11" s="4">
        <v>0</v>
      </c>
      <c r="G11">
        <v>0</v>
      </c>
      <c r="H11">
        <v>0</v>
      </c>
    </row>
    <row r="12" spans="1:8" x14ac:dyDescent="0.2">
      <c r="A12" s="7" t="s">
        <v>11</v>
      </c>
      <c r="B12">
        <v>8</v>
      </c>
      <c r="C12" s="12">
        <v>8</v>
      </c>
      <c r="D12" s="4">
        <f t="shared" si="0"/>
        <v>2.0794415416798357</v>
      </c>
      <c r="E12">
        <v>0</v>
      </c>
      <c r="F12" s="4">
        <v>0</v>
      </c>
      <c r="G12">
        <v>0</v>
      </c>
      <c r="H12">
        <v>0</v>
      </c>
    </row>
    <row r="13" spans="1:8" x14ac:dyDescent="0.2">
      <c r="A13" s="6" t="s">
        <v>12</v>
      </c>
      <c r="B13">
        <v>6</v>
      </c>
      <c r="C13" s="13">
        <v>39</v>
      </c>
      <c r="D13" s="4">
        <f t="shared" si="0"/>
        <v>3.6635616461296463</v>
      </c>
      <c r="E13" s="13">
        <v>1</v>
      </c>
      <c r="F13" s="4">
        <f>LN(E13)</f>
        <v>0</v>
      </c>
      <c r="G13">
        <v>0</v>
      </c>
      <c r="H13">
        <v>0</v>
      </c>
    </row>
    <row r="14" spans="1:8" x14ac:dyDescent="0.2">
      <c r="A14" s="6" t="s">
        <v>13</v>
      </c>
      <c r="B14">
        <v>9</v>
      </c>
      <c r="C14" s="16">
        <v>477</v>
      </c>
      <c r="D14" s="4">
        <f t="shared" si="0"/>
        <v>6.1675164908883415</v>
      </c>
      <c r="E14" s="14">
        <v>8</v>
      </c>
      <c r="F14" s="4">
        <f>LN(E14)</f>
        <v>2.0794415416798357</v>
      </c>
      <c r="G14" s="14">
        <v>99</v>
      </c>
      <c r="H14">
        <f>LN(G14)</f>
        <v>4.5951198501345898</v>
      </c>
    </row>
    <row r="15" spans="1:8" x14ac:dyDescent="0.2">
      <c r="A15" s="8" t="s">
        <v>14</v>
      </c>
      <c r="B15">
        <v>6</v>
      </c>
      <c r="C15" s="13">
        <v>59</v>
      </c>
      <c r="D15" s="4">
        <f t="shared" si="0"/>
        <v>4.0775374439057197</v>
      </c>
      <c r="E15" s="13">
        <v>2</v>
      </c>
      <c r="F15" s="4">
        <f>LN(E15)</f>
        <v>0.69314718055994529</v>
      </c>
      <c r="G15" s="13">
        <v>11</v>
      </c>
      <c r="H15">
        <f>LN(G15)</f>
        <v>2.3978952727983707</v>
      </c>
    </row>
    <row r="16" spans="1:8" x14ac:dyDescent="0.2">
      <c r="A16" s="8" t="s">
        <v>15</v>
      </c>
      <c r="B16">
        <v>10</v>
      </c>
      <c r="C16" s="26">
        <v>39</v>
      </c>
      <c r="D16" s="4">
        <f t="shared" si="0"/>
        <v>3.6635616461296463</v>
      </c>
      <c r="E16">
        <v>0</v>
      </c>
      <c r="F16" s="4">
        <v>0</v>
      </c>
      <c r="G16">
        <v>0</v>
      </c>
      <c r="H16">
        <v>0</v>
      </c>
    </row>
    <row r="17" spans="1:21" x14ac:dyDescent="0.2">
      <c r="A17" s="8" t="s">
        <v>16</v>
      </c>
      <c r="B17">
        <v>7</v>
      </c>
      <c r="C17" s="15">
        <v>129</v>
      </c>
      <c r="D17" s="4">
        <f t="shared" si="0"/>
        <v>4.8598124043616719</v>
      </c>
      <c r="E17" s="15">
        <v>16</v>
      </c>
      <c r="F17" s="4">
        <f>LN(E17)</f>
        <v>2.7725887222397811</v>
      </c>
      <c r="G17" s="15">
        <v>63</v>
      </c>
      <c r="H17">
        <f>LN(G17)</f>
        <v>4.1431347263915326</v>
      </c>
    </row>
    <row r="18" spans="1:21" x14ac:dyDescent="0.2">
      <c r="A18" s="8" t="s">
        <v>17</v>
      </c>
      <c r="B18">
        <v>9</v>
      </c>
      <c r="C18" s="15">
        <v>192</v>
      </c>
      <c r="D18" s="4">
        <f t="shared" si="0"/>
        <v>5.2574953720277815</v>
      </c>
      <c r="E18" s="15">
        <v>25</v>
      </c>
      <c r="F18" s="4">
        <f>LN(E18)</f>
        <v>3.2188758248682006</v>
      </c>
      <c r="G18" s="15">
        <v>75</v>
      </c>
      <c r="H18">
        <f>LN(G18)</f>
        <v>4.3174881135363101</v>
      </c>
    </row>
    <row r="19" spans="1:21" x14ac:dyDescent="0.2">
      <c r="A19" s="8" t="s">
        <v>23</v>
      </c>
      <c r="B19">
        <v>2</v>
      </c>
      <c r="C19">
        <v>0</v>
      </c>
      <c r="D19" s="4">
        <v>0</v>
      </c>
      <c r="E19">
        <v>0</v>
      </c>
      <c r="F19" s="4">
        <v>0</v>
      </c>
      <c r="G19">
        <v>0</v>
      </c>
      <c r="H19">
        <v>0</v>
      </c>
    </row>
    <row r="20" spans="1:21" x14ac:dyDescent="0.2">
      <c r="A20" s="8" t="s">
        <v>24</v>
      </c>
      <c r="B20">
        <v>2</v>
      </c>
      <c r="C20" s="14">
        <v>64</v>
      </c>
      <c r="D20" s="4">
        <f>LN(C20)</f>
        <v>4.1588830833596715</v>
      </c>
      <c r="E20" s="14">
        <v>18</v>
      </c>
      <c r="F20" s="4">
        <f>LN(E20)</f>
        <v>2.8903717578961645</v>
      </c>
      <c r="G20" s="14">
        <v>5</v>
      </c>
      <c r="H20">
        <f>LN(G20)</f>
        <v>1.6094379124341003</v>
      </c>
    </row>
    <row r="21" spans="1:21" x14ac:dyDescent="0.2">
      <c r="A21" s="9" t="s">
        <v>49</v>
      </c>
      <c r="B21" s="9">
        <v>3</v>
      </c>
      <c r="C21">
        <v>0</v>
      </c>
      <c r="D21" s="4">
        <v>0</v>
      </c>
      <c r="E21">
        <v>0</v>
      </c>
      <c r="F21" s="4">
        <v>0</v>
      </c>
      <c r="G21" s="4">
        <v>0</v>
      </c>
      <c r="H21" s="4">
        <v>0</v>
      </c>
    </row>
    <row r="22" spans="1:21" x14ac:dyDescent="0.2">
      <c r="A22" s="9" t="s">
        <v>50</v>
      </c>
      <c r="B22" s="9">
        <v>4</v>
      </c>
      <c r="C22" s="15">
        <v>15</v>
      </c>
      <c r="D22" s="4">
        <f>LN(C22)</f>
        <v>2.7080502011022101</v>
      </c>
      <c r="E22">
        <v>0</v>
      </c>
      <c r="F22" s="4">
        <v>0</v>
      </c>
      <c r="G22" s="4">
        <v>0</v>
      </c>
      <c r="H22" s="4">
        <v>0</v>
      </c>
    </row>
    <row r="23" spans="1:21" x14ac:dyDescent="0.2">
      <c r="A23" s="9" t="s">
        <v>51</v>
      </c>
      <c r="B23" s="9">
        <v>6</v>
      </c>
      <c r="C23" s="16">
        <v>26</v>
      </c>
      <c r="D23" s="4">
        <f>LN(C23)</f>
        <v>3.2580965380214821</v>
      </c>
      <c r="E23" s="18">
        <v>0</v>
      </c>
      <c r="F23" s="3">
        <v>0</v>
      </c>
      <c r="G23" s="33">
        <v>1</v>
      </c>
      <c r="H23" s="3">
        <f>LN(G23)</f>
        <v>0</v>
      </c>
      <c r="I23" s="3"/>
      <c r="J23" s="4"/>
      <c r="K23" s="4"/>
      <c r="L23" s="3"/>
      <c r="M23" s="3"/>
      <c r="N23" s="3"/>
      <c r="O23" s="3"/>
      <c r="P23" s="4"/>
      <c r="Q23" s="4"/>
      <c r="R23" s="3"/>
      <c r="S23" s="3"/>
      <c r="T23" s="3"/>
      <c r="U23" s="3"/>
    </row>
    <row r="24" spans="1:21" x14ac:dyDescent="0.2">
      <c r="A24" s="9" t="s">
        <v>52</v>
      </c>
      <c r="B24" s="9">
        <v>4</v>
      </c>
      <c r="C24" s="34">
        <v>2472</v>
      </c>
      <c r="D24" s="18">
        <f>LN(C24)</f>
        <v>7.8127828185775812</v>
      </c>
      <c r="E24" s="34">
        <v>99</v>
      </c>
      <c r="F24" s="18">
        <f>LN(E24)</f>
        <v>4.5951198501345898</v>
      </c>
      <c r="G24" s="7">
        <v>0</v>
      </c>
      <c r="H24" s="3">
        <v>0</v>
      </c>
      <c r="I24" s="4"/>
      <c r="J24" s="4"/>
      <c r="K24" s="4"/>
      <c r="L24" s="3"/>
      <c r="M24" s="3"/>
      <c r="N24" s="4"/>
      <c r="O24" s="4"/>
      <c r="P24" s="4"/>
      <c r="Q24" s="4"/>
      <c r="R24" s="3"/>
      <c r="S24" s="3"/>
      <c r="T24" s="3"/>
      <c r="U24" s="3"/>
    </row>
    <row r="25" spans="1:21" x14ac:dyDescent="0.2">
      <c r="C25" s="3"/>
      <c r="D25" s="3"/>
      <c r="E25" s="3"/>
      <c r="F25" s="3"/>
      <c r="G25" s="3"/>
      <c r="H25" s="3"/>
      <c r="I25" s="4"/>
      <c r="J25" s="4"/>
      <c r="K25" s="4"/>
      <c r="L25" s="17"/>
      <c r="M25" s="4"/>
      <c r="N25" s="4"/>
      <c r="O25" s="4"/>
      <c r="P25" s="4"/>
      <c r="Q25" s="4"/>
      <c r="R25" s="17"/>
      <c r="S25" s="4"/>
      <c r="T25" s="4"/>
      <c r="U25" s="4"/>
    </row>
    <row r="26" spans="1:21" x14ac:dyDescent="0.2"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">
      <c r="C27" s="3"/>
      <c r="D27" s="3"/>
      <c r="E27" s="3"/>
      <c r="F27" s="3"/>
      <c r="G27" s="2"/>
      <c r="H27" s="2"/>
      <c r="I27" s="2"/>
      <c r="J27" s="2"/>
      <c r="K27" s="2"/>
      <c r="L27" s="3"/>
      <c r="M27" s="3"/>
      <c r="N27" s="3"/>
      <c r="O27" s="3"/>
      <c r="P27" s="4"/>
      <c r="Q27" s="4"/>
      <c r="R27" s="4"/>
      <c r="S27" s="4"/>
      <c r="T27" s="4"/>
      <c r="U27" s="4"/>
    </row>
    <row r="28" spans="1:21" x14ac:dyDescent="0.2">
      <c r="E28" s="3"/>
      <c r="F28" s="3"/>
      <c r="G28" s="3"/>
      <c r="H28" s="3"/>
      <c r="I28" s="3"/>
      <c r="J28" s="4"/>
      <c r="K28" s="4"/>
      <c r="L28" s="3"/>
      <c r="M28" s="3"/>
      <c r="N28" s="3"/>
      <c r="O28" s="3"/>
      <c r="P28" s="4"/>
      <c r="Q28" s="4"/>
      <c r="R28" s="4"/>
      <c r="S28" s="4"/>
      <c r="T28" s="4"/>
      <c r="U28" s="4"/>
    </row>
    <row r="29" spans="1:21" x14ac:dyDescent="0.2">
      <c r="E29" s="3"/>
      <c r="F29" s="3"/>
      <c r="G29" s="3"/>
      <c r="H29" s="4"/>
      <c r="I29" s="4"/>
      <c r="J29" s="4"/>
      <c r="K29" s="4"/>
      <c r="L29" s="3"/>
      <c r="M29" s="3"/>
      <c r="N29" s="3"/>
      <c r="O29" s="4"/>
      <c r="P29" s="4"/>
      <c r="Q29" s="4"/>
      <c r="R29" s="4"/>
      <c r="S29" s="4"/>
      <c r="T29" s="4"/>
      <c r="U29" s="4"/>
    </row>
    <row r="30" spans="1:21" x14ac:dyDescent="0.2"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</row>
    <row r="31" spans="1:21" x14ac:dyDescent="0.2">
      <c r="E31" s="3"/>
      <c r="F31" s="3"/>
      <c r="G31" s="3"/>
      <c r="H31" s="3"/>
      <c r="I31" s="3"/>
      <c r="J31" s="4"/>
      <c r="K31" s="4"/>
      <c r="L31" s="3"/>
      <c r="M31" s="27"/>
      <c r="N31" s="3"/>
      <c r="O31" s="3"/>
      <c r="P31" s="4"/>
      <c r="Q31" s="4"/>
      <c r="R31" s="4"/>
      <c r="S31" s="4"/>
      <c r="T31" s="4"/>
      <c r="U31" s="4"/>
    </row>
    <row r="32" spans="1:21" x14ac:dyDescent="0.2">
      <c r="E32" s="3"/>
      <c r="F32" s="3"/>
      <c r="G32" s="3"/>
      <c r="H32" s="3"/>
      <c r="I32" s="4"/>
      <c r="J32" s="4"/>
      <c r="K32" s="4"/>
      <c r="L32" s="3"/>
      <c r="M32" s="3"/>
      <c r="N32" s="3"/>
      <c r="O32" s="4"/>
      <c r="P32" s="4"/>
      <c r="Q32" s="4"/>
      <c r="R32" s="3"/>
      <c r="S32" s="3"/>
      <c r="T32" s="3"/>
      <c r="U32" s="3"/>
    </row>
    <row r="33" spans="5:21" x14ac:dyDescent="0.2">
      <c r="E33" s="17"/>
      <c r="F33" s="17"/>
      <c r="G33" s="4"/>
      <c r="H33" s="4"/>
      <c r="I33" s="4"/>
      <c r="J33" s="4"/>
      <c r="K33" s="4"/>
      <c r="L33" s="17"/>
      <c r="M33" s="4"/>
      <c r="N33" s="4"/>
      <c r="O33" s="4"/>
      <c r="P33" s="4"/>
      <c r="Q33" s="4"/>
      <c r="R33" s="3"/>
      <c r="S33" s="3"/>
      <c r="T33" s="4"/>
      <c r="U33" s="4"/>
    </row>
    <row r="34" spans="5:21" x14ac:dyDescent="0.2">
      <c r="E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7"/>
      <c r="S34" s="4"/>
      <c r="T34" s="4"/>
      <c r="U34" s="4"/>
    </row>
    <row r="35" spans="5:21" x14ac:dyDescent="0.2"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5:21" x14ac:dyDescent="0.2">
      <c r="E36" s="3"/>
      <c r="F36" s="3"/>
      <c r="G36" s="3"/>
      <c r="H36" s="3"/>
      <c r="I36" s="4"/>
      <c r="J36" s="4"/>
      <c r="K36" s="3"/>
      <c r="L36" s="3"/>
      <c r="M36" s="3"/>
      <c r="N36" s="17"/>
      <c r="O36" s="4"/>
      <c r="P36" s="4"/>
      <c r="Q36" s="4"/>
      <c r="R36" s="4"/>
      <c r="S36" s="4"/>
      <c r="T36" s="4"/>
      <c r="U36" s="4"/>
    </row>
    <row r="37" spans="5:21" x14ac:dyDescent="0.2"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5:21" x14ac:dyDescent="0.2">
      <c r="E38" s="3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5:21" x14ac:dyDescent="0.2">
      <c r="E39" s="4"/>
      <c r="G39" s="4"/>
      <c r="H39" s="4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</row>
    <row r="40" spans="5:21" x14ac:dyDescent="0.2">
      <c r="E40" s="4"/>
      <c r="G40" s="4"/>
      <c r="H40" s="4"/>
      <c r="I40" s="3"/>
      <c r="J40" s="3"/>
      <c r="K40" s="3"/>
      <c r="L40" s="4"/>
      <c r="M40" s="4"/>
      <c r="N40" s="4"/>
      <c r="O40" s="3"/>
      <c r="P40" s="3"/>
      <c r="Q40" s="3"/>
      <c r="R40" s="3"/>
      <c r="S40" s="4"/>
      <c r="T40" s="4"/>
      <c r="U40" s="4"/>
    </row>
    <row r="41" spans="5:21" x14ac:dyDescent="0.2">
      <c r="E41" s="4"/>
      <c r="G41" s="4"/>
      <c r="H41" s="4"/>
      <c r="I41" s="3"/>
      <c r="J41" s="3"/>
      <c r="K41" s="4"/>
      <c r="L41" s="4"/>
      <c r="M41" s="4"/>
      <c r="N41" s="4"/>
      <c r="O41" s="3"/>
      <c r="P41" s="3"/>
      <c r="Q41" s="3"/>
      <c r="R41" s="4"/>
      <c r="S41" s="4"/>
      <c r="T41" s="4"/>
      <c r="U41" s="4"/>
    </row>
    <row r="42" spans="5:21" x14ac:dyDescent="0.2">
      <c r="E42" s="4"/>
      <c r="G42" s="4"/>
      <c r="H42" s="4"/>
      <c r="I42" s="4"/>
      <c r="J42" s="4"/>
      <c r="K42" s="4"/>
      <c r="L42" s="4"/>
      <c r="M42" s="4"/>
      <c r="N42" s="4"/>
      <c r="O42" s="3"/>
      <c r="P42" s="4"/>
      <c r="Q42" s="4"/>
      <c r="R42" s="4"/>
      <c r="S42" s="4"/>
      <c r="T42" s="4"/>
      <c r="U42" s="4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" sqref="D1:E24"/>
    </sheetView>
  </sheetViews>
  <sheetFormatPr baseColWidth="10" defaultRowHeight="16" x14ac:dyDescent="0.2"/>
  <sheetData>
    <row r="1" spans="1:5" x14ac:dyDescent="0.2">
      <c r="A1" s="1" t="s">
        <v>0</v>
      </c>
      <c r="B1" s="1" t="s">
        <v>28</v>
      </c>
      <c r="C1" s="2" t="s">
        <v>18</v>
      </c>
      <c r="D1" s="5" t="s">
        <v>29</v>
      </c>
      <c r="E1" s="5" t="s">
        <v>42</v>
      </c>
    </row>
    <row r="2" spans="1:5" x14ac:dyDescent="0.2">
      <c r="A2" s="6" t="s">
        <v>6</v>
      </c>
      <c r="B2">
        <v>10</v>
      </c>
      <c r="C2" s="14">
        <v>3031</v>
      </c>
      <c r="D2">
        <f>3031*0.6</f>
        <v>1818.6</v>
      </c>
      <c r="E2">
        <f t="shared" ref="E2:E18" si="0">LN(D2)</f>
        <v>7.5058222532918126</v>
      </c>
    </row>
    <row r="3" spans="1:5" x14ac:dyDescent="0.2">
      <c r="A3" s="8" t="s">
        <v>15</v>
      </c>
      <c r="B3">
        <v>10</v>
      </c>
      <c r="C3" s="12">
        <v>39</v>
      </c>
      <c r="D3">
        <f>39*0.2</f>
        <v>7.8000000000000007</v>
      </c>
      <c r="E3">
        <f t="shared" si="0"/>
        <v>2.0541237336955462</v>
      </c>
    </row>
    <row r="4" spans="1:5" x14ac:dyDescent="0.2">
      <c r="A4" s="6" t="s">
        <v>2</v>
      </c>
      <c r="B4">
        <v>9</v>
      </c>
      <c r="C4" s="15">
        <v>593</v>
      </c>
      <c r="D4">
        <f>593*0.8</f>
        <v>474.40000000000003</v>
      </c>
      <c r="E4">
        <f t="shared" si="0"/>
        <v>6.1620508476835161</v>
      </c>
    </row>
    <row r="5" spans="1:5" x14ac:dyDescent="0.2">
      <c r="A5" s="6" t="s">
        <v>3</v>
      </c>
      <c r="B5">
        <v>9</v>
      </c>
      <c r="C5" s="14">
        <v>818</v>
      </c>
      <c r="D5">
        <f>818*0.6</f>
        <v>490.79999999999995</v>
      </c>
      <c r="E5">
        <f t="shared" si="0"/>
        <v>6.1960367128367562</v>
      </c>
    </row>
    <row r="6" spans="1:5" x14ac:dyDescent="0.2">
      <c r="A6" s="6" t="s">
        <v>4</v>
      </c>
      <c r="B6">
        <v>9</v>
      </c>
      <c r="C6" s="16">
        <v>572</v>
      </c>
      <c r="D6">
        <v>572</v>
      </c>
      <c r="E6">
        <f t="shared" si="0"/>
        <v>6.3491389913797978</v>
      </c>
    </row>
    <row r="7" spans="1:5" x14ac:dyDescent="0.2">
      <c r="A7" s="6" t="s">
        <v>5</v>
      </c>
      <c r="B7">
        <v>9</v>
      </c>
      <c r="C7" s="15">
        <v>1072</v>
      </c>
      <c r="D7">
        <f>1072*0.8</f>
        <v>857.6</v>
      </c>
      <c r="E7">
        <f t="shared" si="0"/>
        <v>6.7541377903165376</v>
      </c>
    </row>
    <row r="8" spans="1:5" x14ac:dyDescent="0.2">
      <c r="A8" s="6" t="s">
        <v>13</v>
      </c>
      <c r="B8">
        <v>9</v>
      </c>
      <c r="C8" s="16">
        <v>584</v>
      </c>
      <c r="D8">
        <v>584</v>
      </c>
      <c r="E8">
        <f t="shared" si="0"/>
        <v>6.3699009828282271</v>
      </c>
    </row>
    <row r="9" spans="1:5" x14ac:dyDescent="0.2">
      <c r="A9" s="8" t="s">
        <v>17</v>
      </c>
      <c r="B9">
        <v>9</v>
      </c>
      <c r="C9" s="15">
        <v>292</v>
      </c>
      <c r="D9">
        <f>292*0.8</f>
        <v>233.60000000000002</v>
      </c>
      <c r="E9">
        <f t="shared" si="0"/>
        <v>5.453610250954072</v>
      </c>
    </row>
    <row r="10" spans="1:5" x14ac:dyDescent="0.2">
      <c r="A10" s="7" t="s">
        <v>11</v>
      </c>
      <c r="B10">
        <v>8</v>
      </c>
      <c r="C10" s="12">
        <v>8</v>
      </c>
      <c r="D10">
        <f>8*0.2</f>
        <v>1.6</v>
      </c>
      <c r="E10">
        <f t="shared" si="0"/>
        <v>0.47000362924573563</v>
      </c>
    </row>
    <row r="11" spans="1:5" x14ac:dyDescent="0.2">
      <c r="A11" s="7" t="s">
        <v>9</v>
      </c>
      <c r="B11">
        <v>7</v>
      </c>
      <c r="C11" s="14">
        <v>120</v>
      </c>
      <c r="D11">
        <f>120*0.6</f>
        <v>72</v>
      </c>
      <c r="E11">
        <f t="shared" si="0"/>
        <v>4.2766661190160553</v>
      </c>
    </row>
    <row r="12" spans="1:5" x14ac:dyDescent="0.2">
      <c r="A12" s="6" t="s">
        <v>10</v>
      </c>
      <c r="B12">
        <v>7</v>
      </c>
      <c r="C12" s="12">
        <v>16</v>
      </c>
      <c r="D12">
        <f>16*0.2</f>
        <v>3.2</v>
      </c>
      <c r="E12">
        <f t="shared" si="0"/>
        <v>1.1631508098056809</v>
      </c>
    </row>
    <row r="13" spans="1:5" x14ac:dyDescent="0.2">
      <c r="A13" s="8" t="s">
        <v>16</v>
      </c>
      <c r="B13">
        <v>7</v>
      </c>
      <c r="C13" s="15">
        <v>210</v>
      </c>
      <c r="D13">
        <f>210*8</f>
        <v>1680</v>
      </c>
      <c r="E13">
        <f t="shared" si="0"/>
        <v>7.4265490723973047</v>
      </c>
    </row>
    <row r="14" spans="1:5" x14ac:dyDescent="0.2">
      <c r="A14" s="6" t="s">
        <v>1</v>
      </c>
      <c r="B14">
        <v>6</v>
      </c>
      <c r="C14" s="15">
        <v>1042</v>
      </c>
      <c r="D14">
        <f>1042*0.8</f>
        <v>833.6</v>
      </c>
      <c r="E14">
        <f t="shared" si="0"/>
        <v>6.7257536709991026</v>
      </c>
    </row>
    <row r="15" spans="1:5" x14ac:dyDescent="0.2">
      <c r="A15" s="6" t="s">
        <v>8</v>
      </c>
      <c r="B15">
        <v>6</v>
      </c>
      <c r="C15" s="13">
        <v>4898</v>
      </c>
      <c r="D15">
        <f>4898*0.4</f>
        <v>1959.2</v>
      </c>
      <c r="E15">
        <f t="shared" si="0"/>
        <v>7.5802915056379581</v>
      </c>
    </row>
    <row r="16" spans="1:5" x14ac:dyDescent="0.2">
      <c r="A16" s="6" t="s">
        <v>12</v>
      </c>
      <c r="B16">
        <v>6</v>
      </c>
      <c r="C16" s="13">
        <v>40</v>
      </c>
      <c r="D16">
        <f>40*0.4</f>
        <v>16</v>
      </c>
      <c r="E16">
        <f t="shared" si="0"/>
        <v>2.7725887222397811</v>
      </c>
    </row>
    <row r="17" spans="1:7" x14ac:dyDescent="0.2">
      <c r="A17" s="8" t="s">
        <v>14</v>
      </c>
      <c r="B17">
        <v>6</v>
      </c>
      <c r="C17" s="13">
        <v>71</v>
      </c>
      <c r="D17">
        <f>71*0.4</f>
        <v>28.400000000000002</v>
      </c>
      <c r="E17">
        <f t="shared" si="0"/>
        <v>3.3463891451671604</v>
      </c>
    </row>
    <row r="18" spans="1:7" x14ac:dyDescent="0.2">
      <c r="A18" s="6" t="s">
        <v>7</v>
      </c>
      <c r="B18">
        <v>3</v>
      </c>
      <c r="C18" s="12">
        <v>7</v>
      </c>
      <c r="D18">
        <f>7*0.2</f>
        <v>1.4000000000000001</v>
      </c>
      <c r="E18">
        <f t="shared" si="0"/>
        <v>0.33647223662121301</v>
      </c>
    </row>
    <row r="19" spans="1:7" x14ac:dyDescent="0.2">
      <c r="A19" s="8" t="s">
        <v>23</v>
      </c>
      <c r="B19">
        <v>2</v>
      </c>
      <c r="C19">
        <v>0</v>
      </c>
      <c r="D19">
        <v>0</v>
      </c>
      <c r="E19">
        <v>0</v>
      </c>
    </row>
    <row r="20" spans="1:7" x14ac:dyDescent="0.2">
      <c r="A20" s="8" t="s">
        <v>24</v>
      </c>
      <c r="B20">
        <v>2</v>
      </c>
      <c r="C20" s="14">
        <v>87</v>
      </c>
      <c r="D20">
        <f>87*0.6</f>
        <v>52.199999999999996</v>
      </c>
      <c r="E20">
        <f>LN(D20)</f>
        <v>3.9550824948885928</v>
      </c>
    </row>
    <row r="21" spans="1:7" x14ac:dyDescent="0.2">
      <c r="A21" s="9" t="s">
        <v>49</v>
      </c>
      <c r="B21" s="9">
        <v>3</v>
      </c>
      <c r="C21">
        <v>0</v>
      </c>
      <c r="D21">
        <v>0</v>
      </c>
      <c r="E21">
        <v>0</v>
      </c>
    </row>
    <row r="22" spans="1:7" x14ac:dyDescent="0.2">
      <c r="A22" s="9" t="s">
        <v>50</v>
      </c>
      <c r="B22" s="9">
        <v>4</v>
      </c>
      <c r="C22" s="15">
        <v>15</v>
      </c>
      <c r="D22">
        <f>15*0.8</f>
        <v>12</v>
      </c>
      <c r="E22">
        <f>LN(D22)</f>
        <v>2.4849066497880004</v>
      </c>
    </row>
    <row r="23" spans="1:7" x14ac:dyDescent="0.2">
      <c r="A23" s="9" t="s">
        <v>51</v>
      </c>
      <c r="B23" s="9">
        <v>6</v>
      </c>
      <c r="C23" s="16">
        <v>27</v>
      </c>
      <c r="D23">
        <v>27</v>
      </c>
      <c r="E23">
        <f>LN(D23)</f>
        <v>3.2958368660043291</v>
      </c>
    </row>
    <row r="24" spans="1:7" x14ac:dyDescent="0.2">
      <c r="A24" s="9" t="s">
        <v>52</v>
      </c>
      <c r="B24" s="9">
        <v>4</v>
      </c>
      <c r="C24" s="12">
        <v>2571</v>
      </c>
      <c r="D24">
        <f>2571*0.2</f>
        <v>514.20000000000005</v>
      </c>
      <c r="E24">
        <f>LN(D24)</f>
        <v>6.2426122948317895</v>
      </c>
    </row>
    <row r="25" spans="1:7" x14ac:dyDescent="0.2">
      <c r="G25" t="s">
        <v>48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" sqref="C1:F24"/>
    </sheetView>
  </sheetViews>
  <sheetFormatPr baseColWidth="10" defaultRowHeight="16" x14ac:dyDescent="0.2"/>
  <cols>
    <col min="3" max="3" width="12.1640625" style="4" bestFit="1" customWidth="1"/>
    <col min="4" max="4" width="12.1640625" style="4" customWidth="1"/>
    <col min="5" max="5" width="13.6640625" bestFit="1" customWidth="1"/>
    <col min="6" max="6" width="15.83203125" bestFit="1" customWidth="1"/>
  </cols>
  <sheetData>
    <row r="1" spans="1:6" x14ac:dyDescent="0.2">
      <c r="A1" s="5" t="s">
        <v>0</v>
      </c>
      <c r="B1" s="5" t="s">
        <v>20</v>
      </c>
      <c r="C1" s="28" t="s">
        <v>30</v>
      </c>
      <c r="D1" s="28" t="s">
        <v>43</v>
      </c>
      <c r="E1" s="5" t="s">
        <v>31</v>
      </c>
      <c r="F1" s="5" t="s">
        <v>44</v>
      </c>
    </row>
    <row r="2" spans="1:6" x14ac:dyDescent="0.2">
      <c r="A2" s="6" t="s">
        <v>1</v>
      </c>
      <c r="B2">
        <v>6</v>
      </c>
      <c r="C2" s="22">
        <f>972*0.8</f>
        <v>777.6</v>
      </c>
      <c r="D2" s="7">
        <f t="shared" ref="D2:D7" si="0">LN(C2)</f>
        <v>6.6562122531462293</v>
      </c>
      <c r="E2" s="24">
        <f>283*0.6</f>
        <v>169.79999999999998</v>
      </c>
      <c r="F2">
        <f t="shared" ref="F2:F18" si="1">LN(E2)</f>
        <v>5.1346212738772472</v>
      </c>
    </row>
    <row r="3" spans="1:6" x14ac:dyDescent="0.2">
      <c r="A3" s="6" t="s">
        <v>2</v>
      </c>
      <c r="B3">
        <v>9</v>
      </c>
      <c r="C3" s="15">
        <f>435*0.8</f>
        <v>348</v>
      </c>
      <c r="D3" s="4">
        <f t="shared" si="0"/>
        <v>5.8522024797744745</v>
      </c>
      <c r="E3" s="15">
        <f>158*0.8</f>
        <v>126.4</v>
      </c>
      <c r="F3">
        <f t="shared" si="1"/>
        <v>4.8394514817127572</v>
      </c>
    </row>
    <row r="4" spans="1:6" x14ac:dyDescent="0.2">
      <c r="A4" s="6" t="s">
        <v>3</v>
      </c>
      <c r="B4">
        <v>9</v>
      </c>
      <c r="C4" s="23">
        <f>278*0.6</f>
        <v>166.79999999999998</v>
      </c>
      <c r="D4" s="29">
        <f t="shared" si="0"/>
        <v>5.1167954899246464</v>
      </c>
      <c r="E4" s="14">
        <f>540*0.6</f>
        <v>324</v>
      </c>
      <c r="F4">
        <f t="shared" si="1"/>
        <v>5.780743515792329</v>
      </c>
    </row>
    <row r="5" spans="1:6" x14ac:dyDescent="0.2">
      <c r="A5" s="6" t="s">
        <v>4</v>
      </c>
      <c r="B5">
        <v>9</v>
      </c>
      <c r="C5" s="16">
        <v>412</v>
      </c>
      <c r="D5" s="4">
        <f t="shared" si="0"/>
        <v>6.0210233493495267</v>
      </c>
      <c r="E5" s="16">
        <v>52</v>
      </c>
      <c r="F5">
        <f t="shared" si="1"/>
        <v>3.9512437185814275</v>
      </c>
    </row>
    <row r="6" spans="1:6" x14ac:dyDescent="0.2">
      <c r="A6" s="6" t="s">
        <v>5</v>
      </c>
      <c r="B6">
        <v>9</v>
      </c>
      <c r="C6" s="15">
        <f>433*0.8</f>
        <v>346.40000000000003</v>
      </c>
      <c r="D6" s="4">
        <f t="shared" si="0"/>
        <v>5.84759417668828</v>
      </c>
      <c r="E6" s="15">
        <f>639*0.8</f>
        <v>511.20000000000005</v>
      </c>
      <c r="F6">
        <f t="shared" si="1"/>
        <v>6.2367609030633249</v>
      </c>
    </row>
    <row r="7" spans="1:6" x14ac:dyDescent="0.2">
      <c r="A7" s="6" t="s">
        <v>6</v>
      </c>
      <c r="B7">
        <v>10</v>
      </c>
      <c r="C7" s="14">
        <f>1780*0.6</f>
        <v>1068</v>
      </c>
      <c r="D7" s="4">
        <f t="shared" si="0"/>
        <v>6.9735430195201404</v>
      </c>
      <c r="E7" s="14">
        <f>1251*0.6</f>
        <v>750.6</v>
      </c>
      <c r="F7">
        <f t="shared" si="1"/>
        <v>6.6208728867009201</v>
      </c>
    </row>
    <row r="8" spans="1:6" x14ac:dyDescent="0.2">
      <c r="A8" s="6" t="s">
        <v>7</v>
      </c>
      <c r="B8">
        <v>3</v>
      </c>
      <c r="C8" s="4">
        <v>0</v>
      </c>
      <c r="D8" s="4">
        <v>0</v>
      </c>
      <c r="E8" s="12">
        <f>7*0.2</f>
        <v>1.4000000000000001</v>
      </c>
      <c r="F8">
        <f t="shared" si="1"/>
        <v>0.33647223662121301</v>
      </c>
    </row>
    <row r="9" spans="1:6" x14ac:dyDescent="0.2">
      <c r="A9" s="6" t="s">
        <v>8</v>
      </c>
      <c r="B9">
        <v>6</v>
      </c>
      <c r="C9" s="13">
        <f>3524*0.4</f>
        <v>1409.6000000000001</v>
      </c>
      <c r="D9" s="4">
        <f t="shared" ref="D9:D18" si="2">LN(C9)</f>
        <v>7.2510612551819156</v>
      </c>
      <c r="E9" s="12">
        <f>1374*0.2</f>
        <v>274.8</v>
      </c>
      <c r="F9">
        <f t="shared" si="1"/>
        <v>5.616043560348194</v>
      </c>
    </row>
    <row r="10" spans="1:6" x14ac:dyDescent="0.2">
      <c r="A10" s="7" t="s">
        <v>9</v>
      </c>
      <c r="B10">
        <v>7</v>
      </c>
      <c r="C10" s="14">
        <f>69*0.6</f>
        <v>41.4</v>
      </c>
      <c r="D10" s="4">
        <f t="shared" si="2"/>
        <v>3.7232808808312687</v>
      </c>
      <c r="E10" s="14">
        <f>51*0.6</f>
        <v>30.599999999999998</v>
      </c>
      <c r="F10">
        <f t="shared" si="1"/>
        <v>3.4210000089583352</v>
      </c>
    </row>
    <row r="11" spans="1:6" x14ac:dyDescent="0.2">
      <c r="A11" s="6" t="s">
        <v>10</v>
      </c>
      <c r="B11">
        <v>7</v>
      </c>
      <c r="C11" s="12">
        <f>9*0.2</f>
        <v>1.8</v>
      </c>
      <c r="D11" s="4">
        <f t="shared" si="2"/>
        <v>0.58778666490211906</v>
      </c>
      <c r="E11" s="12">
        <f>7*0.2</f>
        <v>1.4000000000000001</v>
      </c>
      <c r="F11">
        <f t="shared" si="1"/>
        <v>0.33647223662121301</v>
      </c>
    </row>
    <row r="12" spans="1:6" x14ac:dyDescent="0.2">
      <c r="A12" s="7" t="s">
        <v>11</v>
      </c>
      <c r="B12">
        <v>8</v>
      </c>
      <c r="C12" s="12">
        <f>6*0.2</f>
        <v>1.2000000000000002</v>
      </c>
      <c r="D12" s="4">
        <f t="shared" si="2"/>
        <v>0.18232155679395479</v>
      </c>
      <c r="E12" s="12">
        <f>2*0.2</f>
        <v>0.4</v>
      </c>
      <c r="F12">
        <f t="shared" si="1"/>
        <v>-0.916290731874155</v>
      </c>
    </row>
    <row r="13" spans="1:6" x14ac:dyDescent="0.2">
      <c r="A13" s="6" t="s">
        <v>12</v>
      </c>
      <c r="B13">
        <v>6</v>
      </c>
      <c r="C13" s="13">
        <f>31*0.4</f>
        <v>12.4</v>
      </c>
      <c r="D13" s="4">
        <f t="shared" si="2"/>
        <v>2.5176964726109912</v>
      </c>
      <c r="E13" s="13">
        <f>9*0.4</f>
        <v>3.6</v>
      </c>
      <c r="F13">
        <f t="shared" si="1"/>
        <v>1.2809338454620642</v>
      </c>
    </row>
    <row r="14" spans="1:6" x14ac:dyDescent="0.2">
      <c r="A14" s="6" t="s">
        <v>13</v>
      </c>
      <c r="B14">
        <v>9</v>
      </c>
      <c r="C14" s="16">
        <v>132</v>
      </c>
      <c r="D14" s="4">
        <f t="shared" si="2"/>
        <v>4.8828019225863706</v>
      </c>
      <c r="E14" s="16">
        <v>452</v>
      </c>
      <c r="F14">
        <f t="shared" si="1"/>
        <v>6.1136821798322316</v>
      </c>
    </row>
    <row r="15" spans="1:6" x14ac:dyDescent="0.2">
      <c r="A15" s="8" t="s">
        <v>14</v>
      </c>
      <c r="B15">
        <v>6</v>
      </c>
      <c r="C15" s="13">
        <f>55*0.4</f>
        <v>22</v>
      </c>
      <c r="D15" s="4">
        <f t="shared" si="2"/>
        <v>3.0910424533583161</v>
      </c>
      <c r="E15" s="13">
        <f>16*0.4</f>
        <v>6.4</v>
      </c>
      <c r="F15">
        <f t="shared" si="1"/>
        <v>1.8562979903656263</v>
      </c>
    </row>
    <row r="16" spans="1:6" x14ac:dyDescent="0.2">
      <c r="A16" s="8" t="s">
        <v>15</v>
      </c>
      <c r="B16">
        <v>10</v>
      </c>
      <c r="C16" s="12">
        <f>17*0.2</f>
        <v>3.4000000000000004</v>
      </c>
      <c r="D16" s="4">
        <f t="shared" si="2"/>
        <v>1.2237754316221159</v>
      </c>
      <c r="E16" s="12">
        <f>22*0.2</f>
        <v>4.4000000000000004</v>
      </c>
      <c r="F16">
        <f t="shared" si="1"/>
        <v>1.4816045409242156</v>
      </c>
    </row>
    <row r="17" spans="1:6" x14ac:dyDescent="0.2">
      <c r="A17" s="8" t="s">
        <v>16</v>
      </c>
      <c r="B17">
        <v>7</v>
      </c>
      <c r="C17" s="15">
        <f>63*0.8</f>
        <v>50.400000000000006</v>
      </c>
      <c r="D17" s="4">
        <f t="shared" si="2"/>
        <v>3.9199911750773229</v>
      </c>
      <c r="E17" s="15">
        <f>147*0.8</f>
        <v>117.60000000000001</v>
      </c>
      <c r="F17">
        <f t="shared" si="1"/>
        <v>4.7672890354645263</v>
      </c>
    </row>
    <row r="18" spans="1:6" x14ac:dyDescent="0.2">
      <c r="A18" s="8" t="s">
        <v>17</v>
      </c>
      <c r="B18">
        <v>9</v>
      </c>
      <c r="C18" s="15">
        <f>78*0.8</f>
        <v>62.400000000000006</v>
      </c>
      <c r="D18" s="4">
        <f t="shared" si="2"/>
        <v>4.133565275375382</v>
      </c>
      <c r="E18" s="15">
        <f>214*0.8</f>
        <v>171.20000000000002</v>
      </c>
      <c r="F18">
        <f t="shared" si="1"/>
        <v>5.1428324637076415</v>
      </c>
    </row>
    <row r="19" spans="1:6" x14ac:dyDescent="0.2">
      <c r="A19" s="8" t="s">
        <v>23</v>
      </c>
      <c r="B19">
        <v>2</v>
      </c>
      <c r="C19">
        <v>0</v>
      </c>
      <c r="D19" s="4">
        <v>0</v>
      </c>
      <c r="E19">
        <v>0</v>
      </c>
      <c r="F19">
        <v>0</v>
      </c>
    </row>
    <row r="20" spans="1:6" x14ac:dyDescent="0.2">
      <c r="A20" s="8" t="s">
        <v>24</v>
      </c>
      <c r="B20">
        <v>2</v>
      </c>
      <c r="C20" s="14">
        <f>47*0.6</f>
        <v>28.2</v>
      </c>
      <c r="D20" s="4">
        <f>LN(C20)</f>
        <v>3.3393219779440679</v>
      </c>
      <c r="E20" s="14">
        <f>40*0.6</f>
        <v>24</v>
      </c>
      <c r="F20">
        <f>LN(E20)</f>
        <v>3.1780538303479458</v>
      </c>
    </row>
    <row r="21" spans="1:6" x14ac:dyDescent="0.2">
      <c r="A21" s="9" t="s">
        <v>49</v>
      </c>
      <c r="B21" s="9">
        <v>3</v>
      </c>
      <c r="C21" s="4">
        <v>0</v>
      </c>
      <c r="D21" s="4">
        <v>0</v>
      </c>
      <c r="E21">
        <v>0</v>
      </c>
      <c r="F21">
        <v>0</v>
      </c>
    </row>
    <row r="22" spans="1:6" x14ac:dyDescent="0.2">
      <c r="A22" s="9" t="s">
        <v>50</v>
      </c>
      <c r="B22" s="9">
        <v>4</v>
      </c>
      <c r="C22" s="15">
        <f>5*0.8</f>
        <v>4</v>
      </c>
      <c r="D22" s="4">
        <f>LN(C22)</f>
        <v>1.3862943611198906</v>
      </c>
      <c r="E22" s="15">
        <f>10*0.8</f>
        <v>8</v>
      </c>
      <c r="F22">
        <f>LN(E22)</f>
        <v>2.0794415416798357</v>
      </c>
    </row>
    <row r="23" spans="1:6" x14ac:dyDescent="0.2">
      <c r="A23" s="9" t="s">
        <v>51</v>
      </c>
      <c r="B23" s="9">
        <v>6</v>
      </c>
      <c r="C23" s="32">
        <v>19</v>
      </c>
      <c r="D23" s="4">
        <f>LN(C23)</f>
        <v>2.9444389791664403</v>
      </c>
      <c r="E23" s="32">
        <v>8</v>
      </c>
      <c r="F23">
        <f>LN(E23)</f>
        <v>2.0794415416798357</v>
      </c>
    </row>
    <row r="24" spans="1:6" x14ac:dyDescent="0.2">
      <c r="A24" s="9" t="s">
        <v>52</v>
      </c>
      <c r="B24" s="9">
        <v>4</v>
      </c>
      <c r="C24" s="31">
        <f>405*0.2</f>
        <v>81</v>
      </c>
      <c r="D24" s="4">
        <f>LN(C24)</f>
        <v>4.3944491546724391</v>
      </c>
      <c r="E24" s="31">
        <f>2166*0.2</f>
        <v>433.20000000000005</v>
      </c>
      <c r="F24">
        <f>LN(E24)</f>
        <v>6.0711995151268354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" sqref="C1:H24"/>
    </sheetView>
  </sheetViews>
  <sheetFormatPr baseColWidth="10" defaultRowHeight="16" x14ac:dyDescent="0.2"/>
  <cols>
    <col min="3" max="3" width="12.83203125" style="4" bestFit="1" customWidth="1"/>
    <col min="4" max="4" width="12.83203125" style="4" customWidth="1"/>
    <col min="5" max="6" width="10.83203125" style="4"/>
  </cols>
  <sheetData>
    <row r="1" spans="1:8" x14ac:dyDescent="0.2">
      <c r="A1" s="5" t="s">
        <v>0</v>
      </c>
      <c r="B1" s="5" t="s">
        <v>20</v>
      </c>
      <c r="C1" s="28" t="s">
        <v>32</v>
      </c>
      <c r="D1" s="28" t="s">
        <v>45</v>
      </c>
      <c r="E1" s="28" t="s">
        <v>33</v>
      </c>
      <c r="F1" s="28" t="s">
        <v>46</v>
      </c>
      <c r="G1" s="5" t="s">
        <v>34</v>
      </c>
      <c r="H1" s="5" t="s">
        <v>47</v>
      </c>
    </row>
    <row r="2" spans="1:8" x14ac:dyDescent="0.2">
      <c r="A2" s="6" t="s">
        <v>1</v>
      </c>
      <c r="B2">
        <v>6</v>
      </c>
      <c r="C2" s="15">
        <f>866*0.8</f>
        <v>692.80000000000007</v>
      </c>
      <c r="D2" s="4">
        <f>LN(C2)</f>
        <v>6.5407413572482254</v>
      </c>
      <c r="E2" s="14">
        <f>146*0.6</f>
        <v>87.6</v>
      </c>
      <c r="F2" s="4">
        <f>LN(E2)</f>
        <v>4.4727809979423458</v>
      </c>
      <c r="G2" s="14">
        <f>30*0.6</f>
        <v>18</v>
      </c>
      <c r="H2">
        <f>LN(G2)</f>
        <v>2.8903717578961645</v>
      </c>
    </row>
    <row r="3" spans="1:8" x14ac:dyDescent="0.2">
      <c r="A3" s="6" t="s">
        <v>2</v>
      </c>
      <c r="B3">
        <v>9</v>
      </c>
      <c r="C3" s="15">
        <f>479*0.8</f>
        <v>383.20000000000005</v>
      </c>
      <c r="D3" s="4">
        <f t="shared" ref="D3:D20" si="0">LN(C3)</f>
        <v>5.9485570460967052</v>
      </c>
      <c r="E3" s="15">
        <f>20*0.8</f>
        <v>16</v>
      </c>
      <c r="F3" s="4">
        <f t="shared" ref="F3:F20" si="1">LN(E3)</f>
        <v>2.7725887222397811</v>
      </c>
      <c r="G3" s="15">
        <f>95*0.8</f>
        <v>76</v>
      </c>
      <c r="H3">
        <f t="shared" ref="H3:H20" si="2">LN(G3)</f>
        <v>4.3307333402863311</v>
      </c>
    </row>
    <row r="4" spans="1:8" x14ac:dyDescent="0.2">
      <c r="A4" s="6" t="s">
        <v>3</v>
      </c>
      <c r="B4">
        <v>9</v>
      </c>
      <c r="C4" s="14">
        <f>632*0.6</f>
        <v>379.2</v>
      </c>
      <c r="D4" s="4">
        <f t="shared" si="0"/>
        <v>5.9380637703808663</v>
      </c>
      <c r="E4" s="13">
        <f>173*0.4</f>
        <v>69.2</v>
      </c>
      <c r="F4" s="4">
        <f t="shared" si="1"/>
        <v>4.2370008626236242</v>
      </c>
      <c r="G4" s="14">
        <f>13*0.6</f>
        <v>7.8</v>
      </c>
      <c r="H4">
        <f t="shared" si="2"/>
        <v>2.0541237336955462</v>
      </c>
    </row>
    <row r="5" spans="1:8" x14ac:dyDescent="0.2">
      <c r="A5" s="6" t="s">
        <v>4</v>
      </c>
      <c r="B5">
        <v>9</v>
      </c>
      <c r="C5" s="16">
        <v>313</v>
      </c>
      <c r="D5" s="4">
        <f t="shared" si="0"/>
        <v>5.7462031905401529</v>
      </c>
      <c r="E5" s="16">
        <v>242</v>
      </c>
      <c r="F5" s="4">
        <f t="shared" si="1"/>
        <v>5.4889377261566867</v>
      </c>
      <c r="G5" s="16">
        <v>17</v>
      </c>
      <c r="H5">
        <f t="shared" si="2"/>
        <v>2.8332133440562162</v>
      </c>
    </row>
    <row r="6" spans="1:8" x14ac:dyDescent="0.2">
      <c r="A6" s="6" t="s">
        <v>5</v>
      </c>
      <c r="B6">
        <v>9</v>
      </c>
      <c r="C6" s="15">
        <f>1080*0.8</f>
        <v>864</v>
      </c>
      <c r="D6" s="4">
        <f t="shared" si="0"/>
        <v>6.7615727688040552</v>
      </c>
      <c r="E6" s="12">
        <f>7*0.2</f>
        <v>1.4000000000000001</v>
      </c>
      <c r="F6" s="4">
        <f t="shared" si="1"/>
        <v>0.33647223662121301</v>
      </c>
      <c r="G6" s="14">
        <f>21*0.6</f>
        <v>12.6</v>
      </c>
      <c r="H6">
        <f t="shared" si="2"/>
        <v>2.5336968139574321</v>
      </c>
    </row>
    <row r="7" spans="1:8" x14ac:dyDescent="0.2">
      <c r="A7" s="6" t="s">
        <v>6</v>
      </c>
      <c r="B7">
        <v>10</v>
      </c>
      <c r="C7" s="14">
        <f>2190*0.6</f>
        <v>1314</v>
      </c>
      <c r="D7" s="4">
        <f t="shared" si="0"/>
        <v>7.1808311990445555</v>
      </c>
      <c r="E7" s="14">
        <f>751*0.6</f>
        <v>450.59999999999997</v>
      </c>
      <c r="F7" s="4">
        <f t="shared" si="1"/>
        <v>6.1105800279981439</v>
      </c>
      <c r="G7" s="12">
        <f>90*0.2</f>
        <v>18</v>
      </c>
      <c r="H7">
        <f t="shared" si="2"/>
        <v>2.8903717578961645</v>
      </c>
    </row>
    <row r="8" spans="1:8" x14ac:dyDescent="0.2">
      <c r="A8" s="6" t="s">
        <v>7</v>
      </c>
      <c r="B8">
        <v>3</v>
      </c>
      <c r="C8" s="12">
        <f>7*0.2</f>
        <v>1.4000000000000001</v>
      </c>
      <c r="D8" s="4">
        <f t="shared" si="0"/>
        <v>0.33647223662121301</v>
      </c>
      <c r="E8">
        <v>0</v>
      </c>
      <c r="F8" s="4">
        <v>0</v>
      </c>
      <c r="G8">
        <v>0</v>
      </c>
      <c r="H8">
        <v>0</v>
      </c>
    </row>
    <row r="9" spans="1:8" x14ac:dyDescent="0.2">
      <c r="A9" s="6" t="s">
        <v>8</v>
      </c>
      <c r="B9">
        <v>6</v>
      </c>
      <c r="C9" s="13">
        <f>1654*0.4</f>
        <v>661.6</v>
      </c>
      <c r="D9" s="4">
        <f t="shared" si="0"/>
        <v>6.4946611437094814</v>
      </c>
      <c r="E9" s="12">
        <f>3163*0.2</f>
        <v>632.6</v>
      </c>
      <c r="F9" s="4">
        <f t="shared" si="1"/>
        <v>6.4498383108715487</v>
      </c>
      <c r="G9" s="12">
        <f>78*0.2</f>
        <v>15.600000000000001</v>
      </c>
      <c r="H9">
        <f t="shared" si="2"/>
        <v>2.7472709142554916</v>
      </c>
    </row>
    <row r="10" spans="1:8" x14ac:dyDescent="0.2">
      <c r="A10" s="7" t="s">
        <v>9</v>
      </c>
      <c r="B10">
        <v>7</v>
      </c>
      <c r="C10" s="25">
        <f>102*0.6</f>
        <v>61.199999999999996</v>
      </c>
      <c r="D10" s="4">
        <f t="shared" si="0"/>
        <v>4.1141471895182802</v>
      </c>
      <c r="E10" s="14">
        <f>15*0.6</f>
        <v>9</v>
      </c>
      <c r="F10" s="4">
        <f t="shared" si="1"/>
        <v>2.1972245773362196</v>
      </c>
      <c r="G10" s="14">
        <f>3*0.6</f>
        <v>1.7999999999999998</v>
      </c>
      <c r="H10">
        <f t="shared" si="2"/>
        <v>0.58778666490211895</v>
      </c>
    </row>
    <row r="11" spans="1:8" x14ac:dyDescent="0.2">
      <c r="A11" s="6" t="s">
        <v>10</v>
      </c>
      <c r="B11">
        <v>7</v>
      </c>
      <c r="C11" s="12">
        <f>16*0.2</f>
        <v>3.2</v>
      </c>
      <c r="D11" s="4">
        <f t="shared" si="0"/>
        <v>1.1631508098056809</v>
      </c>
      <c r="E11">
        <v>0</v>
      </c>
      <c r="F11" s="4">
        <v>0</v>
      </c>
      <c r="G11">
        <v>0</v>
      </c>
      <c r="H11">
        <v>0</v>
      </c>
    </row>
    <row r="12" spans="1:8" x14ac:dyDescent="0.2">
      <c r="A12" s="7" t="s">
        <v>11</v>
      </c>
      <c r="B12">
        <v>8</v>
      </c>
      <c r="C12" s="12">
        <f>8*0.2</f>
        <v>1.6</v>
      </c>
      <c r="D12" s="4">
        <f t="shared" si="0"/>
        <v>0.47000362924573563</v>
      </c>
      <c r="E12">
        <v>0</v>
      </c>
      <c r="F12" s="4">
        <v>0</v>
      </c>
      <c r="G12">
        <v>0</v>
      </c>
      <c r="H12">
        <v>0</v>
      </c>
    </row>
    <row r="13" spans="1:8" x14ac:dyDescent="0.2">
      <c r="A13" s="6" t="s">
        <v>12</v>
      </c>
      <c r="B13">
        <v>6</v>
      </c>
      <c r="C13" s="13">
        <f>39*0.4</f>
        <v>15.600000000000001</v>
      </c>
      <c r="D13" s="4">
        <f t="shared" si="0"/>
        <v>2.7472709142554916</v>
      </c>
      <c r="E13" s="13">
        <f>1*0.4</f>
        <v>0.4</v>
      </c>
      <c r="F13" s="4">
        <f t="shared" si="1"/>
        <v>-0.916290731874155</v>
      </c>
      <c r="G13">
        <v>0</v>
      </c>
      <c r="H13">
        <v>0</v>
      </c>
    </row>
    <row r="14" spans="1:8" x14ac:dyDescent="0.2">
      <c r="A14" s="6" t="s">
        <v>13</v>
      </c>
      <c r="B14">
        <v>9</v>
      </c>
      <c r="C14" s="16">
        <v>477</v>
      </c>
      <c r="D14" s="4">
        <f t="shared" si="0"/>
        <v>6.1675164908883415</v>
      </c>
      <c r="E14" s="14">
        <f>8*0.6</f>
        <v>4.8</v>
      </c>
      <c r="F14" s="4">
        <f t="shared" si="1"/>
        <v>1.5686159179138452</v>
      </c>
      <c r="G14" s="14">
        <f>99*0.6</f>
        <v>59.4</v>
      </c>
      <c r="H14">
        <f t="shared" si="2"/>
        <v>4.0842942263685993</v>
      </c>
    </row>
    <row r="15" spans="1:8" x14ac:dyDescent="0.2">
      <c r="A15" s="8" t="s">
        <v>14</v>
      </c>
      <c r="B15">
        <v>6</v>
      </c>
      <c r="C15" s="13">
        <f>59*0.4</f>
        <v>23.6</v>
      </c>
      <c r="D15" s="4">
        <f t="shared" si="0"/>
        <v>3.1612467120315646</v>
      </c>
      <c r="E15" s="13">
        <f>2*0.4</f>
        <v>0.8</v>
      </c>
      <c r="F15" s="4">
        <f t="shared" si="1"/>
        <v>-0.22314355131420971</v>
      </c>
      <c r="G15" s="13">
        <f>11*0.4</f>
        <v>4.4000000000000004</v>
      </c>
      <c r="H15">
        <f t="shared" si="2"/>
        <v>1.4816045409242156</v>
      </c>
    </row>
    <row r="16" spans="1:8" x14ac:dyDescent="0.2">
      <c r="A16" s="8" t="s">
        <v>15</v>
      </c>
      <c r="B16">
        <v>10</v>
      </c>
      <c r="C16" s="26">
        <f>39*0.2</f>
        <v>7.8000000000000007</v>
      </c>
      <c r="D16" s="4">
        <f t="shared" si="0"/>
        <v>2.0541237336955462</v>
      </c>
      <c r="E16">
        <v>0</v>
      </c>
      <c r="F16" s="4">
        <v>0</v>
      </c>
      <c r="G16">
        <v>0</v>
      </c>
      <c r="H16">
        <v>0</v>
      </c>
    </row>
    <row r="17" spans="1:8" x14ac:dyDescent="0.2">
      <c r="A17" s="8" t="s">
        <v>16</v>
      </c>
      <c r="B17">
        <v>7</v>
      </c>
      <c r="C17" s="15">
        <f>129*0.8</f>
        <v>103.2</v>
      </c>
      <c r="D17" s="4">
        <f t="shared" si="0"/>
        <v>4.6366688530474622</v>
      </c>
      <c r="E17" s="15">
        <f>16*0.8</f>
        <v>12.8</v>
      </c>
      <c r="F17" s="4">
        <f t="shared" si="1"/>
        <v>2.5494451709255714</v>
      </c>
      <c r="G17" s="15">
        <f>63*0.8</f>
        <v>50.400000000000006</v>
      </c>
      <c r="H17">
        <f t="shared" si="2"/>
        <v>3.9199911750773229</v>
      </c>
    </row>
    <row r="18" spans="1:8" x14ac:dyDescent="0.2">
      <c r="A18" s="8" t="s">
        <v>17</v>
      </c>
      <c r="B18">
        <v>9</v>
      </c>
      <c r="C18" s="15">
        <f>192*0.8</f>
        <v>153.60000000000002</v>
      </c>
      <c r="D18" s="4">
        <f t="shared" si="0"/>
        <v>5.0343518207135718</v>
      </c>
      <c r="E18" s="15">
        <f>25*0.8</f>
        <v>20</v>
      </c>
      <c r="F18" s="4">
        <f t="shared" si="1"/>
        <v>2.9957322735539909</v>
      </c>
      <c r="G18" s="15">
        <f>75*0.8</f>
        <v>60</v>
      </c>
      <c r="H18">
        <f t="shared" si="2"/>
        <v>4.0943445622221004</v>
      </c>
    </row>
    <row r="19" spans="1:8" x14ac:dyDescent="0.2">
      <c r="A19" s="8" t="s">
        <v>23</v>
      </c>
      <c r="B19">
        <v>2</v>
      </c>
      <c r="C19">
        <v>0</v>
      </c>
      <c r="D19" s="4">
        <v>0</v>
      </c>
      <c r="E19">
        <v>0</v>
      </c>
      <c r="F19" s="4">
        <v>0</v>
      </c>
      <c r="G19">
        <v>0</v>
      </c>
      <c r="H19">
        <v>0</v>
      </c>
    </row>
    <row r="20" spans="1:8" x14ac:dyDescent="0.2">
      <c r="A20" s="8" t="s">
        <v>24</v>
      </c>
      <c r="B20">
        <v>2</v>
      </c>
      <c r="C20" s="14">
        <f>64*0.6</f>
        <v>38.4</v>
      </c>
      <c r="D20" s="4">
        <f t="shared" si="0"/>
        <v>3.648057459593681</v>
      </c>
      <c r="E20" s="14">
        <f>18*0.6</f>
        <v>10.799999999999999</v>
      </c>
      <c r="F20" s="4">
        <f t="shared" si="1"/>
        <v>2.379546134130174</v>
      </c>
      <c r="G20" s="14">
        <f>5*0.6</f>
        <v>3</v>
      </c>
      <c r="H20">
        <f t="shared" si="2"/>
        <v>1.0986122886681098</v>
      </c>
    </row>
    <row r="21" spans="1:8" x14ac:dyDescent="0.2">
      <c r="A21" s="9" t="s">
        <v>49</v>
      </c>
      <c r="B21" s="9">
        <v>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 x14ac:dyDescent="0.2">
      <c r="A22" s="9" t="s">
        <v>50</v>
      </c>
      <c r="B22" s="9">
        <v>4</v>
      </c>
      <c r="C22" s="15">
        <f>15*0.8</f>
        <v>12</v>
      </c>
      <c r="D22" s="4">
        <f>LN(C22)</f>
        <v>2.4849066497880004</v>
      </c>
      <c r="E22">
        <v>0</v>
      </c>
      <c r="F22" s="4">
        <v>0</v>
      </c>
      <c r="G22" s="4">
        <v>0</v>
      </c>
      <c r="H22" s="4">
        <v>0</v>
      </c>
    </row>
    <row r="23" spans="1:8" x14ac:dyDescent="0.2">
      <c r="A23" s="9" t="s">
        <v>51</v>
      </c>
      <c r="B23" s="9">
        <v>6</v>
      </c>
      <c r="C23" s="16">
        <v>26</v>
      </c>
      <c r="D23" s="4">
        <f>LN(C23)</f>
        <v>3.2580965380214821</v>
      </c>
      <c r="E23" s="18">
        <v>0</v>
      </c>
      <c r="F23" s="4">
        <v>0</v>
      </c>
      <c r="G23" s="33">
        <f>1*0.8</f>
        <v>0.8</v>
      </c>
      <c r="H23">
        <f>LN(G23)</f>
        <v>-0.22314355131420971</v>
      </c>
    </row>
    <row r="24" spans="1:8" x14ac:dyDescent="0.2">
      <c r="A24" s="9" t="s">
        <v>52</v>
      </c>
      <c r="B24" s="9">
        <v>4</v>
      </c>
      <c r="C24" s="34">
        <f>2472*0.2</f>
        <v>494.40000000000003</v>
      </c>
      <c r="D24" s="4">
        <f>LN(C24)</f>
        <v>6.2033449061434807</v>
      </c>
      <c r="E24" s="34">
        <f>99*0.2</f>
        <v>19.8</v>
      </c>
      <c r="F24" s="4">
        <f>LN(E24)</f>
        <v>2.9856819377004897</v>
      </c>
      <c r="G24" s="7">
        <v>0</v>
      </c>
      <c r="H24">
        <v>0</v>
      </c>
    </row>
  </sheetData>
  <pageMargins left="0.75" right="0.75" top="1" bottom="1" header="0.5" footer="0.5"/>
  <pageSetup orientation="portrait" horizontalDpi="4294967292" verticalDpi="4294967292"/>
  <ignoredErrors>
    <ignoredError sqref="E2:E4 E6:E7 E9:E10 E13:E15 E17:E18 E20 G2:G4 G6:G7 G9:G10 G14:G15 G17:G18 G20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LOC</vt:lpstr>
      <vt:lpstr>Decl &amp; Use</vt:lpstr>
      <vt:lpstr>Usage Levels</vt:lpstr>
      <vt:lpstr>Total + Recency</vt:lpstr>
      <vt:lpstr>DeclUse + Recency</vt:lpstr>
      <vt:lpstr>Levels + Recency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Johnson</dc:creator>
  <cp:lastModifiedBy>Microsoft Office User</cp:lastModifiedBy>
  <dcterms:created xsi:type="dcterms:W3CDTF">2016-03-02T19:49:47Z</dcterms:created>
  <dcterms:modified xsi:type="dcterms:W3CDTF">2016-03-08T15:43:52Z</dcterms:modified>
</cp:coreProperties>
</file>