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ticlement\Documents\MODELISATION\CREHDYS\CREHDYS Github\"/>
    </mc:Choice>
  </mc:AlternateContent>
  <xr:revisionPtr revIDLastSave="0" documentId="13_ncr:1_{E69C42D9-A9F2-496D-B398-0F3C8F1ADC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Ittre brut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" i="1" l="1"/>
  <c r="I50" i="1"/>
  <c r="H50" i="1"/>
  <c r="G50" i="1"/>
  <c r="F50" i="1"/>
  <c r="E50" i="1"/>
  <c r="D50" i="1"/>
  <c r="C50" i="1"/>
  <c r="J40" i="1"/>
  <c r="I40" i="1"/>
  <c r="H40" i="1"/>
  <c r="G40" i="1"/>
  <c r="F40" i="1"/>
  <c r="E40" i="1"/>
  <c r="D40" i="1"/>
  <c r="C40" i="1"/>
  <c r="J33" i="1"/>
  <c r="I33" i="1"/>
  <c r="H33" i="1"/>
  <c r="G33" i="1"/>
  <c r="F33" i="1"/>
  <c r="E33" i="1"/>
  <c r="D33" i="1"/>
  <c r="C33" i="1"/>
  <c r="J32" i="1"/>
  <c r="I32" i="1"/>
  <c r="H32" i="1"/>
  <c r="G32" i="1"/>
  <c r="C32" i="1"/>
  <c r="F32" i="1"/>
  <c r="E32" i="1"/>
  <c r="D32" i="1"/>
  <c r="F52" i="6" l="1"/>
  <c r="G52" i="6" s="1"/>
  <c r="H52" i="6" s="1"/>
  <c r="E52" i="6"/>
  <c r="G51" i="6"/>
  <c r="H51" i="6" s="1"/>
  <c r="F51" i="6"/>
  <c r="E51" i="6"/>
  <c r="F50" i="6"/>
  <c r="G50" i="6" s="1"/>
  <c r="H50" i="6" s="1"/>
  <c r="E50" i="6"/>
  <c r="H49" i="6"/>
  <c r="G49" i="6"/>
  <c r="F49" i="6"/>
  <c r="E49" i="6"/>
  <c r="F48" i="6"/>
  <c r="G48" i="6" s="1"/>
  <c r="H48" i="6" s="1"/>
  <c r="E48" i="6"/>
  <c r="G47" i="6"/>
  <c r="H47" i="6" s="1"/>
  <c r="F47" i="6"/>
  <c r="E47" i="6"/>
  <c r="F46" i="6"/>
  <c r="G46" i="6" s="1"/>
  <c r="H46" i="6" s="1"/>
  <c r="E46" i="6"/>
  <c r="G45" i="6"/>
  <c r="H45" i="6" s="1"/>
  <c r="F45" i="6"/>
  <c r="E45" i="6"/>
  <c r="F44" i="6"/>
  <c r="G44" i="6" s="1"/>
  <c r="H44" i="6" s="1"/>
  <c r="E44" i="6"/>
  <c r="G43" i="6"/>
  <c r="H43" i="6" s="1"/>
  <c r="F43" i="6"/>
  <c r="E43" i="6"/>
  <c r="F42" i="6"/>
  <c r="G42" i="6" s="1"/>
  <c r="H42" i="6" s="1"/>
  <c r="E42" i="6"/>
  <c r="G41" i="6"/>
  <c r="H41" i="6" s="1"/>
  <c r="F41" i="6"/>
  <c r="E41" i="6"/>
  <c r="G40" i="6"/>
  <c r="H40" i="6" s="1"/>
  <c r="E40" i="6"/>
  <c r="G39" i="6"/>
  <c r="H39" i="6" s="1"/>
  <c r="E39" i="6"/>
  <c r="G38" i="6"/>
  <c r="H38" i="6" s="1"/>
  <c r="F38" i="6"/>
  <c r="E38" i="6"/>
  <c r="F37" i="6"/>
  <c r="G37" i="6" s="1"/>
  <c r="H37" i="6" s="1"/>
  <c r="E37" i="6"/>
  <c r="G36" i="6"/>
  <c r="H36" i="6" s="1"/>
  <c r="F36" i="6"/>
  <c r="E36" i="6"/>
  <c r="F35" i="6"/>
  <c r="G35" i="6" s="1"/>
  <c r="H35" i="6" s="1"/>
  <c r="E35" i="6"/>
  <c r="G34" i="6"/>
  <c r="H34" i="6" s="1"/>
  <c r="F34" i="6"/>
  <c r="E34" i="6"/>
  <c r="F33" i="6"/>
  <c r="G33" i="6" s="1"/>
  <c r="H33" i="6" s="1"/>
  <c r="E33" i="6"/>
  <c r="G32" i="6"/>
  <c r="H32" i="6" s="1"/>
  <c r="F32" i="6"/>
  <c r="E32" i="6"/>
  <c r="F31" i="6"/>
  <c r="G31" i="6" s="1"/>
  <c r="H31" i="6" s="1"/>
  <c r="E31" i="6"/>
  <c r="G30" i="6"/>
  <c r="H30" i="6" s="1"/>
  <c r="F30" i="6"/>
  <c r="E30" i="6"/>
  <c r="F29" i="6"/>
  <c r="G29" i="6" s="1"/>
  <c r="H29" i="6" s="1"/>
  <c r="E29" i="6"/>
  <c r="G28" i="6"/>
  <c r="H28" i="6" s="1"/>
  <c r="F28" i="6"/>
  <c r="E28" i="6"/>
  <c r="V27" i="6"/>
  <c r="G27" i="6"/>
  <c r="Q27" i="6" s="1"/>
  <c r="F27" i="6"/>
  <c r="E27" i="6"/>
  <c r="V26" i="6"/>
  <c r="F26" i="6"/>
  <c r="G26" i="6" s="1"/>
  <c r="E26" i="6"/>
  <c r="V25" i="6"/>
  <c r="F25" i="6"/>
  <c r="G25" i="6" s="1"/>
  <c r="E25" i="6"/>
  <c r="V24" i="6"/>
  <c r="Q24" i="6"/>
  <c r="G24" i="6"/>
  <c r="H24" i="6" s="1"/>
  <c r="F24" i="6"/>
  <c r="E24" i="6"/>
  <c r="V23" i="6"/>
  <c r="Q23" i="6"/>
  <c r="G23" i="6"/>
  <c r="H23" i="6" s="1"/>
  <c r="F23" i="6"/>
  <c r="E23" i="6"/>
  <c r="V22" i="6"/>
  <c r="Q22" i="6"/>
  <c r="H22" i="6"/>
  <c r="G22" i="6"/>
  <c r="E22" i="6"/>
  <c r="V21" i="6"/>
  <c r="Q21" i="6"/>
  <c r="F21" i="6"/>
  <c r="G21" i="6" s="1"/>
  <c r="H21" i="6" s="1"/>
  <c r="E21" i="6"/>
  <c r="V20" i="6"/>
  <c r="Q20" i="6"/>
  <c r="F20" i="6"/>
  <c r="G20" i="6" s="1"/>
  <c r="H20" i="6" s="1"/>
  <c r="E20" i="6"/>
  <c r="V19" i="6"/>
  <c r="Q19" i="6"/>
  <c r="F19" i="6"/>
  <c r="G19" i="6" s="1"/>
  <c r="H19" i="6" s="1"/>
  <c r="E19" i="6"/>
  <c r="V18" i="6"/>
  <c r="Q18" i="6"/>
  <c r="G18" i="6"/>
  <c r="H18" i="6" s="1"/>
  <c r="F18" i="6"/>
  <c r="E18" i="6"/>
  <c r="V17" i="6"/>
  <c r="Q17" i="6"/>
  <c r="F17" i="6"/>
  <c r="G17" i="6" s="1"/>
  <c r="H17" i="6" s="1"/>
  <c r="E17" i="6"/>
  <c r="V16" i="6"/>
  <c r="Q16" i="6"/>
  <c r="H16" i="6"/>
  <c r="G16" i="6"/>
  <c r="E16" i="6"/>
  <c r="F15" i="6"/>
  <c r="G15" i="6" s="1"/>
  <c r="E15" i="6"/>
  <c r="F14" i="6"/>
  <c r="G14" i="6" s="1"/>
  <c r="E14" i="6"/>
  <c r="V13" i="6"/>
  <c r="Q13" i="6"/>
  <c r="G13" i="6"/>
  <c r="H13" i="6" s="1"/>
  <c r="F13" i="6"/>
  <c r="E13" i="6"/>
  <c r="V12" i="6"/>
  <c r="G12" i="6"/>
  <c r="Q12" i="6" s="1"/>
  <c r="F12" i="6"/>
  <c r="E12" i="6"/>
  <c r="D12" i="6"/>
  <c r="V11" i="6"/>
  <c r="Q11" i="6"/>
  <c r="F11" i="6"/>
  <c r="G11" i="6" s="1"/>
  <c r="H11" i="6" s="1"/>
  <c r="D11" i="6"/>
  <c r="E11" i="6" s="1"/>
  <c r="V10" i="6"/>
  <c r="Q10" i="6"/>
  <c r="F10" i="6"/>
  <c r="G10" i="6" s="1"/>
  <c r="H10" i="6" s="1"/>
  <c r="E10" i="6"/>
  <c r="D10" i="6"/>
  <c r="V9" i="6"/>
  <c r="Q9" i="6"/>
  <c r="G9" i="6"/>
  <c r="H9" i="6" s="1"/>
  <c r="F9" i="6"/>
  <c r="D9" i="6"/>
  <c r="E9" i="6" s="1"/>
  <c r="V8" i="6"/>
  <c r="Q8" i="6"/>
  <c r="F8" i="6"/>
  <c r="G8" i="6" s="1"/>
  <c r="H8" i="6" s="1"/>
  <c r="D8" i="6"/>
  <c r="E8" i="6" s="1"/>
  <c r="V7" i="6"/>
  <c r="Q7" i="6"/>
  <c r="F7" i="6"/>
  <c r="G7" i="6" s="1"/>
  <c r="H7" i="6" s="1"/>
  <c r="E7" i="6"/>
  <c r="D7" i="6"/>
  <c r="V6" i="6"/>
  <c r="Q6" i="6"/>
  <c r="F6" i="6"/>
  <c r="D6" i="6"/>
  <c r="E6" i="6" s="1"/>
  <c r="V5" i="6"/>
  <c r="Q5" i="6"/>
  <c r="F5" i="6"/>
  <c r="G5" i="6" s="1"/>
  <c r="H5" i="6" s="1"/>
  <c r="D5" i="6"/>
  <c r="E5" i="6" s="1"/>
  <c r="V4" i="6"/>
  <c r="F4" i="6"/>
  <c r="G4" i="6" s="1"/>
  <c r="H4" i="6" s="1"/>
  <c r="D4" i="6"/>
  <c r="E4" i="6" s="1"/>
  <c r="V15" i="6" l="1"/>
  <c r="Q15" i="6"/>
  <c r="H15" i="6"/>
  <c r="H25" i="6"/>
  <c r="Q25" i="6"/>
  <c r="H14" i="6"/>
  <c r="V14" i="6"/>
  <c r="Q14" i="6"/>
  <c r="Q26" i="6"/>
  <c r="H26" i="6"/>
  <c r="G6" i="6"/>
  <c r="H6" i="6" s="1"/>
  <c r="H12" i="6"/>
  <c r="H27" i="6"/>
</calcChain>
</file>

<file path=xl/sharedStrings.xml><?xml version="1.0" encoding="utf-8"?>
<sst xmlns="http://schemas.openxmlformats.org/spreadsheetml/2006/main" count="148" uniqueCount="78">
  <si>
    <t>date</t>
  </si>
  <si>
    <t>simday</t>
  </si>
  <si>
    <t>Ruissellement</t>
  </si>
  <si>
    <t>Erosion</t>
  </si>
  <si>
    <t>Pesticides</t>
  </si>
  <si>
    <t>Date</t>
  </si>
  <si>
    <t>Traitement</t>
  </si>
  <si>
    <t>Volume de ruissellement absolu mesuré dans le bac [L]</t>
  </si>
  <si>
    <t>Volume de ruissellement relatif [mm]=[L/m²]</t>
  </si>
  <si>
    <t>Concentration en sédiments [g/L]</t>
  </si>
  <si>
    <t>Pertes en terres absolue [kg]</t>
  </si>
  <si>
    <t>Pertes en terres relative [t/ha]</t>
  </si>
  <si>
    <t>Sulcotrione concentration phase aqueuse [µg/L]</t>
  </si>
  <si>
    <t>Remarques</t>
  </si>
  <si>
    <t>Témoin 1</t>
  </si>
  <si>
    <t>Témoin 2</t>
  </si>
  <si>
    <t>Témoin 3</t>
  </si>
  <si>
    <t>&lt;LOQ</t>
  </si>
  <si>
    <t>runoff_cont</t>
  </si>
  <si>
    <t>SD_runoff_cont</t>
  </si>
  <si>
    <t>runoff_ST</t>
  </si>
  <si>
    <t>SD_runoff_ST</t>
  </si>
  <si>
    <t>erosion_cont</t>
  </si>
  <si>
    <t>SD_erosion_cont</t>
  </si>
  <si>
    <t>erosion_ST</t>
  </si>
  <si>
    <t>SD_erosion_ST</t>
  </si>
  <si>
    <t>Sulcotrione</t>
  </si>
  <si>
    <t>Clomazone</t>
  </si>
  <si>
    <t>Prosulfocarbe</t>
  </si>
  <si>
    <t>Aclonifène</t>
  </si>
  <si>
    <t>Sulcotrione concentration phase adsorbée sédiments [µg/kg]</t>
  </si>
  <si>
    <t>Sulcotrione quantité totale en phase aqueuse [g/ha]</t>
  </si>
  <si>
    <t>Sulcotrione quantité totale en phase adsorbée [g/ha]</t>
  </si>
  <si>
    <t>Sulcotrione quantité totale sur les 2 phases [g/ha]</t>
  </si>
  <si>
    <t>Clomazone concentration phase aqueuse [µg/L]</t>
  </si>
  <si>
    <t>Clomazone concentration phase adsorbée sédiments [µg/kg]</t>
  </si>
  <si>
    <t>Clomazone quantité totale en phase aqueuse [g/ha]</t>
  </si>
  <si>
    <t>Clomazone quantité totale en phase adsorbée [g/ha]</t>
  </si>
  <si>
    <t>Clomazone quantité totale sur les 2 phases [g/ha]</t>
  </si>
  <si>
    <t>Prosulfocarbe concentration phase aqueuse [µg/L]</t>
  </si>
  <si>
    <t>Prosulfocarbe concentration phase adsorbée sédiments [µg/kg]</t>
  </si>
  <si>
    <t>Prosulfocarbe quantité totale en phase aqueuse [g/ha]</t>
  </si>
  <si>
    <t>Prosulfocarbe quantité totale en phase adsorbée [g/ha]</t>
  </si>
  <si>
    <t>Prosulfocarbe quantité totale sur les 2 phases [g/ha]</t>
  </si>
  <si>
    <t>Aclonifène concentration phase aqueuse [µg/L]</t>
  </si>
  <si>
    <t>Aclonifène concentration phase adsorbée sédiments [µg/kg]</t>
  </si>
  <si>
    <t>Aclonifène quantité totale en phase aqueuse [g/ha]</t>
  </si>
  <si>
    <t>Aclonifène quantité totale en phase adsorbée [g/ha]</t>
  </si>
  <si>
    <t>Aclonifène quantité totale sur les 2 phases [g/ha]</t>
  </si>
  <si>
    <t>Fétuque 1</t>
  </si>
  <si>
    <t>Fétuque 2</t>
  </si>
  <si>
    <t>Fétuque 3</t>
  </si>
  <si>
    <t>Trèfle 1</t>
  </si>
  <si>
    <t>Trèfle 2</t>
  </si>
  <si>
    <t>Trèfle 3</t>
  </si>
  <si>
    <t>Glyphosate</t>
  </si>
  <si>
    <t>AMPA</t>
  </si>
  <si>
    <t>Glyphosate concentration phase aqueuse [µg/L]</t>
  </si>
  <si>
    <r>
      <t>Glyphosate concentration phase adsorbée sédiments [</t>
    </r>
    <r>
      <rPr>
        <b/>
        <u/>
        <sz val="11"/>
        <color theme="1"/>
        <rFont val="Calibri"/>
        <family val="2"/>
        <scheme val="minor"/>
      </rPr>
      <t>mg</t>
    </r>
    <r>
      <rPr>
        <sz val="11"/>
        <color theme="1"/>
        <rFont val="Calibri"/>
        <family val="2"/>
        <scheme val="minor"/>
      </rPr>
      <t>/kg]</t>
    </r>
  </si>
  <si>
    <t>Glyphosate quantité totale en phase aqueuse [g/ha]</t>
  </si>
  <si>
    <t>Glyphosate quantité totale en phase adsorbée [g/ha]</t>
  </si>
  <si>
    <t>Glyphosate quantité totale sur les 2 phases [g/ha]</t>
  </si>
  <si>
    <t>AMPA concentration phase aqueuse [µg/L]</t>
  </si>
  <si>
    <r>
      <t>AMPA concentration phase adsorbée sédiments [</t>
    </r>
    <r>
      <rPr>
        <b/>
        <u/>
        <sz val="11"/>
        <color theme="1"/>
        <rFont val="Calibri"/>
        <family val="2"/>
        <scheme val="minor"/>
      </rPr>
      <t>mg</t>
    </r>
    <r>
      <rPr>
        <sz val="11"/>
        <color theme="1"/>
        <rFont val="Calibri"/>
        <family val="2"/>
        <scheme val="minor"/>
      </rPr>
      <t>/kg]</t>
    </r>
  </si>
  <si>
    <t>AMPA quantité totale en phase aqueuse [g/ha]</t>
  </si>
  <si>
    <t>AMPA quantité totale en phase adsorbée [g/ha]</t>
  </si>
  <si>
    <t>AMPA quantité totale sur les 2 phases [g/ha]</t>
  </si>
  <si>
    <t>Tous</t>
  </si>
  <si>
    <t>ST 1</t>
  </si>
  <si>
    <t>ST 2</t>
  </si>
  <si>
    <t>ST 3</t>
  </si>
  <si>
    <t>&lt;LOQ (0,04)</t>
  </si>
  <si>
    <t>&lt;LOQ (0,05)</t>
  </si>
  <si>
    <t>Témoin 1 et trèfle 1 vidés après l'averse du 23/5. Analyses glyphosate</t>
  </si>
  <si>
    <t>Témoin 1 et Trèfle 1 vidés la veille après l'averse du 23/5. Pluie vers 13h15 mais non ruisselante. Analyses glyphosate (sauf tem 1 et trèfle 1)</t>
  </si>
  <si>
    <t>&lt;2L par bac -&gt; juste vidés. Passage ~13h00</t>
  </si>
  <si>
    <t>Passage ~13h30</t>
  </si>
  <si>
    <t>Gilles passé un moment après grosse pluie de fin 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</si>
</sst>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6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pane ySplit="1" topLeftCell="A20" activePane="bottomLeft" state="frozen"/>
      <selection pane="bottomLeft" activeCell="E31" sqref="E31"/>
    </sheetView>
  </sheetViews>
  <sheetFormatPr baseColWidth="10" defaultColWidth="8.88671875" defaultRowHeight="14.4" x14ac:dyDescent="0.3"/>
  <cols>
    <col min="1" max="1" width="19.77734375" style="40" customWidth="1"/>
    <col min="2" max="2" width="8.88671875" style="40"/>
    <col min="3" max="4" width="14.109375" style="40" customWidth="1"/>
    <col min="5" max="6" width="14.109375" style="42" customWidth="1"/>
    <col min="7" max="8" width="14.109375" style="40" customWidth="1"/>
    <col min="9" max="10" width="14.109375" style="42" customWidth="1"/>
    <col min="11" max="16384" width="8.88671875" style="40"/>
  </cols>
  <sheetData>
    <row r="1" spans="1:10" x14ac:dyDescent="0.3">
      <c r="A1" s="40" t="s">
        <v>0</v>
      </c>
      <c r="B1" s="40" t="s">
        <v>1</v>
      </c>
      <c r="C1" s="40" t="s">
        <v>18</v>
      </c>
      <c r="D1" s="40" t="s">
        <v>19</v>
      </c>
      <c r="E1" s="42" t="s">
        <v>20</v>
      </c>
      <c r="F1" s="42" t="s">
        <v>21</v>
      </c>
      <c r="G1" s="40" t="s">
        <v>22</v>
      </c>
      <c r="H1" s="40" t="s">
        <v>23</v>
      </c>
      <c r="I1" s="42" t="s">
        <v>24</v>
      </c>
      <c r="J1" s="42" t="s">
        <v>25</v>
      </c>
    </row>
    <row r="2" spans="1:10" x14ac:dyDescent="0.3">
      <c r="A2" s="41">
        <v>44673</v>
      </c>
      <c r="B2" s="40">
        <v>1</v>
      </c>
      <c r="C2" s="42"/>
      <c r="D2" s="42"/>
      <c r="G2" s="42"/>
      <c r="H2" s="42"/>
    </row>
    <row r="3" spans="1:10" x14ac:dyDescent="0.3">
      <c r="A3" s="41">
        <v>44674</v>
      </c>
      <c r="B3" s="40">
        <v>2</v>
      </c>
      <c r="C3" s="42"/>
      <c r="D3" s="42"/>
      <c r="G3" s="42"/>
      <c r="H3" s="42"/>
    </row>
    <row r="4" spans="1:10" x14ac:dyDescent="0.3">
      <c r="A4" s="41">
        <v>44675</v>
      </c>
      <c r="B4" s="40">
        <v>3</v>
      </c>
      <c r="C4" s="42"/>
      <c r="D4" s="42"/>
      <c r="G4" s="42"/>
      <c r="H4" s="42"/>
    </row>
    <row r="5" spans="1:10" x14ac:dyDescent="0.3">
      <c r="A5" s="41">
        <v>44676</v>
      </c>
      <c r="B5" s="40">
        <v>4</v>
      </c>
      <c r="C5" s="42"/>
      <c r="D5" s="42"/>
      <c r="G5" s="42"/>
      <c r="H5" s="42"/>
    </row>
    <row r="6" spans="1:10" x14ac:dyDescent="0.3">
      <c r="A6" s="41">
        <v>44677</v>
      </c>
      <c r="B6" s="40">
        <v>5</v>
      </c>
      <c r="C6" s="42"/>
      <c r="D6" s="42"/>
      <c r="G6" s="42"/>
      <c r="H6" s="42"/>
    </row>
    <row r="7" spans="1:10" x14ac:dyDescent="0.3">
      <c r="A7" s="41">
        <v>44678</v>
      </c>
      <c r="B7" s="40">
        <v>6</v>
      </c>
      <c r="C7" s="42"/>
      <c r="D7" s="42"/>
      <c r="G7" s="42"/>
      <c r="H7" s="42"/>
    </row>
    <row r="8" spans="1:10" x14ac:dyDescent="0.3">
      <c r="A8" s="41">
        <v>44679</v>
      </c>
      <c r="B8" s="40">
        <v>7</v>
      </c>
      <c r="C8" s="42"/>
      <c r="D8" s="42"/>
      <c r="G8" s="42"/>
      <c r="H8" s="42"/>
    </row>
    <row r="9" spans="1:10" x14ac:dyDescent="0.3">
      <c r="A9" s="41">
        <v>44680</v>
      </c>
      <c r="B9" s="40">
        <v>8</v>
      </c>
      <c r="C9" s="42"/>
      <c r="D9" s="42"/>
      <c r="G9" s="42"/>
      <c r="H9" s="42"/>
    </row>
    <row r="10" spans="1:10" x14ac:dyDescent="0.3">
      <c r="A10" s="41">
        <v>44681</v>
      </c>
      <c r="B10" s="40">
        <v>9</v>
      </c>
      <c r="C10" s="42"/>
      <c r="D10" s="42"/>
      <c r="G10" s="42"/>
      <c r="H10" s="42"/>
    </row>
    <row r="11" spans="1:10" x14ac:dyDescent="0.3">
      <c r="A11" s="41">
        <v>44682</v>
      </c>
      <c r="B11" s="40">
        <v>10</v>
      </c>
      <c r="C11" s="42"/>
      <c r="D11" s="42"/>
      <c r="G11" s="42"/>
      <c r="H11" s="42"/>
    </row>
    <row r="12" spans="1:10" x14ac:dyDescent="0.3">
      <c r="A12" s="41">
        <v>44683</v>
      </c>
      <c r="B12" s="40">
        <v>11</v>
      </c>
      <c r="C12" s="42"/>
      <c r="D12" s="42"/>
      <c r="G12" s="42"/>
      <c r="H12" s="42"/>
    </row>
    <row r="13" spans="1:10" x14ac:dyDescent="0.3">
      <c r="A13" s="41">
        <v>44684</v>
      </c>
      <c r="B13" s="40">
        <v>12</v>
      </c>
      <c r="C13" s="42"/>
      <c r="D13" s="42"/>
      <c r="G13" s="42"/>
      <c r="H13" s="42"/>
    </row>
    <row r="14" spans="1:10" x14ac:dyDescent="0.3">
      <c r="A14" s="41">
        <v>44685</v>
      </c>
      <c r="B14" s="40">
        <v>13</v>
      </c>
      <c r="C14" s="42"/>
      <c r="D14" s="42"/>
      <c r="G14" s="42"/>
      <c r="H14" s="42"/>
    </row>
    <row r="15" spans="1:10" x14ac:dyDescent="0.3">
      <c r="A15" s="41">
        <v>44686</v>
      </c>
      <c r="B15" s="40">
        <v>14</v>
      </c>
      <c r="C15" s="42"/>
      <c r="D15" s="42"/>
      <c r="G15" s="42"/>
      <c r="H15" s="42"/>
    </row>
    <row r="16" spans="1:10" x14ac:dyDescent="0.3">
      <c r="A16" s="41">
        <v>44687</v>
      </c>
      <c r="B16" s="40">
        <v>15</v>
      </c>
      <c r="C16" s="42"/>
      <c r="D16" s="42"/>
      <c r="G16" s="42"/>
      <c r="H16" s="42"/>
    </row>
    <row r="17" spans="1:10" x14ac:dyDescent="0.3">
      <c r="A17" s="41">
        <v>44688</v>
      </c>
      <c r="B17" s="40">
        <v>16</v>
      </c>
      <c r="C17" s="42"/>
      <c r="D17" s="42"/>
      <c r="G17" s="42"/>
      <c r="H17" s="42"/>
    </row>
    <row r="18" spans="1:10" x14ac:dyDescent="0.3">
      <c r="A18" s="41">
        <v>44689</v>
      </c>
      <c r="B18" s="40">
        <v>17</v>
      </c>
      <c r="C18" s="42"/>
      <c r="D18" s="42"/>
      <c r="G18" s="42"/>
      <c r="H18" s="42"/>
    </row>
    <row r="19" spans="1:10" x14ac:dyDescent="0.3">
      <c r="A19" s="41">
        <v>44690</v>
      </c>
      <c r="B19" s="40">
        <v>18</v>
      </c>
      <c r="C19" s="42"/>
      <c r="D19" s="42"/>
      <c r="G19" s="42"/>
      <c r="H19" s="42"/>
    </row>
    <row r="20" spans="1:10" x14ac:dyDescent="0.3">
      <c r="A20" s="41">
        <v>44691</v>
      </c>
      <c r="B20" s="40">
        <v>19</v>
      </c>
      <c r="C20" s="42"/>
      <c r="D20" s="42"/>
      <c r="G20" s="42"/>
      <c r="H20" s="42"/>
    </row>
    <row r="21" spans="1:10" x14ac:dyDescent="0.3">
      <c r="A21" s="41">
        <v>44692</v>
      </c>
      <c r="B21" s="40">
        <v>20</v>
      </c>
      <c r="C21" s="42"/>
      <c r="D21" s="42"/>
      <c r="G21" s="42"/>
      <c r="H21" s="42"/>
    </row>
    <row r="22" spans="1:10" x14ac:dyDescent="0.3">
      <c r="A22" s="41">
        <v>44693</v>
      </c>
      <c r="B22" s="40">
        <v>21</v>
      </c>
      <c r="C22" s="42"/>
      <c r="D22" s="42"/>
      <c r="G22" s="42"/>
      <c r="H22" s="42"/>
    </row>
    <row r="23" spans="1:10" x14ac:dyDescent="0.3">
      <c r="A23" s="41">
        <v>44694</v>
      </c>
      <c r="B23" s="40">
        <v>22</v>
      </c>
      <c r="C23" s="42"/>
      <c r="D23" s="42"/>
      <c r="G23" s="42"/>
      <c r="H23" s="42"/>
    </row>
    <row r="24" spans="1:10" x14ac:dyDescent="0.3">
      <c r="A24" s="41">
        <v>44695</v>
      </c>
      <c r="B24" s="40">
        <v>23</v>
      </c>
      <c r="C24" s="42"/>
      <c r="D24" s="42"/>
      <c r="G24" s="42"/>
      <c r="H24" s="42"/>
    </row>
    <row r="25" spans="1:10" x14ac:dyDescent="0.3">
      <c r="A25" s="41">
        <v>44696</v>
      </c>
      <c r="B25" s="40">
        <v>24</v>
      </c>
      <c r="C25" s="42"/>
      <c r="D25" s="42"/>
      <c r="G25" s="42"/>
      <c r="H25" s="42"/>
    </row>
    <row r="26" spans="1:10" x14ac:dyDescent="0.3">
      <c r="A26" s="41">
        <v>44697</v>
      </c>
      <c r="B26" s="40">
        <v>25</v>
      </c>
      <c r="C26" s="42"/>
      <c r="D26" s="42"/>
      <c r="G26" s="42"/>
      <c r="H26" s="42"/>
    </row>
    <row r="27" spans="1:10" x14ac:dyDescent="0.3">
      <c r="A27" s="41">
        <v>44698</v>
      </c>
      <c r="B27" s="40">
        <v>26</v>
      </c>
      <c r="C27" s="42"/>
      <c r="D27" s="42"/>
      <c r="G27" s="42"/>
      <c r="H27" s="42"/>
    </row>
    <row r="28" spans="1:10" x14ac:dyDescent="0.3">
      <c r="A28" s="41">
        <v>44699</v>
      </c>
      <c r="B28" s="40">
        <v>27</v>
      </c>
      <c r="C28" s="42"/>
      <c r="D28" s="42"/>
      <c r="G28" s="42"/>
      <c r="H28" s="42"/>
    </row>
    <row r="29" spans="1:10" x14ac:dyDescent="0.3">
      <c r="A29" s="41">
        <v>44700</v>
      </c>
      <c r="B29" s="40">
        <v>28</v>
      </c>
      <c r="C29" s="42"/>
      <c r="D29" s="42"/>
      <c r="G29" s="42"/>
      <c r="H29" s="42"/>
    </row>
    <row r="30" spans="1:10" x14ac:dyDescent="0.3">
      <c r="A30" s="41">
        <v>44701</v>
      </c>
      <c r="B30" s="40">
        <v>29</v>
      </c>
    </row>
    <row r="31" spans="1:10" x14ac:dyDescent="0.3">
      <c r="A31" s="41">
        <v>44702</v>
      </c>
      <c r="B31" s="40">
        <v>30</v>
      </c>
      <c r="C31" s="42"/>
      <c r="D31" s="42"/>
      <c r="G31" s="42"/>
      <c r="H31" s="42"/>
    </row>
    <row r="32" spans="1:10" s="42" customFormat="1" x14ac:dyDescent="0.3">
      <c r="A32" s="44">
        <v>44703</v>
      </c>
      <c r="B32" s="42">
        <v>31</v>
      </c>
      <c r="C32" s="42">
        <f>AVERAGE('Ittre brut'!E5:E6,('Ittre brut'!E4-AVERAGE('Ittre brut'!E17:E18)))</f>
        <v>2.3027777777777776</v>
      </c>
      <c r="D32" s="42">
        <f>_xlfn.STDEV.S('Ittre brut'!E5:E6,('Ittre brut'!E4-AVERAGE('Ittre brut'!E17:E18)))</f>
        <v>0.38571122377777312</v>
      </c>
      <c r="E32" s="42">
        <f>AVERAGE('Ittre brut'!E13:E15)</f>
        <v>0.18888888888888888</v>
      </c>
      <c r="F32" s="42">
        <f>_xlfn.STDEV.S('Ittre brut'!E13:E15)</f>
        <v>5.8531409738070798E-2</v>
      </c>
      <c r="G32" s="42">
        <f>AVERAGE('Ittre brut'!H5:H6,('Ittre brut'!H4-AVERAGE('Ittre brut'!H17:H18)))</f>
        <v>4.1093138888888889</v>
      </c>
      <c r="H32" s="42">
        <f>_xlfn.STDEV.S('Ittre brut'!H5:H6,('Ittre brut'!H4-AVERAGE('Ittre brut'!H17:H18)))</f>
        <v>1.6277145177862224</v>
      </c>
      <c r="I32" s="42">
        <f>AVERAGE('Ittre brut'!H13:H15)</f>
        <v>3.5261111111111125E-2</v>
      </c>
      <c r="J32" s="42">
        <f>_xlfn.STDEV.S('Ittre brut'!H13:H15)</f>
        <v>7.2967712291375957E-3</v>
      </c>
    </row>
    <row r="33" spans="1:10" s="42" customFormat="1" x14ac:dyDescent="0.3">
      <c r="A33" s="44">
        <v>44704</v>
      </c>
      <c r="B33" s="42">
        <v>32</v>
      </c>
      <c r="C33" s="42">
        <f>AVERAGE('Ittre brut'!E17:E18)</f>
        <v>1.3916666666666666</v>
      </c>
      <c r="D33" s="42">
        <f>_xlfn.STDEV.S('Ittre brut'!E17:E18)</f>
        <v>0.17677669529663689</v>
      </c>
      <c r="E33" s="42">
        <f>AVERAGE('Ittre brut'!E25:E27)</f>
        <v>9.4444444444444442E-2</v>
      </c>
      <c r="F33" s="42">
        <f>_xlfn.STDEV.S('Ittre brut'!E25:E27)</f>
        <v>3.8490017945975091E-2</v>
      </c>
      <c r="G33" s="42">
        <f>AVERAGE('Ittre brut'!H17:H18)</f>
        <v>0.83700833333333313</v>
      </c>
      <c r="H33" s="42">
        <f>_xlfn.STDEV.S('Ittre brut'!H17:H18)</f>
        <v>0.52522713195234749</v>
      </c>
      <c r="I33" s="42">
        <f>AVERAGE('Ittre brut'!H25:H27)</f>
        <v>1.7900000000000003E-2</v>
      </c>
      <c r="J33" s="42">
        <f>_xlfn.STDEV.S('Ittre brut'!H25:H27)</f>
        <v>1.2025713192063815E-2</v>
      </c>
    </row>
    <row r="34" spans="1:10" x14ac:dyDescent="0.3">
      <c r="A34" s="41">
        <v>44705</v>
      </c>
      <c r="B34" s="40">
        <v>33</v>
      </c>
      <c r="C34" s="42"/>
      <c r="D34" s="42"/>
      <c r="G34" s="42"/>
      <c r="H34" s="42"/>
    </row>
    <row r="35" spans="1:10" x14ac:dyDescent="0.3">
      <c r="A35" s="41">
        <v>44706</v>
      </c>
      <c r="B35" s="40">
        <v>34</v>
      </c>
      <c r="C35" s="42"/>
      <c r="D35" s="42"/>
      <c r="G35" s="42"/>
      <c r="H35" s="42"/>
    </row>
    <row r="36" spans="1:10" x14ac:dyDescent="0.3">
      <c r="A36" s="41">
        <v>44707</v>
      </c>
      <c r="B36" s="40">
        <v>35</v>
      </c>
      <c r="C36" s="42"/>
      <c r="D36" s="42"/>
      <c r="G36" s="42"/>
      <c r="H36" s="42"/>
    </row>
    <row r="37" spans="1:10" x14ac:dyDescent="0.3">
      <c r="A37" s="41">
        <v>44708</v>
      </c>
      <c r="B37" s="40">
        <v>36</v>
      </c>
      <c r="C37" s="42"/>
      <c r="D37" s="42"/>
      <c r="G37" s="42"/>
      <c r="H37" s="42"/>
    </row>
    <row r="38" spans="1:10" x14ac:dyDescent="0.3">
      <c r="A38" s="41">
        <v>44709</v>
      </c>
      <c r="B38" s="40">
        <v>37</v>
      </c>
      <c r="C38" s="42"/>
      <c r="D38" s="42"/>
      <c r="G38" s="42"/>
      <c r="H38" s="42"/>
    </row>
    <row r="39" spans="1:10" x14ac:dyDescent="0.3">
      <c r="A39" s="41">
        <v>44710</v>
      </c>
      <c r="B39" s="40">
        <v>38</v>
      </c>
      <c r="C39" s="42"/>
      <c r="D39" s="42"/>
      <c r="G39" s="42"/>
      <c r="H39" s="42"/>
    </row>
    <row r="40" spans="1:10" x14ac:dyDescent="0.3">
      <c r="A40" s="41">
        <v>44711</v>
      </c>
      <c r="B40" s="40">
        <v>39</v>
      </c>
      <c r="C40" s="42">
        <f>AVERAGE('Ittre brut'!E28:E30)</f>
        <v>0.43333333333333335</v>
      </c>
      <c r="D40" s="42">
        <f>_xlfn.STDEV.S('Ittre brut'!E28:E30)</f>
        <v>7.6376261582597124E-2</v>
      </c>
      <c r="E40" s="42">
        <f>AVERAGE('Ittre brut'!E37:E39)</f>
        <v>2.2222222222222223E-2</v>
      </c>
      <c r="F40" s="42">
        <f>_xlfn.STDEV.S('Ittre brut'!E37:E39)</f>
        <v>1.9245008972987525E-2</v>
      </c>
      <c r="G40" s="42">
        <f>AVERAGE('Ittre brut'!H28:H30)</f>
        <v>0.15906111111111113</v>
      </c>
      <c r="H40" s="42">
        <f>_xlfn.STDEV.S('Ittre brut'!H28:H30)</f>
        <v>5.5811444299666849E-2</v>
      </c>
      <c r="I40" s="42">
        <f>AVERAGE('Ittre brut'!H37:H39)</f>
        <v>1.5000000000000007E-3</v>
      </c>
      <c r="J40" s="42">
        <f>_xlfn.STDEV.S('Ittre brut'!H37:H39)</f>
        <v>1.3370780746754388E-3</v>
      </c>
    </row>
    <row r="41" spans="1:10" x14ac:dyDescent="0.3">
      <c r="A41" s="41">
        <v>44712</v>
      </c>
      <c r="B41" s="40">
        <v>40</v>
      </c>
      <c r="C41" s="42"/>
      <c r="D41" s="42"/>
      <c r="G41" s="42"/>
      <c r="H41" s="42"/>
    </row>
    <row r="42" spans="1:10" x14ac:dyDescent="0.3">
      <c r="A42" s="41">
        <v>44713</v>
      </c>
      <c r="B42" s="40">
        <v>41</v>
      </c>
      <c r="C42" s="42"/>
      <c r="D42" s="42"/>
      <c r="G42" s="42"/>
      <c r="H42" s="42"/>
    </row>
    <row r="43" spans="1:10" x14ac:dyDescent="0.3">
      <c r="A43" s="41">
        <v>44714</v>
      </c>
      <c r="B43" s="40">
        <v>42</v>
      </c>
      <c r="C43" s="42"/>
      <c r="D43" s="42"/>
      <c r="G43" s="42"/>
      <c r="H43" s="42"/>
    </row>
    <row r="44" spans="1:10" x14ac:dyDescent="0.3">
      <c r="A44" s="41">
        <v>44715</v>
      </c>
      <c r="B44" s="40">
        <v>43</v>
      </c>
      <c r="C44" s="42"/>
      <c r="D44" s="42"/>
      <c r="G44" s="42"/>
      <c r="H44" s="42"/>
    </row>
    <row r="45" spans="1:10" x14ac:dyDescent="0.3">
      <c r="A45" s="41">
        <v>44716</v>
      </c>
      <c r="B45" s="40">
        <v>44</v>
      </c>
      <c r="C45" s="42"/>
      <c r="D45" s="42"/>
      <c r="G45" s="42"/>
      <c r="H45" s="42"/>
    </row>
    <row r="46" spans="1:10" x14ac:dyDescent="0.3">
      <c r="A46" s="41">
        <v>44717</v>
      </c>
      <c r="B46" s="40">
        <v>45</v>
      </c>
      <c r="C46" s="42"/>
      <c r="D46" s="42"/>
      <c r="G46" s="42"/>
      <c r="H46" s="42"/>
    </row>
    <row r="47" spans="1:10" x14ac:dyDescent="0.3">
      <c r="A47" s="41">
        <v>44718</v>
      </c>
      <c r="B47" s="40">
        <v>46</v>
      </c>
      <c r="C47" s="42">
        <v>0</v>
      </c>
      <c r="D47" s="42"/>
      <c r="E47" s="42">
        <v>0</v>
      </c>
      <c r="G47" s="42">
        <v>0</v>
      </c>
      <c r="H47" s="42"/>
      <c r="I47" s="42">
        <v>0</v>
      </c>
    </row>
    <row r="48" spans="1:10" x14ac:dyDescent="0.3">
      <c r="A48" s="41">
        <v>44719</v>
      </c>
      <c r="B48" s="40">
        <v>47</v>
      </c>
      <c r="C48" s="42"/>
      <c r="D48" s="42"/>
      <c r="G48" s="42"/>
      <c r="H48" s="42"/>
    </row>
    <row r="49" spans="1:10" x14ac:dyDescent="0.3">
      <c r="A49" s="41">
        <v>44720</v>
      </c>
      <c r="B49" s="40">
        <v>48</v>
      </c>
      <c r="C49" s="42"/>
      <c r="D49" s="42"/>
      <c r="G49" s="42"/>
      <c r="H49" s="42"/>
    </row>
    <row r="50" spans="1:10" x14ac:dyDescent="0.3">
      <c r="A50" s="41">
        <v>44721</v>
      </c>
      <c r="B50" s="40">
        <v>49</v>
      </c>
      <c r="C50" s="42">
        <f>AVERAGE('Ittre brut'!E41:E43)</f>
        <v>0.57777777777777783</v>
      </c>
      <c r="D50" s="42">
        <f>_xlfn.STDEV.S('Ittre brut'!E41:E43)</f>
        <v>5.0917507721731543E-2</v>
      </c>
      <c r="E50" s="42">
        <f>AVERAGE('Ittre brut'!E50:E52)</f>
        <v>8.8888888888888892E-2</v>
      </c>
      <c r="F50" s="42">
        <f>_xlfn.STDEV.S('Ittre brut'!E50:E52)</f>
        <v>7.6980035891950099E-2</v>
      </c>
      <c r="G50" s="42">
        <f>AVERAGE('Ittre brut'!H41:H43)</f>
        <v>7.9722222222222236E-2</v>
      </c>
      <c r="H50" s="42">
        <f>_xlfn.STDEV.S('Ittre brut'!H41:H43)</f>
        <v>2.7859973943780838E-2</v>
      </c>
      <c r="I50" s="42">
        <f>AVERAGE('Ittre brut'!H50:H52)</f>
        <v>1.2444444444444462E-3</v>
      </c>
      <c r="J50" s="42">
        <f>_xlfn.STDEV.S('Ittre brut'!H50:H52)</f>
        <v>1.6129108721443636E-3</v>
      </c>
    </row>
    <row r="51" spans="1:10" x14ac:dyDescent="0.3">
      <c r="A51" s="41">
        <v>44722</v>
      </c>
      <c r="B51" s="40">
        <v>50</v>
      </c>
      <c r="C51" s="42"/>
      <c r="D51" s="42"/>
      <c r="G51" s="42"/>
      <c r="H51" s="42"/>
    </row>
    <row r="52" spans="1:10" x14ac:dyDescent="0.3">
      <c r="A52" s="41">
        <v>44723</v>
      </c>
      <c r="B52" s="40">
        <v>51</v>
      </c>
      <c r="C52" s="42"/>
      <c r="D52" s="42"/>
      <c r="G52" s="42"/>
      <c r="H52" s="42"/>
    </row>
    <row r="53" spans="1:10" x14ac:dyDescent="0.3">
      <c r="A53" s="41">
        <v>44724</v>
      </c>
      <c r="B53" s="40">
        <v>52</v>
      </c>
      <c r="C53" s="42"/>
      <c r="D53" s="42"/>
      <c r="G53" s="42"/>
      <c r="H53" s="42"/>
    </row>
    <row r="54" spans="1:10" x14ac:dyDescent="0.3">
      <c r="A54" s="41">
        <v>44725</v>
      </c>
      <c r="B54" s="40">
        <v>53</v>
      </c>
      <c r="C54" s="42"/>
      <c r="D54" s="42"/>
      <c r="G54" s="42"/>
      <c r="H54" s="42"/>
    </row>
    <row r="55" spans="1:10" x14ac:dyDescent="0.3">
      <c r="A55" s="41">
        <v>44726</v>
      </c>
      <c r="B55" s="40">
        <v>54</v>
      </c>
      <c r="C55" s="42"/>
      <c r="D55" s="42"/>
      <c r="G55" s="42"/>
      <c r="H55" s="42"/>
    </row>
    <row r="56" spans="1:10" x14ac:dyDescent="0.3">
      <c r="A56" s="41">
        <v>44727</v>
      </c>
      <c r="B56" s="40">
        <v>55</v>
      </c>
      <c r="C56" s="42"/>
      <c r="D56" s="42"/>
      <c r="G56" s="42"/>
      <c r="H56" s="42"/>
    </row>
    <row r="57" spans="1:10" x14ac:dyDescent="0.3">
      <c r="A57" s="41">
        <v>44728</v>
      </c>
      <c r="B57" s="40">
        <v>56</v>
      </c>
      <c r="C57" s="42"/>
      <c r="D57" s="42"/>
      <c r="G57" s="42"/>
      <c r="H57" s="42"/>
    </row>
    <row r="58" spans="1:10" x14ac:dyDescent="0.3">
      <c r="A58" s="41">
        <v>44729</v>
      </c>
      <c r="B58" s="40">
        <v>57</v>
      </c>
      <c r="C58" s="42"/>
      <c r="D58" s="42"/>
      <c r="G58" s="42"/>
      <c r="H58" s="42"/>
    </row>
    <row r="59" spans="1:10" x14ac:dyDescent="0.3">
      <c r="A59" s="41">
        <v>44730</v>
      </c>
      <c r="B59" s="40">
        <v>58</v>
      </c>
      <c r="C59" s="42"/>
      <c r="D59" s="42"/>
      <c r="G59" s="42"/>
      <c r="H59" s="42"/>
    </row>
    <row r="60" spans="1:10" x14ac:dyDescent="0.3">
      <c r="A60" s="41">
        <v>44731</v>
      </c>
      <c r="B60" s="40">
        <v>59</v>
      </c>
      <c r="C60" s="42"/>
      <c r="D60" s="42"/>
      <c r="G60" s="42"/>
      <c r="H60" s="42"/>
    </row>
    <row r="61" spans="1:10" x14ac:dyDescent="0.3">
      <c r="A61" s="41">
        <v>44732</v>
      </c>
      <c r="B61" s="40">
        <v>60</v>
      </c>
      <c r="C61" s="42"/>
      <c r="D61" s="42"/>
      <c r="G61" s="42"/>
      <c r="H61" s="42"/>
    </row>
    <row r="62" spans="1:10" x14ac:dyDescent="0.3">
      <c r="A62" s="41">
        <v>44733</v>
      </c>
      <c r="B62" s="40">
        <v>61</v>
      </c>
      <c r="C62" s="42"/>
      <c r="D62" s="42"/>
      <c r="G62" s="42"/>
      <c r="H62" s="42"/>
    </row>
    <row r="63" spans="1:10" x14ac:dyDescent="0.3">
      <c r="A63" s="41">
        <v>44734</v>
      </c>
      <c r="B63" s="40">
        <v>62</v>
      </c>
      <c r="C63" s="42"/>
      <c r="D63" s="42"/>
      <c r="G63" s="42"/>
      <c r="H63" s="42"/>
    </row>
    <row r="64" spans="1:10" x14ac:dyDescent="0.3">
      <c r="A64" s="41">
        <v>44735</v>
      </c>
      <c r="B64" s="40">
        <v>63</v>
      </c>
      <c r="C64" s="42"/>
      <c r="D64" s="42"/>
      <c r="G64" s="42"/>
      <c r="H64" s="42"/>
    </row>
    <row r="65" spans="1:9" x14ac:dyDescent="0.3">
      <c r="A65" s="41">
        <v>44736</v>
      </c>
      <c r="B65" s="40">
        <v>64</v>
      </c>
      <c r="C65" s="42"/>
      <c r="D65" s="42"/>
      <c r="G65" s="42"/>
      <c r="H65" s="42"/>
    </row>
    <row r="66" spans="1:9" x14ac:dyDescent="0.3">
      <c r="A66" s="41">
        <v>44737</v>
      </c>
      <c r="B66" s="40">
        <v>65</v>
      </c>
      <c r="C66" s="42"/>
      <c r="D66" s="42"/>
      <c r="G66" s="42"/>
      <c r="H66" s="42"/>
    </row>
    <row r="67" spans="1:9" x14ac:dyDescent="0.3">
      <c r="A67" s="41">
        <v>44738</v>
      </c>
      <c r="B67" s="40">
        <v>66</v>
      </c>
      <c r="C67" s="42"/>
      <c r="D67" s="42"/>
      <c r="G67" s="42"/>
      <c r="H67" s="42"/>
    </row>
    <row r="68" spans="1:9" x14ac:dyDescent="0.3">
      <c r="A68" s="41">
        <v>44739</v>
      </c>
      <c r="B68" s="40">
        <v>67</v>
      </c>
      <c r="C68" s="42">
        <v>0</v>
      </c>
      <c r="D68" s="42"/>
      <c r="E68" s="42">
        <v>0</v>
      </c>
      <c r="G68" s="42">
        <v>0</v>
      </c>
      <c r="H68" s="42"/>
      <c r="I68" s="42">
        <v>0</v>
      </c>
    </row>
    <row r="69" spans="1:9" x14ac:dyDescent="0.3">
      <c r="A69" s="41">
        <v>44740</v>
      </c>
      <c r="B69" s="40">
        <v>68</v>
      </c>
      <c r="C69" s="42"/>
      <c r="D69" s="42"/>
      <c r="G69" s="42"/>
      <c r="H69" s="42"/>
    </row>
    <row r="70" spans="1:9" x14ac:dyDescent="0.3">
      <c r="A70" s="41">
        <v>44741</v>
      </c>
      <c r="B70" s="40">
        <v>69</v>
      </c>
      <c r="C70" s="42"/>
      <c r="D70" s="42"/>
      <c r="G70" s="42"/>
      <c r="H70" s="42"/>
    </row>
    <row r="71" spans="1:9" x14ac:dyDescent="0.3">
      <c r="A71" s="41">
        <v>44742</v>
      </c>
      <c r="B71" s="40">
        <v>70</v>
      </c>
      <c r="C71" s="42"/>
      <c r="D71" s="42"/>
      <c r="G71" s="42"/>
      <c r="H71" s="42"/>
    </row>
    <row r="72" spans="1:9" x14ac:dyDescent="0.3">
      <c r="A72" s="41">
        <v>44743</v>
      </c>
      <c r="B72" s="40">
        <v>71</v>
      </c>
      <c r="C72" s="42">
        <v>0</v>
      </c>
      <c r="D72" s="42"/>
      <c r="E72" s="42">
        <v>0</v>
      </c>
      <c r="G72" s="42">
        <v>0</v>
      </c>
      <c r="H72" s="42"/>
      <c r="I72" s="42">
        <v>0</v>
      </c>
    </row>
    <row r="73" spans="1:9" x14ac:dyDescent="0.3">
      <c r="A73" s="41">
        <v>44744</v>
      </c>
      <c r="B73" s="40">
        <v>72</v>
      </c>
      <c r="C73" s="42"/>
      <c r="D73" s="42"/>
      <c r="G73" s="42"/>
      <c r="H73" s="42"/>
    </row>
    <row r="74" spans="1:9" x14ac:dyDescent="0.3">
      <c r="A74" s="41">
        <v>44745</v>
      </c>
      <c r="B74" s="40">
        <v>73</v>
      </c>
      <c r="C74" s="42"/>
      <c r="D74" s="42"/>
      <c r="G74" s="42"/>
      <c r="H74" s="42"/>
    </row>
    <row r="75" spans="1:9" x14ac:dyDescent="0.3">
      <c r="A75" s="41">
        <v>44746</v>
      </c>
      <c r="B75" s="40">
        <v>74</v>
      </c>
      <c r="C75" s="42"/>
      <c r="D75" s="42"/>
      <c r="G75" s="42"/>
      <c r="H75" s="42"/>
    </row>
    <row r="76" spans="1:9" x14ac:dyDescent="0.3">
      <c r="A76" s="41">
        <v>44747</v>
      </c>
      <c r="B76" s="40">
        <v>75</v>
      </c>
      <c r="C76" s="42"/>
      <c r="D76" s="42"/>
      <c r="G76" s="42"/>
      <c r="H76" s="42"/>
    </row>
    <row r="77" spans="1:9" x14ac:dyDescent="0.3">
      <c r="A77" s="41">
        <v>44748</v>
      </c>
      <c r="B77" s="40">
        <v>76</v>
      </c>
      <c r="C77" s="42"/>
      <c r="D77" s="42"/>
      <c r="G77" s="42"/>
      <c r="H77" s="42"/>
    </row>
    <row r="78" spans="1:9" x14ac:dyDescent="0.3">
      <c r="A78" s="41">
        <v>44749</v>
      </c>
      <c r="B78" s="40">
        <v>77</v>
      </c>
      <c r="C78" s="42"/>
      <c r="D78" s="42"/>
      <c r="G78" s="42"/>
      <c r="H78" s="42"/>
    </row>
    <row r="79" spans="1:9" x14ac:dyDescent="0.3">
      <c r="A79" s="41">
        <v>44750</v>
      </c>
      <c r="B79" s="40">
        <v>78</v>
      </c>
      <c r="C79" s="42"/>
      <c r="D79" s="42"/>
      <c r="G79" s="42"/>
      <c r="H79" s="42"/>
    </row>
    <row r="80" spans="1:9" x14ac:dyDescent="0.3">
      <c r="A80" s="41">
        <v>44751</v>
      </c>
      <c r="B80" s="40">
        <v>79</v>
      </c>
      <c r="C80" s="42"/>
      <c r="D80" s="42"/>
      <c r="G80" s="42"/>
      <c r="H80" s="42"/>
    </row>
    <row r="81" spans="1:8" x14ac:dyDescent="0.3">
      <c r="A81" s="41">
        <v>44752</v>
      </c>
      <c r="B81" s="40">
        <v>80</v>
      </c>
      <c r="C81" s="42"/>
      <c r="D81" s="42"/>
      <c r="G81" s="42"/>
      <c r="H81" s="42"/>
    </row>
    <row r="82" spans="1:8" x14ac:dyDescent="0.3">
      <c r="A82" s="41">
        <v>44753</v>
      </c>
      <c r="B82" s="40">
        <v>81</v>
      </c>
      <c r="C82" s="42"/>
      <c r="D82" s="42"/>
      <c r="G82" s="42"/>
      <c r="H82" s="42"/>
    </row>
    <row r="83" spans="1:8" x14ac:dyDescent="0.3">
      <c r="A83" s="41">
        <v>44754</v>
      </c>
      <c r="B83" s="40">
        <v>82</v>
      </c>
      <c r="C83" s="42"/>
      <c r="D83" s="42"/>
      <c r="G83" s="42"/>
      <c r="H83" s="42"/>
    </row>
    <row r="84" spans="1:8" x14ac:dyDescent="0.3">
      <c r="A84" s="41">
        <v>44755</v>
      </c>
      <c r="B84" s="40">
        <v>83</v>
      </c>
      <c r="C84" s="42"/>
      <c r="D84" s="42"/>
      <c r="G84" s="42"/>
      <c r="H84" s="42"/>
    </row>
    <row r="85" spans="1:8" x14ac:dyDescent="0.3">
      <c r="A85" s="41">
        <v>44756</v>
      </c>
      <c r="B85" s="40">
        <v>84</v>
      </c>
      <c r="C85" s="42"/>
      <c r="D85" s="42"/>
      <c r="G85" s="42"/>
      <c r="H85" s="42"/>
    </row>
    <row r="86" spans="1:8" x14ac:dyDescent="0.3">
      <c r="A86" s="41">
        <v>44757</v>
      </c>
      <c r="B86" s="40">
        <v>85</v>
      </c>
      <c r="C86" s="42"/>
      <c r="D86" s="42"/>
      <c r="G86" s="42"/>
      <c r="H86" s="42"/>
    </row>
    <row r="87" spans="1:8" x14ac:dyDescent="0.3">
      <c r="A87" s="41">
        <v>44758</v>
      </c>
      <c r="B87" s="40">
        <v>86</v>
      </c>
      <c r="C87" s="42"/>
      <c r="D87" s="42"/>
      <c r="G87" s="42"/>
      <c r="H87" s="42"/>
    </row>
    <row r="88" spans="1:8" x14ac:dyDescent="0.3">
      <c r="A88" s="41">
        <v>44759</v>
      </c>
      <c r="B88" s="40">
        <v>87</v>
      </c>
      <c r="C88" s="42"/>
      <c r="D88" s="42"/>
      <c r="G88" s="42"/>
      <c r="H88" s="42"/>
    </row>
    <row r="89" spans="1:8" x14ac:dyDescent="0.3">
      <c r="A89" s="41">
        <v>44760</v>
      </c>
      <c r="B89" s="40">
        <v>88</v>
      </c>
      <c r="C89" s="42"/>
      <c r="D89" s="42"/>
      <c r="G89" s="42"/>
      <c r="H89" s="42"/>
    </row>
    <row r="90" spans="1:8" x14ac:dyDescent="0.3">
      <c r="A90" s="41">
        <v>44761</v>
      </c>
      <c r="B90" s="40">
        <v>89</v>
      </c>
      <c r="C90" s="42"/>
      <c r="D90" s="42"/>
      <c r="G90" s="42"/>
      <c r="H90" s="42"/>
    </row>
    <row r="91" spans="1:8" x14ac:dyDescent="0.3">
      <c r="A91" s="41">
        <v>44762</v>
      </c>
      <c r="B91" s="40">
        <v>90</v>
      </c>
      <c r="C91" s="42"/>
      <c r="D91" s="42"/>
      <c r="G91" s="42"/>
      <c r="H91" s="42"/>
    </row>
    <row r="92" spans="1:8" x14ac:dyDescent="0.3">
      <c r="A92" s="41">
        <v>44763</v>
      </c>
      <c r="B92" s="40">
        <v>91</v>
      </c>
      <c r="C92" s="42"/>
      <c r="D92" s="42"/>
      <c r="G92" s="42"/>
      <c r="H92" s="42"/>
    </row>
    <row r="93" spans="1:8" x14ac:dyDescent="0.3">
      <c r="A93" s="41">
        <v>44764</v>
      </c>
      <c r="B93" s="40">
        <v>92</v>
      </c>
      <c r="C93" s="42"/>
      <c r="D93" s="42"/>
      <c r="G93" s="42"/>
      <c r="H93" s="42"/>
    </row>
    <row r="94" spans="1:8" x14ac:dyDescent="0.3">
      <c r="A94" s="41">
        <v>44765</v>
      </c>
      <c r="B94" s="40">
        <v>93</v>
      </c>
      <c r="C94" s="42"/>
      <c r="D94" s="42"/>
      <c r="G94" s="42"/>
      <c r="H94" s="42"/>
    </row>
    <row r="95" spans="1:8" x14ac:dyDescent="0.3">
      <c r="A95" s="41">
        <v>44766</v>
      </c>
      <c r="B95" s="40">
        <v>94</v>
      </c>
      <c r="C95" s="42"/>
      <c r="D95" s="42"/>
      <c r="G95" s="42"/>
      <c r="H95" s="42"/>
    </row>
    <row r="96" spans="1:8" x14ac:dyDescent="0.3">
      <c r="A96" s="41">
        <v>44767</v>
      </c>
      <c r="B96" s="40">
        <v>95</v>
      </c>
      <c r="C96" s="42"/>
      <c r="D96" s="42"/>
      <c r="G96" s="42"/>
      <c r="H96" s="42"/>
    </row>
    <row r="97" spans="1:8" x14ac:dyDescent="0.3">
      <c r="A97" s="41">
        <v>44768</v>
      </c>
      <c r="B97" s="40">
        <v>96</v>
      </c>
      <c r="C97" s="42"/>
      <c r="D97" s="42"/>
      <c r="G97" s="42"/>
      <c r="H97" s="42"/>
    </row>
    <row r="98" spans="1:8" x14ac:dyDescent="0.3">
      <c r="A98" s="41">
        <v>44769</v>
      </c>
      <c r="B98" s="40">
        <v>97</v>
      </c>
      <c r="C98" s="42"/>
      <c r="D98" s="42"/>
      <c r="G98" s="42"/>
      <c r="H98" s="42"/>
    </row>
    <row r="99" spans="1:8" x14ac:dyDescent="0.3">
      <c r="A99" s="41">
        <v>44770</v>
      </c>
      <c r="B99" s="40">
        <v>98</v>
      </c>
      <c r="C99" s="42"/>
      <c r="D99" s="42"/>
      <c r="G99" s="42"/>
      <c r="H99" s="42"/>
    </row>
    <row r="100" spans="1:8" x14ac:dyDescent="0.3">
      <c r="A100" s="41">
        <v>44771</v>
      </c>
      <c r="B100" s="40">
        <v>99</v>
      </c>
      <c r="C100" s="42"/>
      <c r="D100" s="42"/>
      <c r="G100" s="42"/>
      <c r="H100" s="42"/>
    </row>
    <row r="101" spans="1:8" x14ac:dyDescent="0.3">
      <c r="A101" s="41">
        <v>44772</v>
      </c>
      <c r="B101" s="40">
        <v>100</v>
      </c>
      <c r="C101" s="42"/>
      <c r="D101" s="42"/>
      <c r="G101" s="42"/>
      <c r="H101" s="42"/>
    </row>
    <row r="102" spans="1:8" x14ac:dyDescent="0.3">
      <c r="A102" s="41">
        <v>44773</v>
      </c>
      <c r="B102" s="40">
        <v>101</v>
      </c>
      <c r="C102" s="42"/>
      <c r="D102" s="42"/>
      <c r="G102" s="42"/>
      <c r="H102" s="42"/>
    </row>
    <row r="103" spans="1:8" x14ac:dyDescent="0.3">
      <c r="A103" s="41">
        <v>44774</v>
      </c>
      <c r="B103" s="40">
        <v>102</v>
      </c>
      <c r="C103" s="42"/>
      <c r="D103" s="42"/>
      <c r="G103" s="42"/>
      <c r="H103" s="42"/>
    </row>
    <row r="104" spans="1:8" x14ac:dyDescent="0.3">
      <c r="A104" s="41">
        <v>44775</v>
      </c>
      <c r="B104" s="40">
        <v>103</v>
      </c>
      <c r="C104" s="42"/>
      <c r="D104" s="42"/>
      <c r="G104" s="42"/>
      <c r="H104" s="42"/>
    </row>
    <row r="105" spans="1:8" x14ac:dyDescent="0.3">
      <c r="A105" s="41">
        <v>44776</v>
      </c>
      <c r="B105" s="40">
        <v>104</v>
      </c>
      <c r="C105" s="42"/>
      <c r="D105" s="42"/>
      <c r="G105" s="42"/>
      <c r="H105" s="42"/>
    </row>
    <row r="106" spans="1:8" x14ac:dyDescent="0.3">
      <c r="A106" s="41">
        <v>44777</v>
      </c>
      <c r="B106" s="40">
        <v>105</v>
      </c>
      <c r="C106" s="42"/>
      <c r="D106" s="42"/>
      <c r="G106" s="42"/>
      <c r="H106" s="42"/>
    </row>
    <row r="107" spans="1:8" x14ac:dyDescent="0.3">
      <c r="A107" s="41">
        <v>44778</v>
      </c>
      <c r="B107" s="40">
        <v>106</v>
      </c>
      <c r="C107" s="42"/>
      <c r="D107" s="42"/>
      <c r="G107" s="42"/>
      <c r="H107" s="42"/>
    </row>
    <row r="108" spans="1:8" x14ac:dyDescent="0.3">
      <c r="A108" s="41">
        <v>44779</v>
      </c>
      <c r="B108" s="40">
        <v>107</v>
      </c>
      <c r="C108" s="42"/>
      <c r="D108" s="42"/>
      <c r="G108" s="42"/>
      <c r="H108" s="42"/>
    </row>
    <row r="109" spans="1:8" x14ac:dyDescent="0.3">
      <c r="A109" s="41">
        <v>44780</v>
      </c>
      <c r="B109" s="40">
        <v>108</v>
      </c>
      <c r="C109" s="42"/>
      <c r="D109" s="42"/>
      <c r="G109" s="42"/>
      <c r="H109" s="42"/>
    </row>
    <row r="110" spans="1:8" x14ac:dyDescent="0.3">
      <c r="A110" s="41">
        <v>44781</v>
      </c>
      <c r="B110" s="40">
        <v>109</v>
      </c>
      <c r="C110" s="42"/>
      <c r="D110" s="42"/>
      <c r="G110" s="42"/>
      <c r="H110" s="42"/>
    </row>
    <row r="111" spans="1:8" x14ac:dyDescent="0.3">
      <c r="A111" s="41">
        <v>44782</v>
      </c>
      <c r="B111" s="40">
        <v>110</v>
      </c>
      <c r="C111" s="42"/>
      <c r="D111" s="42"/>
      <c r="G111" s="42"/>
      <c r="H111" s="42"/>
    </row>
    <row r="112" spans="1:8" x14ac:dyDescent="0.3">
      <c r="A112" s="41">
        <v>44783</v>
      </c>
      <c r="B112" s="40">
        <v>111</v>
      </c>
      <c r="C112" s="42"/>
      <c r="D112" s="42"/>
      <c r="G112" s="42"/>
      <c r="H112" s="42"/>
    </row>
    <row r="113" spans="1:9" x14ac:dyDescent="0.3">
      <c r="A113" s="41">
        <v>44784</v>
      </c>
      <c r="B113" s="40">
        <v>112</v>
      </c>
      <c r="C113" s="42"/>
      <c r="D113" s="42"/>
      <c r="G113" s="42"/>
      <c r="H113" s="42"/>
    </row>
    <row r="114" spans="1:9" x14ac:dyDescent="0.3">
      <c r="A114" s="41">
        <v>44785</v>
      </c>
      <c r="B114" s="40">
        <v>113</v>
      </c>
      <c r="C114" s="42"/>
      <c r="D114" s="42"/>
      <c r="G114" s="42"/>
      <c r="H114" s="42"/>
    </row>
    <row r="115" spans="1:9" x14ac:dyDescent="0.3">
      <c r="A115" s="41">
        <v>44786</v>
      </c>
      <c r="B115" s="40">
        <v>114</v>
      </c>
      <c r="C115" s="42"/>
      <c r="D115" s="42"/>
      <c r="G115" s="42"/>
      <c r="H115" s="42"/>
    </row>
    <row r="116" spans="1:9" x14ac:dyDescent="0.3">
      <c r="A116" s="41">
        <v>44787</v>
      </c>
      <c r="B116" s="40">
        <v>115</v>
      </c>
      <c r="C116" s="42"/>
      <c r="D116" s="42"/>
      <c r="G116" s="42"/>
      <c r="H116" s="42"/>
    </row>
    <row r="117" spans="1:9" x14ac:dyDescent="0.3">
      <c r="A117" s="41">
        <v>44788</v>
      </c>
      <c r="B117" s="40">
        <v>116</v>
      </c>
      <c r="C117" s="42"/>
      <c r="D117" s="42"/>
      <c r="G117" s="42"/>
      <c r="H117" s="42"/>
    </row>
    <row r="118" spans="1:9" x14ac:dyDescent="0.3">
      <c r="A118" s="41">
        <v>44789</v>
      </c>
      <c r="B118" s="40">
        <v>117</v>
      </c>
      <c r="C118" s="42"/>
      <c r="D118" s="42"/>
      <c r="G118" s="42"/>
      <c r="H118" s="42"/>
    </row>
    <row r="119" spans="1:9" x14ac:dyDescent="0.3">
      <c r="A119" s="41">
        <v>44790</v>
      </c>
      <c r="B119" s="40">
        <v>118</v>
      </c>
      <c r="C119" s="42"/>
      <c r="D119" s="42"/>
      <c r="G119" s="42"/>
      <c r="H119" s="42"/>
    </row>
    <row r="120" spans="1:9" x14ac:dyDescent="0.3">
      <c r="A120" s="41">
        <v>44791</v>
      </c>
      <c r="B120" s="40">
        <v>119</v>
      </c>
      <c r="C120" s="42"/>
      <c r="D120" s="42"/>
      <c r="G120" s="42"/>
      <c r="H120" s="42"/>
    </row>
    <row r="121" spans="1:9" x14ac:dyDescent="0.3">
      <c r="A121" s="41">
        <v>44792</v>
      </c>
      <c r="B121" s="40">
        <v>120</v>
      </c>
      <c r="C121" s="42"/>
      <c r="D121" s="42"/>
      <c r="G121" s="42"/>
      <c r="H121" s="42"/>
    </row>
    <row r="122" spans="1:9" x14ac:dyDescent="0.3">
      <c r="A122" s="41">
        <v>44793</v>
      </c>
      <c r="B122" s="40">
        <v>121</v>
      </c>
      <c r="C122" s="42"/>
      <c r="D122" s="42"/>
      <c r="G122" s="42"/>
      <c r="H122" s="42"/>
    </row>
    <row r="123" spans="1:9" x14ac:dyDescent="0.3">
      <c r="A123" s="41">
        <v>44794</v>
      </c>
      <c r="B123" s="40">
        <v>122</v>
      </c>
      <c r="C123" s="42"/>
      <c r="D123" s="42"/>
      <c r="G123" s="42"/>
      <c r="H123" s="42"/>
    </row>
    <row r="124" spans="1:9" x14ac:dyDescent="0.3">
      <c r="A124" s="41">
        <v>44795</v>
      </c>
      <c r="B124" s="40">
        <v>123</v>
      </c>
      <c r="C124" s="42"/>
      <c r="D124" s="42"/>
      <c r="G124" s="42"/>
      <c r="H124" s="42"/>
    </row>
    <row r="125" spans="1:9" x14ac:dyDescent="0.3">
      <c r="A125" s="41">
        <v>44796</v>
      </c>
      <c r="B125" s="40">
        <v>124</v>
      </c>
      <c r="C125" s="42">
        <v>0</v>
      </c>
      <c r="D125" s="42"/>
      <c r="E125" s="42">
        <v>0</v>
      </c>
      <c r="G125" s="42">
        <v>0</v>
      </c>
      <c r="H125" s="42"/>
      <c r="I125" s="42">
        <v>0</v>
      </c>
    </row>
    <row r="126" spans="1:9" x14ac:dyDescent="0.3">
      <c r="A126" s="41"/>
    </row>
    <row r="127" spans="1:9" x14ac:dyDescent="0.3">
      <c r="A127" s="41"/>
    </row>
    <row r="128" spans="1:9" x14ac:dyDescent="0.3">
      <c r="A128" s="41"/>
    </row>
    <row r="129" spans="1:1" x14ac:dyDescent="0.3">
      <c r="A129" s="41"/>
    </row>
    <row r="130" spans="1:1" x14ac:dyDescent="0.3">
      <c r="A130" s="41"/>
    </row>
    <row r="131" spans="1:1" x14ac:dyDescent="0.3">
      <c r="A131" s="41"/>
    </row>
    <row r="132" spans="1:1" x14ac:dyDescent="0.3">
      <c r="A132" s="41"/>
    </row>
    <row r="133" spans="1:1" x14ac:dyDescent="0.3">
      <c r="A133" s="41"/>
    </row>
    <row r="134" spans="1:1" x14ac:dyDescent="0.3">
      <c r="A134" s="41"/>
    </row>
    <row r="135" spans="1:1" x14ac:dyDescent="0.3">
      <c r="A135" s="41"/>
    </row>
    <row r="136" spans="1:1" x14ac:dyDescent="0.3">
      <c r="A136" s="41"/>
    </row>
    <row r="137" spans="1:1" x14ac:dyDescent="0.3">
      <c r="A137" s="41"/>
    </row>
    <row r="138" spans="1:1" x14ac:dyDescent="0.3">
      <c r="A138" s="41"/>
    </row>
    <row r="139" spans="1:1" x14ac:dyDescent="0.3">
      <c r="A139" s="41"/>
    </row>
    <row r="140" spans="1:1" x14ac:dyDescent="0.3">
      <c r="A140" s="41"/>
    </row>
    <row r="141" spans="1:1" x14ac:dyDescent="0.3">
      <c r="A141" s="41"/>
    </row>
    <row r="142" spans="1:1" x14ac:dyDescent="0.3">
      <c r="A142" s="41"/>
    </row>
    <row r="143" spans="1:1" x14ac:dyDescent="0.3">
      <c r="A143" s="41"/>
    </row>
    <row r="144" spans="1:1" x14ac:dyDescent="0.3">
      <c r="A144" s="41"/>
    </row>
    <row r="145" spans="1:1" x14ac:dyDescent="0.3">
      <c r="A145" s="41"/>
    </row>
    <row r="146" spans="1:1" x14ac:dyDescent="0.3">
      <c r="A146" s="41"/>
    </row>
    <row r="147" spans="1:1" x14ac:dyDescent="0.3">
      <c r="A147" s="41"/>
    </row>
    <row r="148" spans="1:1" x14ac:dyDescent="0.3">
      <c r="A148" s="41"/>
    </row>
    <row r="149" spans="1:1" x14ac:dyDescent="0.3">
      <c r="A149" s="41"/>
    </row>
    <row r="150" spans="1:1" x14ac:dyDescent="0.3">
      <c r="A150" s="41"/>
    </row>
    <row r="151" spans="1:1" x14ac:dyDescent="0.3">
      <c r="A151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727B-4F88-42C3-B854-D9F7EB46E478}">
  <dimension ref="B1:AM249"/>
  <sheetViews>
    <sheetView zoomScale="90" zoomScaleNormal="90" workbookViewId="0">
      <pane xSplit="3" ySplit="3" topLeftCell="D22" activePane="bottomRight" state="frozen"/>
      <selection pane="topRight" activeCell="D1" sqref="D1"/>
      <selection pane="bottomLeft" activeCell="A4" sqref="A4"/>
      <selection pane="bottomRight" activeCell="AM56" sqref="AM56"/>
    </sheetView>
  </sheetViews>
  <sheetFormatPr baseColWidth="10" defaultColWidth="8.88671875" defaultRowHeight="14.4" x14ac:dyDescent="0.3"/>
  <cols>
    <col min="2" max="3" width="15.44140625" customWidth="1"/>
    <col min="4" max="4" width="18" customWidth="1"/>
    <col min="5" max="5" width="17.109375" style="36" customWidth="1"/>
    <col min="6" max="6" width="13.33203125" customWidth="1"/>
    <col min="7" max="7" width="13.88671875" customWidth="1"/>
    <col min="8" max="8" width="12.109375" style="36" customWidth="1"/>
    <col min="9" max="9" width="13.5546875" customWidth="1"/>
    <col min="10" max="10" width="17.109375" customWidth="1"/>
    <col min="11" max="11" width="15.5546875" customWidth="1"/>
    <col min="12" max="12" width="17" customWidth="1"/>
    <col min="13" max="13" width="13.77734375" style="36" customWidth="1"/>
    <col min="14" max="14" width="17.5546875" style="3" customWidth="1"/>
    <col min="15" max="15" width="18.109375" style="3" customWidth="1"/>
    <col min="16" max="16" width="16.6640625" style="3" customWidth="1"/>
    <col min="17" max="17" width="16.5546875" style="3" customWidth="1"/>
    <col min="18" max="18" width="15.109375" style="1" customWidth="1"/>
    <col min="19" max="19" width="17.5546875" style="3" customWidth="1"/>
    <col min="20" max="20" width="18.109375" style="3" customWidth="1"/>
    <col min="21" max="21" width="16.6640625" style="3" customWidth="1"/>
    <col min="22" max="22" width="16.5546875" style="3" customWidth="1"/>
    <col min="23" max="23" width="15.109375" style="1" customWidth="1"/>
    <col min="24" max="24" width="15.109375" customWidth="1"/>
    <col min="25" max="25" width="16.77734375" customWidth="1"/>
    <col min="26" max="26" width="16.21875" customWidth="1"/>
    <col min="27" max="27" width="16.6640625" customWidth="1"/>
    <col min="28" max="28" width="15.109375" style="36" customWidth="1"/>
    <col min="29" max="29" width="15.109375" customWidth="1"/>
    <col min="30" max="30" width="16.6640625" customWidth="1"/>
    <col min="31" max="31" width="15.77734375" customWidth="1"/>
    <col min="32" max="32" width="16.33203125" customWidth="1"/>
    <col min="33" max="33" width="15.109375" style="36" customWidth="1"/>
    <col min="34" max="34" width="15.109375" customWidth="1"/>
    <col min="35" max="35" width="17.109375" customWidth="1"/>
    <col min="36" max="37" width="15.109375" customWidth="1"/>
    <col min="38" max="38" width="15.109375" style="36" customWidth="1"/>
    <col min="39" max="39" width="37.88671875" customWidth="1"/>
  </cols>
  <sheetData>
    <row r="1" spans="2:39" ht="18" x14ac:dyDescent="0.35">
      <c r="B1" s="50"/>
      <c r="C1" s="50"/>
      <c r="D1" s="51" t="s">
        <v>2</v>
      </c>
      <c r="E1" s="51"/>
      <c r="F1" s="51" t="s">
        <v>3</v>
      </c>
      <c r="G1" s="51"/>
      <c r="H1" s="51"/>
      <c r="I1" s="51" t="s">
        <v>4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</row>
    <row r="2" spans="2:39" ht="15.6" x14ac:dyDescent="0.3">
      <c r="B2" s="12"/>
      <c r="C2" s="12"/>
      <c r="D2" s="52"/>
      <c r="E2" s="53"/>
      <c r="F2" s="52"/>
      <c r="G2" s="54"/>
      <c r="H2" s="53"/>
      <c r="I2" s="55" t="s">
        <v>26</v>
      </c>
      <c r="J2" s="56"/>
      <c r="K2" s="56"/>
      <c r="L2" s="56"/>
      <c r="M2" s="57"/>
      <c r="N2" s="58" t="s">
        <v>55</v>
      </c>
      <c r="O2" s="58"/>
      <c r="P2" s="58"/>
      <c r="Q2" s="58"/>
      <c r="R2" s="58"/>
      <c r="S2" s="58" t="s">
        <v>56</v>
      </c>
      <c r="T2" s="58"/>
      <c r="U2" s="58"/>
      <c r="V2" s="58"/>
      <c r="W2" s="58"/>
      <c r="X2" s="55" t="s">
        <v>27</v>
      </c>
      <c r="Y2" s="56"/>
      <c r="Z2" s="56"/>
      <c r="AA2" s="56"/>
      <c r="AB2" s="57"/>
      <c r="AC2" s="55" t="s">
        <v>28</v>
      </c>
      <c r="AD2" s="56"/>
      <c r="AE2" s="56"/>
      <c r="AF2" s="56"/>
      <c r="AG2" s="57"/>
      <c r="AH2" s="59" t="s">
        <v>29</v>
      </c>
      <c r="AI2" s="59"/>
      <c r="AJ2" s="59"/>
      <c r="AK2" s="59"/>
      <c r="AL2" s="59"/>
    </row>
    <row r="3" spans="2:39" ht="61.8" customHeight="1" x14ac:dyDescent="0.3">
      <c r="B3" s="13" t="s">
        <v>5</v>
      </c>
      <c r="C3" s="13" t="s">
        <v>6</v>
      </c>
      <c r="D3" s="14" t="s">
        <v>7</v>
      </c>
      <c r="E3" s="14" t="s">
        <v>8</v>
      </c>
      <c r="F3" s="15" t="s">
        <v>9</v>
      </c>
      <c r="G3" s="14" t="s">
        <v>10</v>
      </c>
      <c r="H3" s="14" t="s">
        <v>11</v>
      </c>
      <c r="I3" s="15" t="s">
        <v>12</v>
      </c>
      <c r="J3" s="14" t="s">
        <v>30</v>
      </c>
      <c r="K3" s="14" t="s">
        <v>31</v>
      </c>
      <c r="L3" s="14" t="s">
        <v>32</v>
      </c>
      <c r="M3" s="14" t="s">
        <v>33</v>
      </c>
      <c r="N3" s="16" t="s">
        <v>57</v>
      </c>
      <c r="O3" s="17" t="s">
        <v>58</v>
      </c>
      <c r="P3" s="17" t="s">
        <v>59</v>
      </c>
      <c r="Q3" s="17" t="s">
        <v>60</v>
      </c>
      <c r="R3" s="17" t="s">
        <v>61</v>
      </c>
      <c r="S3" s="16" t="s">
        <v>62</v>
      </c>
      <c r="T3" s="17" t="s">
        <v>63</v>
      </c>
      <c r="U3" s="17" t="s">
        <v>64</v>
      </c>
      <c r="V3" s="17" t="s">
        <v>65</v>
      </c>
      <c r="W3" s="17" t="s">
        <v>66</v>
      </c>
      <c r="X3" s="15" t="s">
        <v>34</v>
      </c>
      <c r="Y3" s="14" t="s">
        <v>35</v>
      </c>
      <c r="Z3" s="14" t="s">
        <v>36</v>
      </c>
      <c r="AA3" s="14" t="s">
        <v>37</v>
      </c>
      <c r="AB3" s="14" t="s">
        <v>38</v>
      </c>
      <c r="AC3" s="15" t="s">
        <v>39</v>
      </c>
      <c r="AD3" s="14" t="s">
        <v>40</v>
      </c>
      <c r="AE3" s="14" t="s">
        <v>41</v>
      </c>
      <c r="AF3" s="14" t="s">
        <v>42</v>
      </c>
      <c r="AG3" s="14" t="s">
        <v>43</v>
      </c>
      <c r="AH3" s="15" t="s">
        <v>44</v>
      </c>
      <c r="AI3" s="14" t="s">
        <v>45</v>
      </c>
      <c r="AJ3" s="14" t="s">
        <v>46</v>
      </c>
      <c r="AK3" s="14" t="s">
        <v>47</v>
      </c>
      <c r="AL3" s="14" t="s">
        <v>48</v>
      </c>
      <c r="AM3" s="15" t="s">
        <v>13</v>
      </c>
    </row>
    <row r="4" spans="2:39" s="20" customFormat="1" x14ac:dyDescent="0.3">
      <c r="B4" s="47">
        <v>44704</v>
      </c>
      <c r="C4" s="6" t="s">
        <v>14</v>
      </c>
      <c r="D4" s="8">
        <f>ROUND(24.75*111*71/1000,0)</f>
        <v>195</v>
      </c>
      <c r="E4" s="43">
        <f>D4/60</f>
        <v>3.25</v>
      </c>
      <c r="F4" s="8">
        <f>260.1-52.8</f>
        <v>207.3</v>
      </c>
      <c r="G4" s="8">
        <f>F4/1000*D4</f>
        <v>40.423500000000004</v>
      </c>
      <c r="H4" s="43">
        <f>G4/1000/60*10000</f>
        <v>6.7372500000000004</v>
      </c>
      <c r="I4" s="19"/>
      <c r="J4" s="19"/>
      <c r="K4" s="19"/>
      <c r="L4" s="19"/>
      <c r="M4" s="19"/>
      <c r="N4" s="9"/>
      <c r="O4" s="9" t="s">
        <v>71</v>
      </c>
      <c r="P4" s="9"/>
      <c r="Q4" s="9">
        <v>0</v>
      </c>
      <c r="R4" s="9"/>
      <c r="S4" s="9"/>
      <c r="T4" s="9" t="s">
        <v>72</v>
      </c>
      <c r="U4" s="9"/>
      <c r="V4" s="9" t="e">
        <f>IF(T4="&lt;LOQ",0,T4/1000*L4/60*10000)</f>
        <v>#VALUE!</v>
      </c>
      <c r="W4" s="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45" t="s">
        <v>73</v>
      </c>
    </row>
    <row r="5" spans="2:39" s="20" customFormat="1" x14ac:dyDescent="0.3">
      <c r="B5" s="47"/>
      <c r="C5" s="6" t="s">
        <v>15</v>
      </c>
      <c r="D5" s="19">
        <f>ROUND(19*111*71/1000,0)</f>
        <v>150</v>
      </c>
      <c r="E5" s="18">
        <f t="shared" ref="E5:E52" si="0">D5/60</f>
        <v>2.5</v>
      </c>
      <c r="F5" s="19">
        <f>161.6-52.8</f>
        <v>108.8</v>
      </c>
      <c r="G5" s="19">
        <f t="shared" ref="G5:G52" si="1">F5/1000*D5</f>
        <v>16.32</v>
      </c>
      <c r="H5" s="18">
        <f t="shared" ref="H5:H52" si="2">G5/1000/60*10000</f>
        <v>2.72</v>
      </c>
      <c r="I5" s="19"/>
      <c r="J5" s="19"/>
      <c r="K5" s="19"/>
      <c r="L5" s="19"/>
      <c r="M5" s="19"/>
      <c r="N5" s="9"/>
      <c r="O5" s="9" t="s">
        <v>17</v>
      </c>
      <c r="P5" s="9"/>
      <c r="Q5" s="9">
        <f>IF(O5="&lt;LOQ",0,O5/1000*G5/60*10000)</f>
        <v>0</v>
      </c>
      <c r="R5" s="9"/>
      <c r="S5" s="9"/>
      <c r="T5" s="9" t="s">
        <v>17</v>
      </c>
      <c r="U5" s="9"/>
      <c r="V5" s="9">
        <f>IF(T5="&lt;LOQ",0,T5/1000*G5/60*10000)</f>
        <v>0</v>
      </c>
      <c r="W5" s="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45"/>
    </row>
    <row r="6" spans="2:39" s="20" customFormat="1" x14ac:dyDescent="0.3">
      <c r="B6" s="47"/>
      <c r="C6" s="6" t="s">
        <v>16</v>
      </c>
      <c r="D6" s="19">
        <f>ROUND(19.38*111*71/1000,0)</f>
        <v>153</v>
      </c>
      <c r="E6" s="18">
        <f t="shared" si="0"/>
        <v>2.5499999999999998</v>
      </c>
      <c r="F6" s="19">
        <f>198.2-52.8</f>
        <v>145.39999999999998</v>
      </c>
      <c r="G6" s="19">
        <f t="shared" si="1"/>
        <v>22.246199999999995</v>
      </c>
      <c r="H6" s="18">
        <f t="shared" si="2"/>
        <v>3.7076999999999991</v>
      </c>
      <c r="I6" s="19"/>
      <c r="J6" s="19"/>
      <c r="K6" s="19"/>
      <c r="L6" s="19"/>
      <c r="M6" s="19"/>
      <c r="N6" s="9"/>
      <c r="O6" s="9" t="s">
        <v>17</v>
      </c>
      <c r="P6" s="9"/>
      <c r="Q6" s="9">
        <f t="shared" ref="Q6:Q15" si="3">IF(O6="&lt;LOQ",0,O6/1000*G6/60*10000)</f>
        <v>0</v>
      </c>
      <c r="R6" s="9"/>
      <c r="S6" s="9"/>
      <c r="T6" s="9" t="s">
        <v>17</v>
      </c>
      <c r="U6" s="9"/>
      <c r="V6" s="9">
        <f t="shared" ref="V6:V15" si="4">IF(T6="&lt;LOQ",0,T6/1000*G6/60*10000)</f>
        <v>0</v>
      </c>
      <c r="W6" s="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45"/>
    </row>
    <row r="7" spans="2:39" s="20" customFormat="1" x14ac:dyDescent="0.3">
      <c r="B7" s="47"/>
      <c r="C7" s="6" t="s">
        <v>49</v>
      </c>
      <c r="D7" s="19">
        <f>ROUND(22.25*111*71/1000,0)</f>
        <v>175</v>
      </c>
      <c r="E7" s="18">
        <f t="shared" si="0"/>
        <v>2.9166666666666665</v>
      </c>
      <c r="F7" s="19">
        <f>273.5-52.8</f>
        <v>220.7</v>
      </c>
      <c r="G7" s="19">
        <f t="shared" si="1"/>
        <v>38.622499999999995</v>
      </c>
      <c r="H7" s="18">
        <f t="shared" si="2"/>
        <v>6.4370833333333328</v>
      </c>
      <c r="I7" s="19"/>
      <c r="J7" s="19"/>
      <c r="K7" s="19"/>
      <c r="L7" s="19"/>
      <c r="M7" s="19"/>
      <c r="N7" s="9"/>
      <c r="O7" s="9" t="s">
        <v>17</v>
      </c>
      <c r="P7" s="9"/>
      <c r="Q7" s="9">
        <f t="shared" si="3"/>
        <v>0</v>
      </c>
      <c r="R7" s="9"/>
      <c r="S7" s="9"/>
      <c r="T7" s="9" t="s">
        <v>17</v>
      </c>
      <c r="U7" s="9"/>
      <c r="V7" s="9">
        <f t="shared" si="4"/>
        <v>0</v>
      </c>
      <c r="W7" s="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45"/>
    </row>
    <row r="8" spans="2:39" s="20" customFormat="1" x14ac:dyDescent="0.3">
      <c r="B8" s="47"/>
      <c r="C8" s="6" t="s">
        <v>50</v>
      </c>
      <c r="D8" s="19">
        <f>ROUND(23.25*111*71/1000,0)</f>
        <v>183</v>
      </c>
      <c r="E8" s="18">
        <f t="shared" si="0"/>
        <v>3.05</v>
      </c>
      <c r="F8" s="19">
        <f>138.6-52.8</f>
        <v>85.8</v>
      </c>
      <c r="G8" s="19">
        <f t="shared" si="1"/>
        <v>15.7014</v>
      </c>
      <c r="H8" s="18">
        <f t="shared" si="2"/>
        <v>2.6169000000000002</v>
      </c>
      <c r="I8" s="19"/>
      <c r="J8" s="19"/>
      <c r="K8" s="19"/>
      <c r="L8" s="19"/>
      <c r="M8" s="19"/>
      <c r="N8" s="9"/>
      <c r="O8" s="9" t="s">
        <v>17</v>
      </c>
      <c r="P8" s="9"/>
      <c r="Q8" s="9">
        <f t="shared" si="3"/>
        <v>0</v>
      </c>
      <c r="R8" s="9"/>
      <c r="S8" s="9"/>
      <c r="T8" s="9" t="s">
        <v>17</v>
      </c>
      <c r="U8" s="9"/>
      <c r="V8" s="9">
        <f t="shared" si="4"/>
        <v>0</v>
      </c>
      <c r="W8" s="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45"/>
    </row>
    <row r="9" spans="2:39" s="20" customFormat="1" x14ac:dyDescent="0.3">
      <c r="B9" s="47"/>
      <c r="C9" s="6" t="s">
        <v>51</v>
      </c>
      <c r="D9" s="19">
        <f>ROUND(17*111*71/1000,0)</f>
        <v>134</v>
      </c>
      <c r="E9" s="18">
        <f t="shared" si="0"/>
        <v>2.2333333333333334</v>
      </c>
      <c r="F9" s="19">
        <f>182.4-52.8</f>
        <v>129.60000000000002</v>
      </c>
      <c r="G9" s="19">
        <f t="shared" si="1"/>
        <v>17.366400000000002</v>
      </c>
      <c r="H9" s="18">
        <f t="shared" si="2"/>
        <v>2.8944000000000001</v>
      </c>
      <c r="I9" s="19"/>
      <c r="J9" s="19"/>
      <c r="K9" s="19"/>
      <c r="L9" s="19"/>
      <c r="M9" s="19"/>
      <c r="N9" s="9"/>
      <c r="O9" s="9" t="s">
        <v>17</v>
      </c>
      <c r="P9" s="9"/>
      <c r="Q9" s="9">
        <f t="shared" si="3"/>
        <v>0</v>
      </c>
      <c r="R9" s="9"/>
      <c r="S9" s="9"/>
      <c r="T9" s="9" t="s">
        <v>17</v>
      </c>
      <c r="U9" s="9"/>
      <c r="V9" s="9">
        <f t="shared" si="4"/>
        <v>0</v>
      </c>
      <c r="W9" s="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45"/>
    </row>
    <row r="10" spans="2:39" s="20" customFormat="1" x14ac:dyDescent="0.3">
      <c r="B10" s="47"/>
      <c r="C10" s="6" t="s">
        <v>52</v>
      </c>
      <c r="D10" s="8">
        <f>ROUND(16.38*111*71/1000,0)</f>
        <v>129</v>
      </c>
      <c r="E10" s="43">
        <f t="shared" si="0"/>
        <v>2.15</v>
      </c>
      <c r="F10" s="8">
        <f>167.9-52.8</f>
        <v>115.10000000000001</v>
      </c>
      <c r="G10" s="8">
        <f t="shared" si="1"/>
        <v>14.847900000000001</v>
      </c>
      <c r="H10" s="43">
        <f t="shared" si="2"/>
        <v>2.47465</v>
      </c>
      <c r="I10" s="19"/>
      <c r="J10" s="19"/>
      <c r="K10" s="19"/>
      <c r="L10" s="19"/>
      <c r="M10" s="19"/>
      <c r="N10" s="9"/>
      <c r="O10" s="9" t="s">
        <v>17</v>
      </c>
      <c r="P10" s="9"/>
      <c r="Q10" s="9">
        <f t="shared" si="3"/>
        <v>0</v>
      </c>
      <c r="R10" s="9"/>
      <c r="S10" s="9"/>
      <c r="T10" s="9" t="s">
        <v>17</v>
      </c>
      <c r="U10" s="9"/>
      <c r="V10" s="9">
        <f t="shared" si="4"/>
        <v>0</v>
      </c>
      <c r="W10" s="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45"/>
    </row>
    <row r="11" spans="2:39" s="20" customFormat="1" x14ac:dyDescent="0.3">
      <c r="B11" s="47"/>
      <c r="C11" s="6" t="s">
        <v>53</v>
      </c>
      <c r="D11" s="19">
        <f>ROUND(25.38*111*71/1000,0)</f>
        <v>200</v>
      </c>
      <c r="E11" s="18">
        <f t="shared" si="0"/>
        <v>3.3333333333333335</v>
      </c>
      <c r="F11" s="19">
        <f>132.6-52.8</f>
        <v>79.8</v>
      </c>
      <c r="G11" s="19">
        <f t="shared" si="1"/>
        <v>15.959999999999999</v>
      </c>
      <c r="H11" s="18">
        <f t="shared" si="2"/>
        <v>2.6599999999999997</v>
      </c>
      <c r="I11" s="19"/>
      <c r="J11" s="19"/>
      <c r="K11" s="19"/>
      <c r="L11" s="19"/>
      <c r="M11" s="19"/>
      <c r="N11" s="9"/>
      <c r="O11" s="9" t="s">
        <v>17</v>
      </c>
      <c r="P11" s="9"/>
      <c r="Q11" s="9">
        <f t="shared" si="3"/>
        <v>0</v>
      </c>
      <c r="R11" s="9"/>
      <c r="S11" s="9"/>
      <c r="T11" s="9" t="s">
        <v>17</v>
      </c>
      <c r="U11" s="9"/>
      <c r="V11" s="9">
        <f t="shared" si="4"/>
        <v>0</v>
      </c>
      <c r="W11" s="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45"/>
    </row>
    <row r="12" spans="2:39" s="20" customFormat="1" x14ac:dyDescent="0.3">
      <c r="B12" s="47"/>
      <c r="C12" s="6" t="s">
        <v>54</v>
      </c>
      <c r="D12" s="19">
        <f>ROUND(17.5*111*71/1000,0)</f>
        <v>138</v>
      </c>
      <c r="E12" s="18">
        <f t="shared" si="0"/>
        <v>2.2999999999999998</v>
      </c>
      <c r="F12" s="19">
        <f>172.3-52.8</f>
        <v>119.50000000000001</v>
      </c>
      <c r="G12" s="19">
        <f t="shared" si="1"/>
        <v>16.491</v>
      </c>
      <c r="H12" s="18">
        <f t="shared" si="2"/>
        <v>2.7484999999999999</v>
      </c>
      <c r="I12" s="19"/>
      <c r="J12" s="19"/>
      <c r="K12" s="19"/>
      <c r="L12" s="19"/>
      <c r="M12" s="19"/>
      <c r="N12" s="9"/>
      <c r="O12" s="9">
        <v>5.7000000000000002E-2</v>
      </c>
      <c r="P12" s="9"/>
      <c r="Q12" s="9">
        <f t="shared" si="3"/>
        <v>0.15666449999999998</v>
      </c>
      <c r="R12" s="9"/>
      <c r="S12" s="9"/>
      <c r="T12" s="9" t="s">
        <v>17</v>
      </c>
      <c r="U12" s="9"/>
      <c r="V12" s="9">
        <f t="shared" si="4"/>
        <v>0</v>
      </c>
      <c r="W12" s="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45"/>
    </row>
    <row r="13" spans="2:39" s="20" customFormat="1" x14ac:dyDescent="0.3">
      <c r="B13" s="47"/>
      <c r="C13" s="6" t="s">
        <v>68</v>
      </c>
      <c r="D13" s="19">
        <v>8</v>
      </c>
      <c r="E13" s="18">
        <f t="shared" si="0"/>
        <v>0.13333333333333333</v>
      </c>
      <c r="F13" s="19">
        <f>84.9-52.8</f>
        <v>32.100000000000009</v>
      </c>
      <c r="G13" s="19">
        <f t="shared" si="1"/>
        <v>0.25680000000000008</v>
      </c>
      <c r="H13" s="18">
        <f t="shared" si="2"/>
        <v>4.2800000000000012E-2</v>
      </c>
      <c r="N13" s="9"/>
      <c r="O13" s="9">
        <v>1.232</v>
      </c>
      <c r="P13" s="9"/>
      <c r="Q13" s="9">
        <f t="shared" si="3"/>
        <v>5.2729600000000015E-2</v>
      </c>
      <c r="R13" s="9"/>
      <c r="S13" s="9"/>
      <c r="T13" s="9">
        <v>0.7</v>
      </c>
      <c r="U13" s="9"/>
      <c r="V13" s="9">
        <f t="shared" si="4"/>
        <v>2.9960000000000011E-2</v>
      </c>
      <c r="W13" s="9"/>
      <c r="AM13" s="45"/>
    </row>
    <row r="14" spans="2:39" s="20" customFormat="1" x14ac:dyDescent="0.3">
      <c r="B14" s="47"/>
      <c r="C14" s="6" t="s">
        <v>69</v>
      </c>
      <c r="D14" s="19">
        <v>15</v>
      </c>
      <c r="E14" s="18">
        <f t="shared" si="0"/>
        <v>0.25</v>
      </c>
      <c r="F14" s="19">
        <f>66.7-52.8</f>
        <v>13.900000000000006</v>
      </c>
      <c r="G14" s="19">
        <f t="shared" si="1"/>
        <v>0.2085000000000001</v>
      </c>
      <c r="H14" s="18">
        <f t="shared" si="2"/>
        <v>3.4750000000000017E-2</v>
      </c>
      <c r="N14" s="9"/>
      <c r="O14" s="9">
        <v>1.966</v>
      </c>
      <c r="P14" s="9"/>
      <c r="Q14" s="9">
        <f t="shared" si="3"/>
        <v>6.8318500000000032E-2</v>
      </c>
      <c r="R14" s="9"/>
      <c r="S14" s="9"/>
      <c r="T14" s="9">
        <v>1.01</v>
      </c>
      <c r="U14" s="9"/>
      <c r="V14" s="9">
        <f t="shared" si="4"/>
        <v>3.5097500000000018E-2</v>
      </c>
      <c r="W14" s="9"/>
      <c r="AM14" s="45"/>
    </row>
    <row r="15" spans="2:39" s="23" customFormat="1" x14ac:dyDescent="0.3">
      <c r="B15" s="48"/>
      <c r="C15" s="7" t="s">
        <v>70</v>
      </c>
      <c r="D15" s="21">
        <v>11</v>
      </c>
      <c r="E15" s="22">
        <f t="shared" si="0"/>
        <v>0.18333333333333332</v>
      </c>
      <c r="F15" s="21">
        <f>68.2-52.8</f>
        <v>15.400000000000006</v>
      </c>
      <c r="G15" s="21">
        <f t="shared" si="1"/>
        <v>0.16940000000000005</v>
      </c>
      <c r="H15" s="22">
        <f t="shared" si="2"/>
        <v>2.8233333333333343E-2</v>
      </c>
      <c r="N15" s="10"/>
      <c r="O15" s="10">
        <v>1.3779999999999999</v>
      </c>
      <c r="P15" s="9"/>
      <c r="Q15" s="9">
        <f t="shared" si="3"/>
        <v>3.8905533333333339E-2</v>
      </c>
      <c r="R15" s="10"/>
      <c r="S15" s="10"/>
      <c r="T15" s="10">
        <v>0.73</v>
      </c>
      <c r="U15" s="9"/>
      <c r="V15" s="9">
        <f t="shared" si="4"/>
        <v>2.0610333333333338E-2</v>
      </c>
      <c r="W15" s="10"/>
      <c r="AM15" s="46"/>
    </row>
    <row r="16" spans="2:39" s="20" customFormat="1" ht="14.4" customHeight="1" x14ac:dyDescent="0.3">
      <c r="B16" s="47">
        <v>44705</v>
      </c>
      <c r="C16" s="6" t="s">
        <v>14</v>
      </c>
      <c r="D16" s="8">
        <v>0</v>
      </c>
      <c r="E16" s="43">
        <f t="shared" si="0"/>
        <v>0</v>
      </c>
      <c r="F16" s="8">
        <v>0</v>
      </c>
      <c r="G16" s="8">
        <f t="shared" si="1"/>
        <v>0</v>
      </c>
      <c r="H16" s="43">
        <f t="shared" si="2"/>
        <v>0</v>
      </c>
      <c r="N16" s="9"/>
      <c r="O16" s="9" t="s">
        <v>17</v>
      </c>
      <c r="P16" s="9"/>
      <c r="Q16" s="9">
        <f>IF(O16="&lt;LOQ",0,O16/1000*G16/60*10000)</f>
        <v>0</v>
      </c>
      <c r="R16" s="9"/>
      <c r="S16" s="9"/>
      <c r="T16" s="9" t="s">
        <v>17</v>
      </c>
      <c r="U16" s="9"/>
      <c r="V16" s="9">
        <f>IF(T16="&lt;LOQ",0,T16/1000*L16/60*10000)</f>
        <v>0</v>
      </c>
      <c r="W16" s="9"/>
      <c r="AM16" s="49" t="s">
        <v>74</v>
      </c>
    </row>
    <row r="17" spans="2:39" s="20" customFormat="1" ht="14.4" customHeight="1" x14ac:dyDescent="0.3">
      <c r="B17" s="47"/>
      <c r="C17" s="6" t="s">
        <v>15</v>
      </c>
      <c r="D17" s="19">
        <v>76</v>
      </c>
      <c r="E17" s="18">
        <f t="shared" si="0"/>
        <v>1.2666666666666666</v>
      </c>
      <c r="F17" s="19">
        <f>148.2-52.8</f>
        <v>95.399999999999991</v>
      </c>
      <c r="G17" s="19">
        <f t="shared" si="1"/>
        <v>7.2503999999999991</v>
      </c>
      <c r="H17" s="18">
        <f t="shared" si="2"/>
        <v>1.2083999999999997</v>
      </c>
      <c r="N17" s="9"/>
      <c r="O17" s="9" t="s">
        <v>17</v>
      </c>
      <c r="P17" s="9"/>
      <c r="Q17" s="9">
        <f t="shared" ref="Q17:Q27" si="5">IF(O17="&lt;LOQ",0,O17/1000*G17/60*10000)</f>
        <v>0</v>
      </c>
      <c r="R17" s="9"/>
      <c r="S17" s="9"/>
      <c r="T17" s="9" t="s">
        <v>17</v>
      </c>
      <c r="U17" s="9"/>
      <c r="V17" s="9">
        <f t="shared" ref="V17:V27" si="6">IF(T17="&lt;LOQ",0,T17/1000*L17/60*10000)</f>
        <v>0</v>
      </c>
      <c r="W17" s="9"/>
      <c r="AM17" s="45"/>
    </row>
    <row r="18" spans="2:39" s="20" customFormat="1" x14ac:dyDescent="0.3">
      <c r="B18" s="47"/>
      <c r="C18" s="6" t="s">
        <v>16</v>
      </c>
      <c r="D18" s="19">
        <v>91</v>
      </c>
      <c r="E18" s="18">
        <f t="shared" si="0"/>
        <v>1.5166666666666666</v>
      </c>
      <c r="F18" s="19">
        <f>83.5-52.8</f>
        <v>30.700000000000003</v>
      </c>
      <c r="G18" s="19">
        <f t="shared" si="1"/>
        <v>2.7937000000000003</v>
      </c>
      <c r="H18" s="18">
        <f t="shared" si="2"/>
        <v>0.46561666666666662</v>
      </c>
      <c r="N18" s="9"/>
      <c r="O18" s="9" t="s">
        <v>17</v>
      </c>
      <c r="P18" s="9"/>
      <c r="Q18" s="9">
        <f t="shared" si="5"/>
        <v>0</v>
      </c>
      <c r="R18" s="9"/>
      <c r="S18" s="9"/>
      <c r="T18" s="9" t="s">
        <v>17</v>
      </c>
      <c r="U18" s="9"/>
      <c r="V18" s="9">
        <f t="shared" si="6"/>
        <v>0</v>
      </c>
      <c r="W18" s="9"/>
      <c r="AM18" s="45"/>
    </row>
    <row r="19" spans="2:39" s="20" customFormat="1" x14ac:dyDescent="0.3">
      <c r="B19" s="47"/>
      <c r="C19" s="6" t="s">
        <v>49</v>
      </c>
      <c r="D19" s="25">
        <v>79</v>
      </c>
      <c r="E19" s="18">
        <f t="shared" si="0"/>
        <v>1.3166666666666667</v>
      </c>
      <c r="F19" s="19">
        <f>113-52.8</f>
        <v>60.2</v>
      </c>
      <c r="G19" s="19">
        <f t="shared" si="1"/>
        <v>4.7558000000000007</v>
      </c>
      <c r="H19" s="18">
        <f t="shared" si="2"/>
        <v>0.79263333333333352</v>
      </c>
      <c r="N19" s="9"/>
      <c r="O19" s="9" t="s">
        <v>17</v>
      </c>
      <c r="P19" s="9"/>
      <c r="Q19" s="9">
        <f t="shared" si="5"/>
        <v>0</v>
      </c>
      <c r="R19" s="9"/>
      <c r="S19" s="9"/>
      <c r="T19" s="9" t="s">
        <v>17</v>
      </c>
      <c r="U19" s="9"/>
      <c r="V19" s="9">
        <f t="shared" si="6"/>
        <v>0</v>
      </c>
      <c r="W19" s="9"/>
      <c r="AM19" s="45"/>
    </row>
    <row r="20" spans="2:39" s="20" customFormat="1" x14ac:dyDescent="0.3">
      <c r="B20" s="47"/>
      <c r="C20" s="6" t="s">
        <v>50</v>
      </c>
      <c r="D20" s="25">
        <v>56</v>
      </c>
      <c r="E20" s="18">
        <f t="shared" si="0"/>
        <v>0.93333333333333335</v>
      </c>
      <c r="F20" s="19">
        <f>146.1-52.8</f>
        <v>93.3</v>
      </c>
      <c r="G20" s="19">
        <f t="shared" si="1"/>
        <v>5.2248000000000001</v>
      </c>
      <c r="H20" s="18">
        <f t="shared" si="2"/>
        <v>0.87080000000000002</v>
      </c>
      <c r="N20" s="9"/>
      <c r="O20" s="9" t="s">
        <v>17</v>
      </c>
      <c r="P20" s="9"/>
      <c r="Q20" s="9">
        <f t="shared" si="5"/>
        <v>0</v>
      </c>
      <c r="R20" s="9"/>
      <c r="S20" s="9"/>
      <c r="T20" s="9" t="s">
        <v>17</v>
      </c>
      <c r="U20" s="9"/>
      <c r="V20" s="9">
        <f t="shared" si="6"/>
        <v>0</v>
      </c>
      <c r="W20" s="9"/>
      <c r="AM20" s="45"/>
    </row>
    <row r="21" spans="2:39" s="20" customFormat="1" x14ac:dyDescent="0.3">
      <c r="B21" s="47"/>
      <c r="C21" s="6" t="s">
        <v>51</v>
      </c>
      <c r="D21" s="19">
        <v>74</v>
      </c>
      <c r="E21" s="18">
        <f t="shared" si="0"/>
        <v>1.2333333333333334</v>
      </c>
      <c r="F21" s="19">
        <f>206-52.8</f>
        <v>153.19999999999999</v>
      </c>
      <c r="G21" s="19">
        <f t="shared" si="1"/>
        <v>11.336799999999998</v>
      </c>
      <c r="H21" s="18">
        <f t="shared" si="2"/>
        <v>1.8894666666666662</v>
      </c>
      <c r="N21" s="9"/>
      <c r="O21" s="9" t="s">
        <v>17</v>
      </c>
      <c r="P21" s="9"/>
      <c r="Q21" s="9">
        <f t="shared" si="5"/>
        <v>0</v>
      </c>
      <c r="R21" s="9"/>
      <c r="S21" s="9"/>
      <c r="T21" s="9" t="s">
        <v>17</v>
      </c>
      <c r="U21" s="9"/>
      <c r="V21" s="9">
        <f t="shared" si="6"/>
        <v>0</v>
      </c>
      <c r="W21" s="9"/>
      <c r="AM21" s="45"/>
    </row>
    <row r="22" spans="2:39" s="20" customFormat="1" x14ac:dyDescent="0.3">
      <c r="B22" s="47"/>
      <c r="C22" s="6" t="s">
        <v>52</v>
      </c>
      <c r="D22" s="8">
        <v>0</v>
      </c>
      <c r="E22" s="43">
        <f t="shared" si="0"/>
        <v>0</v>
      </c>
      <c r="F22" s="8">
        <v>0</v>
      </c>
      <c r="G22" s="8">
        <f t="shared" si="1"/>
        <v>0</v>
      </c>
      <c r="H22" s="43">
        <f t="shared" si="2"/>
        <v>0</v>
      </c>
      <c r="I22" s="19"/>
      <c r="J22" s="25"/>
      <c r="K22" s="19"/>
      <c r="L22" s="19"/>
      <c r="N22" s="9"/>
      <c r="O22" s="9" t="s">
        <v>17</v>
      </c>
      <c r="P22" s="9"/>
      <c r="Q22" s="9">
        <f t="shared" si="5"/>
        <v>0</v>
      </c>
      <c r="R22" s="9"/>
      <c r="S22" s="9"/>
      <c r="T22" s="9" t="s">
        <v>17</v>
      </c>
      <c r="U22" s="9"/>
      <c r="V22" s="9">
        <f t="shared" si="6"/>
        <v>0</v>
      </c>
      <c r="W22" s="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5"/>
    </row>
    <row r="23" spans="2:39" s="20" customFormat="1" x14ac:dyDescent="0.3">
      <c r="B23" s="47"/>
      <c r="C23" s="6" t="s">
        <v>53</v>
      </c>
      <c r="D23" s="19">
        <v>78</v>
      </c>
      <c r="E23" s="18">
        <f t="shared" si="0"/>
        <v>1.3</v>
      </c>
      <c r="F23" s="9">
        <f>165.2-52.8</f>
        <v>112.39999999999999</v>
      </c>
      <c r="G23" s="19">
        <f t="shared" si="1"/>
        <v>8.767199999999999</v>
      </c>
      <c r="H23" s="18">
        <f t="shared" si="2"/>
        <v>1.4611999999999998</v>
      </c>
      <c r="I23" s="19"/>
      <c r="J23" s="25"/>
      <c r="K23" s="19"/>
      <c r="L23" s="19"/>
      <c r="N23" s="9"/>
      <c r="O23" s="9" t="s">
        <v>17</v>
      </c>
      <c r="P23" s="9"/>
      <c r="Q23" s="9">
        <f t="shared" si="5"/>
        <v>0</v>
      </c>
      <c r="R23" s="9"/>
      <c r="S23" s="9"/>
      <c r="T23" s="9" t="s">
        <v>17</v>
      </c>
      <c r="U23" s="9"/>
      <c r="V23" s="9">
        <f t="shared" si="6"/>
        <v>0</v>
      </c>
      <c r="W23" s="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45"/>
    </row>
    <row r="24" spans="2:39" s="20" customFormat="1" x14ac:dyDescent="0.3">
      <c r="B24" s="47"/>
      <c r="C24" s="6" t="s">
        <v>54</v>
      </c>
      <c r="D24" s="19">
        <v>88</v>
      </c>
      <c r="E24" s="18">
        <f t="shared" si="0"/>
        <v>1.4666666666666666</v>
      </c>
      <c r="F24" s="9">
        <f>77.7-52.8</f>
        <v>24.900000000000006</v>
      </c>
      <c r="G24" s="19">
        <f t="shared" si="1"/>
        <v>2.1912000000000003</v>
      </c>
      <c r="H24" s="18">
        <f t="shared" si="2"/>
        <v>0.36520000000000002</v>
      </c>
      <c r="I24" s="19"/>
      <c r="J24" s="25"/>
      <c r="K24" s="19"/>
      <c r="L24" s="19"/>
      <c r="N24" s="9"/>
      <c r="O24" s="9" t="s">
        <v>17</v>
      </c>
      <c r="P24" s="9"/>
      <c r="Q24" s="9">
        <f t="shared" si="5"/>
        <v>0</v>
      </c>
      <c r="R24" s="9"/>
      <c r="S24" s="9"/>
      <c r="T24" s="9" t="s">
        <v>17</v>
      </c>
      <c r="U24" s="9"/>
      <c r="V24" s="9">
        <f t="shared" si="6"/>
        <v>0</v>
      </c>
      <c r="W24" s="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45"/>
    </row>
    <row r="25" spans="2:39" s="20" customFormat="1" x14ac:dyDescent="0.3">
      <c r="B25" s="47"/>
      <c r="C25" s="6" t="s">
        <v>68</v>
      </c>
      <c r="D25" s="19">
        <v>7</v>
      </c>
      <c r="E25" s="18">
        <f t="shared" si="0"/>
        <v>0.11666666666666667</v>
      </c>
      <c r="F25" s="9">
        <f>77-52.8</f>
        <v>24.200000000000003</v>
      </c>
      <c r="G25" s="19">
        <f t="shared" si="1"/>
        <v>0.16940000000000002</v>
      </c>
      <c r="H25" s="18">
        <f t="shared" si="2"/>
        <v>2.8233333333333336E-2</v>
      </c>
      <c r="I25" s="19"/>
      <c r="J25" s="25"/>
      <c r="K25" s="19"/>
      <c r="L25" s="19"/>
      <c r="N25" s="9"/>
      <c r="O25" s="9">
        <v>0.94</v>
      </c>
      <c r="P25" s="9"/>
      <c r="Q25" s="9">
        <f t="shared" si="5"/>
        <v>2.6539333333333335E-2</v>
      </c>
      <c r="R25" s="9"/>
      <c r="S25" s="9"/>
      <c r="T25" s="9">
        <v>0.7</v>
      </c>
      <c r="U25" s="9"/>
      <c r="V25" s="9">
        <f t="shared" si="6"/>
        <v>0</v>
      </c>
      <c r="W25" s="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45"/>
    </row>
    <row r="26" spans="2:39" s="20" customFormat="1" x14ac:dyDescent="0.3">
      <c r="B26" s="47"/>
      <c r="C26" s="6" t="s">
        <v>69</v>
      </c>
      <c r="D26" s="19">
        <v>7</v>
      </c>
      <c r="E26" s="18">
        <f t="shared" si="0"/>
        <v>0.11666666666666667</v>
      </c>
      <c r="F26" s="9">
        <f>70.6-52.8</f>
        <v>17.799999999999997</v>
      </c>
      <c r="G26" s="19">
        <f t="shared" si="1"/>
        <v>0.12459999999999997</v>
      </c>
      <c r="H26" s="18">
        <f t="shared" si="2"/>
        <v>2.0766666666666662E-2</v>
      </c>
      <c r="I26" s="19"/>
      <c r="J26" s="25"/>
      <c r="K26" s="19"/>
      <c r="L26" s="19"/>
      <c r="N26" s="9"/>
      <c r="O26" s="9">
        <v>1.302</v>
      </c>
      <c r="P26" s="9"/>
      <c r="Q26" s="9">
        <f t="shared" si="5"/>
        <v>2.7038199999999995E-2</v>
      </c>
      <c r="R26" s="9"/>
      <c r="S26" s="9"/>
      <c r="T26" s="9">
        <v>0.86</v>
      </c>
      <c r="U26" s="9"/>
      <c r="V26" s="9">
        <f t="shared" si="6"/>
        <v>0</v>
      </c>
      <c r="W26" s="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45"/>
    </row>
    <row r="27" spans="2:39" s="23" customFormat="1" x14ac:dyDescent="0.3">
      <c r="B27" s="48"/>
      <c r="C27" s="7" t="s">
        <v>70</v>
      </c>
      <c r="D27" s="21">
        <v>3</v>
      </c>
      <c r="E27" s="22">
        <f t="shared" si="0"/>
        <v>0.05</v>
      </c>
      <c r="F27" s="10">
        <f>62.2-52.8</f>
        <v>9.4000000000000057</v>
      </c>
      <c r="G27" s="21">
        <f t="shared" si="1"/>
        <v>2.8200000000000017E-2</v>
      </c>
      <c r="H27" s="22">
        <f t="shared" si="2"/>
        <v>4.7000000000000028E-3</v>
      </c>
      <c r="I27" s="21"/>
      <c r="J27" s="26"/>
      <c r="K27" s="21"/>
      <c r="L27" s="21"/>
      <c r="N27" s="10"/>
      <c r="O27" s="10">
        <v>1.218</v>
      </c>
      <c r="P27" s="9"/>
      <c r="Q27" s="9">
        <f t="shared" si="5"/>
        <v>5.7246000000000033E-3</v>
      </c>
      <c r="R27" s="10"/>
      <c r="S27" s="10"/>
      <c r="T27" s="10">
        <v>0.83</v>
      </c>
      <c r="U27" s="9"/>
      <c r="V27" s="9">
        <f t="shared" si="6"/>
        <v>0</v>
      </c>
      <c r="W27" s="10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46"/>
    </row>
    <row r="28" spans="2:39" s="20" customFormat="1" x14ac:dyDescent="0.3">
      <c r="B28" s="47">
        <v>44711</v>
      </c>
      <c r="C28" s="6" t="s">
        <v>14</v>
      </c>
      <c r="D28" s="19">
        <v>25</v>
      </c>
      <c r="E28" s="18">
        <f t="shared" si="0"/>
        <v>0.41666666666666669</v>
      </c>
      <c r="F28" s="9">
        <f>89.3-52.8</f>
        <v>36.5</v>
      </c>
      <c r="G28" s="19">
        <f t="shared" si="1"/>
        <v>0.91249999999999998</v>
      </c>
      <c r="H28" s="18">
        <f t="shared" si="2"/>
        <v>0.15208333333333332</v>
      </c>
      <c r="I28" s="19"/>
      <c r="J28" s="25"/>
      <c r="K28" s="19"/>
      <c r="L28" s="19"/>
      <c r="N28" s="9"/>
      <c r="O28" s="9"/>
      <c r="P28" s="9"/>
      <c r="Q28" s="9"/>
      <c r="R28" s="9"/>
      <c r="S28" s="9"/>
      <c r="T28" s="9"/>
      <c r="U28" s="9"/>
      <c r="V28" s="9"/>
      <c r="W28" s="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2:39" s="20" customFormat="1" x14ac:dyDescent="0.3">
      <c r="B29" s="47"/>
      <c r="C29" s="6" t="s">
        <v>15</v>
      </c>
      <c r="D29" s="19">
        <v>22</v>
      </c>
      <c r="E29" s="18">
        <f t="shared" si="0"/>
        <v>0.36666666666666664</v>
      </c>
      <c r="F29" s="9">
        <f>82-52.8</f>
        <v>29.200000000000003</v>
      </c>
      <c r="G29" s="19">
        <f t="shared" si="1"/>
        <v>0.64240000000000008</v>
      </c>
      <c r="H29" s="18">
        <f t="shared" si="2"/>
        <v>0.10706666666666668</v>
      </c>
      <c r="I29" s="19"/>
      <c r="J29" s="25"/>
      <c r="K29" s="19"/>
      <c r="L29" s="19"/>
      <c r="N29" s="9"/>
      <c r="O29" s="9"/>
      <c r="P29" s="9"/>
      <c r="Q29" s="9"/>
      <c r="R29" s="9"/>
      <c r="S29" s="9"/>
      <c r="T29" s="9"/>
      <c r="U29" s="9"/>
      <c r="V29" s="9"/>
      <c r="W29" s="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2:39" s="20" customFormat="1" x14ac:dyDescent="0.3">
      <c r="B30" s="47"/>
      <c r="C30" s="6" t="s">
        <v>16</v>
      </c>
      <c r="D30" s="19">
        <v>31</v>
      </c>
      <c r="E30" s="18">
        <f t="shared" si="0"/>
        <v>0.51666666666666672</v>
      </c>
      <c r="F30" s="19">
        <f>95-52.8</f>
        <v>42.2</v>
      </c>
      <c r="G30" s="19">
        <f t="shared" si="1"/>
        <v>1.3082</v>
      </c>
      <c r="H30" s="18">
        <f t="shared" si="2"/>
        <v>0.21803333333333336</v>
      </c>
      <c r="I30" s="19"/>
      <c r="J30" s="25"/>
      <c r="K30" s="19"/>
      <c r="L30" s="19"/>
      <c r="N30" s="9"/>
      <c r="O30" s="9"/>
      <c r="P30" s="9"/>
      <c r="Q30" s="9"/>
      <c r="R30" s="9"/>
      <c r="S30" s="9"/>
      <c r="T30" s="9"/>
      <c r="U30" s="9"/>
      <c r="V30" s="9"/>
      <c r="W30" s="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2:39" s="20" customFormat="1" x14ac:dyDescent="0.3">
      <c r="B31" s="47"/>
      <c r="C31" s="6" t="s">
        <v>49</v>
      </c>
      <c r="D31" s="9">
        <v>24</v>
      </c>
      <c r="E31" s="18">
        <f t="shared" si="0"/>
        <v>0.4</v>
      </c>
      <c r="F31" s="9">
        <f>119.1-52.8</f>
        <v>66.3</v>
      </c>
      <c r="G31" s="19">
        <f t="shared" si="1"/>
        <v>1.5911999999999999</v>
      </c>
      <c r="H31" s="18">
        <f t="shared" si="2"/>
        <v>0.26519999999999999</v>
      </c>
      <c r="I31" s="9"/>
      <c r="K31" s="1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2:39" s="20" customFormat="1" x14ac:dyDescent="0.3">
      <c r="B32" s="47"/>
      <c r="C32" s="6" t="s">
        <v>50</v>
      </c>
      <c r="D32" s="19">
        <v>12</v>
      </c>
      <c r="E32" s="18">
        <f t="shared" si="0"/>
        <v>0.2</v>
      </c>
      <c r="F32" s="9">
        <f>101.6-52.8</f>
        <v>48.8</v>
      </c>
      <c r="G32" s="19">
        <f t="shared" si="1"/>
        <v>0.5855999999999999</v>
      </c>
      <c r="H32" s="18">
        <f t="shared" si="2"/>
        <v>9.7599999999999978E-2</v>
      </c>
      <c r="I32" s="9"/>
      <c r="K32" s="1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2:39" s="20" customFormat="1" x14ac:dyDescent="0.3">
      <c r="B33" s="47"/>
      <c r="C33" s="6" t="s">
        <v>51</v>
      </c>
      <c r="D33" s="19">
        <v>28</v>
      </c>
      <c r="E33" s="18">
        <f t="shared" si="0"/>
        <v>0.46666666666666667</v>
      </c>
      <c r="F33" s="9">
        <f>105.4-52.8</f>
        <v>52.600000000000009</v>
      </c>
      <c r="G33" s="19">
        <f t="shared" si="1"/>
        <v>1.4728000000000003</v>
      </c>
      <c r="H33" s="18">
        <f t="shared" si="2"/>
        <v>0.24546666666666669</v>
      </c>
      <c r="I33" s="9"/>
      <c r="K33" s="1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2:39" s="20" customFormat="1" x14ac:dyDescent="0.3">
      <c r="B34" s="47"/>
      <c r="C34" s="6" t="s">
        <v>52</v>
      </c>
      <c r="D34" s="19">
        <v>26</v>
      </c>
      <c r="E34" s="18">
        <f t="shared" si="0"/>
        <v>0.43333333333333335</v>
      </c>
      <c r="F34" s="9">
        <f>92.4-52.8</f>
        <v>39.600000000000009</v>
      </c>
      <c r="G34" s="19">
        <f t="shared" si="1"/>
        <v>1.0296000000000003</v>
      </c>
      <c r="H34" s="18">
        <f t="shared" si="2"/>
        <v>0.17160000000000006</v>
      </c>
      <c r="I34" s="9"/>
      <c r="K34" s="1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2:39" s="20" customFormat="1" x14ac:dyDescent="0.3">
      <c r="B35" s="47"/>
      <c r="C35" s="6" t="s">
        <v>53</v>
      </c>
      <c r="D35" s="19">
        <v>19</v>
      </c>
      <c r="E35" s="18">
        <f t="shared" si="0"/>
        <v>0.31666666666666665</v>
      </c>
      <c r="F35" s="9">
        <f>99.9-52.8</f>
        <v>47.100000000000009</v>
      </c>
      <c r="G35" s="19">
        <f t="shared" si="1"/>
        <v>0.89490000000000014</v>
      </c>
      <c r="H35" s="18">
        <f t="shared" si="2"/>
        <v>0.14915000000000003</v>
      </c>
      <c r="I35" s="19"/>
      <c r="K35" s="1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2:39" s="20" customFormat="1" x14ac:dyDescent="0.3">
      <c r="B36" s="47"/>
      <c r="C36" s="6" t="s">
        <v>54</v>
      </c>
      <c r="D36" s="11">
        <v>28</v>
      </c>
      <c r="E36" s="18">
        <f t="shared" si="0"/>
        <v>0.46666666666666667</v>
      </c>
      <c r="F36" s="19">
        <f>89.4-52.8</f>
        <v>36.600000000000009</v>
      </c>
      <c r="G36" s="19">
        <f t="shared" si="1"/>
        <v>1.0248000000000002</v>
      </c>
      <c r="H36" s="18">
        <f t="shared" si="2"/>
        <v>0.17080000000000004</v>
      </c>
      <c r="I36" s="19"/>
      <c r="K36" s="1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2:39" s="20" customFormat="1" x14ac:dyDescent="0.3">
      <c r="B37" s="47"/>
      <c r="C37" s="6" t="s">
        <v>68</v>
      </c>
      <c r="D37" s="9">
        <v>2</v>
      </c>
      <c r="E37" s="18">
        <f t="shared" si="0"/>
        <v>3.3333333333333333E-2</v>
      </c>
      <c r="F37" s="9">
        <f>60.5-52.8</f>
        <v>7.7000000000000028</v>
      </c>
      <c r="G37" s="19">
        <f t="shared" si="1"/>
        <v>1.5400000000000006E-2</v>
      </c>
      <c r="H37" s="18">
        <f t="shared" si="2"/>
        <v>2.5666666666666676E-3</v>
      </c>
      <c r="I37" s="19"/>
      <c r="K37" s="1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2:39" s="20" customFormat="1" x14ac:dyDescent="0.3">
      <c r="B38" s="47"/>
      <c r="C38" s="6" t="s">
        <v>69</v>
      </c>
      <c r="D38" s="9">
        <v>2</v>
      </c>
      <c r="E38" s="18">
        <f t="shared" si="0"/>
        <v>3.3333333333333333E-2</v>
      </c>
      <c r="F38" s="9">
        <f>58.6-52.8</f>
        <v>5.8000000000000043</v>
      </c>
      <c r="G38" s="19">
        <f t="shared" si="1"/>
        <v>1.1600000000000008E-2</v>
      </c>
      <c r="H38" s="18">
        <f t="shared" si="2"/>
        <v>1.9333333333333344E-3</v>
      </c>
      <c r="I38" s="19"/>
      <c r="K38" s="1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2:39" s="23" customFormat="1" x14ac:dyDescent="0.3">
      <c r="B39" s="48"/>
      <c r="C39" s="7" t="s">
        <v>70</v>
      </c>
      <c r="D39" s="21">
        <v>0</v>
      </c>
      <c r="E39" s="22">
        <f t="shared" si="0"/>
        <v>0</v>
      </c>
      <c r="F39" s="10">
        <v>0</v>
      </c>
      <c r="G39" s="21">
        <f t="shared" si="1"/>
        <v>0</v>
      </c>
      <c r="H39" s="22">
        <f t="shared" si="2"/>
        <v>0</v>
      </c>
      <c r="I39" s="21"/>
      <c r="K39" s="21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2:39" s="30" customFormat="1" x14ac:dyDescent="0.3">
      <c r="B40" s="27">
        <v>44719</v>
      </c>
      <c r="C40" s="27" t="s">
        <v>67</v>
      </c>
      <c r="D40" s="28">
        <v>0</v>
      </c>
      <c r="E40" s="29">
        <f t="shared" si="0"/>
        <v>0</v>
      </c>
      <c r="F40" s="28"/>
      <c r="G40" s="28">
        <f t="shared" si="1"/>
        <v>0</v>
      </c>
      <c r="H40" s="29">
        <f t="shared" si="2"/>
        <v>0</v>
      </c>
      <c r="I40" s="28"/>
      <c r="K40" s="28"/>
      <c r="N40" s="4"/>
      <c r="O40" s="4"/>
      <c r="P40" s="4"/>
      <c r="Q40" s="4"/>
      <c r="R40" s="4"/>
      <c r="S40" s="4"/>
      <c r="T40" s="4"/>
      <c r="U40" s="4"/>
      <c r="V40" s="4"/>
      <c r="W40" s="4"/>
      <c r="AM40" s="31" t="s">
        <v>75</v>
      </c>
    </row>
    <row r="41" spans="2:39" s="20" customFormat="1" x14ac:dyDescent="0.3">
      <c r="B41" s="47">
        <v>44721</v>
      </c>
      <c r="C41" s="6" t="s">
        <v>14</v>
      </c>
      <c r="D41" s="19">
        <v>34</v>
      </c>
      <c r="E41" s="18">
        <f t="shared" si="0"/>
        <v>0.56666666666666665</v>
      </c>
      <c r="F41" s="19">
        <f>62.4-52.8</f>
        <v>9.6000000000000014</v>
      </c>
      <c r="G41" s="19">
        <f t="shared" si="1"/>
        <v>0.32640000000000002</v>
      </c>
      <c r="H41" s="18">
        <f t="shared" si="2"/>
        <v>5.4400000000000004E-2</v>
      </c>
      <c r="I41" s="19"/>
      <c r="K41" s="19"/>
      <c r="N41" s="9"/>
      <c r="O41" s="9"/>
      <c r="P41" s="9"/>
      <c r="Q41" s="9"/>
      <c r="R41" s="9"/>
      <c r="S41" s="9"/>
      <c r="T41" s="9"/>
      <c r="U41" s="9"/>
      <c r="V41" s="9"/>
      <c r="W41" s="9"/>
      <c r="AM41" s="32"/>
    </row>
    <row r="42" spans="2:39" s="20" customFormat="1" x14ac:dyDescent="0.3">
      <c r="B42" s="47"/>
      <c r="C42" s="6" t="s">
        <v>15</v>
      </c>
      <c r="D42" s="19">
        <v>38</v>
      </c>
      <c r="E42" s="18">
        <f t="shared" si="0"/>
        <v>0.6333333333333333</v>
      </c>
      <c r="F42" s="19">
        <f>70.1-52.8</f>
        <v>17.299999999999997</v>
      </c>
      <c r="G42" s="19">
        <f t="shared" si="1"/>
        <v>0.65739999999999987</v>
      </c>
      <c r="H42" s="18">
        <f t="shared" si="2"/>
        <v>0.10956666666666665</v>
      </c>
      <c r="I42" s="19"/>
      <c r="K42" s="19"/>
      <c r="N42" s="9"/>
      <c r="O42" s="9"/>
      <c r="P42" s="9"/>
      <c r="Q42" s="9"/>
      <c r="R42" s="9"/>
      <c r="S42" s="9"/>
      <c r="T42" s="9"/>
      <c r="U42" s="9"/>
      <c r="V42" s="9"/>
      <c r="W42" s="9"/>
      <c r="AM42" s="32"/>
    </row>
    <row r="43" spans="2:39" s="20" customFormat="1" x14ac:dyDescent="0.3">
      <c r="B43" s="47"/>
      <c r="C43" s="6" t="s">
        <v>16</v>
      </c>
      <c r="D43" s="19">
        <v>32</v>
      </c>
      <c r="E43" s="18">
        <f t="shared" si="0"/>
        <v>0.53333333333333333</v>
      </c>
      <c r="F43" s="19">
        <f>66.9-52.8</f>
        <v>14.100000000000009</v>
      </c>
      <c r="G43" s="19">
        <f t="shared" si="1"/>
        <v>0.45120000000000027</v>
      </c>
      <c r="H43" s="18">
        <f t="shared" si="2"/>
        <v>7.5200000000000045E-2</v>
      </c>
      <c r="I43" s="19"/>
      <c r="K43" s="19"/>
      <c r="N43" s="9"/>
      <c r="O43" s="9"/>
      <c r="P43" s="9"/>
      <c r="Q43" s="9"/>
      <c r="R43" s="9"/>
      <c r="S43" s="9"/>
      <c r="T43" s="9"/>
      <c r="U43" s="9"/>
      <c r="V43" s="9"/>
      <c r="W43" s="9"/>
      <c r="AM43" s="32"/>
    </row>
    <row r="44" spans="2:39" s="20" customFormat="1" x14ac:dyDescent="0.3">
      <c r="B44" s="47"/>
      <c r="C44" s="6" t="s">
        <v>49</v>
      </c>
      <c r="D44" s="19">
        <v>42</v>
      </c>
      <c r="E44" s="18">
        <f t="shared" si="0"/>
        <v>0.7</v>
      </c>
      <c r="F44" s="19">
        <f>77.5-52.8</f>
        <v>24.700000000000003</v>
      </c>
      <c r="G44" s="19">
        <f t="shared" si="1"/>
        <v>1.0374000000000001</v>
      </c>
      <c r="H44" s="18">
        <f t="shared" si="2"/>
        <v>0.17290000000000003</v>
      </c>
      <c r="I44" s="19"/>
      <c r="K44" s="19"/>
      <c r="N44" s="9"/>
      <c r="O44" s="9"/>
      <c r="P44" s="9"/>
      <c r="Q44" s="9"/>
      <c r="R44" s="9"/>
      <c r="S44" s="9"/>
      <c r="T44" s="9"/>
      <c r="U44" s="9"/>
      <c r="V44" s="9"/>
      <c r="W44" s="9"/>
      <c r="AM44" s="32"/>
    </row>
    <row r="45" spans="2:39" s="20" customFormat="1" x14ac:dyDescent="0.3">
      <c r="B45" s="47"/>
      <c r="C45" s="6" t="s">
        <v>50</v>
      </c>
      <c r="D45" s="19">
        <v>20</v>
      </c>
      <c r="E45" s="18">
        <f t="shared" si="0"/>
        <v>0.33333333333333331</v>
      </c>
      <c r="F45" s="19">
        <f>67-52.8</f>
        <v>14.200000000000003</v>
      </c>
      <c r="G45" s="19">
        <f t="shared" si="1"/>
        <v>0.28400000000000003</v>
      </c>
      <c r="H45" s="18">
        <f t="shared" si="2"/>
        <v>4.7333333333333331E-2</v>
      </c>
      <c r="I45" s="19"/>
      <c r="K45" s="19"/>
      <c r="N45" s="9"/>
      <c r="O45" s="9"/>
      <c r="P45" s="9"/>
      <c r="Q45" s="9"/>
      <c r="R45" s="9"/>
      <c r="S45" s="9"/>
      <c r="T45" s="9"/>
      <c r="U45" s="9"/>
      <c r="V45" s="9"/>
      <c r="W45" s="9"/>
      <c r="AM45" s="32"/>
    </row>
    <row r="46" spans="2:39" s="20" customFormat="1" x14ac:dyDescent="0.3">
      <c r="B46" s="47"/>
      <c r="C46" s="6" t="s">
        <v>51</v>
      </c>
      <c r="D46" s="19">
        <v>47</v>
      </c>
      <c r="E46" s="18">
        <f t="shared" si="0"/>
        <v>0.78333333333333333</v>
      </c>
      <c r="F46" s="19">
        <f>63.8-52.8</f>
        <v>11</v>
      </c>
      <c r="G46" s="19">
        <f t="shared" si="1"/>
        <v>0.51700000000000002</v>
      </c>
      <c r="H46" s="18">
        <f t="shared" si="2"/>
        <v>8.6166666666666669E-2</v>
      </c>
      <c r="K46" s="19"/>
      <c r="N46" s="9"/>
      <c r="O46" s="9"/>
      <c r="P46" s="9"/>
      <c r="Q46" s="9"/>
      <c r="R46" s="9"/>
      <c r="S46" s="9"/>
      <c r="T46" s="9"/>
      <c r="U46" s="9"/>
      <c r="V46" s="9"/>
      <c r="W46" s="9"/>
      <c r="AM46" s="32"/>
    </row>
    <row r="47" spans="2:39" s="20" customFormat="1" x14ac:dyDescent="0.3">
      <c r="B47" s="47"/>
      <c r="C47" s="6" t="s">
        <v>52</v>
      </c>
      <c r="D47" s="19">
        <v>27</v>
      </c>
      <c r="E47" s="18">
        <f t="shared" si="0"/>
        <v>0.45</v>
      </c>
      <c r="F47" s="19">
        <f>64.4-52.8</f>
        <v>11.600000000000009</v>
      </c>
      <c r="G47" s="19">
        <f t="shared" si="1"/>
        <v>0.3132000000000002</v>
      </c>
      <c r="H47" s="18">
        <f t="shared" si="2"/>
        <v>5.2200000000000031E-2</v>
      </c>
      <c r="K47" s="19"/>
      <c r="N47" s="9"/>
      <c r="O47" s="9"/>
      <c r="P47" s="9"/>
      <c r="Q47" s="9"/>
      <c r="R47" s="9"/>
      <c r="S47" s="9"/>
      <c r="T47" s="9"/>
      <c r="U47" s="9"/>
      <c r="V47" s="9"/>
      <c r="W47" s="9"/>
      <c r="AM47" s="32"/>
    </row>
    <row r="48" spans="2:39" s="20" customFormat="1" x14ac:dyDescent="0.3">
      <c r="B48" s="47"/>
      <c r="C48" s="6" t="s">
        <v>53</v>
      </c>
      <c r="D48" s="19">
        <v>45</v>
      </c>
      <c r="E48" s="18">
        <f t="shared" si="0"/>
        <v>0.75</v>
      </c>
      <c r="F48" s="19">
        <f>61.7-52.8</f>
        <v>8.9000000000000057</v>
      </c>
      <c r="G48" s="19">
        <f t="shared" si="1"/>
        <v>0.40050000000000024</v>
      </c>
      <c r="H48" s="18">
        <f t="shared" si="2"/>
        <v>6.6750000000000045E-2</v>
      </c>
      <c r="K48" s="19"/>
      <c r="N48" s="9"/>
      <c r="O48" s="9"/>
      <c r="P48" s="9"/>
      <c r="Q48" s="9"/>
      <c r="R48" s="9"/>
      <c r="S48" s="9"/>
      <c r="T48" s="9"/>
      <c r="U48" s="9"/>
      <c r="V48" s="9"/>
      <c r="W48" s="9"/>
      <c r="AM48" s="32"/>
    </row>
    <row r="49" spans="2:39" s="20" customFormat="1" x14ac:dyDescent="0.3">
      <c r="B49" s="47"/>
      <c r="C49" s="6" t="s">
        <v>54</v>
      </c>
      <c r="D49" s="19">
        <v>32</v>
      </c>
      <c r="E49" s="1">
        <f t="shared" si="0"/>
        <v>0.53333333333333333</v>
      </c>
      <c r="F49" s="19">
        <f>64-52.8</f>
        <v>11.200000000000003</v>
      </c>
      <c r="G49" s="19">
        <f t="shared" si="1"/>
        <v>0.35840000000000011</v>
      </c>
      <c r="H49" s="18">
        <f t="shared" si="2"/>
        <v>5.9733333333333354E-2</v>
      </c>
      <c r="I49" s="19"/>
      <c r="K49" s="19"/>
      <c r="N49" s="9"/>
      <c r="O49" s="9"/>
      <c r="P49" s="9"/>
      <c r="Q49" s="9"/>
      <c r="R49" s="9"/>
      <c r="S49" s="9"/>
      <c r="T49" s="9"/>
      <c r="U49" s="9"/>
      <c r="V49" s="9"/>
      <c r="W49" s="9"/>
      <c r="X49" s="19"/>
      <c r="AC49" s="19"/>
      <c r="AH49" s="19"/>
    </row>
    <row r="50" spans="2:39" s="20" customFormat="1" x14ac:dyDescent="0.3">
      <c r="B50" s="47"/>
      <c r="C50" s="6" t="s">
        <v>68</v>
      </c>
      <c r="D50" s="25">
        <v>8</v>
      </c>
      <c r="E50" s="1">
        <f t="shared" si="0"/>
        <v>0.13333333333333333</v>
      </c>
      <c r="F50" s="19">
        <f>53.3-52.8</f>
        <v>0.5</v>
      </c>
      <c r="G50" s="9">
        <f t="shared" si="1"/>
        <v>4.0000000000000001E-3</v>
      </c>
      <c r="H50" s="1">
        <f t="shared" si="2"/>
        <v>6.6666666666666664E-4</v>
      </c>
      <c r="I50" s="19"/>
      <c r="K50" s="19"/>
      <c r="N50" s="9"/>
      <c r="O50" s="9"/>
      <c r="P50" s="9"/>
      <c r="Q50" s="9"/>
      <c r="R50" s="9"/>
      <c r="S50" s="9"/>
      <c r="T50" s="9"/>
      <c r="U50" s="9"/>
      <c r="V50" s="9"/>
      <c r="W50" s="9"/>
      <c r="X50" s="19"/>
      <c r="AC50" s="19"/>
      <c r="AH50" s="19"/>
    </row>
    <row r="51" spans="2:39" s="20" customFormat="1" x14ac:dyDescent="0.3">
      <c r="B51" s="47"/>
      <c r="C51" s="6" t="s">
        <v>69</v>
      </c>
      <c r="D51" s="25">
        <v>8</v>
      </c>
      <c r="E51" s="1">
        <f t="shared" si="0"/>
        <v>0.13333333333333333</v>
      </c>
      <c r="F51" s="19">
        <f>55.1-52.8</f>
        <v>2.3000000000000043</v>
      </c>
      <c r="G51" s="9">
        <f t="shared" si="1"/>
        <v>1.8400000000000034E-2</v>
      </c>
      <c r="H51" s="1">
        <f t="shared" si="2"/>
        <v>3.0666666666666724E-3</v>
      </c>
      <c r="I51" s="19"/>
      <c r="K51" s="19"/>
      <c r="N51" s="9"/>
      <c r="O51" s="9"/>
      <c r="P51" s="9"/>
      <c r="Q51" s="9"/>
      <c r="R51" s="9"/>
      <c r="S51" s="9"/>
      <c r="T51" s="9"/>
      <c r="U51" s="9"/>
      <c r="V51" s="9"/>
      <c r="W51" s="9"/>
      <c r="X51" s="19"/>
      <c r="AC51" s="19"/>
      <c r="AH51" s="19"/>
    </row>
    <row r="52" spans="2:39" s="23" customFormat="1" x14ac:dyDescent="0.3">
      <c r="B52" s="48"/>
      <c r="C52" s="7" t="s">
        <v>70</v>
      </c>
      <c r="D52" s="21">
        <v>0</v>
      </c>
      <c r="E52" s="2">
        <f t="shared" si="0"/>
        <v>0</v>
      </c>
      <c r="F52" s="21">
        <f>0</f>
        <v>0</v>
      </c>
      <c r="G52" s="10">
        <f t="shared" si="1"/>
        <v>0</v>
      </c>
      <c r="H52" s="2">
        <f t="shared" si="2"/>
        <v>0</v>
      </c>
      <c r="I52" s="21"/>
      <c r="K52" s="21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21"/>
      <c r="AC52" s="21"/>
      <c r="AH52" s="21"/>
    </row>
    <row r="53" spans="2:39" s="30" customFormat="1" x14ac:dyDescent="0.3">
      <c r="B53" s="27">
        <v>44739</v>
      </c>
      <c r="C53" s="27" t="s">
        <v>67</v>
      </c>
      <c r="D53" s="33">
        <v>0</v>
      </c>
      <c r="E53" s="5"/>
      <c r="F53" s="28"/>
      <c r="G53" s="4"/>
      <c r="H53" s="5"/>
      <c r="I53" s="28"/>
      <c r="K53" s="28"/>
      <c r="N53" s="4"/>
      <c r="O53" s="4"/>
      <c r="P53" s="4"/>
      <c r="Q53" s="4"/>
      <c r="R53" s="4"/>
      <c r="S53" s="4"/>
      <c r="T53" s="4"/>
      <c r="U53" s="4"/>
      <c r="V53" s="4"/>
      <c r="W53" s="4"/>
      <c r="X53" s="28"/>
      <c r="AC53" s="28"/>
      <c r="AH53" s="28"/>
      <c r="AM53" s="30" t="s">
        <v>76</v>
      </c>
    </row>
    <row r="54" spans="2:39" s="30" customFormat="1" x14ac:dyDescent="0.3">
      <c r="B54" s="27">
        <v>44743</v>
      </c>
      <c r="C54" s="27" t="s">
        <v>67</v>
      </c>
      <c r="D54" s="33">
        <v>0</v>
      </c>
      <c r="E54" s="5"/>
      <c r="F54" s="28"/>
      <c r="G54" s="4"/>
      <c r="H54" s="5"/>
      <c r="I54" s="28"/>
      <c r="K54" s="28"/>
      <c r="N54" s="4"/>
      <c r="O54" s="4"/>
      <c r="P54" s="4"/>
      <c r="Q54" s="4"/>
      <c r="R54" s="4"/>
      <c r="S54" s="4"/>
      <c r="T54" s="4"/>
      <c r="U54" s="4"/>
      <c r="V54" s="4"/>
      <c r="W54" s="4"/>
      <c r="X54" s="28"/>
      <c r="AC54" s="28"/>
      <c r="AH54" s="28"/>
      <c r="AM54" s="30" t="s">
        <v>77</v>
      </c>
    </row>
    <row r="55" spans="2:39" s="20" customFormat="1" x14ac:dyDescent="0.3">
      <c r="B55" s="34"/>
      <c r="C55" s="35"/>
      <c r="D55" s="25"/>
      <c r="E55" s="1"/>
      <c r="F55" s="19"/>
      <c r="G55" s="9"/>
      <c r="H55" s="1"/>
      <c r="I55" s="19"/>
      <c r="K55" s="19"/>
      <c r="N55" s="9"/>
      <c r="O55" s="9"/>
      <c r="P55" s="9"/>
      <c r="Q55" s="9"/>
      <c r="R55" s="9"/>
      <c r="S55" s="9"/>
      <c r="T55" s="9"/>
      <c r="U55" s="9"/>
      <c r="V55" s="9"/>
      <c r="W55" s="9"/>
      <c r="X55" s="19"/>
      <c r="AC55" s="19"/>
      <c r="AH55" s="19"/>
    </row>
    <row r="56" spans="2:39" s="20" customFormat="1" x14ac:dyDescent="0.3">
      <c r="B56" s="34"/>
      <c r="C56" s="35"/>
      <c r="D56" s="25"/>
      <c r="E56" s="1"/>
      <c r="F56" s="19"/>
      <c r="G56" s="9"/>
      <c r="H56" s="1"/>
      <c r="I56" s="19"/>
      <c r="K56" s="19"/>
      <c r="N56" s="9"/>
      <c r="O56" s="9"/>
      <c r="P56" s="9"/>
      <c r="Q56" s="9"/>
      <c r="R56" s="9"/>
      <c r="S56" s="9"/>
      <c r="T56" s="9"/>
      <c r="U56" s="9"/>
      <c r="V56" s="9"/>
      <c r="W56" s="9"/>
      <c r="X56" s="19"/>
      <c r="AC56" s="19"/>
      <c r="AH56" s="19"/>
    </row>
    <row r="57" spans="2:39" s="20" customFormat="1" x14ac:dyDescent="0.3">
      <c r="B57" s="34"/>
      <c r="C57" s="35"/>
      <c r="D57" s="25"/>
      <c r="E57" s="1"/>
      <c r="F57" s="19"/>
      <c r="G57" s="9"/>
      <c r="H57" s="1"/>
      <c r="I57" s="19"/>
      <c r="K57" s="19"/>
      <c r="N57" s="9"/>
      <c r="O57" s="9"/>
      <c r="P57" s="9"/>
      <c r="Q57" s="9"/>
      <c r="R57" s="9"/>
      <c r="S57" s="9"/>
      <c r="T57" s="9"/>
      <c r="U57" s="9"/>
      <c r="V57" s="9"/>
      <c r="W57" s="9"/>
      <c r="X57" s="19"/>
      <c r="AC57" s="19"/>
      <c r="AH57" s="19"/>
    </row>
    <row r="58" spans="2:39" s="20" customFormat="1" x14ac:dyDescent="0.3">
      <c r="B58" s="34"/>
      <c r="C58" s="35"/>
      <c r="D58" s="25"/>
      <c r="E58" s="1"/>
      <c r="F58" s="19"/>
      <c r="G58" s="9"/>
      <c r="H58" s="1"/>
      <c r="I58" s="19"/>
      <c r="K58" s="19"/>
      <c r="N58" s="9"/>
      <c r="O58" s="9"/>
      <c r="P58" s="9"/>
      <c r="Q58" s="9"/>
      <c r="R58" s="9"/>
      <c r="S58" s="9"/>
      <c r="T58" s="9"/>
      <c r="U58" s="9"/>
      <c r="V58" s="9"/>
      <c r="W58" s="9"/>
      <c r="X58" s="19"/>
      <c r="AC58" s="19"/>
      <c r="AH58" s="19"/>
    </row>
    <row r="59" spans="2:39" s="20" customFormat="1" x14ac:dyDescent="0.3">
      <c r="B59" s="34"/>
      <c r="C59" s="35"/>
      <c r="D59" s="25"/>
      <c r="E59" s="1"/>
      <c r="F59" s="19"/>
      <c r="G59" s="9"/>
      <c r="H59" s="1"/>
      <c r="I59" s="19"/>
      <c r="K59" s="19"/>
      <c r="N59" s="9"/>
      <c r="O59" s="9"/>
      <c r="P59" s="9"/>
      <c r="Q59" s="9"/>
      <c r="R59" s="9"/>
      <c r="S59" s="9"/>
      <c r="T59" s="9"/>
      <c r="U59" s="9"/>
      <c r="V59" s="9"/>
      <c r="W59" s="9"/>
      <c r="X59" s="19"/>
      <c r="AC59" s="19"/>
      <c r="AH59" s="19"/>
    </row>
    <row r="60" spans="2:39" s="20" customFormat="1" x14ac:dyDescent="0.3">
      <c r="B60" s="34"/>
      <c r="C60" s="35"/>
      <c r="D60" s="25"/>
      <c r="E60" s="1"/>
      <c r="F60" s="19"/>
      <c r="G60" s="9"/>
      <c r="H60" s="1"/>
      <c r="I60" s="19"/>
      <c r="K60" s="19"/>
      <c r="N60" s="9"/>
      <c r="O60" s="9"/>
      <c r="P60" s="9"/>
      <c r="Q60" s="9"/>
      <c r="R60" s="9"/>
      <c r="S60" s="9"/>
      <c r="T60" s="9"/>
      <c r="U60" s="9"/>
      <c r="V60" s="9"/>
      <c r="W60" s="9"/>
      <c r="X60" s="19"/>
      <c r="AC60" s="19"/>
      <c r="AH60" s="19"/>
    </row>
    <row r="61" spans="2:39" s="20" customFormat="1" x14ac:dyDescent="0.3">
      <c r="B61" s="34"/>
      <c r="C61" s="35"/>
      <c r="D61" s="25"/>
      <c r="E61" s="1"/>
      <c r="F61" s="19"/>
      <c r="G61" s="9"/>
      <c r="H61" s="1"/>
      <c r="I61" s="19"/>
      <c r="K61" s="19"/>
      <c r="N61" s="9"/>
      <c r="O61" s="9"/>
      <c r="P61" s="9"/>
      <c r="Q61" s="9"/>
      <c r="R61" s="9"/>
      <c r="S61" s="9"/>
      <c r="T61" s="9"/>
      <c r="U61" s="9"/>
      <c r="V61" s="9"/>
      <c r="W61" s="9"/>
      <c r="X61" s="19"/>
      <c r="AC61" s="19"/>
      <c r="AH61" s="19"/>
    </row>
    <row r="62" spans="2:39" s="20" customFormat="1" x14ac:dyDescent="0.3">
      <c r="B62" s="34"/>
      <c r="C62" s="35"/>
      <c r="D62" s="25"/>
      <c r="E62" s="1"/>
      <c r="F62" s="19"/>
      <c r="G62" s="9"/>
      <c r="H62" s="1"/>
      <c r="I62" s="19"/>
      <c r="K62" s="19"/>
      <c r="N62" s="9"/>
      <c r="O62" s="9"/>
      <c r="P62" s="9"/>
      <c r="Q62" s="9"/>
      <c r="R62" s="9"/>
      <c r="S62" s="9"/>
      <c r="T62" s="9"/>
      <c r="U62" s="9"/>
      <c r="V62" s="9"/>
      <c r="W62" s="9"/>
      <c r="X62" s="19"/>
      <c r="AC62" s="19"/>
      <c r="AH62" s="19"/>
    </row>
    <row r="63" spans="2:39" s="20" customFormat="1" x14ac:dyDescent="0.3">
      <c r="B63" s="34"/>
      <c r="C63" s="35"/>
      <c r="D63" s="25"/>
      <c r="E63" s="1"/>
      <c r="F63" s="19"/>
      <c r="G63" s="9"/>
      <c r="H63" s="1"/>
      <c r="I63" s="19"/>
      <c r="K63" s="19"/>
      <c r="N63" s="9"/>
      <c r="O63" s="9"/>
      <c r="P63" s="9"/>
      <c r="Q63" s="9"/>
      <c r="R63" s="9"/>
      <c r="S63" s="9"/>
      <c r="T63" s="9"/>
      <c r="U63" s="9"/>
      <c r="V63" s="9"/>
      <c r="W63" s="9"/>
      <c r="X63" s="19"/>
      <c r="AC63" s="19"/>
      <c r="AH63" s="19"/>
    </row>
    <row r="64" spans="2:39" s="20" customFormat="1" x14ac:dyDescent="0.3">
      <c r="B64" s="34"/>
      <c r="C64" s="35"/>
      <c r="D64" s="19"/>
      <c r="E64" s="36"/>
      <c r="F64" s="19"/>
      <c r="G64" s="9"/>
      <c r="H64" s="36"/>
      <c r="I64" s="19"/>
      <c r="K64" s="19"/>
      <c r="N64" s="9"/>
      <c r="O64" s="9"/>
      <c r="P64" s="9"/>
      <c r="Q64" s="9"/>
      <c r="R64" s="9"/>
      <c r="S64" s="9"/>
      <c r="T64" s="9"/>
      <c r="U64" s="9"/>
      <c r="V64" s="9"/>
      <c r="W64" s="9"/>
      <c r="X64" s="19"/>
      <c r="AC64" s="19"/>
      <c r="AH64" s="19"/>
      <c r="AM64" s="37"/>
    </row>
    <row r="65" spans="2:39" s="20" customFormat="1" x14ac:dyDescent="0.3">
      <c r="B65" s="34"/>
      <c r="C65" s="35"/>
      <c r="D65" s="19"/>
      <c r="E65" s="36"/>
      <c r="F65" s="19"/>
      <c r="G65" s="9"/>
      <c r="H65" s="36"/>
      <c r="I65" s="19"/>
      <c r="K65" s="19"/>
      <c r="N65" s="9"/>
      <c r="O65" s="9"/>
      <c r="P65" s="9"/>
      <c r="Q65" s="9"/>
      <c r="R65" s="9"/>
      <c r="S65" s="9"/>
      <c r="T65" s="9"/>
      <c r="U65" s="9"/>
      <c r="V65" s="9"/>
      <c r="W65" s="9"/>
      <c r="X65" s="19"/>
      <c r="AC65" s="19"/>
      <c r="AH65" s="19"/>
      <c r="AM65" s="37"/>
    </row>
    <row r="66" spans="2:39" s="20" customFormat="1" x14ac:dyDescent="0.3">
      <c r="B66" s="34"/>
      <c r="C66" s="35"/>
      <c r="D66" s="19"/>
      <c r="E66" s="36"/>
      <c r="F66" s="19"/>
      <c r="G66" s="9"/>
      <c r="H66" s="36"/>
      <c r="I66" s="19"/>
      <c r="K66" s="19"/>
      <c r="N66" s="9"/>
      <c r="O66" s="9"/>
      <c r="P66" s="9"/>
      <c r="Q66" s="9"/>
      <c r="R66" s="9"/>
      <c r="S66" s="9"/>
      <c r="T66" s="9"/>
      <c r="U66" s="9"/>
      <c r="V66" s="9"/>
      <c r="W66" s="9"/>
      <c r="X66" s="19"/>
      <c r="AC66" s="19"/>
      <c r="AH66" s="19"/>
      <c r="AM66" s="37"/>
    </row>
    <row r="67" spans="2:39" s="20" customFormat="1" x14ac:dyDescent="0.3">
      <c r="B67" s="34"/>
      <c r="C67" s="35"/>
      <c r="D67" s="19"/>
      <c r="E67" s="1"/>
      <c r="F67" s="19"/>
      <c r="G67" s="9"/>
      <c r="H67" s="1"/>
      <c r="I67" s="19"/>
      <c r="K67" s="19"/>
      <c r="N67" s="9"/>
      <c r="O67" s="9"/>
      <c r="P67" s="9"/>
      <c r="Q67" s="9"/>
      <c r="R67" s="9"/>
      <c r="S67" s="9"/>
      <c r="T67" s="9"/>
      <c r="U67" s="9"/>
      <c r="V67" s="9"/>
      <c r="W67" s="9"/>
      <c r="X67" s="19"/>
      <c r="AC67" s="19"/>
      <c r="AH67" s="19"/>
      <c r="AM67" s="38"/>
    </row>
    <row r="68" spans="2:39" s="20" customFormat="1" x14ac:dyDescent="0.3">
      <c r="B68" s="34"/>
      <c r="C68" s="35"/>
      <c r="D68" s="19"/>
      <c r="E68" s="1"/>
      <c r="F68" s="19"/>
      <c r="G68" s="9"/>
      <c r="H68" s="1"/>
      <c r="I68" s="19"/>
      <c r="K68" s="19"/>
      <c r="N68" s="9"/>
      <c r="O68" s="9"/>
      <c r="P68" s="9"/>
      <c r="Q68" s="9"/>
      <c r="R68" s="9"/>
      <c r="S68" s="9"/>
      <c r="T68" s="9"/>
      <c r="U68" s="9"/>
      <c r="V68" s="9"/>
      <c r="W68" s="9"/>
      <c r="X68" s="19"/>
      <c r="AC68" s="19"/>
      <c r="AH68" s="19"/>
      <c r="AM68" s="38"/>
    </row>
    <row r="69" spans="2:39" s="20" customFormat="1" x14ac:dyDescent="0.3">
      <c r="B69" s="34"/>
      <c r="C69" s="35"/>
      <c r="D69" s="19"/>
      <c r="E69" s="1"/>
      <c r="F69" s="19"/>
      <c r="G69" s="9"/>
      <c r="H69" s="1"/>
      <c r="I69" s="19"/>
      <c r="K69" s="19"/>
      <c r="N69" s="9"/>
      <c r="O69" s="9"/>
      <c r="P69" s="9"/>
      <c r="Q69" s="9"/>
      <c r="R69" s="9"/>
      <c r="S69" s="9"/>
      <c r="T69" s="9"/>
      <c r="U69" s="9"/>
      <c r="V69" s="9"/>
      <c r="W69" s="9"/>
      <c r="X69" s="19"/>
      <c r="AC69" s="19"/>
      <c r="AH69" s="19"/>
      <c r="AM69" s="38"/>
    </row>
    <row r="70" spans="2:39" s="20" customFormat="1" x14ac:dyDescent="0.3">
      <c r="B70" s="34"/>
      <c r="C70" s="35"/>
      <c r="D70" s="19"/>
      <c r="E70" s="1"/>
      <c r="F70" s="19"/>
      <c r="G70" s="9"/>
      <c r="H70" s="1"/>
      <c r="I70" s="19"/>
      <c r="K70" s="19"/>
      <c r="N70" s="9"/>
      <c r="O70" s="9"/>
      <c r="P70" s="9"/>
      <c r="Q70" s="9"/>
      <c r="R70" s="9"/>
      <c r="S70" s="9"/>
      <c r="T70" s="9"/>
      <c r="U70" s="9"/>
      <c r="V70" s="9"/>
      <c r="W70" s="9"/>
      <c r="X70" s="19"/>
      <c r="AC70" s="19"/>
      <c r="AH70" s="19"/>
      <c r="AM70" s="38"/>
    </row>
    <row r="71" spans="2:39" s="20" customFormat="1" x14ac:dyDescent="0.3">
      <c r="B71" s="34"/>
      <c r="C71" s="35"/>
      <c r="D71" s="19"/>
      <c r="E71" s="1"/>
      <c r="F71" s="19"/>
      <c r="G71" s="9"/>
      <c r="H71" s="1"/>
      <c r="I71" s="19"/>
      <c r="K71" s="19"/>
      <c r="N71" s="9"/>
      <c r="O71" s="9"/>
      <c r="P71" s="9"/>
      <c r="Q71" s="9"/>
      <c r="R71" s="9"/>
      <c r="S71" s="9"/>
      <c r="T71" s="9"/>
      <c r="U71" s="9"/>
      <c r="V71" s="9"/>
      <c r="W71" s="9"/>
      <c r="X71" s="19"/>
      <c r="AC71" s="19"/>
      <c r="AH71" s="19"/>
      <c r="AM71" s="38"/>
    </row>
    <row r="72" spans="2:39" s="20" customFormat="1" x14ac:dyDescent="0.3">
      <c r="B72" s="34"/>
      <c r="C72" s="35"/>
      <c r="D72" s="19"/>
      <c r="E72" s="1"/>
      <c r="F72" s="19"/>
      <c r="G72" s="9"/>
      <c r="H72" s="1"/>
      <c r="I72" s="19"/>
      <c r="K72" s="19"/>
      <c r="N72" s="9"/>
      <c r="O72" s="9"/>
      <c r="P72" s="9"/>
      <c r="Q72" s="9"/>
      <c r="R72" s="9"/>
      <c r="S72" s="9"/>
      <c r="T72" s="9"/>
      <c r="U72" s="9"/>
      <c r="V72" s="9"/>
      <c r="W72" s="9"/>
      <c r="X72" s="19"/>
      <c r="AC72" s="19"/>
      <c r="AH72" s="19"/>
      <c r="AM72" s="38"/>
    </row>
    <row r="73" spans="2:39" s="20" customFormat="1" x14ac:dyDescent="0.3">
      <c r="B73" s="34"/>
      <c r="C73" s="35"/>
      <c r="D73" s="19"/>
      <c r="E73" s="1"/>
      <c r="F73" s="19"/>
      <c r="G73" s="9"/>
      <c r="H73" s="1"/>
      <c r="I73" s="19"/>
      <c r="K73" s="19"/>
      <c r="N73" s="9"/>
      <c r="O73" s="9"/>
      <c r="P73" s="9"/>
      <c r="Q73" s="9"/>
      <c r="R73" s="9"/>
      <c r="S73" s="9"/>
      <c r="T73" s="9"/>
      <c r="U73" s="9"/>
      <c r="V73" s="9"/>
      <c r="W73" s="9"/>
      <c r="X73" s="19"/>
      <c r="AC73" s="19"/>
      <c r="AH73" s="19"/>
      <c r="AM73" s="39"/>
    </row>
    <row r="74" spans="2:39" s="20" customFormat="1" x14ac:dyDescent="0.3">
      <c r="B74" s="34"/>
      <c r="C74" s="35"/>
      <c r="D74" s="24"/>
      <c r="E74" s="1"/>
      <c r="F74" s="19"/>
      <c r="G74" s="9"/>
      <c r="H74" s="1"/>
      <c r="I74" s="19"/>
      <c r="K74" s="19"/>
      <c r="N74" s="9"/>
      <c r="O74" s="9"/>
      <c r="P74" s="9"/>
      <c r="Q74" s="9"/>
      <c r="R74" s="9"/>
      <c r="S74" s="9"/>
      <c r="T74" s="9"/>
      <c r="U74" s="9"/>
      <c r="V74" s="9"/>
      <c r="W74" s="9"/>
      <c r="X74" s="19"/>
      <c r="AC74" s="19"/>
      <c r="AH74" s="19"/>
      <c r="AM74" s="39"/>
    </row>
    <row r="75" spans="2:39" s="20" customFormat="1" x14ac:dyDescent="0.3">
      <c r="B75" s="34"/>
      <c r="C75" s="35"/>
      <c r="D75" s="19"/>
      <c r="E75" s="1"/>
      <c r="F75" s="19"/>
      <c r="G75" s="9"/>
      <c r="H75" s="1"/>
      <c r="I75" s="19"/>
      <c r="K75" s="19"/>
      <c r="N75" s="9"/>
      <c r="O75" s="9"/>
      <c r="P75" s="9"/>
      <c r="Q75" s="9"/>
      <c r="R75" s="9"/>
      <c r="S75" s="9"/>
      <c r="T75" s="9"/>
      <c r="U75" s="9"/>
      <c r="V75" s="9"/>
      <c r="W75" s="9"/>
      <c r="X75" s="19"/>
      <c r="AC75" s="19"/>
      <c r="AH75" s="19"/>
      <c r="AM75" s="39"/>
    </row>
    <row r="76" spans="2:39" s="20" customFormat="1" x14ac:dyDescent="0.3">
      <c r="B76" s="34"/>
      <c r="C76" s="35"/>
      <c r="D76" s="19"/>
      <c r="E76" s="1"/>
      <c r="F76" s="19"/>
      <c r="G76" s="9"/>
      <c r="H76" s="1"/>
      <c r="I76" s="19"/>
      <c r="K76" s="19"/>
      <c r="N76" s="9"/>
      <c r="O76" s="9"/>
      <c r="P76" s="9"/>
      <c r="Q76" s="9"/>
      <c r="R76" s="9"/>
      <c r="S76" s="9"/>
      <c r="T76" s="9"/>
      <c r="U76" s="9"/>
      <c r="V76" s="9"/>
      <c r="W76" s="9"/>
      <c r="X76" s="19"/>
      <c r="AC76" s="19"/>
      <c r="AH76" s="19"/>
      <c r="AM76" s="39"/>
    </row>
    <row r="77" spans="2:39" s="20" customFormat="1" x14ac:dyDescent="0.3">
      <c r="B77" s="34"/>
      <c r="C77" s="35"/>
      <c r="D77" s="19"/>
      <c r="E77" s="1"/>
      <c r="F77" s="19"/>
      <c r="G77" s="9"/>
      <c r="H77" s="1"/>
      <c r="I77" s="19"/>
      <c r="K77" s="19"/>
      <c r="N77" s="9"/>
      <c r="O77" s="9"/>
      <c r="P77" s="9"/>
      <c r="Q77" s="9"/>
      <c r="R77" s="9"/>
      <c r="S77" s="9"/>
      <c r="T77" s="9"/>
      <c r="U77" s="9"/>
      <c r="V77" s="9"/>
      <c r="W77" s="9"/>
      <c r="X77" s="19"/>
      <c r="AC77" s="19"/>
      <c r="AH77" s="19"/>
      <c r="AM77" s="39"/>
    </row>
    <row r="78" spans="2:39" s="20" customFormat="1" x14ac:dyDescent="0.3">
      <c r="B78" s="34"/>
      <c r="C78" s="35"/>
      <c r="D78" s="19"/>
      <c r="E78" s="1"/>
      <c r="F78" s="19"/>
      <c r="G78" s="9"/>
      <c r="H78" s="1"/>
      <c r="I78" s="19"/>
      <c r="K78" s="19"/>
      <c r="N78" s="9"/>
      <c r="O78" s="9"/>
      <c r="P78" s="9"/>
      <c r="Q78" s="9"/>
      <c r="R78" s="9"/>
      <c r="S78" s="9"/>
      <c r="T78" s="9"/>
      <c r="U78" s="9"/>
      <c r="V78" s="9"/>
      <c r="W78" s="9"/>
      <c r="X78" s="19"/>
      <c r="AC78" s="19"/>
      <c r="AH78" s="19"/>
      <c r="AM78" s="39"/>
    </row>
    <row r="79" spans="2:39" s="20" customFormat="1" x14ac:dyDescent="0.3">
      <c r="B79" s="34"/>
      <c r="C79" s="35"/>
      <c r="D79" s="19"/>
      <c r="E79" s="36"/>
      <c r="F79" s="19"/>
      <c r="G79" s="9"/>
      <c r="H79" s="1"/>
      <c r="N79" s="9"/>
      <c r="O79" s="9"/>
      <c r="P79" s="9"/>
      <c r="Q79" s="9"/>
      <c r="R79" s="9"/>
      <c r="S79" s="9"/>
      <c r="T79" s="9"/>
      <c r="U79" s="9"/>
      <c r="V79" s="9"/>
      <c r="W79" s="9"/>
      <c r="AM79" s="32"/>
    </row>
    <row r="80" spans="2:39" s="20" customFormat="1" x14ac:dyDescent="0.3">
      <c r="B80" s="34"/>
      <c r="C80" s="35"/>
      <c r="D80" s="19"/>
      <c r="E80" s="36"/>
      <c r="F80" s="19"/>
      <c r="G80" s="9"/>
      <c r="H80" s="1"/>
      <c r="N80" s="9"/>
      <c r="O80" s="9"/>
      <c r="P80" s="9"/>
      <c r="Q80" s="9"/>
      <c r="R80" s="9"/>
      <c r="S80" s="9"/>
      <c r="T80" s="9"/>
      <c r="U80" s="9"/>
      <c r="V80" s="9"/>
      <c r="W80" s="9"/>
      <c r="AM80" s="32"/>
    </row>
    <row r="81" spans="2:39" s="20" customFormat="1" x14ac:dyDescent="0.3">
      <c r="B81" s="34"/>
      <c r="C81" s="35"/>
      <c r="D81" s="19"/>
      <c r="E81" s="36"/>
      <c r="F81" s="19"/>
      <c r="G81" s="9"/>
      <c r="H81" s="1"/>
      <c r="N81" s="9"/>
      <c r="O81" s="9"/>
      <c r="P81" s="9"/>
      <c r="Q81" s="9"/>
      <c r="R81" s="9"/>
      <c r="S81" s="9"/>
      <c r="T81" s="9"/>
      <c r="U81" s="9"/>
      <c r="V81" s="9"/>
      <c r="W81" s="9"/>
      <c r="AM81" s="32"/>
    </row>
    <row r="82" spans="2:39" s="20" customFormat="1" x14ac:dyDescent="0.3">
      <c r="B82" s="34"/>
      <c r="C82" s="35"/>
      <c r="D82" s="19"/>
      <c r="E82" s="36"/>
      <c r="F82" s="19"/>
      <c r="G82" s="9"/>
      <c r="H82" s="1"/>
      <c r="N82" s="9"/>
      <c r="O82" s="9"/>
      <c r="P82" s="9"/>
      <c r="Q82" s="9"/>
      <c r="R82" s="9"/>
      <c r="S82" s="9"/>
      <c r="T82" s="9"/>
      <c r="U82" s="9"/>
      <c r="V82" s="9"/>
      <c r="W82" s="9"/>
      <c r="AM82" s="32"/>
    </row>
    <row r="83" spans="2:39" s="20" customFormat="1" x14ac:dyDescent="0.3">
      <c r="B83" s="34"/>
      <c r="C83" s="35"/>
      <c r="D83" s="19"/>
      <c r="E83" s="36"/>
      <c r="F83" s="19"/>
      <c r="G83" s="9"/>
      <c r="H83" s="1"/>
      <c r="N83" s="9"/>
      <c r="O83" s="9"/>
      <c r="P83" s="9"/>
      <c r="Q83" s="9"/>
      <c r="R83" s="9"/>
      <c r="S83" s="9"/>
      <c r="T83" s="9"/>
      <c r="U83" s="9"/>
      <c r="V83" s="9"/>
      <c r="W83" s="9"/>
      <c r="AM83" s="32"/>
    </row>
    <row r="84" spans="2:39" s="20" customFormat="1" x14ac:dyDescent="0.3">
      <c r="B84" s="34"/>
      <c r="C84" s="35"/>
      <c r="D84" s="19"/>
      <c r="E84" s="36"/>
      <c r="F84" s="19"/>
      <c r="G84" s="9"/>
      <c r="H84" s="1"/>
      <c r="N84" s="9"/>
      <c r="O84" s="9"/>
      <c r="P84" s="9"/>
      <c r="Q84" s="9"/>
      <c r="R84" s="9"/>
      <c r="S84" s="9"/>
      <c r="T84" s="9"/>
      <c r="U84" s="9"/>
      <c r="V84" s="9"/>
      <c r="W84" s="9"/>
      <c r="AM84" s="32"/>
    </row>
    <row r="85" spans="2:39" s="20" customFormat="1" x14ac:dyDescent="0.3">
      <c r="B85" s="34"/>
      <c r="C85" s="35"/>
      <c r="D85" s="9"/>
      <c r="E85" s="36"/>
      <c r="F85" s="19"/>
      <c r="G85" s="9"/>
      <c r="H85" s="36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2:39" s="20" customFormat="1" x14ac:dyDescent="0.3">
      <c r="B86" s="34"/>
      <c r="C86" s="35"/>
      <c r="D86" s="9"/>
      <c r="E86" s="36"/>
      <c r="F86" s="19"/>
      <c r="G86" s="9"/>
      <c r="H86" s="36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2:39" s="20" customFormat="1" x14ac:dyDescent="0.3">
      <c r="B87" s="34"/>
      <c r="C87" s="35"/>
      <c r="D87" s="9"/>
      <c r="E87" s="36"/>
      <c r="F87" s="19"/>
      <c r="G87" s="9"/>
      <c r="H87" s="36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2:39" s="20" customFormat="1" x14ac:dyDescent="0.3">
      <c r="B88" s="34"/>
      <c r="C88" s="35"/>
      <c r="D88" s="9"/>
      <c r="E88" s="36"/>
      <c r="F88" s="19"/>
      <c r="G88" s="9"/>
      <c r="H88" s="36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2:39" s="20" customFormat="1" x14ac:dyDescent="0.3">
      <c r="B89" s="34"/>
      <c r="C89" s="35"/>
      <c r="D89" s="9"/>
      <c r="E89" s="36"/>
      <c r="F89" s="19"/>
      <c r="G89" s="9"/>
      <c r="H89" s="36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2:39" s="20" customFormat="1" x14ac:dyDescent="0.3">
      <c r="B90" s="34"/>
      <c r="C90" s="35"/>
      <c r="D90" s="19"/>
      <c r="E90" s="36"/>
      <c r="F90" s="19"/>
      <c r="H90" s="36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2:39" s="20" customFormat="1" x14ac:dyDescent="0.3">
      <c r="B91" s="34"/>
      <c r="C91" s="35"/>
      <c r="D91" s="9"/>
      <c r="E91" s="36"/>
      <c r="F91" s="9"/>
      <c r="G91" s="9"/>
      <c r="H91" s="36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2:39" s="20" customFormat="1" x14ac:dyDescent="0.3">
      <c r="B92" s="34"/>
      <c r="C92" s="35"/>
      <c r="D92" s="9"/>
      <c r="E92" s="36"/>
      <c r="F92" s="9"/>
      <c r="G92" s="9"/>
      <c r="H92" s="36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2:39" s="20" customFormat="1" x14ac:dyDescent="0.3">
      <c r="B93" s="34"/>
      <c r="C93" s="35"/>
      <c r="D93" s="9"/>
      <c r="E93" s="36"/>
      <c r="F93" s="9"/>
      <c r="G93" s="9"/>
      <c r="H93" s="36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2:39" s="20" customFormat="1" x14ac:dyDescent="0.3">
      <c r="B94" s="34"/>
      <c r="C94" s="35"/>
      <c r="D94" s="9"/>
      <c r="E94" s="36"/>
      <c r="F94" s="9"/>
      <c r="G94" s="9"/>
      <c r="H94" s="36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2:39" s="20" customFormat="1" x14ac:dyDescent="0.3">
      <c r="B95" s="34"/>
      <c r="C95" s="35"/>
      <c r="D95" s="9"/>
      <c r="E95" s="36"/>
      <c r="F95" s="9"/>
      <c r="G95" s="9"/>
      <c r="H95" s="36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2:39" s="20" customFormat="1" x14ac:dyDescent="0.3">
      <c r="B96" s="34"/>
      <c r="C96" s="35"/>
      <c r="D96" s="9"/>
      <c r="E96" s="36"/>
      <c r="F96" s="9"/>
      <c r="G96" s="9"/>
      <c r="H96" s="36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2:39" s="20" customFormat="1" x14ac:dyDescent="0.3">
      <c r="B97" s="34"/>
      <c r="C97" s="35"/>
      <c r="D97" s="9"/>
      <c r="E97" s="36"/>
      <c r="F97" s="9"/>
      <c r="G97" s="9"/>
      <c r="H97" s="36"/>
      <c r="N97" s="9"/>
      <c r="O97" s="9"/>
      <c r="P97" s="9"/>
      <c r="Q97" s="9"/>
      <c r="R97" s="9"/>
      <c r="S97" s="9"/>
      <c r="T97" s="9"/>
      <c r="U97" s="9"/>
      <c r="V97" s="9"/>
      <c r="W97" s="9"/>
      <c r="AM97" s="39"/>
    </row>
    <row r="98" spans="2:39" s="20" customFormat="1" x14ac:dyDescent="0.3">
      <c r="B98" s="34"/>
      <c r="C98" s="35"/>
      <c r="D98" s="9"/>
      <c r="E98" s="36"/>
      <c r="F98" s="9"/>
      <c r="G98" s="9"/>
      <c r="H98" s="36"/>
      <c r="N98" s="9"/>
      <c r="O98" s="9"/>
      <c r="P98" s="9"/>
      <c r="Q98" s="9"/>
      <c r="R98" s="9"/>
      <c r="S98" s="9"/>
      <c r="T98" s="9"/>
      <c r="U98" s="9"/>
      <c r="V98" s="9"/>
      <c r="W98" s="9"/>
      <c r="AM98" s="39"/>
    </row>
    <row r="99" spans="2:39" s="20" customFormat="1" x14ac:dyDescent="0.3">
      <c r="B99" s="34"/>
      <c r="C99" s="35"/>
      <c r="D99" s="9"/>
      <c r="E99" s="36"/>
      <c r="F99" s="9"/>
      <c r="G99" s="9"/>
      <c r="H99" s="36"/>
      <c r="N99" s="9"/>
      <c r="O99" s="9"/>
      <c r="P99" s="9"/>
      <c r="Q99" s="9"/>
      <c r="R99" s="9"/>
      <c r="S99" s="9"/>
      <c r="T99" s="9"/>
      <c r="U99" s="9"/>
      <c r="V99" s="9"/>
      <c r="W99" s="9"/>
      <c r="AM99" s="39"/>
    </row>
    <row r="100" spans="2:39" s="20" customFormat="1" x14ac:dyDescent="0.3">
      <c r="B100" s="34"/>
      <c r="C100" s="35"/>
      <c r="D100" s="9"/>
      <c r="E100" s="36"/>
      <c r="F100" s="9"/>
      <c r="G100" s="9"/>
      <c r="H100" s="36"/>
      <c r="N100" s="9"/>
      <c r="O100" s="9"/>
      <c r="P100" s="9"/>
      <c r="Q100" s="9"/>
      <c r="R100" s="9"/>
      <c r="S100" s="9"/>
      <c r="T100" s="9"/>
      <c r="U100" s="9"/>
      <c r="V100" s="9"/>
      <c r="W100" s="9"/>
      <c r="AM100" s="39"/>
    </row>
    <row r="101" spans="2:39" s="20" customFormat="1" x14ac:dyDescent="0.3">
      <c r="B101" s="34"/>
      <c r="C101" s="35"/>
      <c r="D101" s="9"/>
      <c r="E101" s="36"/>
      <c r="F101" s="9"/>
      <c r="G101" s="9"/>
      <c r="H101" s="36"/>
      <c r="N101" s="9"/>
      <c r="O101" s="9"/>
      <c r="P101" s="9"/>
      <c r="Q101" s="9"/>
      <c r="R101" s="9"/>
      <c r="S101" s="9"/>
      <c r="T101" s="9"/>
      <c r="U101" s="9"/>
      <c r="V101" s="9"/>
      <c r="W101" s="9"/>
      <c r="AM101" s="39"/>
    </row>
    <row r="102" spans="2:39" s="20" customFormat="1" x14ac:dyDescent="0.3">
      <c r="B102" s="34"/>
      <c r="C102" s="35"/>
      <c r="D102" s="9"/>
      <c r="E102" s="36"/>
      <c r="F102" s="9"/>
      <c r="G102" s="9"/>
      <c r="H102" s="36"/>
      <c r="N102" s="9"/>
      <c r="O102" s="9"/>
      <c r="P102" s="9"/>
      <c r="Q102" s="9"/>
      <c r="R102" s="9"/>
      <c r="S102" s="9"/>
      <c r="T102" s="9"/>
      <c r="U102" s="9"/>
      <c r="V102" s="9"/>
      <c r="W102" s="9"/>
      <c r="AM102" s="39"/>
    </row>
    <row r="103" spans="2:39" x14ac:dyDescent="0.3"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2:39" x14ac:dyDescent="0.3"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2:39" x14ac:dyDescent="0.3"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2:39" x14ac:dyDescent="0.3"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2:39" x14ac:dyDescent="0.3"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2:39" x14ac:dyDescent="0.3"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2:39" x14ac:dyDescent="0.3"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2:39" x14ac:dyDescent="0.3"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2:39" x14ac:dyDescent="0.3"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2:39" x14ac:dyDescent="0.3"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4:23" x14ac:dyDescent="0.3"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4:23" x14ac:dyDescent="0.3"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4:23" x14ac:dyDescent="0.3"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4:23" x14ac:dyDescent="0.3"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4:23" x14ac:dyDescent="0.3"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4:23" x14ac:dyDescent="0.3"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4:23" x14ac:dyDescent="0.3"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4:23" x14ac:dyDescent="0.3"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4:23" x14ac:dyDescent="0.3"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4:23" x14ac:dyDescent="0.3"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4:23" x14ac:dyDescent="0.3"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4:23" x14ac:dyDescent="0.3"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4:23" x14ac:dyDescent="0.3"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4:23" x14ac:dyDescent="0.3"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4:23" x14ac:dyDescent="0.3"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4:23" x14ac:dyDescent="0.3"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4:23" x14ac:dyDescent="0.3"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4:23" x14ac:dyDescent="0.3"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4:23" x14ac:dyDescent="0.3"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4:23" x14ac:dyDescent="0.3"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4:23" x14ac:dyDescent="0.3"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4:23" x14ac:dyDescent="0.3"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4:23" x14ac:dyDescent="0.3"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4:23" x14ac:dyDescent="0.3"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4:23" x14ac:dyDescent="0.3"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4:23" x14ac:dyDescent="0.3"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4:23" x14ac:dyDescent="0.3"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4:23" x14ac:dyDescent="0.3"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4:23" x14ac:dyDescent="0.3"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4:23" x14ac:dyDescent="0.3"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4:23" x14ac:dyDescent="0.3"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4:23" x14ac:dyDescent="0.3"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4:23" x14ac:dyDescent="0.3"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4:23" x14ac:dyDescent="0.3"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4:23" x14ac:dyDescent="0.3"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4:23" x14ac:dyDescent="0.3"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4:23" x14ac:dyDescent="0.3"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4:23" x14ac:dyDescent="0.3"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4:23" x14ac:dyDescent="0.3"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4:23" x14ac:dyDescent="0.3"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4:23" x14ac:dyDescent="0.3"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4:23" x14ac:dyDescent="0.3"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4:23" x14ac:dyDescent="0.3"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4:23" x14ac:dyDescent="0.3"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4:23" x14ac:dyDescent="0.3"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4:23" x14ac:dyDescent="0.3"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4:23" x14ac:dyDescent="0.3"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4:23" x14ac:dyDescent="0.3"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4:23" x14ac:dyDescent="0.3"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4:23" x14ac:dyDescent="0.3"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4:23" x14ac:dyDescent="0.3"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4:23" x14ac:dyDescent="0.3"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4:23" x14ac:dyDescent="0.3"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4:23" x14ac:dyDescent="0.3"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4:23" x14ac:dyDescent="0.3"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4:23" x14ac:dyDescent="0.3"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4:23" x14ac:dyDescent="0.3"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4:23" x14ac:dyDescent="0.3"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4:23" x14ac:dyDescent="0.3"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4:23" x14ac:dyDescent="0.3"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4:23" x14ac:dyDescent="0.3"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4:23" x14ac:dyDescent="0.3"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4:23" x14ac:dyDescent="0.3"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4:23" x14ac:dyDescent="0.3"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4:23" x14ac:dyDescent="0.3"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4:23" x14ac:dyDescent="0.3"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4:23" x14ac:dyDescent="0.3"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4:23" x14ac:dyDescent="0.3"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4:23" x14ac:dyDescent="0.3"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4:23" x14ac:dyDescent="0.3"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4:23" x14ac:dyDescent="0.3"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4:23" x14ac:dyDescent="0.3"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4:23" x14ac:dyDescent="0.3"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4:23" x14ac:dyDescent="0.3"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4:23" x14ac:dyDescent="0.3"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4:23" x14ac:dyDescent="0.3"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4:23" x14ac:dyDescent="0.3"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4:23" x14ac:dyDescent="0.3"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4:23" x14ac:dyDescent="0.3"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4:23" x14ac:dyDescent="0.3"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4:23" x14ac:dyDescent="0.3"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4:23" x14ac:dyDescent="0.3"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4:23" x14ac:dyDescent="0.3"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4:23" x14ac:dyDescent="0.3"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4:23" x14ac:dyDescent="0.3"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4:23" x14ac:dyDescent="0.3"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4:23" x14ac:dyDescent="0.3"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4:23" x14ac:dyDescent="0.3"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4:23" x14ac:dyDescent="0.3"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4:23" x14ac:dyDescent="0.3"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4:23" x14ac:dyDescent="0.3"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4:23" x14ac:dyDescent="0.3"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4:23" x14ac:dyDescent="0.3"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4:23" x14ac:dyDescent="0.3"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4:23" x14ac:dyDescent="0.3"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4:23" x14ac:dyDescent="0.3"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4:23" x14ac:dyDescent="0.3"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4:23" x14ac:dyDescent="0.3"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4:23" x14ac:dyDescent="0.3"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4:23" x14ac:dyDescent="0.3"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4:23" x14ac:dyDescent="0.3"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4:23" x14ac:dyDescent="0.3"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4:23" x14ac:dyDescent="0.3"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4:23" x14ac:dyDescent="0.3"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4:23" x14ac:dyDescent="0.3"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4:23" x14ac:dyDescent="0.3"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4:23" x14ac:dyDescent="0.3"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4:23" x14ac:dyDescent="0.3"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4:23" x14ac:dyDescent="0.3"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4:23" x14ac:dyDescent="0.3"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4:23" x14ac:dyDescent="0.3"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4:23" x14ac:dyDescent="0.3"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4:23" x14ac:dyDescent="0.3"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4:23" x14ac:dyDescent="0.3"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4:23" x14ac:dyDescent="0.3"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4:23" x14ac:dyDescent="0.3"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4:23" x14ac:dyDescent="0.3"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4:23" x14ac:dyDescent="0.3"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4:23" x14ac:dyDescent="0.3"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4:23" x14ac:dyDescent="0.3"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4:23" x14ac:dyDescent="0.3"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4:23" x14ac:dyDescent="0.3"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4:23" x14ac:dyDescent="0.3"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4:23" x14ac:dyDescent="0.3"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4:23" x14ac:dyDescent="0.3"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4:23" x14ac:dyDescent="0.3"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4:23" x14ac:dyDescent="0.3"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4:23" x14ac:dyDescent="0.3"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4:23" x14ac:dyDescent="0.3"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4:23" x14ac:dyDescent="0.3"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4:23" x14ac:dyDescent="0.3"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4:23" x14ac:dyDescent="0.3"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4:23" x14ac:dyDescent="0.3"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4:23" x14ac:dyDescent="0.3"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4:23" x14ac:dyDescent="0.3"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4:23" x14ac:dyDescent="0.3"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4:23" x14ac:dyDescent="0.3">
      <c r="N249" s="9"/>
      <c r="O249" s="9"/>
      <c r="P249" s="9"/>
      <c r="Q249" s="9"/>
      <c r="R249" s="9"/>
      <c r="S249" s="9"/>
      <c r="T249" s="9"/>
      <c r="U249" s="9"/>
      <c r="V249" s="9"/>
      <c r="W249" s="9"/>
    </row>
  </sheetData>
  <mergeCells count="18">
    <mergeCell ref="B28:B39"/>
    <mergeCell ref="B41:B52"/>
    <mergeCell ref="AC2:AG2"/>
    <mergeCell ref="AH2:AL2"/>
    <mergeCell ref="B4:B15"/>
    <mergeCell ref="AM4:AM15"/>
    <mergeCell ref="B16:B27"/>
    <mergeCell ref="AM16:AM27"/>
    <mergeCell ref="B1:C1"/>
    <mergeCell ref="D1:E1"/>
    <mergeCell ref="F1:H1"/>
    <mergeCell ref="I1:AL1"/>
    <mergeCell ref="D2:E2"/>
    <mergeCell ref="F2:H2"/>
    <mergeCell ref="I2:M2"/>
    <mergeCell ref="N2:R2"/>
    <mergeCell ref="S2:W2"/>
    <mergeCell ref="X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Ittre brut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Clement</dc:creator>
  <cp:lastModifiedBy>Timothée Clement</cp:lastModifiedBy>
  <dcterms:created xsi:type="dcterms:W3CDTF">2015-06-05T18:17:20Z</dcterms:created>
  <dcterms:modified xsi:type="dcterms:W3CDTF">2025-04-16T09:38:04Z</dcterms:modified>
</cp:coreProperties>
</file>